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embeddings/oleObject1.bin" ContentType="application/vnd.openxmlformats-officedocument.oleObject"/>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codeName="ThisWorkbook" autoCompressPictures="0" defaultThemeVersion="124226"/>
  <mc:AlternateContent xmlns:mc="http://schemas.openxmlformats.org/markup-compatibility/2006">
    <mc:Choice Requires="x15">
      <x15ac:absPath xmlns:x15ac="http://schemas.microsoft.com/office/spreadsheetml/2010/11/ac" url="E:\"/>
    </mc:Choice>
  </mc:AlternateContent>
  <xr:revisionPtr revIDLastSave="0" documentId="13_ncr:1_{1B7C5A8C-ADE5-440D-B5C3-AADA9739E095}" xr6:coauthVersionLast="46" xr6:coauthVersionMax="46" xr10:uidLastSave="{00000000-0000-0000-0000-000000000000}"/>
  <bookViews>
    <workbookView xWindow="-120" yWindow="-120" windowWidth="29040" windowHeight="15840" tabRatio="920" firstSheet="27" activeTab="27" xr2:uid="{00000000-000D-0000-FFFF-FFFF00000000}"/>
  </bookViews>
  <sheets>
    <sheet name="封面" sheetId="63" r:id="rId1"/>
    <sheet name="使用说明" sheetId="98" r:id="rId2"/>
    <sheet name="附注填写封面" sheetId="69" r:id="rId3"/>
    <sheet name="2013年调整系统核对差异" sheetId="139" state="hidden" r:id="rId4"/>
    <sheet name="2013年调整系统核对" sheetId="138" state="hidden" r:id="rId5"/>
    <sheet name="未审资产负债表" sheetId="70" r:id="rId6"/>
    <sheet name="未审利润表" sheetId="71" r:id="rId7"/>
    <sheet name="未审现金流量表" sheetId="108" r:id="rId8"/>
    <sheet name="调整分录" sheetId="74" r:id="rId9"/>
    <sheet name="调整简表（万元）" sheetId="122" r:id="rId10"/>
    <sheet name="试算平衡表" sheetId="73" r:id="rId11"/>
    <sheet name="审定资产负债表" sheetId="64" r:id="rId12"/>
    <sheet name="审定利润表" sheetId="65" r:id="rId13"/>
    <sheet name="审定现金流量表" sheetId="66" r:id="rId14"/>
    <sheet name="审定所有者权益变动表" sheetId="67" r:id="rId15"/>
    <sheet name="审定资产减值准备情况表" sheetId="68" state="hidden" r:id="rId16"/>
    <sheet name="现金流量表项目测试表" sheetId="137" r:id="rId17"/>
    <sheet name="导引表" sheetId="75" r:id="rId18"/>
    <sheet name="货币资金" sheetId="1" r:id="rId19"/>
    <sheet name="以公允价值计量且其变动计入当期损益的金融资产" sheetId="8" state="hidden" r:id="rId20"/>
    <sheet name="衍生金融资产" sheetId="148" state="hidden" r:id="rId21"/>
    <sheet name="抵消的金融资产和负债" sheetId="141" state="hidden" r:id="rId22"/>
    <sheet name="应收票据" sheetId="9" state="hidden" r:id="rId23"/>
    <sheet name="应收账款" sheetId="18" r:id="rId24"/>
    <sheet name="预付账款" sheetId="16" state="hidden" r:id="rId25"/>
    <sheet name="应收利息" sheetId="94" state="hidden" r:id="rId26"/>
    <sheet name="应收股利" sheetId="95" state="hidden" r:id="rId27"/>
    <sheet name="其他应收款" sheetId="17" r:id="rId28"/>
    <sheet name="存货" sheetId="15" state="hidden" r:id="rId29"/>
    <sheet name="持有待售的非流动资产或持有待售的处置组中的资产" sheetId="142" state="hidden" r:id="rId30"/>
    <sheet name="一年内到期的非流动资产" sheetId="116" state="hidden" r:id="rId31"/>
    <sheet name="其他流动资产" sheetId="14" r:id="rId32"/>
    <sheet name="可供出售金融资产" sheetId="13" r:id="rId33"/>
    <sheet name="可供出售权益附表" sheetId="151" r:id="rId34"/>
    <sheet name="持有至到期投资" sheetId="12" state="hidden" r:id="rId35"/>
    <sheet name="长期应收款" sheetId="11" state="hidden" r:id="rId36"/>
    <sheet name="长期股权投资" sheetId="76" state="hidden" r:id="rId37"/>
    <sheet name="投资性房地产" sheetId="10" state="hidden" r:id="rId38"/>
    <sheet name="固定资产" sheetId="24" r:id="rId39"/>
    <sheet name="固定资产（上市公司）" sheetId="157" state="hidden" r:id="rId40"/>
    <sheet name="在建工程" sheetId="23" state="hidden" r:id="rId41"/>
    <sheet name="工程物资" sheetId="77" state="hidden" r:id="rId42"/>
    <sheet name="固定资产清理" sheetId="78" state="hidden" r:id="rId43"/>
    <sheet name="无形资产" sheetId="22" state="hidden" r:id="rId44"/>
    <sheet name="无形资产（上市公司）" sheetId="158" state="hidden" r:id="rId45"/>
    <sheet name="开发支出" sheetId="152" state="hidden" r:id="rId46"/>
    <sheet name="商誉" sheetId="81" state="hidden" r:id="rId47"/>
    <sheet name="长期待摊费用" sheetId="21" r:id="rId48"/>
    <sheet name="递延所得税资产与递延所得税负债" sheetId="20" r:id="rId49"/>
    <sheet name="其他非流动资产" sheetId="7" state="hidden" r:id="rId50"/>
    <sheet name="所有权和使用权受限制的资产" sheetId="6" state="hidden" r:id="rId51"/>
    <sheet name="短期借款" sheetId="5" state="hidden" r:id="rId52"/>
    <sheet name="以公允价值计量且其变动计入当期损益的金融负债" sheetId="32" state="hidden" r:id="rId53"/>
    <sheet name="应付票据" sheetId="31" state="hidden" r:id="rId54"/>
    <sheet name="应付账款" sheetId="30" state="hidden" r:id="rId55"/>
    <sheet name="预收款项" sheetId="29" state="hidden" r:id="rId56"/>
    <sheet name="应付职工薪酬" sheetId="28" r:id="rId57"/>
    <sheet name="应交税费" sheetId="27" r:id="rId58"/>
    <sheet name="应付利息" sheetId="83" state="hidden" r:id="rId59"/>
    <sheet name="应付股利" sheetId="82" state="hidden" r:id="rId60"/>
    <sheet name="其他应付款" sheetId="26" r:id="rId61"/>
    <sheet name="持有待售的处置组中的负债" sheetId="143" state="hidden" r:id="rId62"/>
    <sheet name="一年内到期的非流动负债" sheetId="62" state="hidden" r:id="rId63"/>
    <sheet name="其他流动负债" sheetId="4" state="hidden" r:id="rId64"/>
    <sheet name="长期借款" sheetId="61" state="hidden" r:id="rId65"/>
    <sheet name="应付债券" sheetId="84" state="hidden" r:id="rId66"/>
    <sheet name="优先股、永续债等金融工具" sheetId="144" state="hidden" r:id="rId67"/>
    <sheet name="长期应付款" sheetId="60" state="hidden" r:id="rId68"/>
    <sheet name="长期应付职工薪酬" sheetId="153" state="hidden" r:id="rId69"/>
    <sheet name="专项应付款" sheetId="59" state="hidden" r:id="rId70"/>
    <sheet name="预计负债" sheetId="25" state="hidden" r:id="rId71"/>
    <sheet name="递延收益" sheetId="145" state="hidden" r:id="rId72"/>
    <sheet name="政府补助" sheetId="155" state="hidden" r:id="rId73"/>
    <sheet name="其他非流动负债" sheetId="58" state="hidden" r:id="rId74"/>
    <sheet name="实收资本" sheetId="57" r:id="rId75"/>
    <sheet name="资本公积" sheetId="56" state="hidden" r:id="rId76"/>
    <sheet name="专项储备" sheetId="85" state="hidden" r:id="rId77"/>
    <sheet name="盈余公积" sheetId="55" r:id="rId78"/>
    <sheet name="未分配利润" sheetId="54" r:id="rId79"/>
    <sheet name="营业收入营业成本" sheetId="53" r:id="rId80"/>
    <sheet name="主营业务税金及附加" sheetId="96" r:id="rId81"/>
    <sheet name="销售费用" sheetId="126" state="hidden" r:id="rId82"/>
    <sheet name="管理费用" sheetId="127" r:id="rId83"/>
    <sheet name="财务费用" sheetId="97" r:id="rId84"/>
    <sheet name="资产减值损失" sheetId="49" r:id="rId85"/>
    <sheet name="公允价值变动收益" sheetId="51" state="hidden" r:id="rId86"/>
    <sheet name="投资收益" sheetId="50" state="hidden" r:id="rId87"/>
    <sheet name="资产处置收益" sheetId="159" state="hidden" r:id="rId88"/>
    <sheet name="其他收益" sheetId="156" state="hidden" r:id="rId89"/>
    <sheet name="营业外收入" sheetId="48" r:id="rId90"/>
    <sheet name="营业外支出" sheetId="47" r:id="rId91"/>
    <sheet name="所得税费用" sheetId="46" r:id="rId92"/>
    <sheet name="其他综合收益" sheetId="44" state="hidden" r:id="rId93"/>
    <sheet name="非货币性资产交换" sheetId="87" state="hidden" r:id="rId94"/>
    <sheet name="债务重组" sheetId="88" state="hidden" r:id="rId95"/>
    <sheet name="借款费用" sheetId="89" state="hidden" r:id="rId96"/>
    <sheet name="外币折算" sheetId="117" state="hidden" r:id="rId97"/>
    <sheet name="租赁" sheetId="42" state="hidden" r:id="rId98"/>
    <sheet name="终止经营" sheetId="41" state="hidden" r:id="rId99"/>
    <sheet name="现金流量表项目注释" sheetId="123" r:id="rId100"/>
    <sheet name="现金流量表补充资料" sheetId="43" r:id="rId101"/>
    <sheet name="外币货币性项目" sheetId="154" r:id="rId102"/>
    <sheet name="关联方关系" sheetId="114" r:id="rId103"/>
    <sheet name="关联方交易" sheetId="39" r:id="rId104"/>
    <sheet name="关联方应收应付款项" sheetId="37" r:id="rId105"/>
    <sheet name="往来科目补充资料" sheetId="136" r:id="rId106"/>
    <sheet name="财务专项说明" sheetId="93" state="hidden" r:id="rId107"/>
    <sheet name="未调整不符事项之分录" sheetId="131" r:id="rId108"/>
    <sheet name="未调整不符事项之报表影响" sheetId="133" r:id="rId109"/>
    <sheet name="资产分析" sheetId="100" r:id="rId110"/>
    <sheet name="负债分析" sheetId="101" r:id="rId111"/>
    <sheet name="利润表分析" sheetId="102" r:id="rId112"/>
    <sheet name="现金分析" sheetId="103" r:id="rId113"/>
    <sheet name="财务比率分析" sheetId="104" r:id="rId114"/>
  </sheets>
  <definedNames>
    <definedName name="_xlnm._FilterDatabase" localSheetId="3" hidden="1">'2013年调整系统核对差异'!$A$13:$T$89</definedName>
    <definedName name="_xlnm._FilterDatabase" localSheetId="38" hidden="1">固定资产!$I$3:$M$47</definedName>
    <definedName name="_xlnm._FilterDatabase" localSheetId="10" hidden="1">试算平衡表!$A$5:$Q$5</definedName>
    <definedName name="_xlnm._FilterDatabase" localSheetId="9" hidden="1">'调整简表（万元）'!$B$5:$R$54</definedName>
    <definedName name="_xlnm._FilterDatabase" localSheetId="108" hidden="1">未调整不符事项之报表影响!$A$5:$Q$5</definedName>
    <definedName name="_xlnm._FilterDatabase" localSheetId="16" hidden="1">现金流量表项目测试表!$B$7:$N$457</definedName>
    <definedName name="_xlnm._FilterDatabase" localSheetId="56" hidden="1">应付职工薪酬!$J$24:$N$41</definedName>
    <definedName name="_xlnm._FilterDatabase" localSheetId="23" hidden="1">应收账款!$A$1:$S$176</definedName>
    <definedName name="_xlnm.Print_Area" localSheetId="28">存货!$C$1:$G$81</definedName>
    <definedName name="_xlnm.Print_Area" localSheetId="27">其他应收款!$B$1:$I$177</definedName>
    <definedName name="_xlnm.Print_Area" localSheetId="12">审定利润表!$A$1:$D$76</definedName>
    <definedName name="_xlnm.Print_Area" localSheetId="14">审定所有者权益变动表!$A$1:$AA$40</definedName>
    <definedName name="_xlnm.Print_Area" localSheetId="13">审定现金流量表!$A$1:$D$63</definedName>
    <definedName name="_xlnm.Print_Area" localSheetId="11">审定资产负债表!$A$1:$D$132</definedName>
    <definedName name="_xlnm.Print_Area" localSheetId="15">审定资产减值准备情况表!$A$1:$N$25</definedName>
    <definedName name="_xlnm.Print_Area" localSheetId="10">试算平衡表!$A$1:$N$206</definedName>
    <definedName name="_xlnm.Print_Area" localSheetId="6">未审利润表!$A$1:$D$76</definedName>
    <definedName name="_xlnm.Print_Area" localSheetId="7">未审现金流量表!$B$1:$N$62</definedName>
    <definedName name="_xlnm.Print_Area" localSheetId="5">未审资产负债表!$A$1:$D$132</definedName>
    <definedName name="_xlnm.Print_Area" localSheetId="108">未调整不符事项之报表影响!$A$1:$N$205</definedName>
    <definedName name="_xlnm.Print_Area" localSheetId="16">现金流量表项目测试表!$E$1:$I$412</definedName>
    <definedName name="_xlnm.Print_Area" localSheetId="23">应收账款!$B$1:$I$176</definedName>
    <definedName name="_xlnm.Print_Area" localSheetId="24">预付账款!$C$1:$L$41</definedName>
    <definedName name="_xlnm.Print_Titles" localSheetId="28">存货!$1:$1</definedName>
    <definedName name="_xlnm.Print_Titles" localSheetId="18">货币资金!$1:$1</definedName>
    <definedName name="_xlnm.Print_Titles" localSheetId="27">其他应收款!$1:$1</definedName>
    <definedName name="_xlnm.Print_Titles" localSheetId="16">现金流量表项目测试表!$1:$4</definedName>
    <definedName name="_xlnm.Print_Titles" localSheetId="56">应付职工薪酬!$1:$1</definedName>
    <definedName name="_xlnm.Print_Titles" localSheetId="57">应交税费!$1:$1</definedName>
    <definedName name="非流动负债" localSheetId="108">未调整不符事项之报表影响!$C$90:$C$99</definedName>
    <definedName name="非流动负债">试算平衡表!$C$90:$C$99</definedName>
    <definedName name="非流动资产" localSheetId="108">未调整不符事项之报表影响!$C$30:$C$52</definedName>
    <definedName name="非流动资产">试算平衡表!$C$30:$C$52</definedName>
    <definedName name="利润表项目" localSheetId="108">未调整不符事项之报表影响!$C$139:$C$198</definedName>
    <definedName name="利润表项目">试算平衡表!$C$139:$C$200</definedName>
    <definedName name="流动负债" localSheetId="108">未调整不符事项之报表影响!$C$61:$C$87</definedName>
    <definedName name="流动负债">试算平衡表!$C$61:$C$87</definedName>
    <definedName name="流动资产" localSheetId="108">未调整不符事项之报表影响!$C$7:$C$27</definedName>
    <definedName name="流动资产">试算平衡表!$C$7:$C$27</definedName>
    <definedName name="所有者权益" localSheetId="108">未调整不符事项之报表影响!$C$103:$C$129</definedName>
    <definedName name="所有者权益">试算平衡表!$C$103:$C$129</definedName>
  </definedNames>
  <calcPr calcId="181029"/>
  <fileRecoveryPr autoRecover="0"/>
  <extLst>
    <ext xmlns:mx="http://schemas.microsoft.com/office/mac/excel/2008/main" uri="{7523E5D3-25F3-A5E0-1632-64F254C22452}">
      <mx:ArchID Flags="2"/>
    </ext>
  </extLst>
</workbook>
</file>

<file path=xl/calcChain.xml><?xml version="1.0" encoding="utf-8"?>
<calcChain xmlns="http://schemas.openxmlformats.org/spreadsheetml/2006/main">
  <c r="H10" i="17" l="1"/>
  <c r="H9" i="17"/>
  <c r="H8" i="17"/>
  <c r="H7" i="17"/>
  <c r="H6" i="17"/>
  <c r="H5" i="17"/>
  <c r="D6" i="17"/>
  <c r="D7" i="27"/>
  <c r="J15" i="27" l="1"/>
  <c r="F24" i="74" l="1"/>
  <c r="F7" i="27"/>
  <c r="D11" i="27"/>
  <c r="E5" i="96"/>
  <c r="H24" i="74"/>
  <c r="H7" i="74"/>
  <c r="I103" i="74" l="1"/>
  <c r="E7" i="27" s="1"/>
  <c r="D11" i="127"/>
  <c r="D5" i="127"/>
  <c r="D10" i="127"/>
  <c r="E10" i="127"/>
  <c r="E5" i="127"/>
  <c r="E11" i="127"/>
  <c r="H108" i="74"/>
  <c r="I109" i="74" s="1"/>
  <c r="I106" i="74"/>
  <c r="R28" i="17"/>
  <c r="R27" i="17"/>
  <c r="Q29" i="17"/>
  <c r="R29" i="17" s="1"/>
  <c r="Q28" i="17"/>
  <c r="Q27" i="17"/>
  <c r="D157" i="18" l="1"/>
  <c r="F157" i="18" s="1"/>
  <c r="D156" i="18"/>
  <c r="F156" i="18" s="1"/>
  <c r="D155" i="18"/>
  <c r="F155" i="18" s="1"/>
  <c r="D7" i="18"/>
  <c r="D33" i="18" s="1"/>
  <c r="H89" i="74"/>
  <c r="H98" i="74" s="1"/>
  <c r="I99" i="74" s="1"/>
  <c r="I90" i="74" l="1"/>
  <c r="F7" i="18" s="1"/>
  <c r="F33" i="18" s="1"/>
  <c r="I80" i="74"/>
  <c r="I79" i="74"/>
  <c r="I78" i="74"/>
  <c r="H94" i="74" s="1"/>
  <c r="E17" i="27" l="1"/>
  <c r="I95" i="74"/>
  <c r="D12" i="96" s="1"/>
  <c r="I81" i="74"/>
  <c r="F7" i="74"/>
  <c r="E3" i="27" l="1"/>
  <c r="I85" i="74"/>
  <c r="S24" i="122"/>
  <c r="S23" i="122"/>
  <c r="S22" i="122"/>
  <c r="S21" i="122"/>
  <c r="S20" i="122"/>
  <c r="S19" i="122"/>
  <c r="S18" i="122"/>
  <c r="S17" i="122"/>
  <c r="S16" i="122"/>
  <c r="S15" i="122"/>
  <c r="S14" i="122"/>
  <c r="S13" i="122"/>
  <c r="S10" i="122"/>
  <c r="S7" i="122"/>
  <c r="D5" i="96" l="1"/>
  <c r="I86" i="74"/>
  <c r="E12" i="27" s="1"/>
  <c r="E7" i="43"/>
  <c r="E9" i="43"/>
  <c r="G25" i="74"/>
  <c r="E12" i="127" s="1"/>
  <c r="I25" i="74"/>
  <c r="D12" i="127" s="1"/>
  <c r="H51" i="74"/>
  <c r="H52" i="74"/>
  <c r="I53" i="74"/>
  <c r="I54" i="74"/>
  <c r="H57" i="74"/>
  <c r="I58" i="74"/>
  <c r="D8" i="127" s="1"/>
  <c r="H73" i="74"/>
  <c r="E7" i="96"/>
  <c r="K90" i="74"/>
  <c r="G57" i="71"/>
  <c r="E6" i="96"/>
  <c r="F6" i="53"/>
  <c r="D3" i="127"/>
  <c r="H35" i="127"/>
  <c r="H50" i="74" l="1"/>
  <c r="D13" i="47" s="1"/>
  <c r="H84" i="74"/>
  <c r="D6" i="96"/>
  <c r="D7" i="96" s="1"/>
  <c r="D6" i="53"/>
  <c r="E3" i="127"/>
  <c r="F3" i="27"/>
  <c r="D8" i="27"/>
  <c r="E8" i="27"/>
  <c r="I14" i="27" s="1"/>
  <c r="E11" i="27"/>
  <c r="F11" i="27"/>
  <c r="D12" i="27"/>
  <c r="E12" i="28"/>
  <c r="F12" i="28"/>
  <c r="D12" i="28"/>
  <c r="F20" i="24"/>
  <c r="E20" i="24"/>
  <c r="F11" i="24"/>
  <c r="Q24" i="17"/>
  <c r="Q25" i="17" s="1"/>
  <c r="D19" i="18" l="1"/>
  <c r="F61" i="18" s="1"/>
  <c r="G166" i="18" l="1"/>
  <c r="D169" i="18"/>
  <c r="D61" i="18" l="1"/>
  <c r="N9" i="74"/>
  <c r="M10" i="74" s="1"/>
  <c r="L6" i="74"/>
  <c r="K7" i="74" s="1"/>
  <c r="K32" i="74" l="1"/>
  <c r="L33" i="74" s="1"/>
  <c r="L29" i="74"/>
  <c r="K28" i="74"/>
  <c r="K27" i="74"/>
  <c r="M32" i="74" l="1"/>
  <c r="T21" i="17" l="1"/>
  <c r="P21" i="17"/>
  <c r="N41" i="74" l="1"/>
  <c r="L38" i="74"/>
  <c r="M37" i="74"/>
  <c r="N38" i="74" s="1"/>
  <c r="K46" i="74" l="1"/>
  <c r="J23" i="74" l="1"/>
  <c r="J13" i="26" l="1"/>
  <c r="K13" i="26"/>
  <c r="L13" i="26"/>
  <c r="I13" i="26"/>
  <c r="E14" i="28"/>
  <c r="F14" i="28"/>
  <c r="D14" i="28"/>
  <c r="L41" i="28"/>
  <c r="M41" i="28"/>
  <c r="N41" i="28"/>
  <c r="K41" i="28"/>
  <c r="I21" i="21"/>
  <c r="L54" i="24" l="1"/>
  <c r="L53" i="24"/>
  <c r="K20" i="17"/>
  <c r="L20" i="17"/>
  <c r="M20" i="17"/>
  <c r="J20" i="17"/>
  <c r="A1" i="65"/>
  <c r="L83" i="1"/>
  <c r="M83" i="1"/>
  <c r="K83" i="1"/>
  <c r="N77" i="1" l="1"/>
  <c r="N76" i="1"/>
  <c r="N80" i="1"/>
  <c r="N83" i="1" s="1"/>
  <c r="H77" i="70" l="1"/>
  <c r="D68" i="123" l="1"/>
  <c r="D46" i="123"/>
  <c r="D174" i="17"/>
  <c r="G174" i="17"/>
  <c r="M166" i="17"/>
  <c r="F41" i="17"/>
  <c r="F43" i="17" s="1"/>
  <c r="I41" i="17"/>
  <c r="I43" i="17" s="1"/>
  <c r="J167" i="18"/>
  <c r="J168" i="18"/>
  <c r="F174" i="18"/>
  <c r="J172" i="17"/>
  <c r="M167" i="17"/>
  <c r="M168" i="17"/>
  <c r="M169" i="17"/>
  <c r="L167" i="17"/>
  <c r="L168" i="17"/>
  <c r="L169" i="17"/>
  <c r="J167" i="17"/>
  <c r="J168" i="17"/>
  <c r="D41" i="17"/>
  <c r="O34" i="17"/>
  <c r="O35" i="17"/>
  <c r="O36" i="17"/>
  <c r="O37" i="17"/>
  <c r="O38" i="17"/>
  <c r="O39" i="17"/>
  <c r="O40" i="17"/>
  <c r="N34" i="17"/>
  <c r="N35" i="17"/>
  <c r="N36" i="17"/>
  <c r="N37" i="17"/>
  <c r="N38" i="17"/>
  <c r="N39" i="17"/>
  <c r="N40" i="17"/>
  <c r="L34" i="17"/>
  <c r="L35" i="17"/>
  <c r="G41" i="17"/>
  <c r="H33" i="17" s="1"/>
  <c r="E18" i="159"/>
  <c r="D18" i="159"/>
  <c r="D170" i="73"/>
  <c r="E170" i="73"/>
  <c r="G170" i="73"/>
  <c r="F170" i="73"/>
  <c r="J171" i="73"/>
  <c r="L171" i="73"/>
  <c r="L170" i="122" s="1"/>
  <c r="K171" i="73"/>
  <c r="K170" i="122" s="1"/>
  <c r="N21" i="127"/>
  <c r="N23" i="127" s="1"/>
  <c r="O21" i="127"/>
  <c r="O23" i="127" s="1"/>
  <c r="H4" i="145"/>
  <c r="E375" i="138"/>
  <c r="L375" i="138" s="1"/>
  <c r="I33" i="18"/>
  <c r="I41" i="18" s="1"/>
  <c r="I43" i="18" s="1"/>
  <c r="F41" i="18"/>
  <c r="F43" i="18" s="1"/>
  <c r="E171" i="73"/>
  <c r="E170" i="122" s="1"/>
  <c r="G171" i="73"/>
  <c r="G170" i="122" s="1"/>
  <c r="F171" i="73"/>
  <c r="F170" i="122" s="1"/>
  <c r="L188" i="133"/>
  <c r="L199" i="133"/>
  <c r="K188" i="133"/>
  <c r="K199" i="133"/>
  <c r="L191" i="133"/>
  <c r="L192" i="133"/>
  <c r="K191" i="133"/>
  <c r="K192" i="133"/>
  <c r="L194" i="133"/>
  <c r="L195" i="133"/>
  <c r="L196" i="133"/>
  <c r="L197" i="133"/>
  <c r="L198" i="133"/>
  <c r="L118" i="133" s="1"/>
  <c r="K194" i="133"/>
  <c r="K195" i="133"/>
  <c r="N195" i="133" s="1"/>
  <c r="M195" i="133" s="1"/>
  <c r="K196" i="133"/>
  <c r="K197" i="133"/>
  <c r="N197" i="133" s="1"/>
  <c r="M197" i="133" s="1"/>
  <c r="K198" i="133"/>
  <c r="L139" i="133"/>
  <c r="L140" i="133"/>
  <c r="L141" i="133"/>
  <c r="L142" i="133"/>
  <c r="L143" i="133"/>
  <c r="L146" i="133"/>
  <c r="L147" i="133"/>
  <c r="L148" i="133"/>
  <c r="L149" i="133"/>
  <c r="L150" i="133"/>
  <c r="L151" i="133"/>
  <c r="L152" i="133"/>
  <c r="L153" i="133"/>
  <c r="L154" i="133"/>
  <c r="L155" i="133"/>
  <c r="L156" i="133"/>
  <c r="L158" i="133"/>
  <c r="L159" i="133"/>
  <c r="L161" i="133"/>
  <c r="L162" i="133"/>
  <c r="L163" i="133"/>
  <c r="L164" i="133"/>
  <c r="L165" i="133"/>
  <c r="F159" i="133"/>
  <c r="L166" i="133"/>
  <c r="L168" i="133"/>
  <c r="L167" i="133" s="1"/>
  <c r="F169" i="133"/>
  <c r="L170" i="133"/>
  <c r="L173" i="133"/>
  <c r="L174" i="133"/>
  <c r="L175" i="133"/>
  <c r="L176" i="133"/>
  <c r="L178" i="133"/>
  <c r="L179" i="133"/>
  <c r="L180" i="133"/>
  <c r="L182" i="133"/>
  <c r="K139" i="133"/>
  <c r="K140" i="133"/>
  <c r="K141" i="133"/>
  <c r="K142" i="133"/>
  <c r="K143" i="133"/>
  <c r="K146" i="133"/>
  <c r="K147" i="133"/>
  <c r="K148" i="133"/>
  <c r="N148" i="133" s="1"/>
  <c r="M148" i="133" s="1"/>
  <c r="K149" i="133"/>
  <c r="K150" i="133"/>
  <c r="K151" i="133"/>
  <c r="K152" i="133"/>
  <c r="K153" i="133"/>
  <c r="K154" i="133"/>
  <c r="N154" i="133" s="1"/>
  <c r="M154" i="133" s="1"/>
  <c r="K155" i="133"/>
  <c r="N155" i="133" s="1"/>
  <c r="M155" i="133" s="1"/>
  <c r="K156" i="133"/>
  <c r="N156" i="133" s="1"/>
  <c r="M156" i="133" s="1"/>
  <c r="K158" i="133"/>
  <c r="K157" i="133" s="1"/>
  <c r="K159" i="133"/>
  <c r="K161" i="133"/>
  <c r="K162" i="133"/>
  <c r="K163" i="133"/>
  <c r="K164" i="133"/>
  <c r="N164" i="133" s="1"/>
  <c r="M164" i="133" s="1"/>
  <c r="K165" i="133"/>
  <c r="K166" i="133"/>
  <c r="K168" i="133"/>
  <c r="K167" i="133" s="1"/>
  <c r="K170" i="133"/>
  <c r="K173" i="133"/>
  <c r="K174" i="133"/>
  <c r="K175" i="133"/>
  <c r="K176" i="133"/>
  <c r="K178" i="133"/>
  <c r="K179" i="133"/>
  <c r="K180" i="133"/>
  <c r="K182" i="133"/>
  <c r="L185" i="133"/>
  <c r="K185" i="133"/>
  <c r="G188" i="133"/>
  <c r="G199" i="133"/>
  <c r="F188" i="133"/>
  <c r="I188" i="133" s="1"/>
  <c r="H188" i="133" s="1"/>
  <c r="F199" i="133"/>
  <c r="G191" i="133"/>
  <c r="G192" i="133"/>
  <c r="F191" i="133"/>
  <c r="F192" i="133"/>
  <c r="G194" i="133"/>
  <c r="G195" i="133"/>
  <c r="G196" i="133"/>
  <c r="G197" i="133"/>
  <c r="G198" i="133"/>
  <c r="F194" i="133"/>
  <c r="F195" i="133"/>
  <c r="F196" i="133"/>
  <c r="F197" i="133"/>
  <c r="F198" i="133"/>
  <c r="F118" i="133" s="1"/>
  <c r="G139" i="133"/>
  <c r="G140" i="133"/>
  <c r="G141" i="133"/>
  <c r="G142" i="133"/>
  <c r="G143" i="133"/>
  <c r="G146" i="133"/>
  <c r="G147" i="133"/>
  <c r="G148" i="133"/>
  <c r="G149" i="133"/>
  <c r="I149" i="133" s="1"/>
  <c r="H149" i="133" s="1"/>
  <c r="G150" i="133"/>
  <c r="G151" i="133"/>
  <c r="G152" i="133"/>
  <c r="G153" i="133"/>
  <c r="G154" i="133"/>
  <c r="G155" i="133"/>
  <c r="G156" i="133"/>
  <c r="G158" i="133"/>
  <c r="G157" i="133" s="1"/>
  <c r="G159" i="133"/>
  <c r="G161" i="133"/>
  <c r="G162" i="133"/>
  <c r="G163" i="133"/>
  <c r="I163" i="133" s="1"/>
  <c r="H163" i="133" s="1"/>
  <c r="G164" i="133"/>
  <c r="G165" i="133"/>
  <c r="G166" i="133"/>
  <c r="G168" i="133"/>
  <c r="G170" i="133"/>
  <c r="G173" i="133"/>
  <c r="G174" i="133"/>
  <c r="G175" i="133"/>
  <c r="G176" i="133"/>
  <c r="G178" i="133"/>
  <c r="G179" i="133"/>
  <c r="G180" i="133"/>
  <c r="G182" i="133"/>
  <c r="F139" i="133"/>
  <c r="F140" i="133"/>
  <c r="F141" i="133"/>
  <c r="F142" i="133"/>
  <c r="F143" i="133"/>
  <c r="F146" i="133"/>
  <c r="F147" i="133"/>
  <c r="I147" i="133" s="1"/>
  <c r="H147" i="133" s="1"/>
  <c r="F148" i="133"/>
  <c r="F149" i="133"/>
  <c r="F150" i="133"/>
  <c r="F151" i="133"/>
  <c r="I151" i="133" s="1"/>
  <c r="H151" i="133" s="1"/>
  <c r="F152" i="133"/>
  <c r="F153" i="133"/>
  <c r="F154" i="133"/>
  <c r="F155" i="133"/>
  <c r="I155" i="133" s="1"/>
  <c r="H155" i="133" s="1"/>
  <c r="F156" i="133"/>
  <c r="F158" i="133"/>
  <c r="F161" i="133"/>
  <c r="F162" i="133"/>
  <c r="F163" i="133"/>
  <c r="F164" i="133"/>
  <c r="F165" i="133"/>
  <c r="I165" i="133" s="1"/>
  <c r="H165" i="133" s="1"/>
  <c r="F166" i="133"/>
  <c r="I166" i="133" s="1"/>
  <c r="H166" i="133" s="1"/>
  <c r="F168" i="133"/>
  <c r="F167" i="133" s="1"/>
  <c r="F170" i="133"/>
  <c r="F173" i="133"/>
  <c r="F174" i="133"/>
  <c r="I174" i="133" s="1"/>
  <c r="H174" i="133" s="1"/>
  <c r="F175" i="133"/>
  <c r="F176" i="133"/>
  <c r="F178" i="133"/>
  <c r="I178" i="133" s="1"/>
  <c r="H178" i="133" s="1"/>
  <c r="F179" i="133"/>
  <c r="I179" i="133" s="1"/>
  <c r="H179" i="133" s="1"/>
  <c r="F180" i="133"/>
  <c r="F182" i="133"/>
  <c r="I182" i="133" s="1"/>
  <c r="H182" i="133" s="1"/>
  <c r="G185" i="133"/>
  <c r="F185" i="133"/>
  <c r="D72" i="65"/>
  <c r="J205" i="73"/>
  <c r="N205" i="73"/>
  <c r="D73" i="65" s="1"/>
  <c r="J206" i="73"/>
  <c r="C72" i="65"/>
  <c r="E205" i="73"/>
  <c r="I205" i="73" s="1"/>
  <c r="C73" i="65" s="1"/>
  <c r="E206" i="73"/>
  <c r="F18" i="143"/>
  <c r="K12" i="82"/>
  <c r="J12" i="82"/>
  <c r="G27" i="28"/>
  <c r="G28" i="28"/>
  <c r="G29" i="28"/>
  <c r="F30" i="28"/>
  <c r="F149" i="93" s="1"/>
  <c r="E30" i="28"/>
  <c r="E38" i="28" s="1"/>
  <c r="D30" i="28"/>
  <c r="E819" i="138" s="1"/>
  <c r="J819" i="138" s="1"/>
  <c r="G12" i="28"/>
  <c r="G13" i="28"/>
  <c r="G14" i="28"/>
  <c r="G15" i="28"/>
  <c r="G16" i="28"/>
  <c r="G17" i="28"/>
  <c r="G18" i="28"/>
  <c r="G19" i="28"/>
  <c r="D20" i="28"/>
  <c r="D24" i="28" s="1"/>
  <c r="D4" i="28" s="1"/>
  <c r="E20" i="28"/>
  <c r="E24" i="28" s="1"/>
  <c r="F20" i="28"/>
  <c r="G21" i="28"/>
  <c r="G22" i="28"/>
  <c r="G23" i="28"/>
  <c r="G8" i="28"/>
  <c r="G5" i="28"/>
  <c r="G6" i="28"/>
  <c r="G7" i="28"/>
  <c r="D9" i="28"/>
  <c r="E7" i="32"/>
  <c r="E770" i="138" s="1"/>
  <c r="H770" i="138" s="1"/>
  <c r="D7" i="32"/>
  <c r="G28" i="81"/>
  <c r="E9" i="11"/>
  <c r="D9" i="11"/>
  <c r="I9" i="11"/>
  <c r="H9" i="11"/>
  <c r="G9" i="11"/>
  <c r="F9" i="11"/>
  <c r="D38" i="142"/>
  <c r="D50" i="142"/>
  <c r="D61" i="142"/>
  <c r="E18" i="142"/>
  <c r="D18" i="142"/>
  <c r="I21" i="15"/>
  <c r="D10" i="8"/>
  <c r="E10" i="8"/>
  <c r="E349" i="138" s="1"/>
  <c r="H349" i="138" s="1"/>
  <c r="L186" i="133"/>
  <c r="K186" i="133"/>
  <c r="L187" i="133"/>
  <c r="K187" i="133"/>
  <c r="N187" i="133" s="1"/>
  <c r="M187" i="133" s="1"/>
  <c r="L169" i="133"/>
  <c r="K169" i="133"/>
  <c r="G186" i="133"/>
  <c r="F186" i="133"/>
  <c r="G187" i="133"/>
  <c r="F187" i="133"/>
  <c r="G169" i="133"/>
  <c r="I176" i="133"/>
  <c r="H176" i="133" s="1"/>
  <c r="E14" i="96"/>
  <c r="D14" i="96"/>
  <c r="G20" i="136"/>
  <c r="D24" i="37"/>
  <c r="G31" i="136"/>
  <c r="D66" i="18"/>
  <c r="G51" i="136"/>
  <c r="D100" i="37"/>
  <c r="G62" i="136"/>
  <c r="D66" i="17"/>
  <c r="D68" i="17" s="1"/>
  <c r="G82" i="136"/>
  <c r="D81" i="37"/>
  <c r="G102" i="136"/>
  <c r="D139" i="37"/>
  <c r="G122" i="136"/>
  <c r="D176" i="37"/>
  <c r="G142" i="136"/>
  <c r="D195" i="37"/>
  <c r="D6" i="18"/>
  <c r="D10" i="18" s="1"/>
  <c r="E156" i="18" s="1"/>
  <c r="D17" i="18"/>
  <c r="D21" i="18" s="1"/>
  <c r="E18" i="18" s="1"/>
  <c r="F365" i="138" s="1"/>
  <c r="O365" i="138" s="1"/>
  <c r="D5" i="9"/>
  <c r="E57" i="37" s="1"/>
  <c r="E5" i="9"/>
  <c r="G60" i="37" s="1"/>
  <c r="D9" i="16"/>
  <c r="E72" i="37" s="1"/>
  <c r="G9" i="16"/>
  <c r="G72" i="37" s="1"/>
  <c r="D10" i="17"/>
  <c r="D17" i="17"/>
  <c r="D21" i="17" s="1"/>
  <c r="G90" i="37" s="1"/>
  <c r="D8" i="30"/>
  <c r="E123" i="37"/>
  <c r="E8" i="30"/>
  <c r="G129" i="37" s="1"/>
  <c r="G132" i="37"/>
  <c r="D5" i="31"/>
  <c r="E143" i="37" s="1"/>
  <c r="E142" i="37"/>
  <c r="E146" i="37"/>
  <c r="E150" i="37"/>
  <c r="E153" i="37"/>
  <c r="E5" i="31"/>
  <c r="G148" i="37" s="1"/>
  <c r="D8" i="29"/>
  <c r="E161" i="37" s="1"/>
  <c r="E175" i="37"/>
  <c r="E8" i="29"/>
  <c r="G163" i="37" s="1"/>
  <c r="D24" i="26"/>
  <c r="E24" i="26"/>
  <c r="E859" i="138" s="1"/>
  <c r="H859" i="138" s="1"/>
  <c r="D4" i="60"/>
  <c r="E209" i="37" s="1"/>
  <c r="E4" i="60"/>
  <c r="D96" i="69"/>
  <c r="D95" i="69"/>
  <c r="D94" i="69"/>
  <c r="D91" i="69"/>
  <c r="D90" i="69"/>
  <c r="D21" i="89"/>
  <c r="D22" i="89" s="1"/>
  <c r="E21" i="89"/>
  <c r="E18" i="89"/>
  <c r="D87" i="69"/>
  <c r="D86" i="69"/>
  <c r="D43" i="69"/>
  <c r="F20" i="68"/>
  <c r="K20" i="68"/>
  <c r="F19" i="68"/>
  <c r="P19" i="68" s="1"/>
  <c r="K19" i="68"/>
  <c r="F18" i="68"/>
  <c r="K18" i="68"/>
  <c r="Q18" i="68" s="1"/>
  <c r="F17" i="68"/>
  <c r="K17" i="68"/>
  <c r="Q17" i="68" s="1"/>
  <c r="F16" i="68"/>
  <c r="K16" i="68"/>
  <c r="F15" i="68"/>
  <c r="P15" i="68" s="1"/>
  <c r="K15" i="68"/>
  <c r="F14" i="68"/>
  <c r="K14" i="68"/>
  <c r="Q14" i="68" s="1"/>
  <c r="F13" i="68"/>
  <c r="K13" i="68"/>
  <c r="Q13" i="68" s="1"/>
  <c r="F12" i="68"/>
  <c r="K12" i="68"/>
  <c r="F11" i="68"/>
  <c r="K11" i="68"/>
  <c r="F10" i="68"/>
  <c r="K10" i="68"/>
  <c r="Q10" i="68" s="1"/>
  <c r="F9" i="68"/>
  <c r="K9" i="68"/>
  <c r="Q9" i="68" s="1"/>
  <c r="F8" i="68"/>
  <c r="K8" i="68"/>
  <c r="F7" i="68"/>
  <c r="K7" i="68"/>
  <c r="L7" i="68" s="1"/>
  <c r="F6" i="68"/>
  <c r="K6" i="68"/>
  <c r="H262" i="93"/>
  <c r="H261" i="93"/>
  <c r="G262" i="93"/>
  <c r="G261" i="93"/>
  <c r="F262" i="93"/>
  <c r="F261" i="93"/>
  <c r="E262" i="93"/>
  <c r="E261" i="93"/>
  <c r="H166" i="93"/>
  <c r="H150" i="93"/>
  <c r="F1232" i="138" s="1"/>
  <c r="K1232" i="138" s="1"/>
  <c r="H158" i="93"/>
  <c r="H145" i="93"/>
  <c r="G166" i="93"/>
  <c r="E1249" i="138" s="1"/>
  <c r="G150" i="93"/>
  <c r="G158" i="93"/>
  <c r="G145" i="93"/>
  <c r="E1227" i="138" s="1"/>
  <c r="F148" i="93"/>
  <c r="F151" i="93"/>
  <c r="F152" i="93"/>
  <c r="F153" i="93"/>
  <c r="F155" i="93"/>
  <c r="F156" i="93"/>
  <c r="F159" i="93"/>
  <c r="F158" i="93" s="1"/>
  <c r="F162" i="93"/>
  <c r="F164" i="93"/>
  <c r="E148" i="93"/>
  <c r="E151" i="93"/>
  <c r="E152" i="93"/>
  <c r="E153" i="93"/>
  <c r="E155" i="93"/>
  <c r="E156" i="93"/>
  <c r="E159" i="93"/>
  <c r="E158" i="93" s="1"/>
  <c r="E162" i="93"/>
  <c r="E164" i="93"/>
  <c r="E106" i="93"/>
  <c r="E105" i="93" s="1"/>
  <c r="E122" i="93"/>
  <c r="E121" i="93" s="1"/>
  <c r="E36" i="93"/>
  <c r="F5" i="154"/>
  <c r="F29" i="154"/>
  <c r="F53" i="154"/>
  <c r="E66" i="43"/>
  <c r="E62" i="43"/>
  <c r="E1198" i="138" s="1"/>
  <c r="H1198" i="138" s="1"/>
  <c r="D66" i="43"/>
  <c r="D62" i="43"/>
  <c r="D46" i="43"/>
  <c r="D42" i="43"/>
  <c r="E31" i="43"/>
  <c r="E1189" i="138" s="1"/>
  <c r="H1189" i="138" s="1"/>
  <c r="D31" i="43"/>
  <c r="D48" i="42"/>
  <c r="D39" i="42"/>
  <c r="G31" i="42"/>
  <c r="F31" i="42"/>
  <c r="E31" i="42"/>
  <c r="D31" i="42"/>
  <c r="E1156" i="138" s="1"/>
  <c r="E19" i="42"/>
  <c r="D19" i="42"/>
  <c r="D8" i="42"/>
  <c r="G24" i="88"/>
  <c r="E24" i="88"/>
  <c r="D24" i="88"/>
  <c r="F9" i="88"/>
  <c r="E9" i="88"/>
  <c r="D9" i="88"/>
  <c r="L51" i="44"/>
  <c r="D52" i="44"/>
  <c r="D53" i="44" s="1"/>
  <c r="E52" i="44"/>
  <c r="E53" i="44" s="1"/>
  <c r="I11" i="44"/>
  <c r="F52" i="44" s="1"/>
  <c r="F53" i="44" s="1"/>
  <c r="I14" i="44"/>
  <c r="I17" i="44"/>
  <c r="H52" i="44" s="1"/>
  <c r="H53" i="44" s="1"/>
  <c r="I21" i="44"/>
  <c r="I52" i="44" s="1"/>
  <c r="I53" i="44" s="1"/>
  <c r="I24" i="44"/>
  <c r="J52" i="44" s="1"/>
  <c r="J53" i="44" s="1"/>
  <c r="D54" i="44"/>
  <c r="E54" i="44"/>
  <c r="F11" i="44"/>
  <c r="F54" i="44" s="1"/>
  <c r="F14" i="44"/>
  <c r="G54" i="44" s="1"/>
  <c r="F17" i="44"/>
  <c r="H54" i="44" s="1"/>
  <c r="F21" i="44"/>
  <c r="I54" i="44" s="1"/>
  <c r="F24" i="44"/>
  <c r="J54" i="44" s="1"/>
  <c r="K53" i="44"/>
  <c r="K55" i="44" s="1"/>
  <c r="I5" i="44"/>
  <c r="H5" i="44"/>
  <c r="H11" i="44"/>
  <c r="H14" i="44"/>
  <c r="H17" i="44"/>
  <c r="H21" i="44"/>
  <c r="H24" i="44"/>
  <c r="G5" i="44"/>
  <c r="G11" i="44"/>
  <c r="K11" i="44" s="1"/>
  <c r="G14" i="44"/>
  <c r="K14" i="44" s="1"/>
  <c r="G17" i="44"/>
  <c r="K17" i="44" s="1"/>
  <c r="G21" i="44"/>
  <c r="G24" i="44"/>
  <c r="F5" i="44"/>
  <c r="E5" i="44"/>
  <c r="E1110" i="138" s="1"/>
  <c r="H1110" i="138" s="1"/>
  <c r="E11" i="44"/>
  <c r="E14" i="44"/>
  <c r="E1119" i="138" s="1"/>
  <c r="H1119" i="138" s="1"/>
  <c r="E17" i="44"/>
  <c r="E1122" i="138" s="1"/>
  <c r="E21" i="44"/>
  <c r="E1126" i="138" s="1"/>
  <c r="H1126" i="138" s="1"/>
  <c r="E24" i="44"/>
  <c r="D5" i="44"/>
  <c r="D11" i="44"/>
  <c r="J11" i="44" s="1"/>
  <c r="D14" i="44"/>
  <c r="J14" i="44" s="1"/>
  <c r="D17" i="44"/>
  <c r="D21" i="44"/>
  <c r="J21" i="44" s="1"/>
  <c r="D24" i="44"/>
  <c r="E6" i="46"/>
  <c r="E1104" i="138" s="1"/>
  <c r="H1104" i="138" s="1"/>
  <c r="D6" i="46"/>
  <c r="F4" i="47"/>
  <c r="F22" i="47" s="1"/>
  <c r="E4" i="47"/>
  <c r="D4" i="47"/>
  <c r="E38" i="48"/>
  <c r="E40" i="48" s="1"/>
  <c r="D38" i="48"/>
  <c r="D40" i="48" s="1"/>
  <c r="F4" i="48"/>
  <c r="F19" i="48" s="1"/>
  <c r="E4" i="48"/>
  <c r="E19" i="48" s="1"/>
  <c r="E1071" i="138" s="1"/>
  <c r="H1071" i="138" s="1"/>
  <c r="D4" i="48"/>
  <c r="D19" i="48" s="1"/>
  <c r="E14" i="50"/>
  <c r="D14" i="50"/>
  <c r="E9" i="51"/>
  <c r="D9" i="51"/>
  <c r="E17" i="49"/>
  <c r="E1024" i="138" s="1"/>
  <c r="H1024" i="138" s="1"/>
  <c r="D17" i="49"/>
  <c r="G6" i="43" s="1"/>
  <c r="H6" i="43" s="1"/>
  <c r="E17" i="97"/>
  <c r="E9" i="97"/>
  <c r="D17" i="97"/>
  <c r="D9" i="97"/>
  <c r="E18" i="127"/>
  <c r="H8" i="127" s="1"/>
  <c r="D18" i="127"/>
  <c r="G4" i="127" s="1"/>
  <c r="E18" i="126"/>
  <c r="H6" i="126" s="1"/>
  <c r="D18" i="126"/>
  <c r="G13" i="53"/>
  <c r="G21" i="53" s="1"/>
  <c r="G5" i="53"/>
  <c r="F13" i="53"/>
  <c r="F5" i="53"/>
  <c r="E13" i="53"/>
  <c r="E5" i="53"/>
  <c r="D13" i="53"/>
  <c r="D5" i="53"/>
  <c r="E7" i="54"/>
  <c r="E976" i="138" s="1"/>
  <c r="H976" i="138" s="1"/>
  <c r="D7" i="54"/>
  <c r="G3" i="55"/>
  <c r="G4" i="55"/>
  <c r="G5" i="55"/>
  <c r="G6" i="55"/>
  <c r="G7" i="55"/>
  <c r="G8" i="55"/>
  <c r="F9" i="55"/>
  <c r="E9" i="55"/>
  <c r="D9" i="55"/>
  <c r="G3" i="85"/>
  <c r="G4" i="85"/>
  <c r="G5" i="85"/>
  <c r="G6" i="85"/>
  <c r="G7" i="85"/>
  <c r="F8" i="85"/>
  <c r="E8" i="85"/>
  <c r="D8" i="85"/>
  <c r="G3" i="56"/>
  <c r="D4" i="56"/>
  <c r="E936" i="138" s="1"/>
  <c r="H936" i="138" s="1"/>
  <c r="E4" i="56"/>
  <c r="E14" i="56" s="1"/>
  <c r="F4" i="56"/>
  <c r="F14" i="56" s="1"/>
  <c r="G13" i="56"/>
  <c r="G12" i="56"/>
  <c r="G11" i="56"/>
  <c r="G10" i="56"/>
  <c r="G9" i="56"/>
  <c r="G8" i="56"/>
  <c r="G7" i="56"/>
  <c r="G6" i="56"/>
  <c r="G5" i="56"/>
  <c r="H4" i="57"/>
  <c r="H5" i="57"/>
  <c r="H6" i="57"/>
  <c r="H7" i="57"/>
  <c r="H8" i="57"/>
  <c r="H9" i="57"/>
  <c r="H10" i="57"/>
  <c r="H11" i="57"/>
  <c r="H12" i="57"/>
  <c r="H13" i="57"/>
  <c r="G14" i="57"/>
  <c r="F14" i="57"/>
  <c r="D14" i="57"/>
  <c r="G3" i="58"/>
  <c r="G4" i="58"/>
  <c r="G5" i="58"/>
  <c r="G6" i="58"/>
  <c r="G7" i="58"/>
  <c r="G8" i="58"/>
  <c r="G9" i="58"/>
  <c r="G10" i="58"/>
  <c r="G11" i="58"/>
  <c r="G12" i="58"/>
  <c r="F13" i="58"/>
  <c r="F19" i="58" s="1"/>
  <c r="E13" i="58"/>
  <c r="D13" i="58"/>
  <c r="H5" i="145"/>
  <c r="H6" i="145"/>
  <c r="H7" i="145"/>
  <c r="H8" i="145"/>
  <c r="H9" i="145"/>
  <c r="H10" i="145"/>
  <c r="H11" i="145"/>
  <c r="H12" i="145"/>
  <c r="H13" i="145"/>
  <c r="H14" i="145"/>
  <c r="H15" i="145"/>
  <c r="H16" i="145"/>
  <c r="H17" i="145"/>
  <c r="H18" i="145"/>
  <c r="G19" i="145"/>
  <c r="F19" i="145"/>
  <c r="E19" i="145"/>
  <c r="D19" i="145"/>
  <c r="G3" i="25"/>
  <c r="G4" i="25"/>
  <c r="G5" i="25"/>
  <c r="G6" i="25"/>
  <c r="G7" i="25"/>
  <c r="G8" i="25"/>
  <c r="G9" i="25"/>
  <c r="G10" i="25"/>
  <c r="G11" i="25"/>
  <c r="F12" i="25"/>
  <c r="E12" i="25"/>
  <c r="D12" i="25"/>
  <c r="E928" i="138" s="1"/>
  <c r="H928" i="138" s="1"/>
  <c r="G14" i="59"/>
  <c r="G13" i="59"/>
  <c r="G12" i="59"/>
  <c r="G11" i="59"/>
  <c r="G10" i="59"/>
  <c r="G9" i="59"/>
  <c r="G8" i="59"/>
  <c r="G7" i="59"/>
  <c r="G6" i="59"/>
  <c r="G5" i="59"/>
  <c r="F4" i="59"/>
  <c r="F18" i="59" s="1"/>
  <c r="H62" i="69" s="1"/>
  <c r="E4" i="59"/>
  <c r="E18" i="59" s="1"/>
  <c r="G62" i="69" s="1"/>
  <c r="D4" i="59"/>
  <c r="G4" i="153"/>
  <c r="G5" i="153"/>
  <c r="G6" i="153"/>
  <c r="F7" i="153"/>
  <c r="E7" i="153"/>
  <c r="D7" i="153"/>
  <c r="E54" i="144"/>
  <c r="E47" i="144"/>
  <c r="D54" i="144"/>
  <c r="D47" i="144"/>
  <c r="M23" i="84"/>
  <c r="M25" i="84" s="1"/>
  <c r="L23" i="84"/>
  <c r="L25" i="84" s="1"/>
  <c r="K23" i="84"/>
  <c r="K25" i="84" s="1"/>
  <c r="J23" i="84"/>
  <c r="J25" i="84" s="1"/>
  <c r="I23" i="84"/>
  <c r="I25" i="84" s="1"/>
  <c r="H23" i="84"/>
  <c r="H25" i="84" s="1"/>
  <c r="G23" i="84"/>
  <c r="G25" i="84" s="1"/>
  <c r="E9" i="84"/>
  <c r="D9" i="84"/>
  <c r="D67" i="61"/>
  <c r="D53" i="61"/>
  <c r="D39" i="61"/>
  <c r="D24" i="61"/>
  <c r="E8" i="61"/>
  <c r="E10" i="61" s="1"/>
  <c r="D8" i="61"/>
  <c r="D10" i="61" s="1"/>
  <c r="E13" i="4"/>
  <c r="D13" i="4"/>
  <c r="E3" i="62"/>
  <c r="E11" i="62" s="1"/>
  <c r="D3" i="62"/>
  <c r="D11" i="62" s="1"/>
  <c r="E18" i="143"/>
  <c r="D18" i="143"/>
  <c r="D48" i="26"/>
  <c r="E18" i="82"/>
  <c r="D18" i="82"/>
  <c r="H9" i="83"/>
  <c r="E11" i="83"/>
  <c r="E849" i="138" s="1"/>
  <c r="H849" i="138" s="1"/>
  <c r="D11" i="83"/>
  <c r="G17" i="27"/>
  <c r="G18" i="27"/>
  <c r="G19" i="27"/>
  <c r="G20" i="27"/>
  <c r="G21" i="27"/>
  <c r="G13" i="27"/>
  <c r="G3" i="27"/>
  <c r="G4" i="27"/>
  <c r="G5" i="27"/>
  <c r="G6" i="27"/>
  <c r="G7" i="27"/>
  <c r="G8" i="27"/>
  <c r="G9" i="27"/>
  <c r="G10" i="27"/>
  <c r="G11" i="27"/>
  <c r="G12" i="27"/>
  <c r="F22" i="27"/>
  <c r="F14" i="27"/>
  <c r="E22" i="27"/>
  <c r="E14" i="27"/>
  <c r="D22" i="27"/>
  <c r="D14" i="27"/>
  <c r="E836" i="138" s="1"/>
  <c r="H836" i="138" s="1"/>
  <c r="D32" i="29"/>
  <c r="D42" i="30"/>
  <c r="D22" i="5"/>
  <c r="E8" i="5"/>
  <c r="E761" i="138" s="1"/>
  <c r="D8" i="5"/>
  <c r="D19" i="6"/>
  <c r="D3" i="6"/>
  <c r="E18" i="7"/>
  <c r="D18" i="7"/>
  <c r="E112" i="20"/>
  <c r="D112" i="20"/>
  <c r="E102" i="20"/>
  <c r="E713" i="138" s="1"/>
  <c r="D102" i="20"/>
  <c r="G62" i="20"/>
  <c r="G41" i="20"/>
  <c r="F62" i="20"/>
  <c r="F41" i="20"/>
  <c r="E62" i="20"/>
  <c r="E41" i="20"/>
  <c r="D62" i="20"/>
  <c r="D41" i="20"/>
  <c r="G36" i="20"/>
  <c r="F699" i="138" s="1"/>
  <c r="K699" i="138" s="1"/>
  <c r="G26" i="20"/>
  <c r="F689" i="138" s="1"/>
  <c r="K689" i="138" s="1"/>
  <c r="F36" i="20"/>
  <c r="E699" i="138" s="1"/>
  <c r="F26" i="20"/>
  <c r="E689" i="138" s="1"/>
  <c r="J689" i="138" s="1"/>
  <c r="E36" i="20"/>
  <c r="E26" i="20"/>
  <c r="D36" i="20"/>
  <c r="D26" i="20"/>
  <c r="H4" i="21"/>
  <c r="H5" i="21"/>
  <c r="H6" i="21"/>
  <c r="H7" i="21"/>
  <c r="H8" i="21"/>
  <c r="H9" i="21"/>
  <c r="H10" i="21"/>
  <c r="H11" i="21"/>
  <c r="H12" i="21"/>
  <c r="H13" i="21"/>
  <c r="G14" i="21"/>
  <c r="F14" i="21"/>
  <c r="G9" i="43" s="1"/>
  <c r="H9" i="43" s="1"/>
  <c r="E14" i="21"/>
  <c r="D14" i="21"/>
  <c r="F28" i="81"/>
  <c r="E28" i="81"/>
  <c r="D28" i="81"/>
  <c r="B35" i="68" s="1"/>
  <c r="G4" i="81"/>
  <c r="G5" i="81"/>
  <c r="G6" i="81"/>
  <c r="G7" i="81"/>
  <c r="G8" i="81"/>
  <c r="G9" i="81"/>
  <c r="G10" i="81"/>
  <c r="G11" i="81"/>
  <c r="G12" i="81"/>
  <c r="G13" i="81"/>
  <c r="F14" i="81"/>
  <c r="E14" i="81"/>
  <c r="D14" i="81"/>
  <c r="D16" i="152"/>
  <c r="E16" i="152"/>
  <c r="F16" i="152"/>
  <c r="G16" i="152"/>
  <c r="H16" i="152"/>
  <c r="I16" i="152"/>
  <c r="J15" i="152"/>
  <c r="J14" i="152"/>
  <c r="J13" i="152"/>
  <c r="J12" i="152"/>
  <c r="J11" i="152"/>
  <c r="J10" i="152"/>
  <c r="J9" i="152"/>
  <c r="J8" i="152"/>
  <c r="J7" i="152"/>
  <c r="J6" i="152"/>
  <c r="G13" i="22"/>
  <c r="G23" i="22"/>
  <c r="G33" i="22"/>
  <c r="G12" i="22"/>
  <c r="G22" i="22"/>
  <c r="G32" i="22"/>
  <c r="G11" i="22"/>
  <c r="G21" i="22"/>
  <c r="G31" i="22"/>
  <c r="G10" i="22"/>
  <c r="G20" i="22"/>
  <c r="G30" i="22"/>
  <c r="G9" i="22"/>
  <c r="G19" i="22"/>
  <c r="G29" i="22"/>
  <c r="G8" i="22"/>
  <c r="G18" i="22"/>
  <c r="G28" i="22"/>
  <c r="G7" i="22"/>
  <c r="G17" i="22"/>
  <c r="G27" i="22"/>
  <c r="G6" i="22"/>
  <c r="G16" i="22"/>
  <c r="G26" i="22"/>
  <c r="G5" i="22"/>
  <c r="G15" i="22"/>
  <c r="G25" i="22"/>
  <c r="F24" i="22"/>
  <c r="F14" i="22"/>
  <c r="F4" i="22"/>
  <c r="E24" i="22"/>
  <c r="E14" i="22"/>
  <c r="E4" i="22"/>
  <c r="D43" i="22"/>
  <c r="D42" i="22"/>
  <c r="E654" i="138" s="1"/>
  <c r="H654" i="138" s="1"/>
  <c r="D41" i="22"/>
  <c r="E653" i="138" s="1"/>
  <c r="D40" i="22"/>
  <c r="D39" i="22"/>
  <c r="D38" i="22"/>
  <c r="E650" i="138" s="1"/>
  <c r="D37" i="22"/>
  <c r="D36" i="22"/>
  <c r="D35" i="22"/>
  <c r="D24" i="22"/>
  <c r="E636" i="138" s="1"/>
  <c r="H636" i="138" s="1"/>
  <c r="D14" i="22"/>
  <c r="E626" i="138" s="1"/>
  <c r="H626" i="138" s="1"/>
  <c r="D4" i="22"/>
  <c r="E13" i="78"/>
  <c r="D13" i="78"/>
  <c r="D11" i="77"/>
  <c r="D13" i="77" s="1"/>
  <c r="E610" i="138" s="1"/>
  <c r="E11" i="77"/>
  <c r="F11" i="77"/>
  <c r="F13" i="77" s="1"/>
  <c r="G12" i="77"/>
  <c r="G10" i="77"/>
  <c r="G9" i="77"/>
  <c r="G8" i="77"/>
  <c r="G7" i="77"/>
  <c r="G6" i="77"/>
  <c r="G5" i="77"/>
  <c r="G4" i="77"/>
  <c r="G3" i="77"/>
  <c r="E13" i="77"/>
  <c r="G55" i="23"/>
  <c r="F55" i="23"/>
  <c r="E55" i="23"/>
  <c r="D55" i="23"/>
  <c r="G31" i="23"/>
  <c r="F31" i="23"/>
  <c r="I28" i="23"/>
  <c r="I27" i="23"/>
  <c r="I26" i="23"/>
  <c r="I25" i="23"/>
  <c r="I24" i="23"/>
  <c r="I23" i="23"/>
  <c r="I22" i="23"/>
  <c r="I21" i="23"/>
  <c r="I20" i="23"/>
  <c r="I19" i="23"/>
  <c r="E18" i="23"/>
  <c r="F18" i="23"/>
  <c r="G18" i="23"/>
  <c r="H18" i="23"/>
  <c r="G15" i="23"/>
  <c r="H15" i="23"/>
  <c r="I14" i="23"/>
  <c r="I13" i="23"/>
  <c r="I12" i="23"/>
  <c r="I11" i="23"/>
  <c r="I10" i="23"/>
  <c r="I9" i="23"/>
  <c r="I8" i="23"/>
  <c r="I7" i="23"/>
  <c r="I6" i="23"/>
  <c r="I5" i="23"/>
  <c r="D15" i="23"/>
  <c r="E15" i="23"/>
  <c r="F14" i="23"/>
  <c r="F13" i="23"/>
  <c r="F12" i="23"/>
  <c r="F11" i="23"/>
  <c r="F10" i="23"/>
  <c r="F9" i="23"/>
  <c r="F8" i="23"/>
  <c r="F7" i="23"/>
  <c r="F6" i="23"/>
  <c r="F5" i="23"/>
  <c r="G12" i="24"/>
  <c r="G21" i="24"/>
  <c r="G39" i="24"/>
  <c r="G11" i="24"/>
  <c r="G20" i="24"/>
  <c r="G38" i="24"/>
  <c r="G10" i="24"/>
  <c r="G19" i="24"/>
  <c r="G37" i="24"/>
  <c r="G9" i="24"/>
  <c r="G18" i="24"/>
  <c r="G36" i="24"/>
  <c r="G8" i="24"/>
  <c r="G17" i="24"/>
  <c r="G35" i="24"/>
  <c r="G7" i="24"/>
  <c r="G16" i="24"/>
  <c r="G34" i="24"/>
  <c r="G6" i="24"/>
  <c r="G15" i="24"/>
  <c r="G33" i="24"/>
  <c r="G5" i="24"/>
  <c r="G14" i="24"/>
  <c r="G32" i="24"/>
  <c r="F31" i="24"/>
  <c r="F13" i="24"/>
  <c r="F4" i="24"/>
  <c r="E31" i="24"/>
  <c r="E13" i="24"/>
  <c r="E4" i="24"/>
  <c r="D30" i="24"/>
  <c r="D48" i="24" s="1"/>
  <c r="E579" i="138" s="1"/>
  <c r="H579" i="138" s="1"/>
  <c r="D29" i="24"/>
  <c r="D47" i="24" s="1"/>
  <c r="E578" i="138" s="1"/>
  <c r="H578" i="138" s="1"/>
  <c r="D28" i="24"/>
  <c r="D46" i="24" s="1"/>
  <c r="E577" i="138" s="1"/>
  <c r="H577" i="138" s="1"/>
  <c r="D27" i="24"/>
  <c r="D45" i="24" s="1"/>
  <c r="E576" i="138" s="1"/>
  <c r="H576" i="138" s="1"/>
  <c r="D26" i="24"/>
  <c r="D44" i="24" s="1"/>
  <c r="E575" i="138" s="1"/>
  <c r="H575" i="138" s="1"/>
  <c r="D25" i="24"/>
  <c r="D43" i="24" s="1"/>
  <c r="D24" i="24"/>
  <c r="D42" i="24" s="1"/>
  <c r="E573" i="138" s="1"/>
  <c r="H573" i="138" s="1"/>
  <c r="D23" i="24"/>
  <c r="E554" i="138" s="1"/>
  <c r="H554" i="138" s="1"/>
  <c r="D31" i="24"/>
  <c r="B33" i="68" s="1"/>
  <c r="D13" i="24"/>
  <c r="E544" i="138" s="1"/>
  <c r="H544" i="138" s="1"/>
  <c r="D4" i="24"/>
  <c r="E535" i="138" s="1"/>
  <c r="H535" i="138" s="1"/>
  <c r="E35" i="10"/>
  <c r="D35" i="10"/>
  <c r="J31" i="10"/>
  <c r="J30" i="10"/>
  <c r="J28" i="10"/>
  <c r="J27" i="10"/>
  <c r="J25" i="10"/>
  <c r="J24" i="10"/>
  <c r="I29" i="10"/>
  <c r="I26" i="10"/>
  <c r="I23" i="10"/>
  <c r="H29" i="10"/>
  <c r="H26" i="10"/>
  <c r="H23" i="10"/>
  <c r="G29" i="10"/>
  <c r="G26" i="10"/>
  <c r="G23" i="10"/>
  <c r="F29" i="10"/>
  <c r="F26" i="10"/>
  <c r="F23" i="10"/>
  <c r="E29" i="10"/>
  <c r="E26" i="10"/>
  <c r="E23" i="10"/>
  <c r="D29" i="10"/>
  <c r="D26" i="10"/>
  <c r="D23" i="10"/>
  <c r="G6" i="10"/>
  <c r="G9" i="10"/>
  <c r="G15" i="10"/>
  <c r="G5" i="10"/>
  <c r="G8" i="10"/>
  <c r="G14" i="10"/>
  <c r="F13" i="10"/>
  <c r="F7" i="10"/>
  <c r="F4" i="10"/>
  <c r="E13" i="10"/>
  <c r="E7" i="10"/>
  <c r="E4" i="10"/>
  <c r="D12" i="10"/>
  <c r="D11" i="10"/>
  <c r="D17" i="10" s="1"/>
  <c r="D13" i="10"/>
  <c r="D7" i="10"/>
  <c r="E511" i="138" s="1"/>
  <c r="H511" i="138" s="1"/>
  <c r="D4" i="10"/>
  <c r="D258" i="76"/>
  <c r="E258" i="76"/>
  <c r="E261" i="76" s="1"/>
  <c r="F258" i="76"/>
  <c r="H257" i="76"/>
  <c r="H256" i="76"/>
  <c r="H255" i="76"/>
  <c r="H254" i="76"/>
  <c r="H253" i="76"/>
  <c r="H252" i="76"/>
  <c r="H251" i="76"/>
  <c r="H250" i="76"/>
  <c r="H249" i="76"/>
  <c r="H248" i="76"/>
  <c r="H247" i="76"/>
  <c r="H246" i="76"/>
  <c r="H245" i="76"/>
  <c r="H244" i="76"/>
  <c r="H243" i="76"/>
  <c r="E224" i="76"/>
  <c r="E218" i="76"/>
  <c r="D224" i="76"/>
  <c r="D218" i="76"/>
  <c r="I207" i="76"/>
  <c r="I193" i="76"/>
  <c r="I196" i="76"/>
  <c r="H207" i="76"/>
  <c r="H193" i="76"/>
  <c r="H196" i="76"/>
  <c r="G207" i="76"/>
  <c r="G193" i="76"/>
  <c r="G196" i="76"/>
  <c r="F207" i="76"/>
  <c r="F193" i="76"/>
  <c r="F196" i="76"/>
  <c r="E207" i="76"/>
  <c r="E193" i="76"/>
  <c r="E196" i="76"/>
  <c r="D207" i="76"/>
  <c r="D193" i="76"/>
  <c r="D196" i="76"/>
  <c r="I185" i="76"/>
  <c r="I171" i="76"/>
  <c r="I174" i="76"/>
  <c r="H185" i="76"/>
  <c r="H171" i="76"/>
  <c r="H174" i="76"/>
  <c r="G185" i="76"/>
  <c r="G171" i="76"/>
  <c r="G174" i="76"/>
  <c r="F185" i="76"/>
  <c r="F171" i="76"/>
  <c r="F174" i="76"/>
  <c r="E185" i="76"/>
  <c r="E171" i="76"/>
  <c r="E174" i="76"/>
  <c r="D185" i="76"/>
  <c r="D171" i="76"/>
  <c r="D174" i="76"/>
  <c r="I163" i="76"/>
  <c r="I149" i="76"/>
  <c r="I152" i="76"/>
  <c r="H163" i="76"/>
  <c r="H149" i="76"/>
  <c r="H152" i="76"/>
  <c r="G163" i="76"/>
  <c r="G149" i="76"/>
  <c r="G152" i="76"/>
  <c r="F163" i="76"/>
  <c r="F149" i="76"/>
  <c r="F152" i="76"/>
  <c r="E163" i="76"/>
  <c r="E149" i="76"/>
  <c r="E152" i="76"/>
  <c r="D163" i="76"/>
  <c r="D149" i="76"/>
  <c r="D152" i="76"/>
  <c r="I141" i="76"/>
  <c r="I127" i="76"/>
  <c r="I130" i="76"/>
  <c r="H141" i="76"/>
  <c r="H127" i="76"/>
  <c r="H130" i="76"/>
  <c r="G141" i="76"/>
  <c r="G127" i="76"/>
  <c r="G130" i="76"/>
  <c r="F141" i="76"/>
  <c r="F127" i="76"/>
  <c r="F130" i="76"/>
  <c r="E141" i="76"/>
  <c r="E127" i="76"/>
  <c r="E130" i="76"/>
  <c r="D141" i="76"/>
  <c r="D127" i="76"/>
  <c r="D130" i="76"/>
  <c r="I111" i="76"/>
  <c r="I102" i="76"/>
  <c r="I71" i="76"/>
  <c r="H120" i="76"/>
  <c r="H119" i="76"/>
  <c r="H118" i="76"/>
  <c r="H117" i="76"/>
  <c r="H116" i="76"/>
  <c r="H115" i="76"/>
  <c r="H114" i="76"/>
  <c r="H113" i="76"/>
  <c r="H112" i="76"/>
  <c r="H110" i="76"/>
  <c r="H109" i="76"/>
  <c r="H108" i="76"/>
  <c r="H107" i="76"/>
  <c r="H106" i="76"/>
  <c r="H105" i="76"/>
  <c r="H104" i="76"/>
  <c r="H103" i="76"/>
  <c r="H101" i="76"/>
  <c r="H100" i="76"/>
  <c r="H99" i="76"/>
  <c r="H98" i="76"/>
  <c r="H97" i="76"/>
  <c r="H96" i="76"/>
  <c r="H95" i="76"/>
  <c r="H94" i="76"/>
  <c r="H93" i="76"/>
  <c r="H92" i="76"/>
  <c r="H91" i="76"/>
  <c r="H90" i="76"/>
  <c r="H89" i="76"/>
  <c r="H88" i="76"/>
  <c r="H87" i="76"/>
  <c r="H86" i="76"/>
  <c r="H85" i="76"/>
  <c r="H84" i="76"/>
  <c r="H83" i="76"/>
  <c r="H82" i="76"/>
  <c r="H81" i="76"/>
  <c r="H80" i="76"/>
  <c r="H79" i="76"/>
  <c r="H78" i="76"/>
  <c r="H77" i="76"/>
  <c r="H76" i="76"/>
  <c r="H75" i="76"/>
  <c r="H74" i="76"/>
  <c r="H73" i="76"/>
  <c r="H72" i="76"/>
  <c r="G111" i="76"/>
  <c r="G102" i="76"/>
  <c r="G71" i="76"/>
  <c r="F111" i="76"/>
  <c r="F102" i="76"/>
  <c r="F71" i="76"/>
  <c r="E111" i="76"/>
  <c r="E102" i="76"/>
  <c r="E71" i="76"/>
  <c r="D111" i="76"/>
  <c r="D102" i="76"/>
  <c r="D71" i="76"/>
  <c r="I58" i="76"/>
  <c r="I49" i="76"/>
  <c r="I18" i="76"/>
  <c r="H58" i="76"/>
  <c r="H49" i="76"/>
  <c r="H18" i="76"/>
  <c r="G58" i="76"/>
  <c r="G49" i="76"/>
  <c r="G18" i="76"/>
  <c r="F58" i="76"/>
  <c r="F49" i="76"/>
  <c r="F18" i="76"/>
  <c r="O18" i="76" s="1"/>
  <c r="E58" i="76"/>
  <c r="O58" i="76" s="1"/>
  <c r="E49" i="76"/>
  <c r="E18" i="76"/>
  <c r="D263" i="76" s="1"/>
  <c r="G4" i="76"/>
  <c r="G5" i="76"/>
  <c r="G6" i="76"/>
  <c r="G8" i="76"/>
  <c r="F7" i="76"/>
  <c r="F9" i="76" s="1"/>
  <c r="E7" i="76"/>
  <c r="E9" i="76" s="1"/>
  <c r="D7" i="76"/>
  <c r="D9" i="76" s="1"/>
  <c r="I19" i="12"/>
  <c r="H19" i="12"/>
  <c r="G19" i="12"/>
  <c r="F19" i="12"/>
  <c r="E19" i="12"/>
  <c r="E475" i="138" s="1"/>
  <c r="H475" i="138" s="1"/>
  <c r="D19" i="12"/>
  <c r="D4" i="151"/>
  <c r="E6" i="13" s="1"/>
  <c r="D16" i="151"/>
  <c r="E7" i="13" s="1"/>
  <c r="G16" i="13"/>
  <c r="G15" i="13"/>
  <c r="G14" i="13"/>
  <c r="G13" i="13"/>
  <c r="F4" i="151"/>
  <c r="G6" i="13" s="1"/>
  <c r="F16" i="151"/>
  <c r="G7" i="13" s="1"/>
  <c r="N4" i="151"/>
  <c r="G8" i="13" s="1"/>
  <c r="G4" i="151"/>
  <c r="H6" i="13" s="1"/>
  <c r="G16" i="151"/>
  <c r="H7" i="13" s="1"/>
  <c r="O4" i="151"/>
  <c r="H8" i="13" s="1"/>
  <c r="P4" i="151"/>
  <c r="I8" i="13" s="1"/>
  <c r="H16" i="151"/>
  <c r="I7" i="13" s="1"/>
  <c r="H4" i="151"/>
  <c r="I6" i="13" s="1"/>
  <c r="C4" i="151"/>
  <c r="D6" i="13" s="1"/>
  <c r="C16" i="151"/>
  <c r="D7" i="13" s="1"/>
  <c r="K4" i="151"/>
  <c r="D8" i="13" s="1"/>
  <c r="L4" i="151"/>
  <c r="E8" i="13" s="1"/>
  <c r="M4" i="151"/>
  <c r="F8" i="13" s="1"/>
  <c r="E16" i="151"/>
  <c r="F7" i="13" s="1"/>
  <c r="E4" i="151"/>
  <c r="F6" i="13" s="1"/>
  <c r="E18" i="14"/>
  <c r="D18" i="14"/>
  <c r="E18" i="116"/>
  <c r="D18" i="116"/>
  <c r="E18" i="156"/>
  <c r="D18" i="156"/>
  <c r="H90" i="142"/>
  <c r="G90" i="142"/>
  <c r="E90" i="142"/>
  <c r="F90" i="142"/>
  <c r="D90" i="142"/>
  <c r="F61" i="142"/>
  <c r="F50" i="142"/>
  <c r="F38" i="142"/>
  <c r="E61" i="142"/>
  <c r="E50" i="142"/>
  <c r="E38" i="142"/>
  <c r="E64" i="15"/>
  <c r="D64" i="15"/>
  <c r="G46" i="15"/>
  <c r="G47" i="15"/>
  <c r="G48" i="15"/>
  <c r="G49" i="15"/>
  <c r="G50" i="15"/>
  <c r="G40" i="15"/>
  <c r="G41" i="15"/>
  <c r="G42" i="15"/>
  <c r="G43" i="15"/>
  <c r="G44" i="15"/>
  <c r="G34" i="15"/>
  <c r="G35" i="15"/>
  <c r="G36" i="15"/>
  <c r="G37" i="15"/>
  <c r="G38" i="15"/>
  <c r="G28" i="15"/>
  <c r="G29" i="15"/>
  <c r="G30" i="15"/>
  <c r="G31" i="15"/>
  <c r="G32" i="15"/>
  <c r="F45" i="15"/>
  <c r="F39" i="15"/>
  <c r="F33" i="15"/>
  <c r="F27" i="15"/>
  <c r="E45" i="15"/>
  <c r="E39" i="15"/>
  <c r="E33" i="15"/>
  <c r="E27" i="15"/>
  <c r="D45" i="15"/>
  <c r="D39" i="15"/>
  <c r="D33" i="15"/>
  <c r="D27" i="15"/>
  <c r="F16" i="15"/>
  <c r="F17" i="15"/>
  <c r="F18" i="15"/>
  <c r="F19" i="15"/>
  <c r="F20" i="15"/>
  <c r="F21" i="15"/>
  <c r="G454" i="138" s="1"/>
  <c r="N454" i="138" s="1"/>
  <c r="F22" i="15"/>
  <c r="F5" i="15"/>
  <c r="F6" i="15"/>
  <c r="F7" i="15"/>
  <c r="F8" i="15"/>
  <c r="F9" i="15"/>
  <c r="F10" i="15"/>
  <c r="I22" i="15" s="1"/>
  <c r="I22" i="69" s="1"/>
  <c r="F11" i="15"/>
  <c r="E23" i="15"/>
  <c r="B31" i="68" s="1"/>
  <c r="E12" i="15"/>
  <c r="D23" i="15"/>
  <c r="D12" i="15"/>
  <c r="E160" i="17"/>
  <c r="G66" i="17"/>
  <c r="F66" i="17"/>
  <c r="F68" i="17" s="1"/>
  <c r="E66" i="17"/>
  <c r="E68" i="17" s="1"/>
  <c r="I54" i="17"/>
  <c r="I56" i="17" s="1"/>
  <c r="G54" i="17"/>
  <c r="G56" i="17" s="1"/>
  <c r="F54" i="17"/>
  <c r="F56" i="17" s="1"/>
  <c r="D54" i="17"/>
  <c r="D56" i="17" s="1"/>
  <c r="F17" i="17"/>
  <c r="F21" i="17" s="1"/>
  <c r="F6" i="17"/>
  <c r="F10" i="17" s="1"/>
  <c r="D14" i="95"/>
  <c r="D3" i="95"/>
  <c r="E14" i="95"/>
  <c r="E3" i="95"/>
  <c r="F14" i="95"/>
  <c r="F3" i="95"/>
  <c r="G24" i="95"/>
  <c r="G23" i="95"/>
  <c r="G22" i="95"/>
  <c r="G21" i="95"/>
  <c r="G20" i="95"/>
  <c r="G19" i="95"/>
  <c r="G18" i="95"/>
  <c r="G17" i="95"/>
  <c r="G16" i="95"/>
  <c r="G15" i="95"/>
  <c r="G13" i="95"/>
  <c r="G12" i="95"/>
  <c r="G11" i="95"/>
  <c r="G10" i="95"/>
  <c r="G9" i="95"/>
  <c r="G8" i="95"/>
  <c r="G7" i="95"/>
  <c r="G6" i="95"/>
  <c r="G5" i="95"/>
  <c r="G4" i="95"/>
  <c r="D33" i="94"/>
  <c r="E20" i="94"/>
  <c r="D20" i="94"/>
  <c r="I9" i="16"/>
  <c r="F9" i="16"/>
  <c r="I166" i="18"/>
  <c r="I174" i="18" s="1"/>
  <c r="G174" i="18"/>
  <c r="H171" i="18" s="1"/>
  <c r="F391" i="138" s="1"/>
  <c r="M391" i="138" s="1"/>
  <c r="D174" i="18"/>
  <c r="E166" i="18" s="1"/>
  <c r="G66" i="18"/>
  <c r="G68" i="18" s="1"/>
  <c r="F66" i="18"/>
  <c r="F68" i="18" s="1"/>
  <c r="E66" i="18"/>
  <c r="E68" i="18" s="1"/>
  <c r="I54" i="18"/>
  <c r="I56" i="18" s="1"/>
  <c r="G54" i="18"/>
  <c r="F54" i="18"/>
  <c r="D54" i="18"/>
  <c r="D56" i="18" s="1"/>
  <c r="F17" i="18"/>
  <c r="F21" i="18" s="1"/>
  <c r="G368" i="138" s="1"/>
  <c r="P368" i="138" s="1"/>
  <c r="F6" i="18"/>
  <c r="F10" i="18" s="1"/>
  <c r="D29" i="9"/>
  <c r="E29" i="9"/>
  <c r="D10" i="9"/>
  <c r="E100" i="1"/>
  <c r="E90" i="1"/>
  <c r="E87" i="1"/>
  <c r="D100" i="1"/>
  <c r="D90" i="1"/>
  <c r="D87" i="1"/>
  <c r="D113" i="1" s="1"/>
  <c r="H13" i="69" s="1"/>
  <c r="I52" i="1"/>
  <c r="I28" i="1"/>
  <c r="I4" i="1"/>
  <c r="F52" i="1"/>
  <c r="F28" i="1"/>
  <c r="F4" i="1"/>
  <c r="D73" i="43" s="1"/>
  <c r="D78" i="43" s="1"/>
  <c r="M135" i="133"/>
  <c r="M134" i="133"/>
  <c r="M133" i="133"/>
  <c r="M132" i="133"/>
  <c r="L110" i="133"/>
  <c r="L105" i="133"/>
  <c r="L106" i="133"/>
  <c r="L108" i="133"/>
  <c r="L107" i="133" s="1"/>
  <c r="L109" i="133"/>
  <c r="L113" i="133"/>
  <c r="L114" i="133"/>
  <c r="L115" i="133"/>
  <c r="N115" i="133" s="1"/>
  <c r="M115" i="133" s="1"/>
  <c r="L116" i="133"/>
  <c r="L119" i="133"/>
  <c r="L121" i="133"/>
  <c r="L122" i="133"/>
  <c r="L123" i="133"/>
  <c r="L124" i="133"/>
  <c r="L125" i="133"/>
  <c r="L126" i="133"/>
  <c r="L90" i="133"/>
  <c r="L91" i="133"/>
  <c r="L92" i="133"/>
  <c r="L93" i="133"/>
  <c r="L94" i="133"/>
  <c r="L95" i="133"/>
  <c r="L96" i="133"/>
  <c r="L97" i="133"/>
  <c r="L99" i="133"/>
  <c r="L98" i="133" s="1"/>
  <c r="L61" i="133"/>
  <c r="L62" i="133"/>
  <c r="L63" i="133"/>
  <c r="L64" i="133"/>
  <c r="L65" i="133"/>
  <c r="L66" i="133"/>
  <c r="L67" i="133"/>
  <c r="L68" i="133"/>
  <c r="L69" i="133"/>
  <c r="L70" i="133"/>
  <c r="L71" i="133"/>
  <c r="L73" i="133"/>
  <c r="L75" i="133"/>
  <c r="L77" i="133"/>
  <c r="L78" i="133"/>
  <c r="L79" i="133"/>
  <c r="L80" i="133"/>
  <c r="L81" i="133"/>
  <c r="L82" i="133"/>
  <c r="L83" i="133"/>
  <c r="L84" i="133"/>
  <c r="L85" i="133"/>
  <c r="L86" i="133"/>
  <c r="L87" i="133"/>
  <c r="K110" i="133"/>
  <c r="K105" i="133"/>
  <c r="K104" i="133" s="1"/>
  <c r="K106" i="133"/>
  <c r="K108" i="133"/>
  <c r="K107" i="133" s="1"/>
  <c r="K109" i="133"/>
  <c r="K113" i="133"/>
  <c r="K114" i="133"/>
  <c r="K115" i="133"/>
  <c r="K116" i="133"/>
  <c r="K119" i="133"/>
  <c r="K121" i="133"/>
  <c r="K122" i="133"/>
  <c r="K123" i="133"/>
  <c r="K124" i="133"/>
  <c r="K125" i="133"/>
  <c r="K126" i="133"/>
  <c r="K90" i="133"/>
  <c r="K91" i="133"/>
  <c r="K92" i="133"/>
  <c r="K93" i="133"/>
  <c r="K94" i="133"/>
  <c r="K95" i="133"/>
  <c r="K96" i="133"/>
  <c r="K97" i="133"/>
  <c r="K99" i="133"/>
  <c r="K98" i="133" s="1"/>
  <c r="K61" i="133"/>
  <c r="K62" i="133"/>
  <c r="K63" i="133"/>
  <c r="K64" i="133"/>
  <c r="K65" i="133"/>
  <c r="K66" i="133"/>
  <c r="K67" i="133"/>
  <c r="K68" i="133"/>
  <c r="K69" i="133"/>
  <c r="K70" i="133"/>
  <c r="N70" i="133" s="1"/>
  <c r="M70" i="133" s="1"/>
  <c r="K71" i="133"/>
  <c r="K73" i="133"/>
  <c r="K75" i="133"/>
  <c r="K74" i="133" s="1"/>
  <c r="K77" i="133"/>
  <c r="K76" i="133" s="1"/>
  <c r="K78" i="133"/>
  <c r="K79" i="133"/>
  <c r="K80" i="133"/>
  <c r="K81" i="133"/>
  <c r="K82" i="133"/>
  <c r="K83" i="133"/>
  <c r="K84" i="133"/>
  <c r="K85" i="133"/>
  <c r="K86" i="133"/>
  <c r="K87" i="133"/>
  <c r="K118" i="133"/>
  <c r="K30" i="133"/>
  <c r="K31" i="133"/>
  <c r="K32" i="133"/>
  <c r="K33" i="133"/>
  <c r="K34" i="133"/>
  <c r="K35" i="133"/>
  <c r="K36" i="133"/>
  <c r="K37" i="133"/>
  <c r="K39" i="133"/>
  <c r="K41" i="133"/>
  <c r="K42" i="133"/>
  <c r="K43" i="133"/>
  <c r="K44" i="133"/>
  <c r="K45" i="133"/>
  <c r="K46" i="133"/>
  <c r="K47" i="133"/>
  <c r="K48" i="133"/>
  <c r="K49" i="133"/>
  <c r="K50" i="133"/>
  <c r="K52" i="133"/>
  <c r="K7" i="133"/>
  <c r="K8" i="133"/>
  <c r="K9" i="133"/>
  <c r="K10" i="133"/>
  <c r="K11" i="133"/>
  <c r="K12" i="133"/>
  <c r="K13" i="133"/>
  <c r="K14" i="133"/>
  <c r="K15" i="133"/>
  <c r="K16" i="133"/>
  <c r="K17" i="133"/>
  <c r="K18" i="133"/>
  <c r="K19" i="133"/>
  <c r="K20" i="133"/>
  <c r="K21" i="133"/>
  <c r="K23" i="133"/>
  <c r="K24" i="133"/>
  <c r="K25" i="133"/>
  <c r="K26" i="133"/>
  <c r="K27" i="133"/>
  <c r="L30" i="133"/>
  <c r="L31" i="133"/>
  <c r="L32" i="133"/>
  <c r="L33" i="133"/>
  <c r="L34" i="133"/>
  <c r="N34" i="133" s="1"/>
  <c r="M34" i="133" s="1"/>
  <c r="L35" i="133"/>
  <c r="L36" i="133"/>
  <c r="L37" i="133"/>
  <c r="L39" i="133"/>
  <c r="L41" i="133"/>
  <c r="L42" i="133"/>
  <c r="L43" i="133"/>
  <c r="L44" i="133"/>
  <c r="N44" i="133" s="1"/>
  <c r="M44" i="133" s="1"/>
  <c r="L45" i="133"/>
  <c r="N45" i="133" s="1"/>
  <c r="M45" i="133" s="1"/>
  <c r="L46" i="133"/>
  <c r="L47" i="133"/>
  <c r="L48" i="133"/>
  <c r="L49" i="133"/>
  <c r="L50" i="133"/>
  <c r="L52" i="133"/>
  <c r="L51" i="133" s="1"/>
  <c r="L7" i="133"/>
  <c r="N7" i="133" s="1"/>
  <c r="M7" i="133" s="1"/>
  <c r="L8" i="133"/>
  <c r="L9" i="133"/>
  <c r="L10" i="133"/>
  <c r="L11" i="133"/>
  <c r="N11" i="133" s="1"/>
  <c r="M11" i="133" s="1"/>
  <c r="L12" i="133"/>
  <c r="L13" i="133"/>
  <c r="L14" i="133"/>
  <c r="L15" i="133"/>
  <c r="N15" i="133" s="1"/>
  <c r="M15" i="133" s="1"/>
  <c r="L16" i="133"/>
  <c r="L17" i="133"/>
  <c r="L18" i="133"/>
  <c r="L19" i="133"/>
  <c r="L20" i="133"/>
  <c r="L21" i="133"/>
  <c r="L23" i="133"/>
  <c r="L24" i="133"/>
  <c r="L25" i="133"/>
  <c r="L26" i="133"/>
  <c r="N26" i="133" s="1"/>
  <c r="M26" i="133" s="1"/>
  <c r="L27" i="133"/>
  <c r="N50" i="133"/>
  <c r="M50" i="133" s="1"/>
  <c r="N46" i="133"/>
  <c r="M46" i="133" s="1"/>
  <c r="N42" i="133"/>
  <c r="M42" i="133" s="1"/>
  <c r="M29" i="133"/>
  <c r="I156" i="133"/>
  <c r="H156" i="133" s="1"/>
  <c r="I154" i="133"/>
  <c r="H154" i="133" s="1"/>
  <c r="I148" i="133"/>
  <c r="H148" i="133" s="1"/>
  <c r="I146" i="133"/>
  <c r="H146" i="133" s="1"/>
  <c r="H135" i="133"/>
  <c r="H134" i="133"/>
  <c r="H133" i="133"/>
  <c r="H132" i="133"/>
  <c r="G110" i="133"/>
  <c r="G105" i="133"/>
  <c r="G104" i="133" s="1"/>
  <c r="G106" i="133"/>
  <c r="G108" i="133"/>
  <c r="G107" i="133" s="1"/>
  <c r="G109" i="133"/>
  <c r="G113" i="133"/>
  <c r="G114" i="133"/>
  <c r="G115" i="133"/>
  <c r="G116" i="133"/>
  <c r="G119" i="133"/>
  <c r="G121" i="133"/>
  <c r="G122" i="133"/>
  <c r="G123" i="133"/>
  <c r="G124" i="133"/>
  <c r="G125" i="133"/>
  <c r="G126" i="133"/>
  <c r="G90" i="133"/>
  <c r="G91" i="133"/>
  <c r="G92" i="133"/>
  <c r="G93" i="133"/>
  <c r="G94" i="133"/>
  <c r="G95" i="133"/>
  <c r="G96" i="133"/>
  <c r="G97" i="133"/>
  <c r="G99" i="133"/>
  <c r="G98" i="133" s="1"/>
  <c r="G61" i="133"/>
  <c r="G62" i="133"/>
  <c r="G63" i="133"/>
  <c r="G64" i="133"/>
  <c r="G65" i="133"/>
  <c r="G66" i="133"/>
  <c r="G67" i="133"/>
  <c r="G68" i="133"/>
  <c r="G69" i="133"/>
  <c r="G70" i="133"/>
  <c r="G71" i="133"/>
  <c r="G73" i="133"/>
  <c r="G75" i="133"/>
  <c r="G77" i="133"/>
  <c r="G78" i="133"/>
  <c r="G79" i="133"/>
  <c r="G80" i="133"/>
  <c r="G81" i="133"/>
  <c r="G82" i="133"/>
  <c r="G83" i="133"/>
  <c r="G84" i="133"/>
  <c r="G85" i="133"/>
  <c r="G86" i="133"/>
  <c r="G87" i="133"/>
  <c r="F110" i="133"/>
  <c r="F105" i="133"/>
  <c r="F106" i="133"/>
  <c r="F108" i="133"/>
  <c r="F107" i="133" s="1"/>
  <c r="F109" i="133"/>
  <c r="F113" i="133"/>
  <c r="F114" i="133"/>
  <c r="F115" i="133"/>
  <c r="F116" i="133"/>
  <c r="F119" i="133"/>
  <c r="F121" i="133"/>
  <c r="F122" i="133"/>
  <c r="F123" i="133"/>
  <c r="F124" i="133"/>
  <c r="F125" i="133"/>
  <c r="F126" i="133"/>
  <c r="F90" i="133"/>
  <c r="F91" i="133"/>
  <c r="F92" i="133"/>
  <c r="F93" i="133"/>
  <c r="F94" i="133"/>
  <c r="F95" i="133"/>
  <c r="F96" i="133"/>
  <c r="F97" i="133"/>
  <c r="F99" i="133"/>
  <c r="F61" i="133"/>
  <c r="F62" i="133"/>
  <c r="F63" i="133"/>
  <c r="F64" i="133"/>
  <c r="F65" i="133"/>
  <c r="F66" i="133"/>
  <c r="F67" i="133"/>
  <c r="F68" i="133"/>
  <c r="F69" i="133"/>
  <c r="F70" i="133"/>
  <c r="F71" i="133"/>
  <c r="F73" i="133"/>
  <c r="F75" i="133"/>
  <c r="F74" i="133" s="1"/>
  <c r="F77" i="133"/>
  <c r="F76" i="133" s="1"/>
  <c r="F78" i="133"/>
  <c r="F79" i="133"/>
  <c r="F80" i="133"/>
  <c r="F81" i="133"/>
  <c r="F82" i="133"/>
  <c r="F83" i="133"/>
  <c r="F84" i="133"/>
  <c r="F85" i="133"/>
  <c r="F86" i="133"/>
  <c r="I86" i="133" s="1"/>
  <c r="H86" i="133" s="1"/>
  <c r="F87" i="133"/>
  <c r="I125" i="133"/>
  <c r="H125" i="133" s="1"/>
  <c r="G118" i="133"/>
  <c r="F30" i="133"/>
  <c r="F31" i="133"/>
  <c r="F32" i="133"/>
  <c r="F33" i="133"/>
  <c r="F34" i="133"/>
  <c r="F35" i="133"/>
  <c r="F36" i="133"/>
  <c r="F37" i="133"/>
  <c r="F39" i="133"/>
  <c r="F41" i="133"/>
  <c r="F42" i="133"/>
  <c r="F43" i="133"/>
  <c r="F44" i="133"/>
  <c r="F45" i="133"/>
  <c r="F46" i="133"/>
  <c r="F47" i="133"/>
  <c r="F48" i="133"/>
  <c r="F49" i="133"/>
  <c r="F50" i="133"/>
  <c r="F51" i="133"/>
  <c r="F52" i="133"/>
  <c r="F7" i="133"/>
  <c r="F8" i="133"/>
  <c r="F9" i="133"/>
  <c r="F10" i="133"/>
  <c r="F11" i="133"/>
  <c r="F12" i="133"/>
  <c r="F13" i="133"/>
  <c r="F14" i="133"/>
  <c r="F15" i="133"/>
  <c r="F16" i="133"/>
  <c r="F17" i="133"/>
  <c r="F18" i="133"/>
  <c r="F19" i="133"/>
  <c r="F20" i="133"/>
  <c r="F21" i="133"/>
  <c r="F23" i="133"/>
  <c r="F24" i="133"/>
  <c r="F25" i="133"/>
  <c r="F26" i="133"/>
  <c r="F27" i="133"/>
  <c r="G30" i="133"/>
  <c r="G31" i="133"/>
  <c r="G32" i="133"/>
  <c r="G33" i="133"/>
  <c r="G34" i="133"/>
  <c r="G35" i="133"/>
  <c r="G36" i="133"/>
  <c r="G37" i="133"/>
  <c r="G39" i="133"/>
  <c r="G41" i="133"/>
  <c r="I41" i="133" s="1"/>
  <c r="H41" i="133" s="1"/>
  <c r="G42" i="133"/>
  <c r="G43" i="133"/>
  <c r="G44" i="133"/>
  <c r="G45" i="133"/>
  <c r="I45" i="133" s="1"/>
  <c r="H45" i="133" s="1"/>
  <c r="G46" i="133"/>
  <c r="G47" i="133"/>
  <c r="G48" i="133"/>
  <c r="I48" i="133" s="1"/>
  <c r="H48" i="133" s="1"/>
  <c r="G49" i="133"/>
  <c r="G50" i="133"/>
  <c r="G52" i="133"/>
  <c r="G51" i="133" s="1"/>
  <c r="G7" i="133"/>
  <c r="I7" i="133" s="1"/>
  <c r="H7" i="133" s="1"/>
  <c r="G8" i="133"/>
  <c r="G9" i="133"/>
  <c r="G10" i="133"/>
  <c r="G11" i="133"/>
  <c r="I11" i="133" s="1"/>
  <c r="H11" i="133" s="1"/>
  <c r="G12" i="133"/>
  <c r="G13" i="133"/>
  <c r="G14" i="133"/>
  <c r="G15" i="133"/>
  <c r="I15" i="133" s="1"/>
  <c r="H15" i="133" s="1"/>
  <c r="G16" i="133"/>
  <c r="G17" i="133"/>
  <c r="G18" i="133"/>
  <c r="I18" i="133" s="1"/>
  <c r="H18" i="133" s="1"/>
  <c r="G19" i="133"/>
  <c r="G20" i="133"/>
  <c r="G21" i="133"/>
  <c r="G23" i="133"/>
  <c r="G24" i="133"/>
  <c r="I24" i="133" s="1"/>
  <c r="H24" i="133" s="1"/>
  <c r="G25" i="133"/>
  <c r="G26" i="133"/>
  <c r="G27" i="133"/>
  <c r="I27" i="133" s="1"/>
  <c r="H27" i="133" s="1"/>
  <c r="I37" i="133"/>
  <c r="H37" i="133" s="1"/>
  <c r="I34" i="133"/>
  <c r="H34" i="133" s="1"/>
  <c r="H29" i="133"/>
  <c r="M29" i="73"/>
  <c r="H29" i="73"/>
  <c r="O32" i="67"/>
  <c r="O55" i="67" s="1"/>
  <c r="P32" i="67"/>
  <c r="P55" i="67" s="1"/>
  <c r="Q32" i="67"/>
  <c r="Q55" i="67" s="1"/>
  <c r="R32" i="67"/>
  <c r="R55" i="67" s="1"/>
  <c r="S32" i="67"/>
  <c r="S55" i="67" s="1"/>
  <c r="T32" i="67"/>
  <c r="U32" i="67"/>
  <c r="V32" i="67"/>
  <c r="W32" i="67"/>
  <c r="W55" i="67" s="1"/>
  <c r="X32" i="67"/>
  <c r="X55" i="67" s="1"/>
  <c r="Z32" i="67"/>
  <c r="Z55" i="67" s="1"/>
  <c r="Y33" i="67"/>
  <c r="AA33" i="67" s="1"/>
  <c r="Y34" i="67"/>
  <c r="AA34" i="67" s="1"/>
  <c r="Y35" i="67"/>
  <c r="AA35" i="67" s="1"/>
  <c r="AE35" i="67" s="1"/>
  <c r="Y37" i="67"/>
  <c r="AA37" i="67" s="1"/>
  <c r="AE37" i="67" s="1"/>
  <c r="Y23" i="67"/>
  <c r="AD23" i="67" s="1"/>
  <c r="Y24" i="67"/>
  <c r="AA24" i="67" s="1"/>
  <c r="AE24" i="67" s="1"/>
  <c r="Y25" i="67"/>
  <c r="Y26" i="67"/>
  <c r="Y27" i="67"/>
  <c r="AA27" i="67" s="1"/>
  <c r="Y28" i="67"/>
  <c r="AA28" i="67" s="1"/>
  <c r="O22" i="67"/>
  <c r="P22" i="67"/>
  <c r="P53" i="67" s="1"/>
  <c r="Q22" i="67"/>
  <c r="Q53" i="67" s="1"/>
  <c r="R22" i="67"/>
  <c r="R53" i="67" s="1"/>
  <c r="S22" i="67"/>
  <c r="S53" i="67" s="1"/>
  <c r="T22" i="67"/>
  <c r="T53" i="67" s="1"/>
  <c r="U22" i="67"/>
  <c r="U53" i="67" s="1"/>
  <c r="V22" i="67"/>
  <c r="W22" i="67"/>
  <c r="W53" i="67" s="1"/>
  <c r="X22" i="67"/>
  <c r="X53" i="67" s="1"/>
  <c r="Z22" i="67"/>
  <c r="Z53" i="67" s="1"/>
  <c r="Y29" i="67"/>
  <c r="AA29" i="67" s="1"/>
  <c r="AE29" i="67" s="1"/>
  <c r="Y30" i="67"/>
  <c r="AA30" i="67" s="1"/>
  <c r="AE30" i="67" s="1"/>
  <c r="Y31" i="67"/>
  <c r="AA31" i="67" s="1"/>
  <c r="AE31" i="67" s="1"/>
  <c r="T19" i="67"/>
  <c r="Z19" i="67"/>
  <c r="Z52" i="67" s="1"/>
  <c r="Y20" i="67"/>
  <c r="Y21" i="67"/>
  <c r="AA21" i="67" s="1"/>
  <c r="O14" i="67"/>
  <c r="P14" i="67"/>
  <c r="Q14" i="67"/>
  <c r="R14" i="67"/>
  <c r="S14" i="67"/>
  <c r="S51" i="67" s="1"/>
  <c r="T14" i="67"/>
  <c r="T51" i="67" s="1"/>
  <c r="U14" i="67"/>
  <c r="U51" i="67" s="1"/>
  <c r="V14" i="67"/>
  <c r="W14" i="67"/>
  <c r="W51" i="67" s="1"/>
  <c r="X14" i="67"/>
  <c r="X51" i="67" s="1"/>
  <c r="Z14" i="67"/>
  <c r="Z51" i="67" s="1"/>
  <c r="Y15" i="67"/>
  <c r="Y17" i="67"/>
  <c r="AA17" i="67" s="1"/>
  <c r="Y18" i="67"/>
  <c r="AA18" i="67" s="1"/>
  <c r="Y7" i="67"/>
  <c r="Y8" i="67"/>
  <c r="Y9" i="67"/>
  <c r="AA9" i="67" s="1"/>
  <c r="O11" i="67"/>
  <c r="P11" i="67"/>
  <c r="P48" i="67" s="1"/>
  <c r="Q11" i="67"/>
  <c r="Q48" i="67" s="1"/>
  <c r="R11" i="67"/>
  <c r="R48" i="67" s="1"/>
  <c r="S11" i="67"/>
  <c r="S48" i="67" s="1"/>
  <c r="T11" i="67"/>
  <c r="U11" i="67"/>
  <c r="U48" i="67" s="1"/>
  <c r="V11" i="67"/>
  <c r="W11" i="67"/>
  <c r="W48" i="67" s="1"/>
  <c r="X11" i="67"/>
  <c r="Z11" i="67"/>
  <c r="Z48" i="67" s="1"/>
  <c r="Y36" i="67"/>
  <c r="AA36" i="67" s="1"/>
  <c r="AE36" i="67" s="1"/>
  <c r="Y16" i="67"/>
  <c r="Y10" i="67"/>
  <c r="Z54" i="67"/>
  <c r="X54" i="67"/>
  <c r="X52" i="67"/>
  <c r="W54" i="67"/>
  <c r="W52" i="67"/>
  <c r="U54" i="67"/>
  <c r="U52" i="67"/>
  <c r="T55" i="67"/>
  <c r="T54" i="67"/>
  <c r="S54" i="67"/>
  <c r="S52" i="67"/>
  <c r="Q54" i="67"/>
  <c r="Q52" i="67"/>
  <c r="P54" i="67"/>
  <c r="P52" i="67"/>
  <c r="O54" i="67"/>
  <c r="O52" i="67"/>
  <c r="O51" i="67"/>
  <c r="B32" i="67"/>
  <c r="B55" i="67" s="1"/>
  <c r="C32" i="67"/>
  <c r="C55" i="67" s="1"/>
  <c r="D32" i="67"/>
  <c r="D55" i="67" s="1"/>
  <c r="E32" i="67"/>
  <c r="E55" i="67" s="1"/>
  <c r="F32" i="67"/>
  <c r="F55" i="67" s="1"/>
  <c r="G32" i="67"/>
  <c r="G55" i="67" s="1"/>
  <c r="H32" i="67"/>
  <c r="I32" i="67"/>
  <c r="I55" i="67" s="1"/>
  <c r="J32" i="67"/>
  <c r="J55" i="67" s="1"/>
  <c r="K32" i="67"/>
  <c r="K55" i="67" s="1"/>
  <c r="M32" i="67"/>
  <c r="M55" i="67" s="1"/>
  <c r="L33" i="67"/>
  <c r="N33" i="67" s="1"/>
  <c r="L34" i="67"/>
  <c r="AB34" i="67" s="1"/>
  <c r="L35" i="67"/>
  <c r="L37" i="67"/>
  <c r="N37" i="67" s="1"/>
  <c r="L23" i="67"/>
  <c r="AB23" i="67" s="1"/>
  <c r="L24" i="67"/>
  <c r="AB24" i="67" s="1"/>
  <c r="L25" i="67"/>
  <c r="N25" i="67" s="1"/>
  <c r="L26" i="67"/>
  <c r="N26" i="67" s="1"/>
  <c r="AC26" i="67" s="1"/>
  <c r="L27" i="67"/>
  <c r="L28" i="67"/>
  <c r="B22" i="67"/>
  <c r="B53" i="67" s="1"/>
  <c r="C22" i="67"/>
  <c r="D22" i="67"/>
  <c r="D53" i="67" s="1"/>
  <c r="E22" i="67"/>
  <c r="F22" i="67"/>
  <c r="F53" i="67" s="1"/>
  <c r="G22" i="67"/>
  <c r="H22" i="67"/>
  <c r="H53" i="67" s="1"/>
  <c r="I22" i="67"/>
  <c r="J22" i="67"/>
  <c r="J53" i="67" s="1"/>
  <c r="K22" i="67"/>
  <c r="K53" i="67" s="1"/>
  <c r="M22" i="67"/>
  <c r="M53" i="67" s="1"/>
  <c r="L29" i="67"/>
  <c r="L30" i="67"/>
  <c r="N30" i="67" s="1"/>
  <c r="L31" i="67"/>
  <c r="G19" i="67"/>
  <c r="M19" i="67"/>
  <c r="M52" i="67" s="1"/>
  <c r="L20" i="67"/>
  <c r="N20" i="67" s="1"/>
  <c r="AC20" i="67" s="1"/>
  <c r="L21" i="67"/>
  <c r="B14" i="67"/>
  <c r="C14" i="67"/>
  <c r="C51" i="67" s="1"/>
  <c r="D14" i="67"/>
  <c r="E14" i="67"/>
  <c r="E51" i="67" s="1"/>
  <c r="F14" i="67"/>
  <c r="F51" i="67" s="1"/>
  <c r="G14" i="67"/>
  <c r="G51" i="67" s="1"/>
  <c r="H14" i="67"/>
  <c r="H51" i="67" s="1"/>
  <c r="I14" i="67"/>
  <c r="I51" i="67" s="1"/>
  <c r="J14" i="67"/>
  <c r="J51" i="67" s="1"/>
  <c r="K14" i="67"/>
  <c r="M14" i="67"/>
  <c r="M51" i="67" s="1"/>
  <c r="L15" i="67"/>
  <c r="N15" i="67" s="1"/>
  <c r="AC15" i="67" s="1"/>
  <c r="L17" i="67"/>
  <c r="L18" i="67"/>
  <c r="N18" i="67" s="1"/>
  <c r="L36" i="67"/>
  <c r="N36" i="67" s="1"/>
  <c r="L16" i="67"/>
  <c r="L10" i="67"/>
  <c r="L9" i="67"/>
  <c r="N9" i="67" s="1"/>
  <c r="L8" i="67"/>
  <c r="M54" i="67"/>
  <c r="K54" i="67"/>
  <c r="K52" i="67"/>
  <c r="K51" i="67"/>
  <c r="J54" i="67"/>
  <c r="J52" i="67"/>
  <c r="H54" i="67"/>
  <c r="H52" i="67"/>
  <c r="G54" i="67"/>
  <c r="F54" i="67"/>
  <c r="F52" i="67"/>
  <c r="D54" i="67"/>
  <c r="D52" i="67"/>
  <c r="D51" i="67"/>
  <c r="C54" i="67"/>
  <c r="C52" i="67"/>
  <c r="B54" i="67"/>
  <c r="B52" i="67"/>
  <c r="N53" i="108"/>
  <c r="D53" i="66" s="1"/>
  <c r="N54" i="108"/>
  <c r="D54" i="66" s="1"/>
  <c r="E232" i="138" s="1"/>
  <c r="H232" i="138" s="1"/>
  <c r="N46" i="108"/>
  <c r="N47" i="108"/>
  <c r="D47" i="66" s="1"/>
  <c r="E225" i="138" s="1"/>
  <c r="N6" i="108"/>
  <c r="D6" i="66" s="1"/>
  <c r="E184" i="138" s="1"/>
  <c r="H184" i="138" s="1"/>
  <c r="N7" i="108"/>
  <c r="D7" i="66" s="1"/>
  <c r="N8" i="108"/>
  <c r="D8" i="66" s="1"/>
  <c r="E186" i="138" s="1"/>
  <c r="H186" i="138" s="1"/>
  <c r="N9" i="108"/>
  <c r="D9" i="66" s="1"/>
  <c r="N10" i="108"/>
  <c r="D10" i="66" s="1"/>
  <c r="E188" i="138" s="1"/>
  <c r="H188" i="138" s="1"/>
  <c r="N11" i="108"/>
  <c r="N12" i="108"/>
  <c r="N13" i="108"/>
  <c r="D13" i="66" s="1"/>
  <c r="N14" i="108"/>
  <c r="D14" i="66" s="1"/>
  <c r="E192" i="138" s="1"/>
  <c r="H192" i="138" s="1"/>
  <c r="N15" i="108"/>
  <c r="D15" i="66" s="1"/>
  <c r="E193" i="138" s="1"/>
  <c r="H193" i="138" s="1"/>
  <c r="N16" i="108"/>
  <c r="D16" i="66" s="1"/>
  <c r="N17" i="108"/>
  <c r="D17" i="66" s="1"/>
  <c r="N18" i="108"/>
  <c r="D18" i="66" s="1"/>
  <c r="E196" i="138" s="1"/>
  <c r="H196" i="138" s="1"/>
  <c r="N20" i="108"/>
  <c r="D20" i="66" s="1"/>
  <c r="N21" i="108"/>
  <c r="D21" i="66" s="1"/>
  <c r="E199" i="138" s="1"/>
  <c r="H199" i="138" s="1"/>
  <c r="N22" i="108"/>
  <c r="D22" i="66" s="1"/>
  <c r="N23" i="108"/>
  <c r="N24" i="108"/>
  <c r="D24" i="66" s="1"/>
  <c r="N25" i="108"/>
  <c r="D25" i="66"/>
  <c r="N26" i="108"/>
  <c r="D26" i="66" s="1"/>
  <c r="E204" i="138" s="1"/>
  <c r="H204" i="138" s="1"/>
  <c r="N27" i="108"/>
  <c r="D27" i="66" s="1"/>
  <c r="H120" i="137" s="1"/>
  <c r="N28" i="108"/>
  <c r="D28" i="66" s="1"/>
  <c r="N32" i="108"/>
  <c r="N33" i="108"/>
  <c r="D33" i="66" s="1"/>
  <c r="N34" i="108"/>
  <c r="D34" i="66" s="1"/>
  <c r="E212" i="138" s="1"/>
  <c r="H212" i="138" s="1"/>
  <c r="N35" i="108"/>
  <c r="D35" i="66"/>
  <c r="N36" i="108"/>
  <c r="D36" i="66" s="1"/>
  <c r="N38" i="108"/>
  <c r="D38" i="66" s="1"/>
  <c r="H242" i="137" s="1"/>
  <c r="N39" i="108"/>
  <c r="D39" i="66" s="1"/>
  <c r="N40" i="108"/>
  <c r="D40" i="66" s="1"/>
  <c r="E218" i="138" s="1"/>
  <c r="H218" i="138" s="1"/>
  <c r="N41" i="108"/>
  <c r="D41" i="66" s="1"/>
  <c r="N42" i="108"/>
  <c r="D42" i="66" s="1"/>
  <c r="N48" i="108"/>
  <c r="D48" i="66" s="1"/>
  <c r="N49" i="108"/>
  <c r="D49" i="66" s="1"/>
  <c r="E227" i="138" s="1"/>
  <c r="H227" i="138" s="1"/>
  <c r="N50" i="108"/>
  <c r="D50" i="66" s="1"/>
  <c r="N52" i="108"/>
  <c r="D52" i="66" s="1"/>
  <c r="N55" i="108"/>
  <c r="N58" i="108"/>
  <c r="D58" i="66" s="1"/>
  <c r="N60" i="108"/>
  <c r="D60" i="66" s="1"/>
  <c r="E238" i="138" s="1"/>
  <c r="H238" i="138" s="1"/>
  <c r="H53" i="108"/>
  <c r="C53" i="66" s="1"/>
  <c r="G323" i="137" s="1"/>
  <c r="H54" i="108"/>
  <c r="H46" i="108"/>
  <c r="C46" i="66" s="1"/>
  <c r="H47" i="108"/>
  <c r="C47" i="66" s="1"/>
  <c r="H6" i="108"/>
  <c r="C6" i="66" s="1"/>
  <c r="H7" i="108"/>
  <c r="C7" i="66" s="1"/>
  <c r="H8" i="108"/>
  <c r="G13" i="103" s="1"/>
  <c r="H9" i="108"/>
  <c r="C9" i="66" s="1"/>
  <c r="H10" i="108"/>
  <c r="H11" i="108"/>
  <c r="C11" i="66" s="1"/>
  <c r="H12" i="108"/>
  <c r="C12" i="66" s="1"/>
  <c r="H13" i="108"/>
  <c r="H14" i="108"/>
  <c r="C14" i="66" s="1"/>
  <c r="H15" i="108"/>
  <c r="C15" i="66" s="1"/>
  <c r="H16" i="108"/>
  <c r="C16" i="66" s="1"/>
  <c r="H17" i="108"/>
  <c r="C17" i="66" s="1"/>
  <c r="H18" i="108"/>
  <c r="H20" i="108"/>
  <c r="C20" i="66" s="1"/>
  <c r="H21" i="108"/>
  <c r="H22" i="108"/>
  <c r="C22" i="66" s="1"/>
  <c r="H23" i="108"/>
  <c r="H24" i="108"/>
  <c r="C24" i="66" s="1"/>
  <c r="H25" i="108"/>
  <c r="C25" i="66" s="1"/>
  <c r="H26" i="108"/>
  <c r="H27" i="108"/>
  <c r="C27" i="66" s="1"/>
  <c r="H28" i="108"/>
  <c r="H32" i="108"/>
  <c r="C32" i="66" s="1"/>
  <c r="H33" i="108"/>
  <c r="H34" i="108"/>
  <c r="C34" i="66" s="1"/>
  <c r="H35" i="108"/>
  <c r="C35" i="66" s="1"/>
  <c r="G217" i="137" s="1"/>
  <c r="H36" i="108"/>
  <c r="H38" i="108"/>
  <c r="C38" i="66" s="1"/>
  <c r="H39" i="108"/>
  <c r="C39" i="66" s="1"/>
  <c r="G254" i="137" s="1"/>
  <c r="H40" i="108"/>
  <c r="C40" i="66" s="1"/>
  <c r="H41" i="108"/>
  <c r="H42" i="108"/>
  <c r="C42" i="66" s="1"/>
  <c r="H48" i="108"/>
  <c r="C48" i="66" s="1"/>
  <c r="H49" i="108"/>
  <c r="H50" i="108"/>
  <c r="H52" i="108"/>
  <c r="C52" i="66" s="1"/>
  <c r="H55" i="108"/>
  <c r="C55" i="66" s="1"/>
  <c r="H58" i="108"/>
  <c r="H60" i="108"/>
  <c r="D101" i="64"/>
  <c r="D88" i="64"/>
  <c r="D28" i="64"/>
  <c r="E27" i="138" s="1"/>
  <c r="H27" i="138" s="1"/>
  <c r="C101" i="64"/>
  <c r="C88" i="64"/>
  <c r="C28" i="64"/>
  <c r="J39" i="73"/>
  <c r="L39" i="73"/>
  <c r="L39" i="122" s="1"/>
  <c r="K39" i="73"/>
  <c r="K39" i="122" s="1"/>
  <c r="E39" i="73"/>
  <c r="E39" i="122" s="1"/>
  <c r="G39" i="73"/>
  <c r="G39" i="122" s="1"/>
  <c r="F39" i="73"/>
  <c r="E164" i="73"/>
  <c r="F164" i="73"/>
  <c r="F164" i="122" s="1"/>
  <c r="G164" i="73"/>
  <c r="G164" i="122" s="1"/>
  <c r="E7" i="73"/>
  <c r="E7" i="122" s="1"/>
  <c r="F7" i="73"/>
  <c r="F7" i="122" s="1"/>
  <c r="G7" i="73"/>
  <c r="G7" i="122" s="1"/>
  <c r="J7" i="73"/>
  <c r="K7" i="73"/>
  <c r="L7" i="73"/>
  <c r="L7" i="122" s="1"/>
  <c r="E139" i="73"/>
  <c r="G139" i="73"/>
  <c r="G139" i="122" s="1"/>
  <c r="F139" i="73"/>
  <c r="E140" i="73"/>
  <c r="G140" i="73"/>
  <c r="F140" i="73"/>
  <c r="F140" i="122" s="1"/>
  <c r="E141" i="73"/>
  <c r="G141" i="73"/>
  <c r="G141" i="122" s="1"/>
  <c r="F141" i="73"/>
  <c r="E142" i="73"/>
  <c r="E142" i="122" s="1"/>
  <c r="G142" i="73"/>
  <c r="G142" i="122" s="1"/>
  <c r="F142" i="73"/>
  <c r="F142" i="122" s="1"/>
  <c r="E143" i="73"/>
  <c r="G143" i="73"/>
  <c r="G143" i="122" s="1"/>
  <c r="F143" i="73"/>
  <c r="F143" i="122" s="1"/>
  <c r="J139" i="73"/>
  <c r="L139" i="73"/>
  <c r="K139" i="73"/>
  <c r="K139" i="122" s="1"/>
  <c r="J140" i="73"/>
  <c r="J140" i="122" s="1"/>
  <c r="L140" i="73"/>
  <c r="L140" i="122" s="1"/>
  <c r="K140" i="73"/>
  <c r="J141" i="73"/>
  <c r="J141" i="122" s="1"/>
  <c r="L141" i="73"/>
  <c r="K141" i="73"/>
  <c r="K141" i="122" s="1"/>
  <c r="J142" i="73"/>
  <c r="J142" i="122" s="1"/>
  <c r="L142" i="73"/>
  <c r="L142" i="122" s="1"/>
  <c r="K142" i="73"/>
  <c r="K142" i="122" s="1"/>
  <c r="J143" i="73"/>
  <c r="L143" i="73"/>
  <c r="L143" i="122" s="1"/>
  <c r="K143" i="73"/>
  <c r="K143" i="122" s="1"/>
  <c r="E146" i="73"/>
  <c r="F146" i="73"/>
  <c r="F146" i="122" s="1"/>
  <c r="G146" i="73"/>
  <c r="E147" i="73"/>
  <c r="E147" i="122" s="1"/>
  <c r="F147" i="73"/>
  <c r="G147" i="73"/>
  <c r="G147" i="122" s="1"/>
  <c r="E148" i="73"/>
  <c r="D21" i="102" s="1"/>
  <c r="F148" i="73"/>
  <c r="F148" i="122" s="1"/>
  <c r="G148" i="73"/>
  <c r="G148" i="122" s="1"/>
  <c r="E149" i="73"/>
  <c r="F149" i="73"/>
  <c r="F149" i="122" s="1"/>
  <c r="G149" i="73"/>
  <c r="G149" i="122" s="1"/>
  <c r="E150" i="73"/>
  <c r="F150" i="73"/>
  <c r="F150" i="122" s="1"/>
  <c r="G150" i="73"/>
  <c r="G150" i="122" s="1"/>
  <c r="E151" i="73"/>
  <c r="E151" i="122" s="1"/>
  <c r="F151" i="73"/>
  <c r="G151" i="73"/>
  <c r="G151" i="122" s="1"/>
  <c r="E152" i="73"/>
  <c r="F152" i="73"/>
  <c r="F152" i="122" s="1"/>
  <c r="G152" i="73"/>
  <c r="G152" i="122" s="1"/>
  <c r="E153" i="73"/>
  <c r="F153" i="73"/>
  <c r="F153" i="122" s="1"/>
  <c r="G153" i="73"/>
  <c r="G153" i="122" s="1"/>
  <c r="E154" i="73"/>
  <c r="E154" i="122" s="1"/>
  <c r="F154" i="73"/>
  <c r="F154" i="122" s="1"/>
  <c r="G154" i="73"/>
  <c r="G154" i="122" s="1"/>
  <c r="E155" i="73"/>
  <c r="F155" i="73"/>
  <c r="F155" i="122" s="1"/>
  <c r="G155" i="73"/>
  <c r="G155" i="122" s="1"/>
  <c r="E156" i="73"/>
  <c r="F156" i="73"/>
  <c r="F156" i="122" s="1"/>
  <c r="G156" i="73"/>
  <c r="G156" i="122" s="1"/>
  <c r="E157" i="73"/>
  <c r="F158" i="73"/>
  <c r="G158" i="73"/>
  <c r="G157" i="73" s="1"/>
  <c r="G157" i="122" s="1"/>
  <c r="E160" i="73"/>
  <c r="D33" i="102" s="1"/>
  <c r="F161" i="73"/>
  <c r="F161" i="122" s="1"/>
  <c r="F162" i="73"/>
  <c r="F162" i="122" s="1"/>
  <c r="F163" i="73"/>
  <c r="F163" i="122" s="1"/>
  <c r="G161" i="73"/>
  <c r="G161" i="122" s="1"/>
  <c r="G162" i="73"/>
  <c r="G162" i="122" s="1"/>
  <c r="G163" i="73"/>
  <c r="G163" i="122" s="1"/>
  <c r="E165" i="73"/>
  <c r="E165" i="122" s="1"/>
  <c r="F165" i="73"/>
  <c r="G165" i="73"/>
  <c r="G165" i="122" s="1"/>
  <c r="J146" i="73"/>
  <c r="J146" i="122" s="1"/>
  <c r="K146" i="73"/>
  <c r="K146" i="122" s="1"/>
  <c r="L146" i="73"/>
  <c r="J147" i="73"/>
  <c r="K147" i="73"/>
  <c r="L147" i="73"/>
  <c r="L147" i="122" s="1"/>
  <c r="J148" i="73"/>
  <c r="J148" i="122" s="1"/>
  <c r="K148" i="73"/>
  <c r="K148" i="122" s="1"/>
  <c r="L148" i="73"/>
  <c r="J149" i="73"/>
  <c r="J149" i="122" s="1"/>
  <c r="K149" i="73"/>
  <c r="K149" i="122" s="1"/>
  <c r="L149" i="73"/>
  <c r="L149" i="122" s="1"/>
  <c r="J150" i="73"/>
  <c r="K150" i="73"/>
  <c r="K150" i="122" s="1"/>
  <c r="L150" i="73"/>
  <c r="L150" i="122" s="1"/>
  <c r="J151" i="73"/>
  <c r="K151" i="73"/>
  <c r="K151" i="122" s="1"/>
  <c r="L151" i="73"/>
  <c r="L151" i="122" s="1"/>
  <c r="J152" i="73"/>
  <c r="J152" i="122" s="1"/>
  <c r="K152" i="73"/>
  <c r="K152" i="122" s="1"/>
  <c r="L152" i="73"/>
  <c r="L152" i="122" s="1"/>
  <c r="J153" i="73"/>
  <c r="J153" i="122" s="1"/>
  <c r="K153" i="73"/>
  <c r="K153" i="122" s="1"/>
  <c r="L153" i="73"/>
  <c r="L153" i="122" s="1"/>
  <c r="J154" i="73"/>
  <c r="J154" i="122" s="1"/>
  <c r="K154" i="73"/>
  <c r="K154" i="122" s="1"/>
  <c r="L154" i="73"/>
  <c r="L154" i="122" s="1"/>
  <c r="J155" i="73"/>
  <c r="K155" i="73"/>
  <c r="K155" i="122" s="1"/>
  <c r="L155" i="73"/>
  <c r="L155" i="122" s="1"/>
  <c r="J156" i="73"/>
  <c r="K156" i="73"/>
  <c r="K156" i="122" s="1"/>
  <c r="L156" i="73"/>
  <c r="L156" i="122" s="1"/>
  <c r="J157" i="73"/>
  <c r="J157" i="122" s="1"/>
  <c r="K158" i="73"/>
  <c r="K157" i="73" s="1"/>
  <c r="K157" i="122" s="1"/>
  <c r="L158" i="73"/>
  <c r="L157" i="73" s="1"/>
  <c r="L157" i="122" s="1"/>
  <c r="J160" i="73"/>
  <c r="J160" i="122" s="1"/>
  <c r="K161" i="73"/>
  <c r="K162" i="73"/>
  <c r="K162" i="122" s="1"/>
  <c r="K163" i="73"/>
  <c r="K163" i="122" s="1"/>
  <c r="L161" i="73"/>
  <c r="L161" i="122" s="1"/>
  <c r="L162" i="73"/>
  <c r="L163" i="73"/>
  <c r="L163" i="122" s="1"/>
  <c r="J164" i="73"/>
  <c r="J164" i="122" s="1"/>
  <c r="K164" i="73"/>
  <c r="K164" i="122" s="1"/>
  <c r="L164" i="73"/>
  <c r="L164" i="122" s="1"/>
  <c r="J165" i="73"/>
  <c r="J165" i="122" s="1"/>
  <c r="K165" i="73"/>
  <c r="K165" i="122" s="1"/>
  <c r="L165" i="73"/>
  <c r="L165" i="122" s="1"/>
  <c r="E166" i="73"/>
  <c r="G166" i="73"/>
  <c r="G166" i="122" s="1"/>
  <c r="F166" i="73"/>
  <c r="F166" i="122" s="1"/>
  <c r="E167" i="73"/>
  <c r="D40" i="102" s="1"/>
  <c r="G168" i="73"/>
  <c r="F168" i="73"/>
  <c r="F167" i="73" s="1"/>
  <c r="F167" i="122" s="1"/>
  <c r="E169" i="73"/>
  <c r="G169" i="73"/>
  <c r="G169" i="122" s="1"/>
  <c r="F169" i="73"/>
  <c r="F169" i="122" s="1"/>
  <c r="J166" i="73"/>
  <c r="J166" i="122" s="1"/>
  <c r="L166" i="73"/>
  <c r="L166" i="122" s="1"/>
  <c r="K166" i="73"/>
  <c r="K166" i="122" s="1"/>
  <c r="J167" i="73"/>
  <c r="J167" i="122" s="1"/>
  <c r="L168" i="73"/>
  <c r="L167" i="73" s="1"/>
  <c r="L167" i="122" s="1"/>
  <c r="K168" i="73"/>
  <c r="K167" i="73" s="1"/>
  <c r="K167" i="122" s="1"/>
  <c r="J169" i="73"/>
  <c r="J169" i="122" s="1"/>
  <c r="L169" i="73"/>
  <c r="L169" i="122" s="1"/>
  <c r="K169" i="73"/>
  <c r="E173" i="73"/>
  <c r="G174" i="73"/>
  <c r="G173" i="122" s="1"/>
  <c r="G175" i="73"/>
  <c r="G174" i="122" s="1"/>
  <c r="G176" i="73"/>
  <c r="G175" i="122" s="1"/>
  <c r="G177" i="73"/>
  <c r="G176" i="122" s="1"/>
  <c r="F174" i="73"/>
  <c r="F173" i="122" s="1"/>
  <c r="F175" i="73"/>
  <c r="F174" i="122" s="1"/>
  <c r="F176" i="73"/>
  <c r="F175" i="122" s="1"/>
  <c r="F177" i="73"/>
  <c r="F176" i="122" s="1"/>
  <c r="E178" i="73"/>
  <c r="F179" i="73"/>
  <c r="F178" i="122" s="1"/>
  <c r="F180" i="73"/>
  <c r="F179" i="122" s="1"/>
  <c r="F181" i="73"/>
  <c r="F180" i="122" s="1"/>
  <c r="G179" i="73"/>
  <c r="G180" i="73"/>
  <c r="G179" i="122" s="1"/>
  <c r="G181" i="73"/>
  <c r="G180" i="122" s="1"/>
  <c r="J173" i="73"/>
  <c r="L174" i="73"/>
  <c r="L173" i="122" s="1"/>
  <c r="L175" i="73"/>
  <c r="L174" i="122" s="1"/>
  <c r="L176" i="73"/>
  <c r="L175" i="122" s="1"/>
  <c r="L177" i="73"/>
  <c r="L176" i="122" s="1"/>
  <c r="K174" i="73"/>
  <c r="K173" i="122" s="1"/>
  <c r="K175" i="73"/>
  <c r="K174" i="122" s="1"/>
  <c r="K176" i="73"/>
  <c r="K175" i="122" s="1"/>
  <c r="K177" i="73"/>
  <c r="K176" i="122" s="1"/>
  <c r="J178" i="73"/>
  <c r="J177" i="122" s="1"/>
  <c r="K179" i="73"/>
  <c r="K178" i="122" s="1"/>
  <c r="K180" i="73"/>
  <c r="K179" i="122" s="1"/>
  <c r="K181" i="73"/>
  <c r="K180" i="122" s="1"/>
  <c r="L179" i="73"/>
  <c r="L180" i="73"/>
  <c r="L179" i="122" s="1"/>
  <c r="L181" i="73"/>
  <c r="L180" i="122" s="1"/>
  <c r="E183" i="73"/>
  <c r="F183" i="73"/>
  <c r="G183" i="73"/>
  <c r="G182" i="122" s="1"/>
  <c r="J183" i="73"/>
  <c r="J182" i="122" s="1"/>
  <c r="K183" i="73"/>
  <c r="K182" i="122" s="1"/>
  <c r="L183" i="73"/>
  <c r="L182" i="122" s="1"/>
  <c r="E186" i="73"/>
  <c r="F186" i="73"/>
  <c r="F185" i="122" s="1"/>
  <c r="G186" i="73"/>
  <c r="G185" i="122" s="1"/>
  <c r="J186" i="73"/>
  <c r="J185" i="122" s="1"/>
  <c r="K186" i="73"/>
  <c r="K185" i="122" s="1"/>
  <c r="L186" i="73"/>
  <c r="L185" i="122" s="1"/>
  <c r="E191" i="73"/>
  <c r="G192" i="73"/>
  <c r="G191" i="122" s="1"/>
  <c r="G193" i="73"/>
  <c r="G192" i="122" s="1"/>
  <c r="F192" i="73"/>
  <c r="F191" i="122" s="1"/>
  <c r="F193" i="73"/>
  <c r="F192" i="122" s="1"/>
  <c r="E194" i="73"/>
  <c r="G195" i="73"/>
  <c r="G194" i="122" s="1"/>
  <c r="G196" i="73"/>
  <c r="G195" i="122" s="1"/>
  <c r="G197" i="73"/>
  <c r="G196" i="122" s="1"/>
  <c r="G198" i="73"/>
  <c r="G197" i="122" s="1"/>
  <c r="G199" i="73"/>
  <c r="G118" i="73" s="1"/>
  <c r="G118" i="122" s="1"/>
  <c r="F195" i="73"/>
  <c r="F194" i="122" s="1"/>
  <c r="F196" i="73"/>
  <c r="F195" i="122" s="1"/>
  <c r="F197" i="73"/>
  <c r="F196" i="122" s="1"/>
  <c r="F198" i="73"/>
  <c r="F197" i="122" s="1"/>
  <c r="F199" i="73"/>
  <c r="E200" i="73"/>
  <c r="F200" i="73"/>
  <c r="F199" i="122" s="1"/>
  <c r="G200" i="73"/>
  <c r="G199" i="122" s="1"/>
  <c r="J191" i="73"/>
  <c r="J190" i="122" s="1"/>
  <c r="L192" i="73"/>
  <c r="L191" i="122" s="1"/>
  <c r="L193" i="73"/>
  <c r="L192" i="122" s="1"/>
  <c r="K192" i="73"/>
  <c r="K191" i="122" s="1"/>
  <c r="K193" i="73"/>
  <c r="K192" i="122" s="1"/>
  <c r="J194" i="73"/>
  <c r="L195" i="73"/>
  <c r="L194" i="122" s="1"/>
  <c r="L196" i="73"/>
  <c r="L195" i="122" s="1"/>
  <c r="L197" i="73"/>
  <c r="L196" i="122" s="1"/>
  <c r="L198" i="73"/>
  <c r="L197" i="122" s="1"/>
  <c r="L199" i="73"/>
  <c r="K195" i="73"/>
  <c r="K194" i="122" s="1"/>
  <c r="K196" i="73"/>
  <c r="K195" i="122" s="1"/>
  <c r="K197" i="73"/>
  <c r="K196" i="122" s="1"/>
  <c r="K198" i="73"/>
  <c r="K197" i="122" s="1"/>
  <c r="K199" i="73"/>
  <c r="K118" i="73" s="1"/>
  <c r="K118" i="122" s="1"/>
  <c r="J200" i="73"/>
  <c r="J199" i="122" s="1"/>
  <c r="K200" i="73"/>
  <c r="K199" i="122" s="1"/>
  <c r="L200" i="73"/>
  <c r="L199" i="122" s="1"/>
  <c r="C71" i="71"/>
  <c r="D71" i="71"/>
  <c r="J116" i="73"/>
  <c r="K116" i="73"/>
  <c r="K116" i="122" s="1"/>
  <c r="L116" i="73"/>
  <c r="L116" i="122" s="1"/>
  <c r="J117" i="73"/>
  <c r="J117" i="122" s="1"/>
  <c r="L159" i="73"/>
  <c r="L159" i="122" s="1"/>
  <c r="L189" i="73"/>
  <c r="L188" i="122" s="1"/>
  <c r="K159" i="73"/>
  <c r="K159" i="122" s="1"/>
  <c r="K189" i="73"/>
  <c r="J119" i="73"/>
  <c r="L119" i="73"/>
  <c r="L119" i="122" s="1"/>
  <c r="K119" i="73"/>
  <c r="K119" i="122" s="1"/>
  <c r="J120" i="73"/>
  <c r="J120" i="122" s="1"/>
  <c r="L121" i="73"/>
  <c r="L121" i="122" s="1"/>
  <c r="L122" i="73"/>
  <c r="L122" i="122" s="1"/>
  <c r="L123" i="73"/>
  <c r="L123" i="122" s="1"/>
  <c r="L124" i="73"/>
  <c r="L124" i="122" s="1"/>
  <c r="L125" i="73"/>
  <c r="L125" i="122" s="1"/>
  <c r="K121" i="73"/>
  <c r="K121" i="122" s="1"/>
  <c r="K122" i="73"/>
  <c r="K122" i="122" s="1"/>
  <c r="K123" i="73"/>
  <c r="K124" i="73"/>
  <c r="K124" i="122" s="1"/>
  <c r="K125" i="73"/>
  <c r="K125" i="122" s="1"/>
  <c r="J126" i="73"/>
  <c r="J126" i="122" s="1"/>
  <c r="L126" i="73"/>
  <c r="L126" i="122" s="1"/>
  <c r="K126" i="73"/>
  <c r="K126" i="122" s="1"/>
  <c r="J127" i="73"/>
  <c r="J104" i="73"/>
  <c r="J104" i="122" s="1"/>
  <c r="L105" i="73"/>
  <c r="L104" i="73" s="1"/>
  <c r="L104" i="122" s="1"/>
  <c r="K105" i="73"/>
  <c r="K104" i="73" s="1"/>
  <c r="K104" i="122" s="1"/>
  <c r="J106" i="73"/>
  <c r="J106" i="122" s="1"/>
  <c r="L106" i="73"/>
  <c r="K106" i="73"/>
  <c r="J107" i="73"/>
  <c r="L108" i="73"/>
  <c r="L107" i="73" s="1"/>
  <c r="L107" i="122" s="1"/>
  <c r="K108" i="73"/>
  <c r="K107" i="73" s="1"/>
  <c r="K107" i="122" s="1"/>
  <c r="J109" i="73"/>
  <c r="J109" i="122" s="1"/>
  <c r="L109" i="73"/>
  <c r="L109" i="122" s="1"/>
  <c r="K109" i="73"/>
  <c r="K109" i="122" s="1"/>
  <c r="J110" i="73"/>
  <c r="J110" i="122" s="1"/>
  <c r="K110" i="73"/>
  <c r="K110" i="122" s="1"/>
  <c r="L110" i="73"/>
  <c r="L110" i="122" s="1"/>
  <c r="J112" i="73"/>
  <c r="J112" i="122" s="1"/>
  <c r="L113" i="73"/>
  <c r="L113" i="122" s="1"/>
  <c r="L114" i="73"/>
  <c r="L114" i="122" s="1"/>
  <c r="K113" i="73"/>
  <c r="K113" i="122" s="1"/>
  <c r="K114" i="73"/>
  <c r="K114" i="122" s="1"/>
  <c r="J115" i="73"/>
  <c r="J115" i="122" s="1"/>
  <c r="L115" i="73"/>
  <c r="L115" i="122" s="1"/>
  <c r="K115" i="73"/>
  <c r="K115" i="122" s="1"/>
  <c r="J129" i="73"/>
  <c r="J129" i="122" s="1"/>
  <c r="L129" i="73"/>
  <c r="L129" i="122" s="1"/>
  <c r="K129" i="73"/>
  <c r="K129" i="122" s="1"/>
  <c r="E116" i="73"/>
  <c r="F116" i="73"/>
  <c r="F116" i="122" s="1"/>
  <c r="G116" i="73"/>
  <c r="G116" i="122" s="1"/>
  <c r="E117" i="73"/>
  <c r="D67" i="101" s="1"/>
  <c r="G159" i="73"/>
  <c r="G159" i="122" s="1"/>
  <c r="G189" i="73"/>
  <c r="G188" i="122" s="1"/>
  <c r="F159" i="73"/>
  <c r="F159" i="122" s="1"/>
  <c r="F189" i="73"/>
  <c r="F188" i="122" s="1"/>
  <c r="E119" i="73"/>
  <c r="G119" i="73"/>
  <c r="G119" i="122" s="1"/>
  <c r="F119" i="73"/>
  <c r="F119" i="122" s="1"/>
  <c r="E120" i="73"/>
  <c r="E120" i="122" s="1"/>
  <c r="G121" i="73"/>
  <c r="G121" i="122" s="1"/>
  <c r="G122" i="73"/>
  <c r="G122" i="122" s="1"/>
  <c r="G123" i="73"/>
  <c r="G123" i="122" s="1"/>
  <c r="G124" i="73"/>
  <c r="G124" i="122" s="1"/>
  <c r="G125" i="73"/>
  <c r="G125" i="122" s="1"/>
  <c r="F121" i="73"/>
  <c r="F121" i="122" s="1"/>
  <c r="F122" i="73"/>
  <c r="F122" i="122" s="1"/>
  <c r="F123" i="73"/>
  <c r="F123" i="122" s="1"/>
  <c r="F124" i="73"/>
  <c r="F124" i="122" s="1"/>
  <c r="F125" i="73"/>
  <c r="F125" i="122" s="1"/>
  <c r="E126" i="73"/>
  <c r="G126" i="73"/>
  <c r="F126" i="73"/>
  <c r="F126" i="122" s="1"/>
  <c r="E127" i="73"/>
  <c r="D77" i="101" s="1"/>
  <c r="E104" i="73"/>
  <c r="G105" i="73"/>
  <c r="G104" i="73" s="1"/>
  <c r="G104" i="122" s="1"/>
  <c r="F105" i="73"/>
  <c r="F104" i="73" s="1"/>
  <c r="F104" i="122" s="1"/>
  <c r="E106" i="73"/>
  <c r="G106" i="73"/>
  <c r="G106" i="122" s="1"/>
  <c r="F106" i="73"/>
  <c r="E107" i="73"/>
  <c r="G108" i="73"/>
  <c r="G107" i="73" s="1"/>
  <c r="G107" i="122" s="1"/>
  <c r="F108" i="73"/>
  <c r="F107" i="73" s="1"/>
  <c r="F107" i="122" s="1"/>
  <c r="E109" i="73"/>
  <c r="G109" i="73"/>
  <c r="G109" i="122" s="1"/>
  <c r="F109" i="73"/>
  <c r="F109" i="122" s="1"/>
  <c r="E110" i="73"/>
  <c r="E110" i="122" s="1"/>
  <c r="F110" i="73"/>
  <c r="F110" i="122" s="1"/>
  <c r="G110" i="73"/>
  <c r="G110" i="122" s="1"/>
  <c r="E112" i="73"/>
  <c r="G113" i="73"/>
  <c r="G113" i="122" s="1"/>
  <c r="G114" i="73"/>
  <c r="G114" i="122" s="1"/>
  <c r="F113" i="73"/>
  <c r="F113" i="122" s="1"/>
  <c r="F114" i="73"/>
  <c r="F114" i="122" s="1"/>
  <c r="E115" i="73"/>
  <c r="E115" i="122" s="1"/>
  <c r="G115" i="73"/>
  <c r="F115" i="73"/>
  <c r="F115" i="122" s="1"/>
  <c r="E129" i="73"/>
  <c r="E129" i="122" s="1"/>
  <c r="G129" i="73"/>
  <c r="G129" i="122" s="1"/>
  <c r="F129" i="73"/>
  <c r="F129" i="122" s="1"/>
  <c r="J12" i="73"/>
  <c r="K12" i="73"/>
  <c r="K12" i="122" s="1"/>
  <c r="L12" i="73"/>
  <c r="L12" i="122" s="1"/>
  <c r="E12" i="73"/>
  <c r="F12" i="73"/>
  <c r="F12" i="122" s="1"/>
  <c r="G12" i="73"/>
  <c r="G12" i="122" s="1"/>
  <c r="E69" i="73"/>
  <c r="D19" i="101" s="1"/>
  <c r="G69" i="73"/>
  <c r="G69" i="122" s="1"/>
  <c r="F69" i="73"/>
  <c r="F69" i="122" s="1"/>
  <c r="J69" i="73"/>
  <c r="J69" i="122" s="1"/>
  <c r="L69" i="73"/>
  <c r="L69" i="122" s="1"/>
  <c r="K69" i="73"/>
  <c r="K69" i="122" s="1"/>
  <c r="E162" i="73"/>
  <c r="E22" i="73"/>
  <c r="E22" i="122" s="1"/>
  <c r="F23" i="73"/>
  <c r="F23" i="122" s="1"/>
  <c r="F24" i="73"/>
  <c r="F24" i="122" s="1"/>
  <c r="G23" i="73"/>
  <c r="G23" i="122" s="1"/>
  <c r="G24" i="73"/>
  <c r="G24" i="122" s="1"/>
  <c r="J22" i="73"/>
  <c r="J22" i="122" s="1"/>
  <c r="K23" i="73"/>
  <c r="K24" i="73"/>
  <c r="K24" i="122" s="1"/>
  <c r="L23" i="73"/>
  <c r="L24" i="73"/>
  <c r="L24" i="122" s="1"/>
  <c r="J68" i="73"/>
  <c r="J68" i="122" s="1"/>
  <c r="L68" i="73"/>
  <c r="L68" i="122" s="1"/>
  <c r="K68" i="73"/>
  <c r="K68" i="122" s="1"/>
  <c r="E68" i="73"/>
  <c r="G68" i="73"/>
  <c r="G68" i="122" s="1"/>
  <c r="F68" i="73"/>
  <c r="F68" i="122" s="1"/>
  <c r="J67" i="73"/>
  <c r="L67" i="73"/>
  <c r="K67" i="73"/>
  <c r="K67" i="122" s="1"/>
  <c r="E67" i="73"/>
  <c r="G67" i="73"/>
  <c r="G67" i="122" s="1"/>
  <c r="F67" i="73"/>
  <c r="F67" i="122" s="1"/>
  <c r="E14" i="73"/>
  <c r="D18" i="100" s="1"/>
  <c r="E18" i="100" s="1"/>
  <c r="F14" i="73"/>
  <c r="F14" i="122" s="1"/>
  <c r="G14" i="73"/>
  <c r="G14" i="122" s="1"/>
  <c r="J14" i="73"/>
  <c r="J14" i="122" s="1"/>
  <c r="K14" i="73"/>
  <c r="K14" i="122" s="1"/>
  <c r="L14" i="73"/>
  <c r="L14" i="122" s="1"/>
  <c r="J72" i="73"/>
  <c r="J72" i="122" s="1"/>
  <c r="L73" i="73"/>
  <c r="L75" i="73"/>
  <c r="L74" i="73" s="1"/>
  <c r="L74" i="122" s="1"/>
  <c r="K73" i="73"/>
  <c r="K73" i="122" s="1"/>
  <c r="K75" i="73"/>
  <c r="K74" i="73" s="1"/>
  <c r="K74" i="122" s="1"/>
  <c r="E72" i="73"/>
  <c r="D22" i="101" s="1"/>
  <c r="G73" i="73"/>
  <c r="G75" i="73"/>
  <c r="G74" i="73" s="1"/>
  <c r="G74" i="122" s="1"/>
  <c r="F73" i="73"/>
  <c r="F75" i="73"/>
  <c r="E80" i="73"/>
  <c r="E80" i="122" s="1"/>
  <c r="G80" i="73"/>
  <c r="G80" i="122" s="1"/>
  <c r="F80" i="73"/>
  <c r="F80" i="122" s="1"/>
  <c r="J80" i="73"/>
  <c r="J80" i="122" s="1"/>
  <c r="L80" i="73"/>
  <c r="K80" i="73"/>
  <c r="K80" i="122" s="1"/>
  <c r="E76" i="73"/>
  <c r="E76" i="122" s="1"/>
  <c r="G77" i="73"/>
  <c r="F77" i="73"/>
  <c r="F76" i="73" s="1"/>
  <c r="F76" i="122" s="1"/>
  <c r="J76" i="73"/>
  <c r="L77" i="73"/>
  <c r="K77" i="73"/>
  <c r="J145" i="93"/>
  <c r="J148" i="93"/>
  <c r="K145" i="93"/>
  <c r="K150" i="93" s="1"/>
  <c r="K148" i="93"/>
  <c r="K153" i="93" s="1"/>
  <c r="J155" i="93"/>
  <c r="K155" i="93"/>
  <c r="E187" i="73"/>
  <c r="G187" i="73"/>
  <c r="G186" i="122" s="1"/>
  <c r="F187" i="73"/>
  <c r="J159" i="73"/>
  <c r="J159" i="122" s="1"/>
  <c r="E159" i="73"/>
  <c r="E159" i="122" s="1"/>
  <c r="J187" i="73"/>
  <c r="L187" i="73"/>
  <c r="L186" i="122" s="1"/>
  <c r="K187" i="73"/>
  <c r="K186" i="122" s="1"/>
  <c r="E188" i="73"/>
  <c r="G188" i="73"/>
  <c r="G187" i="122" s="1"/>
  <c r="F188" i="73"/>
  <c r="F187" i="122" s="1"/>
  <c r="J188" i="73"/>
  <c r="J187" i="122" s="1"/>
  <c r="L188" i="73"/>
  <c r="K188" i="73"/>
  <c r="K187" i="122" s="1"/>
  <c r="E196" i="73"/>
  <c r="E195" i="122" s="1"/>
  <c r="J197" i="73"/>
  <c r="E193" i="73"/>
  <c r="J192" i="73"/>
  <c r="E197" i="73"/>
  <c r="E196" i="122" s="1"/>
  <c r="E198" i="73"/>
  <c r="E192" i="73"/>
  <c r="E199" i="73"/>
  <c r="J198" i="73"/>
  <c r="J197" i="122" s="1"/>
  <c r="J195" i="73"/>
  <c r="J194" i="122" s="1"/>
  <c r="E195" i="73"/>
  <c r="E194" i="122" s="1"/>
  <c r="J196" i="73"/>
  <c r="J199" i="73"/>
  <c r="J193" i="73"/>
  <c r="J192" i="122" s="1"/>
  <c r="D58" i="71"/>
  <c r="C58" i="71"/>
  <c r="C57" i="71" s="1"/>
  <c r="E189" i="73" s="1"/>
  <c r="E118" i="73"/>
  <c r="J118" i="73"/>
  <c r="J10" i="73"/>
  <c r="J10" i="122" s="1"/>
  <c r="K10" i="73"/>
  <c r="K10" i="122" s="1"/>
  <c r="L10" i="73"/>
  <c r="L10" i="122" s="1"/>
  <c r="J85" i="73"/>
  <c r="J85" i="122" s="1"/>
  <c r="L85" i="73"/>
  <c r="L85" i="122" s="1"/>
  <c r="K85" i="73"/>
  <c r="K85" i="122" s="1"/>
  <c r="J96" i="73"/>
  <c r="J96" i="122" s="1"/>
  <c r="L96" i="73"/>
  <c r="L96" i="122" s="1"/>
  <c r="K96" i="73"/>
  <c r="K96" i="122" s="1"/>
  <c r="E65" i="73"/>
  <c r="G65" i="73"/>
  <c r="G65" i="122" s="1"/>
  <c r="F65" i="73"/>
  <c r="F65" i="122" s="1"/>
  <c r="J65" i="73"/>
  <c r="J65" i="122" s="1"/>
  <c r="L65" i="73"/>
  <c r="L65" i="122" s="1"/>
  <c r="K65" i="73"/>
  <c r="K65" i="122" s="1"/>
  <c r="E10" i="73"/>
  <c r="D14" i="100" s="1"/>
  <c r="E14" i="100" s="1"/>
  <c r="F10" i="73"/>
  <c r="F10" i="122" s="1"/>
  <c r="G10" i="73"/>
  <c r="G10" i="122" s="1"/>
  <c r="J25" i="73"/>
  <c r="J25" i="122" s="1"/>
  <c r="K25" i="73"/>
  <c r="K25" i="122" s="1"/>
  <c r="L25" i="73"/>
  <c r="L25" i="122" s="1"/>
  <c r="J114" i="73"/>
  <c r="E114" i="73"/>
  <c r="E113" i="73"/>
  <c r="E113" i="122" s="1"/>
  <c r="J113" i="73"/>
  <c r="J113" i="122" s="1"/>
  <c r="E96" i="73"/>
  <c r="G96" i="73"/>
  <c r="G96" i="122" s="1"/>
  <c r="F96" i="73"/>
  <c r="F96" i="122" s="1"/>
  <c r="E85" i="73"/>
  <c r="E85" i="122" s="1"/>
  <c r="G85" i="73"/>
  <c r="G85" i="122" s="1"/>
  <c r="F85" i="73"/>
  <c r="F85" i="122" s="1"/>
  <c r="E93" i="73"/>
  <c r="G93" i="73"/>
  <c r="G93" i="122" s="1"/>
  <c r="F93" i="73"/>
  <c r="F93" i="122" s="1"/>
  <c r="J93" i="73"/>
  <c r="J93" i="122" s="1"/>
  <c r="L93" i="73"/>
  <c r="L93" i="122" s="1"/>
  <c r="K93" i="73"/>
  <c r="K93" i="122" s="1"/>
  <c r="E25" i="73"/>
  <c r="F25" i="73"/>
  <c r="F25" i="122" s="1"/>
  <c r="G25" i="73"/>
  <c r="G25" i="122" s="1"/>
  <c r="E181" i="73"/>
  <c r="J84" i="73"/>
  <c r="J84" i="122" s="1"/>
  <c r="L84" i="73"/>
  <c r="L84" i="122" s="1"/>
  <c r="K84" i="73"/>
  <c r="K84" i="122" s="1"/>
  <c r="J90" i="73"/>
  <c r="J90" i="122" s="1"/>
  <c r="L90" i="73"/>
  <c r="L90" i="122" s="1"/>
  <c r="K90" i="73"/>
  <c r="K90" i="122" s="1"/>
  <c r="J162" i="73"/>
  <c r="J180" i="73"/>
  <c r="J179" i="122" s="1"/>
  <c r="J179" i="73"/>
  <c r="J178" i="122" s="1"/>
  <c r="E121" i="73"/>
  <c r="E121" i="122" s="1"/>
  <c r="J62" i="73"/>
  <c r="J62" i="122" s="1"/>
  <c r="L62" i="73"/>
  <c r="L62" i="122" s="1"/>
  <c r="K62" i="73"/>
  <c r="K62" i="122" s="1"/>
  <c r="E79" i="73"/>
  <c r="E79" i="122" s="1"/>
  <c r="G79" i="73"/>
  <c r="G79" i="122" s="1"/>
  <c r="F79" i="73"/>
  <c r="F79" i="122" s="1"/>
  <c r="E105" i="73"/>
  <c r="D55" i="101" s="1"/>
  <c r="J8" i="73"/>
  <c r="J8" i="122" s="1"/>
  <c r="K8" i="73"/>
  <c r="K8" i="122" s="1"/>
  <c r="L8" i="73"/>
  <c r="L8" i="122" s="1"/>
  <c r="J75" i="73"/>
  <c r="J75" i="122" s="1"/>
  <c r="J46" i="73"/>
  <c r="J46" i="122" s="1"/>
  <c r="K46" i="73"/>
  <c r="K46" i="122" s="1"/>
  <c r="L46" i="73"/>
  <c r="L46" i="122" s="1"/>
  <c r="J161" i="73"/>
  <c r="J161" i="122" s="1"/>
  <c r="J9" i="73"/>
  <c r="J9" i="122" s="1"/>
  <c r="K9" i="73"/>
  <c r="K9" i="122" s="1"/>
  <c r="L9" i="73"/>
  <c r="L9" i="122" s="1"/>
  <c r="E92" i="73"/>
  <c r="E92" i="122" s="1"/>
  <c r="G92" i="73"/>
  <c r="G92" i="122" s="1"/>
  <c r="F92" i="73"/>
  <c r="F92" i="122" s="1"/>
  <c r="J94" i="73"/>
  <c r="J94" i="122" s="1"/>
  <c r="L94" i="73"/>
  <c r="L94" i="122" s="1"/>
  <c r="K94" i="73"/>
  <c r="J81" i="73"/>
  <c r="J81" i="122" s="1"/>
  <c r="L81" i="73"/>
  <c r="L81" i="122" s="1"/>
  <c r="K81" i="73"/>
  <c r="K81" i="122" s="1"/>
  <c r="E174" i="73"/>
  <c r="E173" i="122" s="1"/>
  <c r="E125" i="73"/>
  <c r="E124" i="73"/>
  <c r="E124" i="122" s="1"/>
  <c r="J95" i="73"/>
  <c r="J95" i="122" s="1"/>
  <c r="L95" i="73"/>
  <c r="L95" i="122" s="1"/>
  <c r="K95" i="73"/>
  <c r="K95" i="122" s="1"/>
  <c r="E77" i="73"/>
  <c r="D27" i="101" s="1"/>
  <c r="J24" i="73"/>
  <c r="J24" i="122" s="1"/>
  <c r="J175" i="73"/>
  <c r="J174" i="122" s="1"/>
  <c r="E177" i="73"/>
  <c r="J124" i="73"/>
  <c r="J124" i="122" s="1"/>
  <c r="J122" i="73"/>
  <c r="J122" i="122" s="1"/>
  <c r="J77" i="73"/>
  <c r="E62" i="73"/>
  <c r="D12" i="101" s="1"/>
  <c r="G62" i="73"/>
  <c r="G62" i="122" s="1"/>
  <c r="F62" i="73"/>
  <c r="F62" i="122" s="1"/>
  <c r="E15" i="73"/>
  <c r="E15" i="122" s="1"/>
  <c r="F15" i="73"/>
  <c r="G15" i="73"/>
  <c r="G15" i="122" s="1"/>
  <c r="J64" i="73"/>
  <c r="J64" i="122" s="1"/>
  <c r="L64" i="73"/>
  <c r="L64" i="122" s="1"/>
  <c r="K64" i="73"/>
  <c r="K64" i="122" s="1"/>
  <c r="J177" i="73"/>
  <c r="J176" i="122" s="1"/>
  <c r="E84" i="73"/>
  <c r="E84" i="122" s="1"/>
  <c r="G84" i="73"/>
  <c r="G84" i="122" s="1"/>
  <c r="F84" i="73"/>
  <c r="F84" i="122" s="1"/>
  <c r="J121" i="73"/>
  <c r="J61" i="73"/>
  <c r="L61" i="73"/>
  <c r="L61" i="122" s="1"/>
  <c r="K61" i="73"/>
  <c r="K61" i="122" s="1"/>
  <c r="E94" i="73"/>
  <c r="E94" i="122" s="1"/>
  <c r="G94" i="73"/>
  <c r="G94" i="122" s="1"/>
  <c r="F94" i="73"/>
  <c r="F94" i="122" s="1"/>
  <c r="E108" i="73"/>
  <c r="E108" i="122" s="1"/>
  <c r="E87" i="73"/>
  <c r="D37" i="101" s="1"/>
  <c r="G87" i="73"/>
  <c r="G87" i="122" s="1"/>
  <c r="F87" i="73"/>
  <c r="F87" i="122" s="1"/>
  <c r="J176" i="73"/>
  <c r="J48" i="73"/>
  <c r="K48" i="73"/>
  <c r="K48" i="122" s="1"/>
  <c r="L48" i="73"/>
  <c r="L48" i="122" s="1"/>
  <c r="J174" i="73"/>
  <c r="J173" i="122" s="1"/>
  <c r="E71" i="73"/>
  <c r="G71" i="73"/>
  <c r="G71" i="122" s="1"/>
  <c r="F71" i="73"/>
  <c r="F71" i="122" s="1"/>
  <c r="E16" i="73"/>
  <c r="E16" i="122" s="1"/>
  <c r="F16" i="73"/>
  <c r="F16" i="122" s="1"/>
  <c r="G16" i="73"/>
  <c r="G16" i="122" s="1"/>
  <c r="E122" i="73"/>
  <c r="D72" i="101" s="1"/>
  <c r="J105" i="73"/>
  <c r="J105" i="122" s="1"/>
  <c r="J125" i="73"/>
  <c r="J125" i="122" s="1"/>
  <c r="E123" i="73"/>
  <c r="J92" i="73"/>
  <c r="J92" i="122" s="1"/>
  <c r="L92" i="73"/>
  <c r="L92" i="122" s="1"/>
  <c r="K92" i="73"/>
  <c r="K92" i="122" s="1"/>
  <c r="J86" i="73"/>
  <c r="J86" i="122" s="1"/>
  <c r="L86" i="73"/>
  <c r="L86" i="122" s="1"/>
  <c r="K86" i="73"/>
  <c r="K86" i="122" s="1"/>
  <c r="J63" i="73"/>
  <c r="L63" i="73"/>
  <c r="L63" i="122" s="1"/>
  <c r="K63" i="73"/>
  <c r="K63" i="122" s="1"/>
  <c r="E23" i="73"/>
  <c r="D27" i="100" s="1"/>
  <c r="E46" i="73"/>
  <c r="D50" i="100" s="1"/>
  <c r="E50" i="100" s="1"/>
  <c r="F46" i="73"/>
  <c r="F46" i="122" s="1"/>
  <c r="G46" i="73"/>
  <c r="G46" i="122" s="1"/>
  <c r="E180" i="73"/>
  <c r="E179" i="122" s="1"/>
  <c r="E163" i="73"/>
  <c r="D36" i="102" s="1"/>
  <c r="E47" i="73"/>
  <c r="F47" i="73"/>
  <c r="G47" i="73"/>
  <c r="G47" i="122" s="1"/>
  <c r="J11" i="73"/>
  <c r="K11" i="73"/>
  <c r="K11" i="122" s="1"/>
  <c r="L11" i="73"/>
  <c r="L11" i="122" s="1"/>
  <c r="J73" i="73"/>
  <c r="E33" i="73"/>
  <c r="E33" i="122" s="1"/>
  <c r="F33" i="73"/>
  <c r="F33" i="122" s="1"/>
  <c r="G33" i="73"/>
  <c r="G33" i="122" s="1"/>
  <c r="J17" i="73"/>
  <c r="K17" i="73"/>
  <c r="K17" i="122" s="1"/>
  <c r="L17" i="73"/>
  <c r="L17" i="122" s="1"/>
  <c r="J41" i="73"/>
  <c r="K41" i="73"/>
  <c r="K41" i="122" s="1"/>
  <c r="L41" i="73"/>
  <c r="L41" i="122" s="1"/>
  <c r="E168" i="73"/>
  <c r="D41" i="102" s="1"/>
  <c r="J99" i="73"/>
  <c r="J99" i="122" s="1"/>
  <c r="L99" i="73"/>
  <c r="L99" i="122" s="1"/>
  <c r="K99" i="73"/>
  <c r="K99" i="122" s="1"/>
  <c r="E161" i="73"/>
  <c r="E99" i="73"/>
  <c r="E99" i="122" s="1"/>
  <c r="G99" i="73"/>
  <c r="G99" i="122" s="1"/>
  <c r="F99" i="73"/>
  <c r="F99" i="122" s="1"/>
  <c r="E82" i="73"/>
  <c r="G82" i="73"/>
  <c r="G82" i="122" s="1"/>
  <c r="F82" i="73"/>
  <c r="F82" i="122" s="1"/>
  <c r="E52" i="73"/>
  <c r="D56" i="100" s="1"/>
  <c r="E56" i="100" s="1"/>
  <c r="F52" i="73"/>
  <c r="F52" i="122" s="1"/>
  <c r="G52" i="73"/>
  <c r="G52" i="122" s="1"/>
  <c r="E26" i="73"/>
  <c r="F26" i="73"/>
  <c r="F26" i="122" s="1"/>
  <c r="G26" i="73"/>
  <c r="G26" i="122" s="1"/>
  <c r="E36" i="73"/>
  <c r="E36" i="122" s="1"/>
  <c r="F36" i="73"/>
  <c r="F36" i="122" s="1"/>
  <c r="G36" i="73"/>
  <c r="G36" i="122" s="1"/>
  <c r="E45" i="73"/>
  <c r="E45" i="122" s="1"/>
  <c r="F45" i="73"/>
  <c r="F45" i="122" s="1"/>
  <c r="G45" i="73"/>
  <c r="G45" i="122" s="1"/>
  <c r="E50" i="73"/>
  <c r="F50" i="73"/>
  <c r="F50" i="122" s="1"/>
  <c r="G50" i="73"/>
  <c r="G50" i="122" s="1"/>
  <c r="J19" i="73"/>
  <c r="J19" i="122" s="1"/>
  <c r="K19" i="73"/>
  <c r="L19" i="73"/>
  <c r="L19" i="122" s="1"/>
  <c r="J31" i="73"/>
  <c r="J31" i="122" s="1"/>
  <c r="K31" i="73"/>
  <c r="K31" i="122" s="1"/>
  <c r="L31" i="73"/>
  <c r="L31" i="122" s="1"/>
  <c r="J35" i="73"/>
  <c r="K35" i="73"/>
  <c r="K35" i="122" s="1"/>
  <c r="L35" i="73"/>
  <c r="L35" i="122" s="1"/>
  <c r="J43" i="73"/>
  <c r="J43" i="122" s="1"/>
  <c r="K43" i="73"/>
  <c r="K43" i="122" s="1"/>
  <c r="L43" i="73"/>
  <c r="L43" i="122" s="1"/>
  <c r="J13" i="73"/>
  <c r="K13" i="73"/>
  <c r="K13" i="122" s="1"/>
  <c r="L13" i="73"/>
  <c r="L13" i="122" s="1"/>
  <c r="J97" i="73"/>
  <c r="L97" i="73"/>
  <c r="L97" i="122" s="1"/>
  <c r="K97" i="73"/>
  <c r="K97" i="122" s="1"/>
  <c r="E8" i="73"/>
  <c r="E8" i="122" s="1"/>
  <c r="F8" i="73"/>
  <c r="F8" i="122" s="1"/>
  <c r="G8" i="73"/>
  <c r="G8" i="122" s="1"/>
  <c r="J36" i="73"/>
  <c r="K36" i="73"/>
  <c r="K36" i="122" s="1"/>
  <c r="L36" i="73"/>
  <c r="E37" i="73"/>
  <c r="G37" i="73"/>
  <c r="G37" i="122" s="1"/>
  <c r="F37" i="73"/>
  <c r="F37" i="122" s="1"/>
  <c r="J18" i="73"/>
  <c r="J18" i="122" s="1"/>
  <c r="K18" i="73"/>
  <c r="K18" i="122" s="1"/>
  <c r="L18" i="73"/>
  <c r="L18" i="122" s="1"/>
  <c r="E61" i="73"/>
  <c r="E61" i="122" s="1"/>
  <c r="G61" i="73"/>
  <c r="G61" i="122" s="1"/>
  <c r="F61" i="73"/>
  <c r="F61" i="122" s="1"/>
  <c r="J163" i="73"/>
  <c r="J163" i="122" s="1"/>
  <c r="E83" i="73"/>
  <c r="E83" i="122" s="1"/>
  <c r="G83" i="73"/>
  <c r="G83" i="122" s="1"/>
  <c r="F83" i="73"/>
  <c r="F83" i="122" s="1"/>
  <c r="J34" i="73"/>
  <c r="J34" i="122" s="1"/>
  <c r="K34" i="73"/>
  <c r="K34" i="122" s="1"/>
  <c r="L34" i="73"/>
  <c r="L34" i="122" s="1"/>
  <c r="E41" i="73"/>
  <c r="F41" i="73"/>
  <c r="F41" i="122" s="1"/>
  <c r="G41" i="73"/>
  <c r="G41" i="122" s="1"/>
  <c r="E20" i="73"/>
  <c r="D24" i="100" s="1"/>
  <c r="F20" i="73"/>
  <c r="F20" i="122" s="1"/>
  <c r="G20" i="73"/>
  <c r="G20" i="122" s="1"/>
  <c r="J21" i="73"/>
  <c r="K21" i="73"/>
  <c r="K21" i="122" s="1"/>
  <c r="L21" i="73"/>
  <c r="L21" i="122" s="1"/>
  <c r="J32" i="73"/>
  <c r="K32" i="73"/>
  <c r="K32" i="122" s="1"/>
  <c r="L32" i="73"/>
  <c r="L32" i="122" s="1"/>
  <c r="J37" i="73"/>
  <c r="J37" i="122" s="1"/>
  <c r="L37" i="73"/>
  <c r="L37" i="122" s="1"/>
  <c r="K37" i="73"/>
  <c r="K37" i="122" s="1"/>
  <c r="J44" i="73"/>
  <c r="J44" i="122" s="1"/>
  <c r="K44" i="73"/>
  <c r="K44" i="122" s="1"/>
  <c r="L44" i="73"/>
  <c r="L44" i="122" s="1"/>
  <c r="E13" i="73"/>
  <c r="E13" i="122" s="1"/>
  <c r="F13" i="73"/>
  <c r="F13" i="122" s="1"/>
  <c r="G13" i="73"/>
  <c r="G13" i="122" s="1"/>
  <c r="J158" i="73"/>
  <c r="J158" i="122" s="1"/>
  <c r="E175" i="73"/>
  <c r="D47" i="102" s="1"/>
  <c r="E95" i="73"/>
  <c r="G95" i="73"/>
  <c r="G95" i="122" s="1"/>
  <c r="F95" i="73"/>
  <c r="F95" i="122" s="1"/>
  <c r="E9" i="73"/>
  <c r="D13" i="100" s="1"/>
  <c r="F9" i="73"/>
  <c r="F9" i="122" s="1"/>
  <c r="G9" i="73"/>
  <c r="G9" i="122" s="1"/>
  <c r="E81" i="73"/>
  <c r="G81" i="73"/>
  <c r="G81" i="122" s="1"/>
  <c r="F81" i="73"/>
  <c r="F81" i="122" s="1"/>
  <c r="E64" i="73"/>
  <c r="D14" i="101" s="1"/>
  <c r="G64" i="73"/>
  <c r="G64" i="122" s="1"/>
  <c r="F64" i="73"/>
  <c r="F64" i="122" s="1"/>
  <c r="J71" i="73"/>
  <c r="J71" i="122" s="1"/>
  <c r="L71" i="73"/>
  <c r="L71" i="122" s="1"/>
  <c r="K71" i="73"/>
  <c r="K71" i="122" s="1"/>
  <c r="E48" i="73"/>
  <c r="E48" i="122" s="1"/>
  <c r="F48" i="73"/>
  <c r="F48" i="122" s="1"/>
  <c r="G48" i="73"/>
  <c r="G48" i="122" s="1"/>
  <c r="J108" i="73"/>
  <c r="J108" i="122" s="1"/>
  <c r="E74" i="73"/>
  <c r="E44" i="73"/>
  <c r="E44" i="122" s="1"/>
  <c r="F44" i="73"/>
  <c r="F44" i="122" s="1"/>
  <c r="G44" i="73"/>
  <c r="G44" i="122" s="1"/>
  <c r="E43" i="73"/>
  <c r="F43" i="73"/>
  <c r="F43" i="122" s="1"/>
  <c r="G43" i="73"/>
  <c r="G43" i="122" s="1"/>
  <c r="E32" i="73"/>
  <c r="F32" i="73"/>
  <c r="F32" i="122" s="1"/>
  <c r="G32" i="73"/>
  <c r="G32" i="122" s="1"/>
  <c r="E34" i="73"/>
  <c r="F34" i="73"/>
  <c r="F34" i="122" s="1"/>
  <c r="G34" i="73"/>
  <c r="G34" i="122" s="1"/>
  <c r="J30" i="73"/>
  <c r="J30" i="122" s="1"/>
  <c r="K30" i="73"/>
  <c r="K30" i="122" s="1"/>
  <c r="L30" i="73"/>
  <c r="L30" i="122" s="1"/>
  <c r="J49" i="73"/>
  <c r="K49" i="73"/>
  <c r="K49" i="122" s="1"/>
  <c r="L49" i="73"/>
  <c r="L49" i="122" s="1"/>
  <c r="J87" i="73"/>
  <c r="J87" i="122" s="1"/>
  <c r="L87" i="73"/>
  <c r="K87" i="73"/>
  <c r="K87" i="122" s="1"/>
  <c r="J168" i="73"/>
  <c r="J79" i="73"/>
  <c r="L79" i="73"/>
  <c r="L79" i="122" s="1"/>
  <c r="K79" i="73"/>
  <c r="K79" i="122" s="1"/>
  <c r="E63" i="73"/>
  <c r="D13" i="101" s="1"/>
  <c r="G63" i="73"/>
  <c r="G63" i="122" s="1"/>
  <c r="F63" i="73"/>
  <c r="F63" i="122" s="1"/>
  <c r="J20" i="73"/>
  <c r="J20" i="122" s="1"/>
  <c r="K20" i="73"/>
  <c r="K20" i="122" s="1"/>
  <c r="L20" i="73"/>
  <c r="L20" i="122" s="1"/>
  <c r="E27" i="73"/>
  <c r="F27" i="73"/>
  <c r="F27" i="122" s="1"/>
  <c r="G27" i="73"/>
  <c r="G27" i="122" s="1"/>
  <c r="E49" i="73"/>
  <c r="E49" i="122" s="1"/>
  <c r="F49" i="73"/>
  <c r="G49" i="73"/>
  <c r="G49" i="122" s="1"/>
  <c r="E91" i="73"/>
  <c r="E91" i="122" s="1"/>
  <c r="G91" i="73"/>
  <c r="G91" i="122" s="1"/>
  <c r="F91" i="73"/>
  <c r="F91" i="122" s="1"/>
  <c r="E35" i="73"/>
  <c r="F35" i="73"/>
  <c r="F35" i="122" s="1"/>
  <c r="G35" i="73"/>
  <c r="G35" i="122" s="1"/>
  <c r="E30" i="73"/>
  <c r="F30" i="73"/>
  <c r="F30" i="122" s="1"/>
  <c r="G30" i="73"/>
  <c r="G30" i="122" s="1"/>
  <c r="E42" i="73"/>
  <c r="F42" i="73"/>
  <c r="F42" i="122" s="1"/>
  <c r="G42" i="73"/>
  <c r="G42" i="122" s="1"/>
  <c r="J52" i="73"/>
  <c r="K52" i="73"/>
  <c r="L52" i="73"/>
  <c r="L52" i="122" s="1"/>
  <c r="J50" i="73"/>
  <c r="J50" i="122" s="1"/>
  <c r="K50" i="73"/>
  <c r="K50" i="122" s="1"/>
  <c r="L50" i="73"/>
  <c r="L50" i="122" s="1"/>
  <c r="J82" i="73"/>
  <c r="J82" i="122" s="1"/>
  <c r="L82" i="73"/>
  <c r="L82" i="122" s="1"/>
  <c r="K82" i="73"/>
  <c r="K82" i="122" s="1"/>
  <c r="E75" i="73"/>
  <c r="J16" i="73"/>
  <c r="J16" i="122" s="1"/>
  <c r="K16" i="73"/>
  <c r="K16" i="122" s="1"/>
  <c r="L16" i="73"/>
  <c r="L16" i="122" s="1"/>
  <c r="E86" i="73"/>
  <c r="E86" i="122" s="1"/>
  <c r="G86" i="73"/>
  <c r="G86" i="122" s="1"/>
  <c r="F86" i="73"/>
  <c r="J83" i="73"/>
  <c r="L83" i="73"/>
  <c r="L83" i="122" s="1"/>
  <c r="K83" i="73"/>
  <c r="K83" i="122" s="1"/>
  <c r="E97" i="73"/>
  <c r="G97" i="73"/>
  <c r="G97" i="122" s="1"/>
  <c r="F97" i="73"/>
  <c r="F97" i="122" s="1"/>
  <c r="E78" i="73"/>
  <c r="D28" i="101" s="1"/>
  <c r="G78" i="73"/>
  <c r="G78" i="122" s="1"/>
  <c r="F78" i="73"/>
  <c r="F78" i="122" s="1"/>
  <c r="E19" i="73"/>
  <c r="F19" i="73"/>
  <c r="F19" i="122" s="1"/>
  <c r="G19" i="73"/>
  <c r="G19" i="122" s="1"/>
  <c r="E158" i="73"/>
  <c r="E158" i="122" s="1"/>
  <c r="E31" i="73"/>
  <c r="D35" i="100" s="1"/>
  <c r="F31" i="73"/>
  <c r="F31" i="122" s="1"/>
  <c r="G31" i="73"/>
  <c r="G31" i="122" s="1"/>
  <c r="E176" i="73"/>
  <c r="J47" i="73"/>
  <c r="K47" i="73"/>
  <c r="K47" i="122" s="1"/>
  <c r="L47" i="73"/>
  <c r="L47" i="122" s="1"/>
  <c r="E21" i="73"/>
  <c r="F21" i="73"/>
  <c r="F21" i="122" s="1"/>
  <c r="G21" i="73"/>
  <c r="G21" i="122" s="1"/>
  <c r="J123" i="73"/>
  <c r="J123" i="122" s="1"/>
  <c r="J23" i="73"/>
  <c r="J23" i="122" s="1"/>
  <c r="E17" i="73"/>
  <c r="D21" i="100" s="1"/>
  <c r="F17" i="73"/>
  <c r="F17" i="122" s="1"/>
  <c r="G17" i="73"/>
  <c r="G17" i="122" s="1"/>
  <c r="E70" i="73"/>
  <c r="G70" i="73"/>
  <c r="G70" i="122" s="1"/>
  <c r="F70" i="73"/>
  <c r="F70" i="122" s="1"/>
  <c r="J70" i="73"/>
  <c r="J70" i="122" s="1"/>
  <c r="L70" i="73"/>
  <c r="L70" i="122" s="1"/>
  <c r="K70" i="73"/>
  <c r="K70" i="122" s="1"/>
  <c r="J42" i="73"/>
  <c r="J42" i="122" s="1"/>
  <c r="K42" i="73"/>
  <c r="K42" i="122" s="1"/>
  <c r="L42" i="73"/>
  <c r="C37" i="70"/>
  <c r="E37" i="70" s="1"/>
  <c r="E179" i="73"/>
  <c r="J181" i="73"/>
  <c r="E90" i="73"/>
  <c r="G90" i="73"/>
  <c r="G90" i="122" s="1"/>
  <c r="F90" i="73"/>
  <c r="F90" i="122" s="1"/>
  <c r="E18" i="73"/>
  <c r="D22" i="100" s="1"/>
  <c r="E22" i="100" s="1"/>
  <c r="F18" i="73"/>
  <c r="F18" i="122" s="1"/>
  <c r="G18" i="73"/>
  <c r="G18" i="122" s="1"/>
  <c r="E73" i="73"/>
  <c r="E73" i="122" s="1"/>
  <c r="J15" i="73"/>
  <c r="J15" i="122" s="1"/>
  <c r="K15" i="73"/>
  <c r="K15" i="122" s="1"/>
  <c r="L15" i="73"/>
  <c r="L15" i="122" s="1"/>
  <c r="J26" i="73"/>
  <c r="J26" i="122" s="1"/>
  <c r="K26" i="73"/>
  <c r="K26" i="122" s="1"/>
  <c r="L26" i="73"/>
  <c r="L26" i="122" s="1"/>
  <c r="J33" i="73"/>
  <c r="J33" i="122" s="1"/>
  <c r="K33" i="73"/>
  <c r="K33" i="122" s="1"/>
  <c r="L33" i="73"/>
  <c r="L33" i="122" s="1"/>
  <c r="J45" i="73"/>
  <c r="J45" i="122" s="1"/>
  <c r="K45" i="73"/>
  <c r="K45" i="122" s="1"/>
  <c r="L45" i="73"/>
  <c r="L45" i="122" s="1"/>
  <c r="E11" i="73"/>
  <c r="F11" i="73"/>
  <c r="F11" i="122" s="1"/>
  <c r="G11" i="73"/>
  <c r="G11" i="122" s="1"/>
  <c r="J78" i="73"/>
  <c r="L78" i="73"/>
  <c r="L78" i="122" s="1"/>
  <c r="K78" i="73"/>
  <c r="K78" i="122" s="1"/>
  <c r="J91" i="73"/>
  <c r="L91" i="73"/>
  <c r="L91" i="122" s="1"/>
  <c r="K91" i="73"/>
  <c r="K91" i="122" s="1"/>
  <c r="J27" i="73"/>
  <c r="K27" i="73"/>
  <c r="K27" i="122" s="1"/>
  <c r="L27" i="73"/>
  <c r="L27" i="122" s="1"/>
  <c r="E24" i="73"/>
  <c r="D27" i="70"/>
  <c r="F27" i="70" s="1"/>
  <c r="D37" i="70"/>
  <c r="D13" i="71"/>
  <c r="C27" i="70"/>
  <c r="E28" i="73" s="1"/>
  <c r="D32" i="100" s="1"/>
  <c r="D6" i="71"/>
  <c r="D5" i="71" s="1"/>
  <c r="D78" i="71" s="1"/>
  <c r="E51" i="73"/>
  <c r="F51" i="73"/>
  <c r="F51" i="122" s="1"/>
  <c r="E66" i="73"/>
  <c r="G66" i="73"/>
  <c r="G66" i="122" s="1"/>
  <c r="F66" i="73"/>
  <c r="F66" i="122" s="1"/>
  <c r="J51" i="73"/>
  <c r="J51" i="122" s="1"/>
  <c r="J74" i="73"/>
  <c r="J74" i="122" s="1"/>
  <c r="C6" i="71"/>
  <c r="J66" i="73"/>
  <c r="J66" i="122" s="1"/>
  <c r="L66" i="73"/>
  <c r="L66" i="122" s="1"/>
  <c r="K66" i="73"/>
  <c r="K66" i="122" s="1"/>
  <c r="C13" i="71"/>
  <c r="E13" i="71" s="1"/>
  <c r="F11" i="85"/>
  <c r="F12" i="85" s="1"/>
  <c r="G11" i="85"/>
  <c r="C102" i="70"/>
  <c r="D99" i="70"/>
  <c r="J100" i="73" s="1"/>
  <c r="J100" i="122" s="1"/>
  <c r="D102" i="70"/>
  <c r="D150" i="70" s="1"/>
  <c r="C99" i="70"/>
  <c r="E99" i="70" s="1"/>
  <c r="E98" i="73"/>
  <c r="E98" i="122" s="1"/>
  <c r="J98" i="73"/>
  <c r="J98" i="122" s="1"/>
  <c r="D35" i="81"/>
  <c r="C87" i="70"/>
  <c r="E88" i="73" s="1"/>
  <c r="E88" i="122" s="1"/>
  <c r="D62" i="23"/>
  <c r="D63" i="23" s="1"/>
  <c r="D18" i="59"/>
  <c r="F62" i="69" s="1"/>
  <c r="D87" i="70"/>
  <c r="D143" i="70" s="1"/>
  <c r="D34" i="9"/>
  <c r="F16" i="69" s="1"/>
  <c r="D35" i="9"/>
  <c r="G16" i="69" s="1"/>
  <c r="H12" i="16"/>
  <c r="I12" i="16"/>
  <c r="D124" i="20"/>
  <c r="B23" i="68"/>
  <c r="E124" i="20"/>
  <c r="J108" i="20"/>
  <c r="K108" i="20"/>
  <c r="D29" i="50"/>
  <c r="D30" i="50" s="1"/>
  <c r="E29" i="50"/>
  <c r="E30" i="50" s="1"/>
  <c r="D42" i="50"/>
  <c r="D43" i="50" s="1"/>
  <c r="E42" i="50"/>
  <c r="E43" i="50" s="1"/>
  <c r="F40" i="48"/>
  <c r="D19" i="60"/>
  <c r="D20" i="60" s="1"/>
  <c r="G60" i="69" s="1"/>
  <c r="E19" i="60"/>
  <c r="D19" i="58"/>
  <c r="E19" i="58"/>
  <c r="D68" i="18"/>
  <c r="D89" i="18"/>
  <c r="D91" i="18" s="1"/>
  <c r="E89" i="18"/>
  <c r="E91" i="18" s="1"/>
  <c r="O74" i="18"/>
  <c r="O75" i="18"/>
  <c r="P75" i="18" s="1"/>
  <c r="O76" i="18"/>
  <c r="P76" i="18" s="1"/>
  <c r="O77" i="18"/>
  <c r="P77" i="18" s="1"/>
  <c r="O78" i="18"/>
  <c r="P78" i="18" s="1"/>
  <c r="O79" i="18"/>
  <c r="O80" i="18"/>
  <c r="P80" i="18" s="1"/>
  <c r="O81" i="18"/>
  <c r="P81" i="18" s="1"/>
  <c r="O82" i="18"/>
  <c r="P82" i="18" s="1"/>
  <c r="O83" i="18"/>
  <c r="P83" i="18" s="1"/>
  <c r="O84" i="18"/>
  <c r="P84" i="18" s="1"/>
  <c r="O85" i="18"/>
  <c r="P85" i="18" s="1"/>
  <c r="O86" i="18"/>
  <c r="P86" i="18" s="1"/>
  <c r="O87" i="18"/>
  <c r="O88" i="18"/>
  <c r="P88" i="18" s="1"/>
  <c r="D110" i="18"/>
  <c r="D112" i="18" s="1"/>
  <c r="E110" i="18"/>
  <c r="E112" i="18" s="1"/>
  <c r="O95" i="18"/>
  <c r="P95" i="18" s="1"/>
  <c r="O96" i="18"/>
  <c r="P96" i="18" s="1"/>
  <c r="O97" i="18"/>
  <c r="P97" i="18" s="1"/>
  <c r="O98" i="18"/>
  <c r="P98" i="18" s="1"/>
  <c r="O99" i="18"/>
  <c r="O100" i="18"/>
  <c r="P100" i="18" s="1"/>
  <c r="O101" i="18"/>
  <c r="P101" i="18" s="1"/>
  <c r="O102" i="18"/>
  <c r="P102" i="18" s="1"/>
  <c r="O103" i="18"/>
  <c r="O104" i="18"/>
  <c r="P104" i="18" s="1"/>
  <c r="O105" i="18"/>
  <c r="P105" i="18" s="1"/>
  <c r="O106" i="18"/>
  <c r="P106" i="18" s="1"/>
  <c r="O107" i="18"/>
  <c r="O108" i="18"/>
  <c r="P108" i="18" s="1"/>
  <c r="O109" i="18"/>
  <c r="P109" i="18" s="1"/>
  <c r="E18" i="17"/>
  <c r="F413" i="138" s="1"/>
  <c r="O413" i="138" s="1"/>
  <c r="G68" i="17"/>
  <c r="D89" i="17"/>
  <c r="D91" i="17" s="1"/>
  <c r="E89" i="17"/>
  <c r="E91" i="17" s="1"/>
  <c r="O74" i="17"/>
  <c r="P74" i="17" s="1"/>
  <c r="O75" i="17"/>
  <c r="O76" i="17"/>
  <c r="P76" i="17" s="1"/>
  <c r="O77" i="17"/>
  <c r="P77" i="17" s="1"/>
  <c r="O78" i="17"/>
  <c r="P78" i="17" s="1"/>
  <c r="O79" i="17"/>
  <c r="O80" i="17"/>
  <c r="P80" i="17" s="1"/>
  <c r="O81" i="17"/>
  <c r="P81" i="17" s="1"/>
  <c r="O82" i="17"/>
  <c r="P82" i="17" s="1"/>
  <c r="O83" i="17"/>
  <c r="P83" i="17" s="1"/>
  <c r="O84" i="17"/>
  <c r="P84" i="17" s="1"/>
  <c r="O85" i="17"/>
  <c r="P85" i="17" s="1"/>
  <c r="O86" i="17"/>
  <c r="P86" i="17" s="1"/>
  <c r="O87" i="17"/>
  <c r="P87" i="17" s="1"/>
  <c r="O88" i="17"/>
  <c r="P88" i="17" s="1"/>
  <c r="D110" i="17"/>
  <c r="D112" i="17" s="1"/>
  <c r="E110" i="17"/>
  <c r="E112" i="17" s="1"/>
  <c r="O95" i="17"/>
  <c r="P95" i="17" s="1"/>
  <c r="O96" i="17"/>
  <c r="P96" i="17" s="1"/>
  <c r="O97" i="17"/>
  <c r="P97" i="17" s="1"/>
  <c r="O98" i="17"/>
  <c r="P98" i="17" s="1"/>
  <c r="O99" i="17"/>
  <c r="P99" i="17" s="1"/>
  <c r="O100" i="17"/>
  <c r="P100" i="17" s="1"/>
  <c r="O101" i="17"/>
  <c r="P101" i="17" s="1"/>
  <c r="O102" i="17"/>
  <c r="P102" i="17" s="1"/>
  <c r="O103" i="17"/>
  <c r="P103" i="17" s="1"/>
  <c r="O104" i="17"/>
  <c r="P104" i="17" s="1"/>
  <c r="O105" i="17"/>
  <c r="P105" i="17" s="1"/>
  <c r="O106" i="17"/>
  <c r="P106" i="17" s="1"/>
  <c r="O107" i="17"/>
  <c r="P107" i="17" s="1"/>
  <c r="O108" i="17"/>
  <c r="P108" i="17" s="1"/>
  <c r="O109" i="17"/>
  <c r="P109" i="17" s="1"/>
  <c r="P18" i="76"/>
  <c r="O49" i="76"/>
  <c r="H214" i="76"/>
  <c r="I214" i="76"/>
  <c r="H220" i="76"/>
  <c r="I220" i="76"/>
  <c r="E236" i="76"/>
  <c r="E237" i="76" s="1"/>
  <c r="F261" i="76"/>
  <c r="D264" i="76"/>
  <c r="D265" i="76"/>
  <c r="D37" i="28"/>
  <c r="E79" i="15"/>
  <c r="E80" i="15" s="1"/>
  <c r="G13" i="69"/>
  <c r="G7" i="43"/>
  <c r="H7" i="43" s="1"/>
  <c r="G8" i="43"/>
  <c r="H8" i="43" s="1"/>
  <c r="G14" i="43"/>
  <c r="H14" i="43" s="1"/>
  <c r="G15" i="43"/>
  <c r="H15" i="43" s="1"/>
  <c r="G17" i="43"/>
  <c r="H17" i="43" s="1"/>
  <c r="H20" i="43"/>
  <c r="H22" i="43"/>
  <c r="H23" i="43"/>
  <c r="H24" i="43"/>
  <c r="H26" i="43"/>
  <c r="H25" i="43"/>
  <c r="H29" i="43"/>
  <c r="H30" i="43"/>
  <c r="D74" i="43"/>
  <c r="D79" i="43" s="1"/>
  <c r="I14" i="144"/>
  <c r="E37" i="144"/>
  <c r="K37" i="144"/>
  <c r="V48" i="67"/>
  <c r="R51" i="67"/>
  <c r="V51" i="67"/>
  <c r="E52" i="67"/>
  <c r="I52" i="67"/>
  <c r="R52" i="67"/>
  <c r="V52" i="67"/>
  <c r="V53" i="67"/>
  <c r="E54" i="67"/>
  <c r="I54" i="67"/>
  <c r="R54" i="67"/>
  <c r="V54" i="67"/>
  <c r="C23" i="68"/>
  <c r="C27" i="68" s="1"/>
  <c r="D23" i="68"/>
  <c r="D27" i="68" s="1"/>
  <c r="E23" i="68"/>
  <c r="E27" i="68" s="1"/>
  <c r="F23" i="68"/>
  <c r="G23" i="68"/>
  <c r="G27" i="68" s="1"/>
  <c r="H23" i="68"/>
  <c r="H27" i="68" s="1"/>
  <c r="I23" i="68"/>
  <c r="I27" i="68" s="1"/>
  <c r="J23" i="68"/>
  <c r="J27" i="68" s="1"/>
  <c r="B32" i="68"/>
  <c r="B34" i="68"/>
  <c r="L4" i="158"/>
  <c r="L6" i="158"/>
  <c r="L7" i="158"/>
  <c r="L8" i="158"/>
  <c r="L9" i="158"/>
  <c r="L11" i="158"/>
  <c r="L12" i="158"/>
  <c r="L15" i="158"/>
  <c r="L17" i="158"/>
  <c r="L18" i="158"/>
  <c r="L20" i="158"/>
  <c r="L21" i="158"/>
  <c r="C25" i="158"/>
  <c r="C28" i="158"/>
  <c r="D25" i="158"/>
  <c r="D28" i="158"/>
  <c r="E25" i="158"/>
  <c r="E28" i="158"/>
  <c r="F25" i="158"/>
  <c r="F28" i="158"/>
  <c r="G25" i="158"/>
  <c r="G28" i="158"/>
  <c r="H25" i="158"/>
  <c r="H28" i="158"/>
  <c r="I25" i="158"/>
  <c r="I28" i="158"/>
  <c r="J25" i="158"/>
  <c r="J28" i="158"/>
  <c r="K25" i="158"/>
  <c r="K28" i="158"/>
  <c r="L24" i="158"/>
  <c r="K34" i="158"/>
  <c r="J34" i="158"/>
  <c r="I34" i="158"/>
  <c r="H34" i="158"/>
  <c r="G34" i="158"/>
  <c r="F34" i="158"/>
  <c r="E34" i="158"/>
  <c r="D34" i="158"/>
  <c r="C34" i="158"/>
  <c r="K5" i="158"/>
  <c r="K10" i="158"/>
  <c r="K16" i="158"/>
  <c r="K19" i="158"/>
  <c r="J5" i="158"/>
  <c r="J10" i="158"/>
  <c r="J16" i="158"/>
  <c r="J19" i="158"/>
  <c r="I5" i="158"/>
  <c r="I10" i="158"/>
  <c r="I16" i="158"/>
  <c r="I19" i="158"/>
  <c r="H5" i="158"/>
  <c r="H10" i="158"/>
  <c r="H16" i="158"/>
  <c r="H22" i="158" s="1"/>
  <c r="H19" i="158"/>
  <c r="G5" i="158"/>
  <c r="G10" i="158"/>
  <c r="G16" i="158"/>
  <c r="G19" i="158"/>
  <c r="F5" i="158"/>
  <c r="F10" i="158"/>
  <c r="F16" i="158"/>
  <c r="F19" i="158"/>
  <c r="E5" i="158"/>
  <c r="E10" i="158"/>
  <c r="E16" i="158"/>
  <c r="E19" i="158"/>
  <c r="D5" i="158"/>
  <c r="D10" i="158"/>
  <c r="D16" i="158"/>
  <c r="D19" i="158"/>
  <c r="C5" i="158"/>
  <c r="C10" i="158"/>
  <c r="C16" i="158"/>
  <c r="C19" i="158"/>
  <c r="L30" i="158"/>
  <c r="L29" i="158"/>
  <c r="L27" i="158"/>
  <c r="L26" i="158"/>
  <c r="C5" i="157"/>
  <c r="C10" i="157"/>
  <c r="C16" i="157"/>
  <c r="C19" i="157"/>
  <c r="C25" i="157"/>
  <c r="C28" i="157"/>
  <c r="D5" i="157"/>
  <c r="D10" i="157"/>
  <c r="D16" i="157"/>
  <c r="D19" i="157"/>
  <c r="D25" i="157"/>
  <c r="D28" i="157"/>
  <c r="E5" i="157"/>
  <c r="E10" i="157"/>
  <c r="E16" i="157"/>
  <c r="E19" i="157"/>
  <c r="E25" i="157"/>
  <c r="E28" i="157"/>
  <c r="F5" i="157"/>
  <c r="F10" i="157"/>
  <c r="F16" i="157"/>
  <c r="F19" i="157"/>
  <c r="F25" i="157"/>
  <c r="F28" i="157"/>
  <c r="G5" i="157"/>
  <c r="G10" i="157"/>
  <c r="G16" i="157"/>
  <c r="G19" i="157"/>
  <c r="G25" i="157"/>
  <c r="G28" i="157"/>
  <c r="H5" i="157"/>
  <c r="H10" i="157"/>
  <c r="H16" i="157"/>
  <c r="H19" i="157"/>
  <c r="H25" i="157"/>
  <c r="H28" i="157"/>
  <c r="I5" i="157"/>
  <c r="I10" i="157"/>
  <c r="I16" i="157"/>
  <c r="I19" i="157"/>
  <c r="I25" i="157"/>
  <c r="I28" i="157"/>
  <c r="C34" i="157"/>
  <c r="D34" i="157"/>
  <c r="E34" i="157"/>
  <c r="F34" i="157"/>
  <c r="G34" i="157"/>
  <c r="H34" i="157"/>
  <c r="I34" i="157"/>
  <c r="F64" i="157"/>
  <c r="F63" i="157"/>
  <c r="F62" i="157"/>
  <c r="F61" i="157"/>
  <c r="F60" i="157"/>
  <c r="F59" i="157"/>
  <c r="F58" i="157"/>
  <c r="F57" i="157"/>
  <c r="F56" i="157"/>
  <c r="F55" i="157"/>
  <c r="F54" i="157"/>
  <c r="F53" i="157"/>
  <c r="F52" i="157"/>
  <c r="F51" i="157"/>
  <c r="C46" i="157"/>
  <c r="D46" i="157"/>
  <c r="E46" i="157"/>
  <c r="F45" i="157"/>
  <c r="F44" i="157"/>
  <c r="F43" i="157"/>
  <c r="F42" i="157"/>
  <c r="F41" i="157"/>
  <c r="F40" i="157"/>
  <c r="F39" i="157"/>
  <c r="J30" i="157"/>
  <c r="J29" i="157"/>
  <c r="J27" i="157"/>
  <c r="J26" i="157"/>
  <c r="J24" i="157"/>
  <c r="J21" i="157"/>
  <c r="J20" i="157"/>
  <c r="J18" i="157"/>
  <c r="J17" i="157"/>
  <c r="J15" i="157"/>
  <c r="J12" i="157"/>
  <c r="J11" i="157"/>
  <c r="J9" i="157"/>
  <c r="J8" i="157"/>
  <c r="J7" i="157"/>
  <c r="J6" i="157"/>
  <c r="J4" i="157"/>
  <c r="L39" i="18"/>
  <c r="L38" i="18"/>
  <c r="L37" i="18"/>
  <c r="L36" i="18"/>
  <c r="L35" i="18"/>
  <c r="L34" i="18"/>
  <c r="J172" i="18"/>
  <c r="J169" i="18"/>
  <c r="J166" i="18"/>
  <c r="M167" i="18"/>
  <c r="M168" i="18"/>
  <c r="M169" i="18"/>
  <c r="M170" i="18"/>
  <c r="M171" i="18"/>
  <c r="M172" i="18"/>
  <c r="M173" i="18"/>
  <c r="L167" i="18"/>
  <c r="L168" i="18"/>
  <c r="L169" i="18"/>
  <c r="L170" i="18"/>
  <c r="L171" i="18"/>
  <c r="L172" i="18"/>
  <c r="L173" i="18"/>
  <c r="L166" i="18"/>
  <c r="O34" i="18"/>
  <c r="O35" i="18"/>
  <c r="O36" i="18"/>
  <c r="O37" i="18"/>
  <c r="O38" i="18"/>
  <c r="O39" i="18"/>
  <c r="O40" i="18"/>
  <c r="N40" i="18"/>
  <c r="N39" i="18"/>
  <c r="N38" i="18"/>
  <c r="N37" i="18"/>
  <c r="N36" i="18"/>
  <c r="N35" i="18"/>
  <c r="N34" i="18"/>
  <c r="J170" i="73"/>
  <c r="L170" i="73"/>
  <c r="K170" i="73"/>
  <c r="E5" i="18"/>
  <c r="AD8" i="67"/>
  <c r="AB9" i="67"/>
  <c r="AC9" i="67"/>
  <c r="AD9" i="67"/>
  <c r="AE9" i="67"/>
  <c r="AB15" i="67"/>
  <c r="AD17" i="67"/>
  <c r="AE17" i="67"/>
  <c r="AB18" i="67"/>
  <c r="AC18" i="67"/>
  <c r="AD18" i="67"/>
  <c r="AE18" i="67"/>
  <c r="AB20" i="67"/>
  <c r="AD21" i="67"/>
  <c r="AE21" i="67"/>
  <c r="AB25" i="67"/>
  <c r="AC25" i="67"/>
  <c r="AD27" i="67"/>
  <c r="AE27" i="67"/>
  <c r="AD28" i="67"/>
  <c r="AE28" i="67"/>
  <c r="AB30" i="67"/>
  <c r="AC30" i="67"/>
  <c r="AD31" i="67"/>
  <c r="AB33" i="67"/>
  <c r="AC33" i="67"/>
  <c r="AE33" i="67"/>
  <c r="AD34" i="67"/>
  <c r="AE34" i="67"/>
  <c r="AB36" i="67"/>
  <c r="AC36" i="67"/>
  <c r="AD36" i="67"/>
  <c r="AB37" i="67"/>
  <c r="AC37" i="67"/>
  <c r="D73" i="102"/>
  <c r="E199" i="122"/>
  <c r="E57" i="71"/>
  <c r="C90" i="71"/>
  <c r="E58" i="71"/>
  <c r="H36" i="41"/>
  <c r="H37" i="41"/>
  <c r="H38" i="41"/>
  <c r="H39" i="41"/>
  <c r="H40" i="41"/>
  <c r="H41" i="41"/>
  <c r="H42" i="41"/>
  <c r="H35" i="41"/>
  <c r="H33" i="41"/>
  <c r="H27" i="41"/>
  <c r="H28" i="41"/>
  <c r="H29" i="41"/>
  <c r="H30" i="41"/>
  <c r="H31" i="41"/>
  <c r="H32" i="41"/>
  <c r="H26" i="41"/>
  <c r="E16" i="41"/>
  <c r="D16" i="41"/>
  <c r="E7" i="41"/>
  <c r="E9" i="41" s="1"/>
  <c r="E14" i="41" s="1"/>
  <c r="D7" i="41"/>
  <c r="D9" i="41" s="1"/>
  <c r="D14" i="41" s="1"/>
  <c r="E12" i="153"/>
  <c r="K55" i="65"/>
  <c r="K56" i="65"/>
  <c r="H55" i="65"/>
  <c r="H56" i="65"/>
  <c r="K37" i="65"/>
  <c r="K27" i="65"/>
  <c r="D131" i="18"/>
  <c r="D131" i="17"/>
  <c r="P8" i="68"/>
  <c r="Q8" i="68"/>
  <c r="J186" i="122"/>
  <c r="D42" i="102"/>
  <c r="E169" i="122"/>
  <c r="E43" i="41"/>
  <c r="F43" i="41"/>
  <c r="G43" i="41"/>
  <c r="D43" i="41"/>
  <c r="G40" i="155"/>
  <c r="F40" i="155"/>
  <c r="E40" i="155"/>
  <c r="D40" i="155"/>
  <c r="A23" i="155"/>
  <c r="J20" i="155"/>
  <c r="I20" i="155"/>
  <c r="H20" i="155"/>
  <c r="G20" i="155"/>
  <c r="F20" i="155"/>
  <c r="E20" i="155"/>
  <c r="D20" i="155"/>
  <c r="F119" i="37"/>
  <c r="D119" i="37"/>
  <c r="A102" i="37"/>
  <c r="F43" i="37"/>
  <c r="D43" i="37"/>
  <c r="F45" i="16"/>
  <c r="E45" i="16"/>
  <c r="D45" i="16"/>
  <c r="H160" i="17"/>
  <c r="F160" i="18"/>
  <c r="D160" i="18"/>
  <c r="L12" i="28"/>
  <c r="L22" i="28"/>
  <c r="L21" i="28"/>
  <c r="H26" i="13"/>
  <c r="E26" i="13"/>
  <c r="E8" i="148"/>
  <c r="D8" i="148"/>
  <c r="E17" i="1"/>
  <c r="G103" i="137"/>
  <c r="E52" i="154"/>
  <c r="E51" i="154"/>
  <c r="E50" i="154"/>
  <c r="E49" i="154"/>
  <c r="E48" i="154"/>
  <c r="E47" i="154"/>
  <c r="E46" i="154"/>
  <c r="E45" i="154"/>
  <c r="E44" i="154"/>
  <c r="E43" i="154"/>
  <c r="E42" i="154"/>
  <c r="E41" i="154"/>
  <c r="E40" i="154"/>
  <c r="E39" i="154"/>
  <c r="E38" i="154"/>
  <c r="E37" i="154"/>
  <c r="E36" i="154"/>
  <c r="E35" i="154"/>
  <c r="E34" i="154"/>
  <c r="E33" i="154"/>
  <c r="E32" i="154"/>
  <c r="E31" i="154"/>
  <c r="E30" i="154"/>
  <c r="A30" i="154"/>
  <c r="E18" i="154"/>
  <c r="E76" i="154"/>
  <c r="E75" i="154"/>
  <c r="E74" i="154"/>
  <c r="E73" i="154"/>
  <c r="E72" i="154"/>
  <c r="E71" i="154"/>
  <c r="E70" i="154"/>
  <c r="E69" i="154"/>
  <c r="E68" i="154"/>
  <c r="E67" i="154"/>
  <c r="E66" i="154"/>
  <c r="E65" i="154"/>
  <c r="E64" i="154"/>
  <c r="E63" i="154"/>
  <c r="E62" i="154"/>
  <c r="E61" i="154"/>
  <c r="E60" i="154"/>
  <c r="E59" i="154"/>
  <c r="E58" i="154"/>
  <c r="E57" i="154"/>
  <c r="E56" i="154"/>
  <c r="E55" i="154"/>
  <c r="E54" i="154"/>
  <c r="E28" i="154"/>
  <c r="E27" i="154"/>
  <c r="E26" i="154"/>
  <c r="E25" i="154"/>
  <c r="E24" i="154"/>
  <c r="E23" i="154"/>
  <c r="E22" i="154"/>
  <c r="E21" i="154"/>
  <c r="E20" i="154"/>
  <c r="E19" i="154"/>
  <c r="E17" i="154"/>
  <c r="E16" i="154"/>
  <c r="E15" i="154"/>
  <c r="E14" i="154"/>
  <c r="E13" i="154"/>
  <c r="E12" i="154"/>
  <c r="E11" i="154"/>
  <c r="E10" i="154"/>
  <c r="E9" i="154"/>
  <c r="E8" i="154"/>
  <c r="E7" i="154"/>
  <c r="E6" i="154"/>
  <c r="A78" i="154"/>
  <c r="A67" i="154"/>
  <c r="A56" i="154"/>
  <c r="A25" i="154"/>
  <c r="A7" i="152"/>
  <c r="A19" i="152"/>
  <c r="L7" i="16"/>
  <c r="L6" i="16"/>
  <c r="L5" i="16"/>
  <c r="D20" i="9"/>
  <c r="E15" i="9"/>
  <c r="D15" i="9"/>
  <c r="H93" i="93"/>
  <c r="I93" i="93"/>
  <c r="G93" i="93"/>
  <c r="E33" i="123"/>
  <c r="D33" i="123"/>
  <c r="E16" i="123"/>
  <c r="D16" i="123"/>
  <c r="E48" i="17"/>
  <c r="E49" i="17"/>
  <c r="E50" i="17"/>
  <c r="E51" i="17"/>
  <c r="E52" i="17"/>
  <c r="E53" i="17"/>
  <c r="I98" i="102"/>
  <c r="K23" i="44"/>
  <c r="J23" i="44"/>
  <c r="K22" i="44"/>
  <c r="J22" i="44"/>
  <c r="K20" i="44"/>
  <c r="J20" i="44"/>
  <c r="K19" i="44"/>
  <c r="J19" i="44"/>
  <c r="K18" i="44"/>
  <c r="J18" i="44"/>
  <c r="K16" i="44"/>
  <c r="J16" i="44"/>
  <c r="K15" i="44"/>
  <c r="J15" i="44"/>
  <c r="K13" i="44"/>
  <c r="J13" i="44"/>
  <c r="K12" i="44"/>
  <c r="J12" i="44"/>
  <c r="K10" i="44"/>
  <c r="J10" i="44"/>
  <c r="K9" i="44"/>
  <c r="J9" i="44"/>
  <c r="K7" i="44"/>
  <c r="J7" i="44"/>
  <c r="K6" i="44"/>
  <c r="J6" i="44"/>
  <c r="K24" i="44"/>
  <c r="J24" i="44"/>
  <c r="K21" i="44"/>
  <c r="J17" i="44"/>
  <c r="K5" i="44"/>
  <c r="J5" i="44"/>
  <c r="A21" i="145"/>
  <c r="I37" i="144"/>
  <c r="G37" i="144"/>
  <c r="A166" i="76"/>
  <c r="A225" i="76"/>
  <c r="H53" i="17"/>
  <c r="H52" i="17"/>
  <c r="H51" i="17"/>
  <c r="H50" i="17"/>
  <c r="H49" i="17"/>
  <c r="H48" i="17"/>
  <c r="H49" i="18"/>
  <c r="H50" i="18"/>
  <c r="H51" i="18"/>
  <c r="H52" i="18"/>
  <c r="H53" i="18"/>
  <c r="H48" i="18"/>
  <c r="E49" i="18"/>
  <c r="E50" i="18"/>
  <c r="E51" i="18"/>
  <c r="E52" i="18"/>
  <c r="E53" i="18"/>
  <c r="E48" i="18"/>
  <c r="J193" i="122"/>
  <c r="J198" i="122"/>
  <c r="J195" i="122"/>
  <c r="J191" i="122"/>
  <c r="D64" i="102"/>
  <c r="D68" i="102"/>
  <c r="D72" i="102"/>
  <c r="E190" i="122"/>
  <c r="E198" i="122"/>
  <c r="D92" i="71"/>
  <c r="C92" i="71"/>
  <c r="D91" i="71"/>
  <c r="C91" i="71"/>
  <c r="J114" i="122"/>
  <c r="D63" i="101"/>
  <c r="E25" i="122"/>
  <c r="D29" i="100"/>
  <c r="E29" i="100" s="1"/>
  <c r="D35" i="101"/>
  <c r="E96" i="122"/>
  <c r="D46" i="101"/>
  <c r="E117" i="122"/>
  <c r="E10" i="122"/>
  <c r="E65" i="122"/>
  <c r="D15" i="101"/>
  <c r="D62" i="102"/>
  <c r="E188" i="122"/>
  <c r="D155" i="70"/>
  <c r="C155" i="70"/>
  <c r="D154" i="70"/>
  <c r="C154" i="70"/>
  <c r="F1258" i="138"/>
  <c r="K1296" i="138" s="1"/>
  <c r="E1258" i="138"/>
  <c r="J1258" i="138" s="1"/>
  <c r="F1257" i="138"/>
  <c r="K1295" i="138" s="1"/>
  <c r="E1257" i="138"/>
  <c r="J1295" i="138" s="1"/>
  <c r="F1256" i="138"/>
  <c r="K1294" i="138" s="1"/>
  <c r="E1256" i="138"/>
  <c r="J1256" i="138" s="1"/>
  <c r="F1255" i="138"/>
  <c r="K1293" i="138" s="1"/>
  <c r="E1255" i="138"/>
  <c r="F1254" i="138"/>
  <c r="K1254" i="138" s="1"/>
  <c r="E1254" i="138"/>
  <c r="J1292" i="138" s="1"/>
  <c r="F1253" i="138"/>
  <c r="E1253" i="138"/>
  <c r="J1253" i="138" s="1"/>
  <c r="F1252" i="138"/>
  <c r="K1290" i="138" s="1"/>
  <c r="E1252" i="138"/>
  <c r="J1290" i="138" s="1"/>
  <c r="F1251" i="138"/>
  <c r="K1289" i="138" s="1"/>
  <c r="E1251" i="138"/>
  <c r="J1289" i="138" s="1"/>
  <c r="F1250" i="138"/>
  <c r="K1288" i="138" s="1"/>
  <c r="E1250" i="138"/>
  <c r="J1250" i="138" s="1"/>
  <c r="F1249" i="138"/>
  <c r="F1247" i="138"/>
  <c r="K1247" i="138" s="1"/>
  <c r="E1247" i="138"/>
  <c r="J1285" i="138" s="1"/>
  <c r="F1246" i="138"/>
  <c r="K1284" i="138" s="1"/>
  <c r="E1246" i="138"/>
  <c r="F1245" i="138"/>
  <c r="K1245" i="138" s="1"/>
  <c r="E1245" i="138"/>
  <c r="J1245" i="138" s="1"/>
  <c r="F1244" i="138"/>
  <c r="K1282" i="138" s="1"/>
  <c r="E1244" i="138"/>
  <c r="J1282" i="138" s="1"/>
  <c r="F1243" i="138"/>
  <c r="K1281" i="138" s="1"/>
  <c r="E1243" i="138"/>
  <c r="J1243" i="138" s="1"/>
  <c r="F1242" i="138"/>
  <c r="E1242" i="138"/>
  <c r="J1280" i="138" s="1"/>
  <c r="F1241" i="138"/>
  <c r="K1279" i="138" s="1"/>
  <c r="E1241" i="138"/>
  <c r="J1279" i="138" s="1"/>
  <c r="F1240" i="138"/>
  <c r="K1240" i="138" s="1"/>
  <c r="E1240" i="138"/>
  <c r="J1240" i="138" s="1"/>
  <c r="F1239" i="138"/>
  <c r="K1239" i="138" s="1"/>
  <c r="E1239" i="138"/>
  <c r="J1239" i="138" s="1"/>
  <c r="F1238" i="138"/>
  <c r="K1276" i="138" s="1"/>
  <c r="E1238" i="138"/>
  <c r="F1237" i="138"/>
  <c r="K1237" i="138" s="1"/>
  <c r="E1237" i="138"/>
  <c r="J1237" i="138" s="1"/>
  <c r="F1236" i="138"/>
  <c r="E1236" i="138"/>
  <c r="J1274" i="138" s="1"/>
  <c r="F1235" i="138"/>
  <c r="K1273" i="138" s="1"/>
  <c r="E1235" i="138"/>
  <c r="F1234" i="138"/>
  <c r="K1234" i="138" s="1"/>
  <c r="E1234" i="138"/>
  <c r="J1234" i="138" s="1"/>
  <c r="F1233" i="138"/>
  <c r="K1233" i="138" s="1"/>
  <c r="E1233" i="138"/>
  <c r="J1271" i="138" s="1"/>
  <c r="F1231" i="138"/>
  <c r="K1231" i="138" s="1"/>
  <c r="E1231" i="138"/>
  <c r="J1231" i="138" s="1"/>
  <c r="F1230" i="138"/>
  <c r="E1230" i="138"/>
  <c r="F1227" i="138"/>
  <c r="K1265" i="138" s="1"/>
  <c r="E1203" i="138"/>
  <c r="H1203" i="138" s="1"/>
  <c r="E1201" i="138"/>
  <c r="E1200" i="138"/>
  <c r="E1199" i="138"/>
  <c r="E1188" i="138"/>
  <c r="H1188" i="138" s="1"/>
  <c r="E1187" i="138"/>
  <c r="E1186" i="138"/>
  <c r="H1186" i="138" s="1"/>
  <c r="E1185" i="138"/>
  <c r="H1185" i="138" s="1"/>
  <c r="E1184" i="138"/>
  <c r="H1184" i="138" s="1"/>
  <c r="E1183" i="138"/>
  <c r="H1183" i="138" s="1"/>
  <c r="E1182" i="138"/>
  <c r="E1181" i="138"/>
  <c r="H1181" i="138" s="1"/>
  <c r="E1180" i="138"/>
  <c r="H1180" i="138" s="1"/>
  <c r="E1178" i="138"/>
  <c r="E1177" i="138"/>
  <c r="H1177" i="138" s="1"/>
  <c r="E1176" i="138"/>
  <c r="H1176" i="138" s="1"/>
  <c r="E1175" i="138"/>
  <c r="H1175" i="138" s="1"/>
  <c r="E1174" i="138"/>
  <c r="H1174" i="138" s="1"/>
  <c r="E1173" i="138"/>
  <c r="E1172" i="138"/>
  <c r="H1172" i="138" s="1"/>
  <c r="E1171" i="138"/>
  <c r="H1171" i="138" s="1"/>
  <c r="E1170" i="138"/>
  <c r="H1170" i="138" s="1"/>
  <c r="E1169" i="138"/>
  <c r="H1169" i="138" s="1"/>
  <c r="E1168" i="138"/>
  <c r="H1168" i="138" s="1"/>
  <c r="E1167" i="138"/>
  <c r="H1167" i="138" s="1"/>
  <c r="E1166" i="138"/>
  <c r="H1166" i="138" s="1"/>
  <c r="E1165" i="138"/>
  <c r="E1164" i="138"/>
  <c r="H1164" i="138" s="1"/>
  <c r="E1162" i="138"/>
  <c r="H1162" i="138" s="1"/>
  <c r="E1155" i="138"/>
  <c r="H1155" i="138" s="1"/>
  <c r="E1154" i="138"/>
  <c r="E1153" i="138"/>
  <c r="E1152" i="138"/>
  <c r="H1152" i="138" s="1"/>
  <c r="E1151" i="138"/>
  <c r="E1150" i="138"/>
  <c r="E1149" i="138"/>
  <c r="H1149" i="138" s="1"/>
  <c r="E1142" i="138"/>
  <c r="H1142" i="138" s="1"/>
  <c r="E1141" i="138"/>
  <c r="E1140" i="138"/>
  <c r="H1140" i="138" s="1"/>
  <c r="E1139" i="138"/>
  <c r="H1139" i="138" s="1"/>
  <c r="E1138" i="138"/>
  <c r="H1138" i="138" s="1"/>
  <c r="E1137" i="138"/>
  <c r="H1137" i="138" s="1"/>
  <c r="E1136" i="138"/>
  <c r="E1128" i="138"/>
  <c r="E1127" i="138"/>
  <c r="H1127" i="138" s="1"/>
  <c r="E1125" i="138"/>
  <c r="E1124" i="138"/>
  <c r="H1124" i="138" s="1"/>
  <c r="E1123" i="138"/>
  <c r="H1123" i="138" s="1"/>
  <c r="E1121" i="138"/>
  <c r="H1121" i="138" s="1"/>
  <c r="E1120" i="138"/>
  <c r="E1118" i="138"/>
  <c r="E1117" i="138"/>
  <c r="H1117" i="138" s="1"/>
  <c r="E1116" i="138"/>
  <c r="E1115" i="138"/>
  <c r="H1115" i="138" s="1"/>
  <c r="E1114" i="138"/>
  <c r="H1114" i="138" s="1"/>
  <c r="E1111" i="138"/>
  <c r="H1111" i="138" s="1"/>
  <c r="E1109" i="138"/>
  <c r="H1109" i="138" s="1"/>
  <c r="H1130" i="138" s="1"/>
  <c r="F73" i="139" s="1"/>
  <c r="E73" i="139" s="1"/>
  <c r="E1103" i="138"/>
  <c r="H1103" i="138" s="1"/>
  <c r="E1102" i="138"/>
  <c r="H1102" i="138" s="1"/>
  <c r="E1101" i="138"/>
  <c r="H1101" i="138" s="1"/>
  <c r="E1095" i="138"/>
  <c r="H1095" i="138" s="1"/>
  <c r="E1094" i="138"/>
  <c r="H1094" i="138" s="1"/>
  <c r="E1093" i="138"/>
  <c r="E1092" i="138"/>
  <c r="E1091" i="138"/>
  <c r="H1091" i="138" s="1"/>
  <c r="E1090" i="138"/>
  <c r="H1090" i="138" s="1"/>
  <c r="E1089" i="138"/>
  <c r="H1089" i="138" s="1"/>
  <c r="E1088" i="138"/>
  <c r="H1088" i="138" s="1"/>
  <c r="E1087" i="138"/>
  <c r="H1087" i="138" s="1"/>
  <c r="E1086" i="138"/>
  <c r="H1086" i="138" s="1"/>
  <c r="E1085" i="138"/>
  <c r="H1085" i="138" s="1"/>
  <c r="E1084" i="138"/>
  <c r="E1083" i="138"/>
  <c r="H1083" i="138" s="1"/>
  <c r="E1082" i="138"/>
  <c r="H1082" i="138" s="1"/>
  <c r="E1081" i="138"/>
  <c r="H1081" i="138" s="1"/>
  <c r="E1080" i="138"/>
  <c r="H1080" i="138" s="1"/>
  <c r="E1079" i="138"/>
  <c r="H1079" i="138" s="1"/>
  <c r="E1070" i="138"/>
  <c r="H1070" i="138" s="1"/>
  <c r="E1069" i="138"/>
  <c r="E1068" i="138"/>
  <c r="H1068" i="138" s="1"/>
  <c r="E1067" i="138"/>
  <c r="H1067" i="138" s="1"/>
  <c r="E1066" i="138"/>
  <c r="H1066" i="138" s="1"/>
  <c r="E1065" i="138"/>
  <c r="H1065" i="138" s="1"/>
  <c r="E1064" i="138"/>
  <c r="H1064" i="138" s="1"/>
  <c r="E1063" i="138"/>
  <c r="H1063" i="138" s="1"/>
  <c r="E1062" i="138"/>
  <c r="H1062" i="138" s="1"/>
  <c r="E1061" i="138"/>
  <c r="H1061" i="138" s="1"/>
  <c r="E1060" i="138"/>
  <c r="E1059" i="138"/>
  <c r="H1059" i="138" s="1"/>
  <c r="E1058" i="138"/>
  <c r="H1058" i="138" s="1"/>
  <c r="E1057" i="138"/>
  <c r="H1057" i="138" s="1"/>
  <c r="E1049" i="138"/>
  <c r="H1049" i="138" s="1"/>
  <c r="E1048" i="138"/>
  <c r="H1048" i="138" s="1"/>
  <c r="E1047" i="138"/>
  <c r="H1047" i="138" s="1"/>
  <c r="E1046" i="138"/>
  <c r="E1045" i="138"/>
  <c r="E1044" i="138"/>
  <c r="H1044" i="138" s="1"/>
  <c r="E1043" i="138"/>
  <c r="H1043" i="138" s="1"/>
  <c r="E1042" i="138"/>
  <c r="E1041" i="138"/>
  <c r="H1041" i="138" s="1"/>
  <c r="E1040" i="138"/>
  <c r="H1040" i="138" s="1"/>
  <c r="E1034" i="138"/>
  <c r="H1034" i="138" s="1"/>
  <c r="E1033" i="138"/>
  <c r="E1032" i="138"/>
  <c r="H1032" i="138" s="1"/>
  <c r="E1031" i="138"/>
  <c r="H1031" i="138" s="1"/>
  <c r="E1030" i="138"/>
  <c r="H1030" i="138" s="1"/>
  <c r="E1029" i="138"/>
  <c r="E1023" i="138"/>
  <c r="H1023" i="138" s="1"/>
  <c r="E1022" i="138"/>
  <c r="H1022" i="138" s="1"/>
  <c r="E1021" i="138"/>
  <c r="H1021" i="138" s="1"/>
  <c r="E1020" i="138"/>
  <c r="E1019" i="138"/>
  <c r="H1019" i="138" s="1"/>
  <c r="E1018" i="138"/>
  <c r="H1018" i="138" s="1"/>
  <c r="E1017" i="138"/>
  <c r="H1017" i="138" s="1"/>
  <c r="E1016" i="138"/>
  <c r="E1015" i="138"/>
  <c r="H1015" i="138" s="1"/>
  <c r="E1014" i="138"/>
  <c r="H1014" i="138" s="1"/>
  <c r="E1013" i="138"/>
  <c r="H1013" i="138" s="1"/>
  <c r="E1012" i="138"/>
  <c r="H1012" i="138" s="1"/>
  <c r="E1011" i="138"/>
  <c r="H1011" i="138" s="1"/>
  <c r="E1010" i="138"/>
  <c r="H1010" i="138" s="1"/>
  <c r="E1004" i="138"/>
  <c r="H1004" i="138" s="1"/>
  <c r="E1003" i="138"/>
  <c r="H1003" i="138" s="1"/>
  <c r="E1002" i="138"/>
  <c r="H1002" i="138" s="1"/>
  <c r="E1001" i="138"/>
  <c r="H1001" i="138" s="1"/>
  <c r="E1000" i="138"/>
  <c r="H1000" i="138" s="1"/>
  <c r="E999" i="138"/>
  <c r="E993" i="138"/>
  <c r="E992" i="138"/>
  <c r="E991" i="138"/>
  <c r="E990" i="138"/>
  <c r="K990" i="138" s="1"/>
  <c r="E989" i="138"/>
  <c r="K989" i="138" s="1"/>
  <c r="E988" i="138"/>
  <c r="K988" i="138" s="1"/>
  <c r="E987" i="138"/>
  <c r="K987" i="138" s="1"/>
  <c r="E981" i="138"/>
  <c r="H981" i="138" s="1"/>
  <c r="E980" i="138"/>
  <c r="E979" i="138"/>
  <c r="H979" i="138" s="1"/>
  <c r="E978" i="138"/>
  <c r="H978" i="138" s="1"/>
  <c r="E977" i="138"/>
  <c r="E975" i="138"/>
  <c r="H975" i="138" s="1"/>
  <c r="E972" i="138"/>
  <c r="H972" i="138" s="1"/>
  <c r="E966" i="138"/>
  <c r="H966" i="138" s="1"/>
  <c r="E965" i="138"/>
  <c r="E964" i="138"/>
  <c r="E963" i="138"/>
  <c r="E962" i="138"/>
  <c r="H962" i="138" s="1"/>
  <c r="E961" i="138"/>
  <c r="E955" i="138"/>
  <c r="H955" i="138" s="1"/>
  <c r="E954" i="138"/>
  <c r="H954" i="138" s="1"/>
  <c r="E953" i="138"/>
  <c r="H953" i="138" s="1"/>
  <c r="E952" i="138"/>
  <c r="H952" i="138" s="1"/>
  <c r="E951" i="138"/>
  <c r="H951" i="138" s="1"/>
  <c r="E945" i="138"/>
  <c r="H945" i="138" s="1"/>
  <c r="E944" i="138"/>
  <c r="H944" i="138" s="1"/>
  <c r="E943" i="138"/>
  <c r="H943" i="138" s="1"/>
  <c r="E942" i="138"/>
  <c r="H942" i="138" s="1"/>
  <c r="E941" i="138"/>
  <c r="H941" i="138" s="1"/>
  <c r="E940" i="138"/>
  <c r="H940" i="138" s="1"/>
  <c r="E939" i="138"/>
  <c r="E938" i="138"/>
  <c r="H938" i="138" s="1"/>
  <c r="E937" i="138"/>
  <c r="H937" i="138" s="1"/>
  <c r="E935" i="138"/>
  <c r="H935" i="138" s="1"/>
  <c r="E927" i="138"/>
  <c r="H927" i="138" s="1"/>
  <c r="E926" i="138"/>
  <c r="H926" i="138" s="1"/>
  <c r="E925" i="138"/>
  <c r="H925" i="138" s="1"/>
  <c r="E924" i="138"/>
  <c r="H924" i="138" s="1"/>
  <c r="E923" i="138"/>
  <c r="H923" i="138" s="1"/>
  <c r="E922" i="138"/>
  <c r="H922" i="138" s="1"/>
  <c r="E921" i="138"/>
  <c r="H921" i="138" s="1"/>
  <c r="E920" i="138"/>
  <c r="E919" i="138"/>
  <c r="H919" i="138" s="1"/>
  <c r="E914" i="138"/>
  <c r="K914" i="138" s="1"/>
  <c r="E913" i="138"/>
  <c r="K913" i="138" s="1"/>
  <c r="E912" i="138"/>
  <c r="K912" i="138" s="1"/>
  <c r="E911" i="138"/>
  <c r="E910" i="138"/>
  <c r="E909" i="138"/>
  <c r="K909" i="138" s="1"/>
  <c r="E908" i="138"/>
  <c r="K908" i="138" s="1"/>
  <c r="E907" i="138"/>
  <c r="E906" i="138"/>
  <c r="K906" i="138" s="1"/>
  <c r="E905" i="138"/>
  <c r="K905" i="138" s="1"/>
  <c r="E897" i="138"/>
  <c r="E895" i="138"/>
  <c r="E894" i="138"/>
  <c r="E893" i="138"/>
  <c r="E892" i="138"/>
  <c r="H892" i="138" s="1"/>
  <c r="E885" i="138"/>
  <c r="E884" i="138"/>
  <c r="I884" i="138" s="1"/>
  <c r="E883" i="138"/>
  <c r="I883" i="138" s="1"/>
  <c r="E882" i="138"/>
  <c r="I882" i="138" s="1"/>
  <c r="E881" i="138"/>
  <c r="E880" i="138"/>
  <c r="I880" i="138" s="1"/>
  <c r="E879" i="138"/>
  <c r="I879" i="138" s="1"/>
  <c r="E878" i="138"/>
  <c r="E877" i="138"/>
  <c r="E876" i="138"/>
  <c r="E871" i="138"/>
  <c r="H871" i="138" s="1"/>
  <c r="E870" i="138"/>
  <c r="H870" i="138" s="1"/>
  <c r="E869" i="138"/>
  <c r="E868" i="138"/>
  <c r="E867" i="138"/>
  <c r="H867" i="138" s="1"/>
  <c r="E866" i="138"/>
  <c r="H866" i="138" s="1"/>
  <c r="E865" i="138"/>
  <c r="H865" i="138" s="1"/>
  <c r="E858" i="138"/>
  <c r="E857" i="138"/>
  <c r="H857" i="138" s="1"/>
  <c r="E856" i="138"/>
  <c r="H856" i="138" s="1"/>
  <c r="E855" i="138"/>
  <c r="E848" i="138"/>
  <c r="H848" i="138" s="1"/>
  <c r="E847" i="138"/>
  <c r="H847" i="138" s="1"/>
  <c r="E846" i="138"/>
  <c r="H846" i="138" s="1"/>
  <c r="E845" i="138"/>
  <c r="H845" i="138" s="1"/>
  <c r="E844" i="138"/>
  <c r="H844" i="138" s="1"/>
  <c r="E843" i="138"/>
  <c r="H843" i="138" s="1"/>
  <c r="E842" i="138"/>
  <c r="H842" i="138" s="1"/>
  <c r="E841" i="138"/>
  <c r="H841" i="138" s="1"/>
  <c r="E835" i="138"/>
  <c r="H835" i="138" s="1"/>
  <c r="E834" i="138"/>
  <c r="H834" i="138" s="1"/>
  <c r="E833" i="138"/>
  <c r="H833" i="138" s="1"/>
  <c r="E832" i="138"/>
  <c r="H832" i="138" s="1"/>
  <c r="E831" i="138"/>
  <c r="H831" i="138" s="1"/>
  <c r="E830" i="138"/>
  <c r="H830" i="138" s="1"/>
  <c r="E829" i="138"/>
  <c r="H829" i="138" s="1"/>
  <c r="E828" i="138"/>
  <c r="H828" i="138" s="1"/>
  <c r="E827" i="138"/>
  <c r="E826" i="138"/>
  <c r="H826" i="138" s="1"/>
  <c r="E825" i="138"/>
  <c r="H825" i="138" s="1"/>
  <c r="E818" i="138"/>
  <c r="J818" i="138" s="1"/>
  <c r="E817" i="138"/>
  <c r="J817" i="138" s="1"/>
  <c r="E816" i="138"/>
  <c r="J816" i="138" s="1"/>
  <c r="E815" i="138"/>
  <c r="E814" i="138"/>
  <c r="J814" i="138" s="1"/>
  <c r="E813" i="138"/>
  <c r="J813" i="138" s="1"/>
  <c r="E812" i="138"/>
  <c r="J812" i="138" s="1"/>
  <c r="E811" i="138"/>
  <c r="J811" i="138" s="1"/>
  <c r="E810" i="138"/>
  <c r="J810" i="138" s="1"/>
  <c r="E809" i="138"/>
  <c r="J809" i="138" s="1"/>
  <c r="E808" i="138"/>
  <c r="J808" i="138" s="1"/>
  <c r="E807" i="138"/>
  <c r="J807" i="138" s="1"/>
  <c r="E806" i="138"/>
  <c r="J806" i="138" s="1"/>
  <c r="E804" i="138"/>
  <c r="J804" i="138" s="1"/>
  <c r="E803" i="138"/>
  <c r="J803" i="138" s="1"/>
  <c r="E802" i="138"/>
  <c r="J802" i="138" s="1"/>
  <c r="E796" i="138"/>
  <c r="H796" i="138" s="1"/>
  <c r="E795" i="138"/>
  <c r="H795" i="138" s="1"/>
  <c r="E794" i="138"/>
  <c r="H794" i="138" s="1"/>
  <c r="E793" i="138"/>
  <c r="H793" i="138" s="1"/>
  <c r="E786" i="138"/>
  <c r="H786" i="138" s="1"/>
  <c r="E785" i="138"/>
  <c r="E784" i="138"/>
  <c r="H784" i="138" s="1"/>
  <c r="E783" i="138"/>
  <c r="H783" i="138" s="1"/>
  <c r="E776" i="138"/>
  <c r="H776" i="138" s="1"/>
  <c r="E775" i="138"/>
  <c r="H775" i="138" s="1"/>
  <c r="E769" i="138"/>
  <c r="H769" i="138" s="1"/>
  <c r="E767" i="138"/>
  <c r="H767" i="138" s="1"/>
  <c r="E766" i="138"/>
  <c r="E760" i="138"/>
  <c r="H760" i="138" s="1"/>
  <c r="E759" i="138"/>
  <c r="E758" i="138"/>
  <c r="H758" i="138" s="1"/>
  <c r="E757" i="138"/>
  <c r="H757" i="138" s="1"/>
  <c r="E749" i="138"/>
  <c r="H749" i="138" s="1"/>
  <c r="E748" i="138"/>
  <c r="H748" i="138" s="1"/>
  <c r="E747" i="138"/>
  <c r="H747" i="138" s="1"/>
  <c r="E746" i="138"/>
  <c r="H746" i="138" s="1"/>
  <c r="E745" i="138"/>
  <c r="H745" i="138" s="1"/>
  <c r="E744" i="138"/>
  <c r="H744" i="138" s="1"/>
  <c r="E743" i="138"/>
  <c r="H743" i="138" s="1"/>
  <c r="E742" i="138"/>
  <c r="H742" i="138" s="1"/>
  <c r="E741" i="138"/>
  <c r="H741" i="138" s="1"/>
  <c r="E740" i="138"/>
  <c r="H740" i="138" s="1"/>
  <c r="E739" i="138"/>
  <c r="H739" i="138" s="1"/>
  <c r="E738" i="138"/>
  <c r="H738" i="138" s="1"/>
  <c r="E737" i="138"/>
  <c r="H737" i="138" s="1"/>
  <c r="E736" i="138"/>
  <c r="E735" i="138"/>
  <c r="H735" i="138" s="1"/>
  <c r="E733" i="138"/>
  <c r="E732" i="138"/>
  <c r="H732" i="138" s="1"/>
  <c r="E731" i="138"/>
  <c r="H731" i="138" s="1"/>
  <c r="E730" i="138"/>
  <c r="H730" i="138" s="1"/>
  <c r="E729" i="138"/>
  <c r="H729" i="138" s="1"/>
  <c r="E728" i="138"/>
  <c r="E727" i="138"/>
  <c r="H727" i="138" s="1"/>
  <c r="E726" i="138"/>
  <c r="H726" i="138" s="1"/>
  <c r="E725" i="138"/>
  <c r="H725" i="138" s="1"/>
  <c r="E724" i="138"/>
  <c r="H724" i="138" s="1"/>
  <c r="E723" i="138"/>
  <c r="H723" i="138" s="1"/>
  <c r="E722" i="138"/>
  <c r="H722" i="138" s="1"/>
  <c r="E721" i="138"/>
  <c r="E720" i="138"/>
  <c r="H720" i="138" s="1"/>
  <c r="E719" i="138"/>
  <c r="E712" i="138"/>
  <c r="H712" i="138" s="1"/>
  <c r="E711" i="138"/>
  <c r="H711" i="138" s="1"/>
  <c r="E710" i="138"/>
  <c r="H710" i="138" s="1"/>
  <c r="E709" i="138"/>
  <c r="E708" i="138"/>
  <c r="H708" i="138" s="1"/>
  <c r="E707" i="138"/>
  <c r="H707" i="138" s="1"/>
  <c r="E706" i="138"/>
  <c r="H706" i="138" s="1"/>
  <c r="E705" i="138"/>
  <c r="H705" i="138" s="1"/>
  <c r="E704" i="138"/>
  <c r="H704" i="138" s="1"/>
  <c r="E703" i="138"/>
  <c r="H703" i="138" s="1"/>
  <c r="F698" i="138"/>
  <c r="K698" i="138" s="1"/>
  <c r="E698" i="138"/>
  <c r="J698" i="138" s="1"/>
  <c r="F697" i="138"/>
  <c r="K697" i="138" s="1"/>
  <c r="E697" i="138"/>
  <c r="F696" i="138"/>
  <c r="K696" i="138" s="1"/>
  <c r="E696" i="138"/>
  <c r="J696" i="138" s="1"/>
  <c r="F695" i="138"/>
  <c r="K695" i="138" s="1"/>
  <c r="E695" i="138"/>
  <c r="J695" i="138" s="1"/>
  <c r="F694" i="138"/>
  <c r="K694" i="138" s="1"/>
  <c r="E694" i="138"/>
  <c r="J694" i="138" s="1"/>
  <c r="F693" i="138"/>
  <c r="K693" i="138" s="1"/>
  <c r="E693" i="138"/>
  <c r="J693" i="138" s="1"/>
  <c r="F692" i="138"/>
  <c r="E692" i="138"/>
  <c r="J692" i="138" s="1"/>
  <c r="F691" i="138"/>
  <c r="K691" i="138" s="1"/>
  <c r="E691" i="138"/>
  <c r="J691" i="138" s="1"/>
  <c r="F690" i="138"/>
  <c r="K690" i="138" s="1"/>
  <c r="E690" i="138"/>
  <c r="J690" i="138" s="1"/>
  <c r="F688" i="138"/>
  <c r="K688" i="138" s="1"/>
  <c r="E688" i="138"/>
  <c r="J688" i="138" s="1"/>
  <c r="F687" i="138"/>
  <c r="K687" i="138" s="1"/>
  <c r="E687" i="138"/>
  <c r="J687" i="138" s="1"/>
  <c r="F686" i="138"/>
  <c r="K686" i="138" s="1"/>
  <c r="E686" i="138"/>
  <c r="J686" i="138" s="1"/>
  <c r="F685" i="138"/>
  <c r="K685" i="138" s="1"/>
  <c r="E685" i="138"/>
  <c r="J685" i="138" s="1"/>
  <c r="F684" i="138"/>
  <c r="K684" i="138" s="1"/>
  <c r="E684" i="138"/>
  <c r="J684" i="138" s="1"/>
  <c r="F683" i="138"/>
  <c r="K683" i="138" s="1"/>
  <c r="E683" i="138"/>
  <c r="J683" i="138" s="1"/>
  <c r="F682" i="138"/>
  <c r="K682" i="138" s="1"/>
  <c r="E682" i="138"/>
  <c r="J682" i="138" s="1"/>
  <c r="F681" i="138"/>
  <c r="K681" i="138" s="1"/>
  <c r="E681" i="138"/>
  <c r="J681" i="138" s="1"/>
  <c r="F680" i="138"/>
  <c r="K680" i="138" s="1"/>
  <c r="E680" i="138"/>
  <c r="F679" i="138"/>
  <c r="K679" i="138" s="1"/>
  <c r="E679" i="138"/>
  <c r="J679" i="138" s="1"/>
  <c r="F678" i="138"/>
  <c r="E678" i="138"/>
  <c r="F677" i="138"/>
  <c r="K677" i="138" s="1"/>
  <c r="E677" i="138"/>
  <c r="J677" i="138" s="1"/>
  <c r="F676" i="138"/>
  <c r="K676" i="138" s="1"/>
  <c r="E676" i="138"/>
  <c r="J676" i="138" s="1"/>
  <c r="F675" i="138"/>
  <c r="K675" i="138" s="1"/>
  <c r="E675" i="138"/>
  <c r="J675" i="138" s="1"/>
  <c r="F674" i="138"/>
  <c r="E674" i="138"/>
  <c r="J674" i="138" s="1"/>
  <c r="F673" i="138"/>
  <c r="K673" i="138" s="1"/>
  <c r="E673" i="138"/>
  <c r="J673" i="138" s="1"/>
  <c r="F672" i="138"/>
  <c r="K672" i="138" s="1"/>
  <c r="E672" i="138"/>
  <c r="F671" i="138"/>
  <c r="K671" i="138" s="1"/>
  <c r="E671" i="138"/>
  <c r="J671" i="138" s="1"/>
  <c r="F670" i="138"/>
  <c r="K670" i="138" s="1"/>
  <c r="E670" i="138"/>
  <c r="F669" i="138"/>
  <c r="K669" i="138" s="1"/>
  <c r="E669" i="138"/>
  <c r="J669" i="138" s="1"/>
  <c r="F668" i="138"/>
  <c r="K668" i="138" s="1"/>
  <c r="E668" i="138"/>
  <c r="J668" i="138" s="1"/>
  <c r="E660" i="138"/>
  <c r="H660" i="138" s="1"/>
  <c r="H661" i="138" s="1"/>
  <c r="G33" i="139" s="1"/>
  <c r="E645" i="138"/>
  <c r="H645" i="138" s="1"/>
  <c r="E644" i="138"/>
  <c r="H644" i="138" s="1"/>
  <c r="E643" i="138"/>
  <c r="H643" i="138" s="1"/>
  <c r="E642" i="138"/>
  <c r="H642" i="138" s="1"/>
  <c r="E641" i="138"/>
  <c r="H641" i="138" s="1"/>
  <c r="E640" i="138"/>
  <c r="H640" i="138" s="1"/>
  <c r="E639" i="138"/>
  <c r="E638" i="138"/>
  <c r="E637" i="138"/>
  <c r="E635" i="138"/>
  <c r="H635" i="138" s="1"/>
  <c r="E634" i="138"/>
  <c r="H634" i="138" s="1"/>
  <c r="E633" i="138"/>
  <c r="H633" i="138" s="1"/>
  <c r="E632" i="138"/>
  <c r="E631" i="138"/>
  <c r="H631" i="138" s="1"/>
  <c r="E630" i="138"/>
  <c r="H630" i="138" s="1"/>
  <c r="E629" i="138"/>
  <c r="H629" i="138" s="1"/>
  <c r="E628" i="138"/>
  <c r="H628" i="138" s="1"/>
  <c r="E627" i="138"/>
  <c r="H627" i="138" s="1"/>
  <c r="E625" i="138"/>
  <c r="H625" i="138" s="1"/>
  <c r="E624" i="138"/>
  <c r="H624" i="138" s="1"/>
  <c r="E623" i="138"/>
  <c r="H623" i="138" s="1"/>
  <c r="E622" i="138"/>
  <c r="H622" i="138" s="1"/>
  <c r="E621" i="138"/>
  <c r="H621" i="138" s="1"/>
  <c r="E620" i="138"/>
  <c r="H620" i="138" s="1"/>
  <c r="E619" i="138"/>
  <c r="H619" i="138" s="1"/>
  <c r="E618" i="138"/>
  <c r="H618" i="138" s="1"/>
  <c r="E617" i="138"/>
  <c r="E609" i="138"/>
  <c r="H609" i="138" s="1"/>
  <c r="E608" i="138"/>
  <c r="H608" i="138" s="1"/>
  <c r="E607" i="138"/>
  <c r="H607" i="138" s="1"/>
  <c r="E606" i="138"/>
  <c r="H606" i="138" s="1"/>
  <c r="E605" i="138"/>
  <c r="H605" i="138" s="1"/>
  <c r="E604" i="138"/>
  <c r="H604" i="138" s="1"/>
  <c r="E603" i="138"/>
  <c r="H603" i="138" s="1"/>
  <c r="E602" i="138"/>
  <c r="H602" i="138" s="1"/>
  <c r="E601" i="138"/>
  <c r="H601" i="138" s="1"/>
  <c r="E600" i="138"/>
  <c r="H600" i="138" s="1"/>
  <c r="E595" i="138"/>
  <c r="H595" i="138" s="1"/>
  <c r="H596" i="138" s="1"/>
  <c r="H29" i="139" s="1"/>
  <c r="E590" i="138"/>
  <c r="E589" i="138"/>
  <c r="E588" i="138"/>
  <c r="H588" i="138" s="1"/>
  <c r="E587" i="138"/>
  <c r="H587" i="138" s="1"/>
  <c r="E586" i="138"/>
  <c r="E585" i="138"/>
  <c r="E584" i="138"/>
  <c r="H584" i="138" s="1"/>
  <c r="E570" i="138"/>
  <c r="H570" i="138" s="1"/>
  <c r="E569" i="138"/>
  <c r="E568" i="138"/>
  <c r="H568" i="138" s="1"/>
  <c r="E567" i="138"/>
  <c r="H567" i="138" s="1"/>
  <c r="E566" i="138"/>
  <c r="H566" i="138" s="1"/>
  <c r="E565" i="138"/>
  <c r="H565" i="138" s="1"/>
  <c r="E564" i="138"/>
  <c r="H564" i="138" s="1"/>
  <c r="E563" i="138"/>
  <c r="H563" i="138" s="1"/>
  <c r="E552" i="138"/>
  <c r="H552" i="138" s="1"/>
  <c r="E551" i="138"/>
  <c r="H551" i="138" s="1"/>
  <c r="E550" i="138"/>
  <c r="H550" i="138" s="1"/>
  <c r="E549" i="138"/>
  <c r="H549" i="138" s="1"/>
  <c r="E548" i="138"/>
  <c r="H548" i="138" s="1"/>
  <c r="E547" i="138"/>
  <c r="H547" i="138" s="1"/>
  <c r="E546" i="138"/>
  <c r="H546" i="138" s="1"/>
  <c r="E545" i="138"/>
  <c r="H545" i="138" s="1"/>
  <c r="E543" i="138"/>
  <c r="H543" i="138" s="1"/>
  <c r="E542" i="138"/>
  <c r="H542" i="138" s="1"/>
  <c r="E541" i="138"/>
  <c r="H541" i="138" s="1"/>
  <c r="E540" i="138"/>
  <c r="H540" i="138" s="1"/>
  <c r="E539" i="138"/>
  <c r="H539" i="138" s="1"/>
  <c r="E538" i="138"/>
  <c r="H538" i="138" s="1"/>
  <c r="E537" i="138"/>
  <c r="H537" i="138" s="1"/>
  <c r="E536" i="138"/>
  <c r="H536" i="138" s="1"/>
  <c r="E529" i="138"/>
  <c r="E528" i="138"/>
  <c r="E519" i="138"/>
  <c r="H519" i="138" s="1"/>
  <c r="E518" i="138"/>
  <c r="H518" i="138" s="1"/>
  <c r="E516" i="138"/>
  <c r="H516" i="138" s="1"/>
  <c r="E515" i="138"/>
  <c r="H515" i="138" s="1"/>
  <c r="E513" i="138"/>
  <c r="H513" i="138" s="1"/>
  <c r="E512" i="138"/>
  <c r="E510" i="138"/>
  <c r="H510" i="138" s="1"/>
  <c r="E509" i="138"/>
  <c r="H509" i="138" s="1"/>
  <c r="E501" i="138"/>
  <c r="E498" i="138"/>
  <c r="H498" i="138" s="1"/>
  <c r="E497" i="138"/>
  <c r="H497" i="138" s="1"/>
  <c r="E496" i="138"/>
  <c r="H496" i="138" s="1"/>
  <c r="E489" i="138"/>
  <c r="H489" i="138" s="1"/>
  <c r="E488" i="138"/>
  <c r="H488" i="138" s="1"/>
  <c r="E487" i="138"/>
  <c r="E486" i="138"/>
  <c r="E485" i="138"/>
  <c r="H485" i="138" s="1"/>
  <c r="E479" i="138"/>
  <c r="H479" i="138" s="1"/>
  <c r="E478" i="138"/>
  <c r="H478" i="138" s="1"/>
  <c r="E477" i="138"/>
  <c r="H477" i="138" s="1"/>
  <c r="E476" i="138"/>
  <c r="H476" i="138" s="1"/>
  <c r="E474" i="138"/>
  <c r="H474" i="138" s="1"/>
  <c r="E473" i="138"/>
  <c r="E472" i="138"/>
  <c r="H472" i="138" s="1"/>
  <c r="E471" i="138"/>
  <c r="H471" i="138" s="1"/>
  <c r="E470" i="138"/>
  <c r="H470" i="138" s="1"/>
  <c r="E469" i="138"/>
  <c r="E462" i="138"/>
  <c r="H462" i="138" s="1"/>
  <c r="E461" i="138"/>
  <c r="F455" i="138"/>
  <c r="M455" i="138" s="1"/>
  <c r="E455" i="138"/>
  <c r="F454" i="138"/>
  <c r="M454" i="138" s="1"/>
  <c r="E454" i="138"/>
  <c r="L454" i="138" s="1"/>
  <c r="F453" i="138"/>
  <c r="M453" i="138" s="1"/>
  <c r="E453" i="138"/>
  <c r="L453" i="138" s="1"/>
  <c r="F452" i="138"/>
  <c r="M452" i="138" s="1"/>
  <c r="E452" i="138"/>
  <c r="L452" i="138" s="1"/>
  <c r="F451" i="138"/>
  <c r="E451" i="138"/>
  <c r="F450" i="138"/>
  <c r="M450" i="138" s="1"/>
  <c r="E450" i="138"/>
  <c r="F449" i="138"/>
  <c r="M449" i="138" s="1"/>
  <c r="E449" i="138"/>
  <c r="L449" i="138" s="1"/>
  <c r="G441" i="138"/>
  <c r="N441" i="138" s="1"/>
  <c r="E441" i="138"/>
  <c r="G440" i="138"/>
  <c r="N440" i="138" s="1"/>
  <c r="E440" i="138"/>
  <c r="L440" i="138" s="1"/>
  <c r="G439" i="138"/>
  <c r="N439" i="138" s="1"/>
  <c r="E439" i="138"/>
  <c r="L439" i="138" s="1"/>
  <c r="G438" i="138"/>
  <c r="N438" i="138" s="1"/>
  <c r="E438" i="138"/>
  <c r="L438" i="138" s="1"/>
  <c r="G437" i="138"/>
  <c r="N437" i="138" s="1"/>
  <c r="E437" i="138"/>
  <c r="L437" i="138" s="1"/>
  <c r="E436" i="138"/>
  <c r="L436" i="138" s="1"/>
  <c r="G428" i="138"/>
  <c r="E428" i="138"/>
  <c r="L428" i="138" s="1"/>
  <c r="G427" i="138"/>
  <c r="N427" i="138" s="1"/>
  <c r="E427" i="138"/>
  <c r="L427" i="138" s="1"/>
  <c r="G426" i="138"/>
  <c r="N426" i="138" s="1"/>
  <c r="E426" i="138"/>
  <c r="L426" i="138" s="1"/>
  <c r="G425" i="138"/>
  <c r="E425" i="138"/>
  <c r="L425" i="138" s="1"/>
  <c r="G424" i="138"/>
  <c r="E424" i="138"/>
  <c r="L424" i="138" s="1"/>
  <c r="G423" i="138"/>
  <c r="N423" i="138" s="1"/>
  <c r="E423" i="138"/>
  <c r="L423" i="138" s="1"/>
  <c r="G415" i="138"/>
  <c r="P415" i="138" s="1"/>
  <c r="E415" i="138"/>
  <c r="N415" i="138" s="1"/>
  <c r="G414" i="138"/>
  <c r="P414" i="138" s="1"/>
  <c r="E414" i="138"/>
  <c r="N414" i="138" s="1"/>
  <c r="G413" i="138"/>
  <c r="P413" i="138" s="1"/>
  <c r="E413" i="138"/>
  <c r="N413" i="138" s="1"/>
  <c r="G411" i="138"/>
  <c r="P411" i="138" s="1"/>
  <c r="E411" i="138"/>
  <c r="N411" i="138" s="1"/>
  <c r="G403" i="138"/>
  <c r="N403" i="138" s="1"/>
  <c r="E403" i="138"/>
  <c r="L403" i="138" s="1"/>
  <c r="G402" i="138"/>
  <c r="E402" i="138"/>
  <c r="L402" i="138" s="1"/>
  <c r="G401" i="138"/>
  <c r="E401" i="138"/>
  <c r="L401" i="138" s="1"/>
  <c r="G400" i="138"/>
  <c r="E400" i="138"/>
  <c r="L400" i="138" s="1"/>
  <c r="G393" i="138"/>
  <c r="E393" i="138"/>
  <c r="L393" i="138" s="1"/>
  <c r="G392" i="138"/>
  <c r="N392" i="138" s="1"/>
  <c r="E392" i="138"/>
  <c r="L392" i="138" s="1"/>
  <c r="G391" i="138"/>
  <c r="N391" i="138" s="1"/>
  <c r="E391" i="138"/>
  <c r="L391" i="138" s="1"/>
  <c r="G390" i="138"/>
  <c r="N390" i="138" s="1"/>
  <c r="E390" i="138"/>
  <c r="L390" i="138" s="1"/>
  <c r="G389" i="138"/>
  <c r="N389" i="138" s="1"/>
  <c r="E389" i="138"/>
  <c r="L389" i="138" s="1"/>
  <c r="G388" i="138"/>
  <c r="N388" i="138" s="1"/>
  <c r="E388" i="138"/>
  <c r="L388" i="138" s="1"/>
  <c r="G380" i="138"/>
  <c r="N380" i="138" s="1"/>
  <c r="E380" i="138"/>
  <c r="L380" i="138" s="1"/>
  <c r="G379" i="138"/>
  <c r="N379" i="138" s="1"/>
  <c r="E379" i="138"/>
  <c r="L379" i="138" s="1"/>
  <c r="G378" i="138"/>
  <c r="N378" i="138" s="1"/>
  <c r="E378" i="138"/>
  <c r="L378" i="138" s="1"/>
  <c r="G377" i="138"/>
  <c r="E377" i="138"/>
  <c r="L377" i="138" s="1"/>
  <c r="G376" i="138"/>
  <c r="E376" i="138"/>
  <c r="L376" i="138" s="1"/>
  <c r="G367" i="138"/>
  <c r="E367" i="138"/>
  <c r="N367" i="138" s="1"/>
  <c r="G366" i="138"/>
  <c r="P366" i="138" s="1"/>
  <c r="E366" i="138"/>
  <c r="N366" i="138" s="1"/>
  <c r="G365" i="138"/>
  <c r="E365" i="138"/>
  <c r="N365" i="138" s="1"/>
  <c r="G363" i="138"/>
  <c r="E363" i="138"/>
  <c r="N363" i="138" s="1"/>
  <c r="E355" i="138"/>
  <c r="E354" i="138"/>
  <c r="H354" i="138" s="1"/>
  <c r="E348" i="138"/>
  <c r="E345" i="138"/>
  <c r="H345" i="138" s="1"/>
  <c r="E344" i="138"/>
  <c r="E343" i="138"/>
  <c r="H343" i="138" s="1"/>
  <c r="F338" i="138"/>
  <c r="M338" i="138" s="1"/>
  <c r="E338" i="138"/>
  <c r="L338" i="138" s="1"/>
  <c r="G337" i="138"/>
  <c r="E337" i="138"/>
  <c r="L337" i="138" s="1"/>
  <c r="G336" i="138"/>
  <c r="N336" i="138" s="1"/>
  <c r="E336" i="138"/>
  <c r="L336" i="138" s="1"/>
  <c r="G335" i="138"/>
  <c r="E335" i="138"/>
  <c r="L335" i="138" s="1"/>
  <c r="G334" i="138"/>
  <c r="N334" i="138" s="1"/>
  <c r="E334" i="138"/>
  <c r="L334" i="138" s="1"/>
  <c r="G333" i="138"/>
  <c r="E333" i="138"/>
  <c r="L333" i="138" s="1"/>
  <c r="G332" i="138"/>
  <c r="N332" i="138" s="1"/>
  <c r="E332" i="138"/>
  <c r="L332" i="138" s="1"/>
  <c r="G331" i="138"/>
  <c r="E331" i="138"/>
  <c r="L331" i="138" s="1"/>
  <c r="G330" i="138"/>
  <c r="E330" i="138"/>
  <c r="L330" i="138" s="1"/>
  <c r="G329" i="138"/>
  <c r="E329" i="138"/>
  <c r="L329" i="138" s="1"/>
  <c r="G328" i="138"/>
  <c r="E328" i="138"/>
  <c r="L328" i="138" s="1"/>
  <c r="G327" i="138"/>
  <c r="E327" i="138"/>
  <c r="L327" i="138" s="1"/>
  <c r="G326" i="138"/>
  <c r="E326" i="138"/>
  <c r="L326" i="138" s="1"/>
  <c r="G325" i="138"/>
  <c r="N325" i="138" s="1"/>
  <c r="E325" i="138"/>
  <c r="L325" i="138" s="1"/>
  <c r="G324" i="138"/>
  <c r="N324" i="138" s="1"/>
  <c r="E324" i="138"/>
  <c r="L324" i="138" s="1"/>
  <c r="G323" i="138"/>
  <c r="E323" i="138"/>
  <c r="L323" i="138" s="1"/>
  <c r="G322" i="138"/>
  <c r="N322" i="138" s="1"/>
  <c r="E322" i="138"/>
  <c r="L322" i="138" s="1"/>
  <c r="G321" i="138"/>
  <c r="N321" i="138" s="1"/>
  <c r="E321" i="138"/>
  <c r="L321" i="138" s="1"/>
  <c r="G320" i="138"/>
  <c r="N320" i="138" s="1"/>
  <c r="E320" i="138"/>
  <c r="L320" i="138" s="1"/>
  <c r="G319" i="138"/>
  <c r="E319" i="138"/>
  <c r="L319" i="138" s="1"/>
  <c r="G318" i="138"/>
  <c r="E318" i="138"/>
  <c r="L318" i="138" s="1"/>
  <c r="G317" i="138"/>
  <c r="N317" i="138" s="1"/>
  <c r="E317" i="138"/>
  <c r="L317" i="138" s="1"/>
  <c r="G316" i="138"/>
  <c r="E316" i="138"/>
  <c r="L316" i="138" s="1"/>
  <c r="G315" i="138"/>
  <c r="E315" i="138"/>
  <c r="L315" i="138" s="1"/>
  <c r="F314" i="138"/>
  <c r="M314" i="138" s="1"/>
  <c r="E314" i="138"/>
  <c r="L314" i="138" s="1"/>
  <c r="G313" i="138"/>
  <c r="E313" i="138"/>
  <c r="L313" i="138" s="1"/>
  <c r="G312" i="138"/>
  <c r="N312" i="138" s="1"/>
  <c r="E312" i="138"/>
  <c r="L312" i="138" s="1"/>
  <c r="G311" i="138"/>
  <c r="N311" i="138" s="1"/>
  <c r="E311" i="138"/>
  <c r="L311" i="138" s="1"/>
  <c r="G310" i="138"/>
  <c r="E310" i="138"/>
  <c r="L310" i="138" s="1"/>
  <c r="G309" i="138"/>
  <c r="E309" i="138"/>
  <c r="L309" i="138" s="1"/>
  <c r="G308" i="138"/>
  <c r="N308" i="138" s="1"/>
  <c r="E308" i="138"/>
  <c r="L308" i="138" s="1"/>
  <c r="G307" i="138"/>
  <c r="E307" i="138"/>
  <c r="G306" i="138"/>
  <c r="E306" i="138"/>
  <c r="L306" i="138" s="1"/>
  <c r="G305" i="138"/>
  <c r="E305" i="138"/>
  <c r="L305" i="138" s="1"/>
  <c r="G304" i="138"/>
  <c r="N304" i="138" s="1"/>
  <c r="E304" i="138"/>
  <c r="L304" i="138" s="1"/>
  <c r="G303" i="138"/>
  <c r="E303" i="138"/>
  <c r="L303" i="138" s="1"/>
  <c r="G302" i="138"/>
  <c r="E302" i="138"/>
  <c r="L302" i="138" s="1"/>
  <c r="G301" i="138"/>
  <c r="E301" i="138"/>
  <c r="L301" i="138" s="1"/>
  <c r="G300" i="138"/>
  <c r="N300" i="138" s="1"/>
  <c r="E300" i="138"/>
  <c r="L300" i="138" s="1"/>
  <c r="G299" i="138"/>
  <c r="E299" i="138"/>
  <c r="L299" i="138" s="1"/>
  <c r="G298" i="138"/>
  <c r="E298" i="138"/>
  <c r="L298" i="138" s="1"/>
  <c r="G297" i="138"/>
  <c r="E297" i="138"/>
  <c r="L297" i="138" s="1"/>
  <c r="G296" i="138"/>
  <c r="E296" i="138"/>
  <c r="L296" i="138" s="1"/>
  <c r="G295" i="138"/>
  <c r="E295" i="138"/>
  <c r="L295" i="138" s="1"/>
  <c r="G294" i="138"/>
  <c r="N294" i="138" s="1"/>
  <c r="E294" i="138"/>
  <c r="L294" i="138" s="1"/>
  <c r="G293" i="138"/>
  <c r="E293" i="138"/>
  <c r="L293" i="138" s="1"/>
  <c r="G292" i="138"/>
  <c r="N292" i="138" s="1"/>
  <c r="E292" i="138"/>
  <c r="L292" i="138" s="1"/>
  <c r="G291" i="138"/>
  <c r="E291" i="138"/>
  <c r="L291" i="138" s="1"/>
  <c r="F290" i="138"/>
  <c r="M290" i="138" s="1"/>
  <c r="E290" i="138"/>
  <c r="L290" i="138" s="1"/>
  <c r="G289" i="138"/>
  <c r="E289" i="138"/>
  <c r="L289" i="138" s="1"/>
  <c r="G288" i="138"/>
  <c r="N288" i="138" s="1"/>
  <c r="E288" i="138"/>
  <c r="L288" i="138" s="1"/>
  <c r="G287" i="138"/>
  <c r="N287" i="138" s="1"/>
  <c r="E287" i="138"/>
  <c r="L287" i="138" s="1"/>
  <c r="G286" i="138"/>
  <c r="N286" i="138" s="1"/>
  <c r="E286" i="138"/>
  <c r="L286" i="138" s="1"/>
  <c r="G285" i="138"/>
  <c r="E285" i="138"/>
  <c r="L285" i="138" s="1"/>
  <c r="G284" i="138"/>
  <c r="N284" i="138" s="1"/>
  <c r="E284" i="138"/>
  <c r="L284" i="138" s="1"/>
  <c r="G283" i="138"/>
  <c r="E283" i="138"/>
  <c r="L283" i="138" s="1"/>
  <c r="G282" i="138"/>
  <c r="E282" i="138"/>
  <c r="L282" i="138" s="1"/>
  <c r="G281" i="138"/>
  <c r="E281" i="138"/>
  <c r="L281" i="138" s="1"/>
  <c r="G280" i="138"/>
  <c r="N280" i="138" s="1"/>
  <c r="E280" i="138"/>
  <c r="L280" i="138" s="1"/>
  <c r="G279" i="138"/>
  <c r="E279" i="138"/>
  <c r="L279" i="138" s="1"/>
  <c r="G278" i="138"/>
  <c r="N278" i="138" s="1"/>
  <c r="E278" i="138"/>
  <c r="L278" i="138" s="1"/>
  <c r="G277" i="138"/>
  <c r="E277" i="138"/>
  <c r="L277" i="138" s="1"/>
  <c r="G276" i="138"/>
  <c r="E276" i="138"/>
  <c r="L276" i="138" s="1"/>
  <c r="G275" i="138"/>
  <c r="E275" i="138"/>
  <c r="L275" i="138" s="1"/>
  <c r="G274" i="138"/>
  <c r="N274" i="138" s="1"/>
  <c r="E274" i="138"/>
  <c r="L274" i="138" s="1"/>
  <c r="G273" i="138"/>
  <c r="E273" i="138"/>
  <c r="L273" i="138" s="1"/>
  <c r="G272" i="138"/>
  <c r="N272" i="138" s="1"/>
  <c r="E272" i="138"/>
  <c r="L272" i="138" s="1"/>
  <c r="G271" i="138"/>
  <c r="N271" i="138" s="1"/>
  <c r="E271" i="138"/>
  <c r="L271" i="138" s="1"/>
  <c r="G270" i="138"/>
  <c r="N270" i="138" s="1"/>
  <c r="E270" i="138"/>
  <c r="L270" i="138" s="1"/>
  <c r="G269" i="138"/>
  <c r="E269" i="138"/>
  <c r="L269" i="138" s="1"/>
  <c r="G268" i="138"/>
  <c r="N268" i="138" s="1"/>
  <c r="E268" i="138"/>
  <c r="L268" i="138" s="1"/>
  <c r="G267" i="138"/>
  <c r="E267" i="138"/>
  <c r="L267" i="138" s="1"/>
  <c r="F266" i="138"/>
  <c r="M266" i="138" s="1"/>
  <c r="E266" i="138"/>
  <c r="L266" i="138" s="1"/>
  <c r="E259" i="138"/>
  <c r="E258" i="138"/>
  <c r="H258" i="138" s="1"/>
  <c r="E257" i="138"/>
  <c r="H257" i="138" s="1"/>
  <c r="E256" i="138"/>
  <c r="H256" i="138" s="1"/>
  <c r="E255" i="138"/>
  <c r="E254" i="138"/>
  <c r="H254" i="138" s="1"/>
  <c r="E253" i="138"/>
  <c r="H253" i="138" s="1"/>
  <c r="E252" i="138"/>
  <c r="H252" i="138" s="1"/>
  <c r="E251" i="138"/>
  <c r="H251" i="138" s="1"/>
  <c r="E250" i="138"/>
  <c r="H250" i="138" s="1"/>
  <c r="E249" i="138"/>
  <c r="H249" i="138" s="1"/>
  <c r="E248" i="138"/>
  <c r="H248" i="138" s="1"/>
  <c r="E247" i="138"/>
  <c r="E246" i="138"/>
  <c r="H246" i="138" s="1"/>
  <c r="E245" i="138"/>
  <c r="H245" i="138" s="1"/>
  <c r="E244" i="138"/>
  <c r="H244" i="138" s="1"/>
  <c r="E223" i="138"/>
  <c r="H223" i="138" s="1"/>
  <c r="E209" i="138"/>
  <c r="H209" i="138" s="1"/>
  <c r="E183" i="138"/>
  <c r="H183" i="138" s="1"/>
  <c r="E56" i="138"/>
  <c r="H56" i="138" s="1"/>
  <c r="M1295" i="138"/>
  <c r="L1295" i="138"/>
  <c r="M1293" i="138"/>
  <c r="L1293" i="138"/>
  <c r="M1291" i="138"/>
  <c r="L1291" i="138"/>
  <c r="M1289" i="138"/>
  <c r="L1289" i="138"/>
  <c r="L1287" i="138"/>
  <c r="M1283" i="138"/>
  <c r="L1283" i="138"/>
  <c r="M1281" i="138"/>
  <c r="L1281" i="138"/>
  <c r="M1279" i="138"/>
  <c r="L1279" i="138"/>
  <c r="M1277" i="138"/>
  <c r="L1277" i="138"/>
  <c r="M1275" i="138"/>
  <c r="L1275" i="138"/>
  <c r="M1273" i="138"/>
  <c r="L1273" i="138"/>
  <c r="M1271" i="138"/>
  <c r="L1271" i="138"/>
  <c r="M1269" i="138"/>
  <c r="L1269" i="138"/>
  <c r="M1267" i="138"/>
  <c r="L1267" i="138"/>
  <c r="M1265" i="138"/>
  <c r="L1265" i="138"/>
  <c r="M1263" i="138"/>
  <c r="L1263" i="138"/>
  <c r="A96" i="139"/>
  <c r="A92" i="139"/>
  <c r="E88" i="139"/>
  <c r="E86" i="139"/>
  <c r="E85" i="139"/>
  <c r="E84" i="139"/>
  <c r="E83" i="139"/>
  <c r="A83" i="139"/>
  <c r="E81" i="139"/>
  <c r="E80" i="139"/>
  <c r="E79" i="139"/>
  <c r="E77" i="139"/>
  <c r="E76" i="139"/>
  <c r="A76" i="139"/>
  <c r="E75" i="139"/>
  <c r="E74" i="139"/>
  <c r="A70" i="139"/>
  <c r="E65" i="139"/>
  <c r="E64" i="139"/>
  <c r="E62" i="139"/>
  <c r="A62" i="139"/>
  <c r="E57" i="139"/>
  <c r="E56" i="139"/>
  <c r="A56" i="139"/>
  <c r="E54" i="139"/>
  <c r="E52" i="139"/>
  <c r="A51" i="139"/>
  <c r="E47" i="139"/>
  <c r="A42" i="139"/>
  <c r="E37" i="139"/>
  <c r="A37" i="139"/>
  <c r="E35" i="139"/>
  <c r="E34" i="139"/>
  <c r="E32" i="139"/>
  <c r="A31" i="139"/>
  <c r="E30" i="139"/>
  <c r="A25" i="139"/>
  <c r="E23" i="139"/>
  <c r="E22" i="139"/>
  <c r="E19" i="139"/>
  <c r="E18" i="139"/>
  <c r="A16" i="139"/>
  <c r="A12" i="139"/>
  <c r="E10" i="139"/>
  <c r="A9" i="139"/>
  <c r="L1296" i="138"/>
  <c r="L1294" i="138"/>
  <c r="L1292" i="138"/>
  <c r="A1291" i="138"/>
  <c r="M1290" i="138"/>
  <c r="L1290" i="138"/>
  <c r="L1288" i="138"/>
  <c r="M1286" i="138"/>
  <c r="L1286" i="138"/>
  <c r="L1285" i="138"/>
  <c r="M1284" i="138"/>
  <c r="M1282" i="138"/>
  <c r="L1282" i="138"/>
  <c r="M1280" i="138"/>
  <c r="L1280" i="138"/>
  <c r="M1278" i="138"/>
  <c r="L1278" i="138"/>
  <c r="A1278" i="138"/>
  <c r="M1276" i="138"/>
  <c r="M1274" i="138"/>
  <c r="M1272" i="138"/>
  <c r="L1272" i="138"/>
  <c r="M1270" i="138"/>
  <c r="M1268" i="138"/>
  <c r="L1268" i="138"/>
  <c r="M1266" i="138"/>
  <c r="M1264" i="138"/>
  <c r="A1264" i="138"/>
  <c r="M1296" i="138"/>
  <c r="M1294" i="138"/>
  <c r="M1292" i="138"/>
  <c r="M1288" i="138"/>
  <c r="M1285" i="138"/>
  <c r="A1247" i="138"/>
  <c r="L1284" i="138"/>
  <c r="L1276" i="138"/>
  <c r="L1274" i="138"/>
  <c r="L1270" i="138"/>
  <c r="L1266" i="138"/>
  <c r="A1227" i="138"/>
  <c r="L1264" i="138"/>
  <c r="A1205" i="138"/>
  <c r="H1190" i="138"/>
  <c r="A1186" i="138"/>
  <c r="A1161" i="138"/>
  <c r="A1147" i="138"/>
  <c r="A1132" i="138"/>
  <c r="A1119" i="138"/>
  <c r="A1099" i="138"/>
  <c r="A1077" i="138"/>
  <c r="A1058" i="138"/>
  <c r="A1033" i="138"/>
  <c r="A1019" i="138"/>
  <c r="A1004" i="138"/>
  <c r="A990" i="138"/>
  <c r="A970" i="138"/>
  <c r="A950" i="138"/>
  <c r="H939" i="138"/>
  <c r="A928" i="138"/>
  <c r="A909" i="138"/>
  <c r="A884" i="138"/>
  <c r="A870" i="138"/>
  <c r="A855" i="138"/>
  <c r="A849" i="138"/>
  <c r="A827" i="138"/>
  <c r="A807" i="138"/>
  <c r="A785" i="138"/>
  <c r="A766" i="138"/>
  <c r="A741" i="138"/>
  <c r="A727" i="138"/>
  <c r="A712" i="138"/>
  <c r="A699" i="138"/>
  <c r="A679" i="138"/>
  <c r="A657" i="138"/>
  <c r="A638" i="138"/>
  <c r="A613" i="138"/>
  <c r="A599" i="138"/>
  <c r="A584" i="138"/>
  <c r="A570" i="138"/>
  <c r="A550" i="138"/>
  <c r="A530" i="138"/>
  <c r="A508" i="138"/>
  <c r="A489" i="138"/>
  <c r="H465" i="138"/>
  <c r="F24" i="139" s="1"/>
  <c r="E24" i="139" s="1"/>
  <c r="A464" i="138"/>
  <c r="A450" i="138"/>
  <c r="A435" i="138"/>
  <c r="A429" i="138"/>
  <c r="A407" i="138"/>
  <c r="A387" i="138"/>
  <c r="A365" i="138"/>
  <c r="A346" i="138"/>
  <c r="A321" i="138"/>
  <c r="A307" i="138"/>
  <c r="A292" i="138"/>
  <c r="A279" i="138"/>
  <c r="A259" i="138"/>
  <c r="A237" i="138"/>
  <c r="A218" i="138"/>
  <c r="A193" i="138"/>
  <c r="A179" i="138"/>
  <c r="A164" i="138"/>
  <c r="A150" i="138"/>
  <c r="A130" i="138"/>
  <c r="A110" i="138"/>
  <c r="A86" i="138"/>
  <c r="A67" i="138"/>
  <c r="A41" i="138"/>
  <c r="A27" i="138"/>
  <c r="A12" i="138"/>
  <c r="H5" i="138"/>
  <c r="R2" i="138"/>
  <c r="K2" i="138"/>
  <c r="N1" i="138"/>
  <c r="M1287" i="138"/>
  <c r="N110" i="17"/>
  <c r="M110" i="17"/>
  <c r="L110" i="17"/>
  <c r="K110" i="17"/>
  <c r="J110" i="17"/>
  <c r="I110" i="17"/>
  <c r="O90" i="17"/>
  <c r="P90" i="17" s="1"/>
  <c r="N89" i="17"/>
  <c r="M89" i="17"/>
  <c r="L89" i="17"/>
  <c r="K89" i="17"/>
  <c r="J89" i="17"/>
  <c r="I89" i="17"/>
  <c r="P79" i="17"/>
  <c r="I110" i="18"/>
  <c r="J110" i="18"/>
  <c r="K110" i="18"/>
  <c r="L110" i="18"/>
  <c r="M110" i="18"/>
  <c r="N110" i="18"/>
  <c r="P99" i="18"/>
  <c r="P103" i="18"/>
  <c r="P107" i="18"/>
  <c r="J89" i="18"/>
  <c r="K89" i="18"/>
  <c r="L89" i="18"/>
  <c r="M89" i="18"/>
  <c r="N89" i="18"/>
  <c r="I89" i="18"/>
  <c r="P79" i="18"/>
  <c r="P87" i="18"/>
  <c r="P74" i="18"/>
  <c r="G16" i="18"/>
  <c r="H363" i="138" s="1"/>
  <c r="Q363" i="138" s="1"/>
  <c r="H128" i="137"/>
  <c r="G125" i="137"/>
  <c r="G431" i="137"/>
  <c r="G169" i="137"/>
  <c r="G153" i="137"/>
  <c r="G137" i="137"/>
  <c r="G135" i="137"/>
  <c r="G134" i="137" s="1"/>
  <c r="H18" i="137"/>
  <c r="H39" i="137"/>
  <c r="H51" i="137"/>
  <c r="H85" i="137"/>
  <c r="H97" i="137"/>
  <c r="H107" i="137"/>
  <c r="H119" i="137"/>
  <c r="H135" i="137"/>
  <c r="H134" i="137" s="1"/>
  <c r="H169" i="137"/>
  <c r="H187" i="137"/>
  <c r="H197" i="137"/>
  <c r="H207" i="137"/>
  <c r="H216" i="137"/>
  <c r="H225" i="137"/>
  <c r="H241" i="137"/>
  <c r="H253" i="137"/>
  <c r="H261" i="137"/>
  <c r="H271" i="137"/>
  <c r="H282" i="137"/>
  <c r="H291" i="137"/>
  <c r="H299" i="137"/>
  <c r="H310" i="137"/>
  <c r="H322" i="137"/>
  <c r="H332" i="137"/>
  <c r="H344" i="137"/>
  <c r="H345" i="137"/>
  <c r="H353" i="137"/>
  <c r="H354" i="137"/>
  <c r="H368" i="137"/>
  <c r="H369" i="137"/>
  <c r="H387" i="137"/>
  <c r="H388" i="137"/>
  <c r="H393" i="137"/>
  <c r="H394" i="137"/>
  <c r="H395" i="137"/>
  <c r="H396" i="137"/>
  <c r="H397" i="137"/>
  <c r="H398" i="137"/>
  <c r="H399" i="137"/>
  <c r="H400" i="137"/>
  <c r="H401" i="137"/>
  <c r="H402" i="137"/>
  <c r="H403" i="137"/>
  <c r="H404" i="137"/>
  <c r="H405" i="137"/>
  <c r="H406" i="137"/>
  <c r="H409" i="137"/>
  <c r="G409" i="137"/>
  <c r="G354" i="137"/>
  <c r="G345" i="137"/>
  <c r="G322" i="137"/>
  <c r="G253" i="137"/>
  <c r="G51" i="137"/>
  <c r="G282" i="137"/>
  <c r="G66" i="137"/>
  <c r="G394" i="137"/>
  <c r="G395" i="137"/>
  <c r="G396" i="137"/>
  <c r="G397" i="137"/>
  <c r="G398" i="137"/>
  <c r="G399" i="137"/>
  <c r="G400" i="137"/>
  <c r="G401" i="137"/>
  <c r="G402" i="137"/>
  <c r="G403" i="137"/>
  <c r="G404" i="137"/>
  <c r="G405" i="137"/>
  <c r="G406" i="137"/>
  <c r="G393" i="137"/>
  <c r="G299" i="137"/>
  <c r="G39" i="137"/>
  <c r="G19" i="137"/>
  <c r="G18" i="137"/>
  <c r="G344" i="137"/>
  <c r="G332" i="137"/>
  <c r="G310" i="137"/>
  <c r="G291" i="137"/>
  <c r="G271" i="137"/>
  <c r="G261" i="137"/>
  <c r="G241" i="137"/>
  <c r="G225" i="137"/>
  <c r="G216" i="137"/>
  <c r="G207" i="137"/>
  <c r="G197" i="137"/>
  <c r="G187" i="137"/>
  <c r="G79" i="137"/>
  <c r="F3" i="39"/>
  <c r="F20" i="136"/>
  <c r="F31" i="136"/>
  <c r="F62" i="136"/>
  <c r="M62" i="136"/>
  <c r="L62" i="136"/>
  <c r="K62" i="136"/>
  <c r="J62" i="136"/>
  <c r="I62" i="136"/>
  <c r="H62" i="136"/>
  <c r="H31" i="136"/>
  <c r="I31" i="136"/>
  <c r="J31" i="136"/>
  <c r="K31" i="136"/>
  <c r="L31" i="136"/>
  <c r="M31" i="136"/>
  <c r="M20" i="136"/>
  <c r="L20" i="136"/>
  <c r="K20" i="136"/>
  <c r="J20" i="136"/>
  <c r="I20" i="136"/>
  <c r="H20" i="136"/>
  <c r="M51" i="136"/>
  <c r="L51" i="136"/>
  <c r="K51" i="136"/>
  <c r="J51" i="136"/>
  <c r="I51" i="136"/>
  <c r="H51" i="136"/>
  <c r="F51" i="136"/>
  <c r="M82" i="136"/>
  <c r="L82" i="136"/>
  <c r="K82" i="136"/>
  <c r="J82" i="136"/>
  <c r="I82" i="136"/>
  <c r="H82" i="136"/>
  <c r="F82" i="136"/>
  <c r="M102" i="136"/>
  <c r="L102" i="136"/>
  <c r="K102" i="136"/>
  <c r="J102" i="136"/>
  <c r="I102" i="136"/>
  <c r="H102" i="136"/>
  <c r="F102" i="136"/>
  <c r="M142" i="136"/>
  <c r="L142" i="136"/>
  <c r="K142" i="136"/>
  <c r="J142" i="136"/>
  <c r="I142" i="136"/>
  <c r="H142" i="136"/>
  <c r="F142" i="136"/>
  <c r="A114" i="136"/>
  <c r="H122" i="136"/>
  <c r="I122" i="136"/>
  <c r="J122" i="136"/>
  <c r="K122" i="136"/>
  <c r="L122" i="136"/>
  <c r="M122" i="136"/>
  <c r="F122" i="136"/>
  <c r="N132" i="136"/>
  <c r="O132" i="136" s="1"/>
  <c r="N141" i="136"/>
  <c r="O141" i="136" s="1"/>
  <c r="N140" i="136"/>
  <c r="O140" i="136" s="1"/>
  <c r="N139" i="136"/>
  <c r="O139" i="136" s="1"/>
  <c r="N138" i="136"/>
  <c r="O138" i="136" s="1"/>
  <c r="N137" i="136"/>
  <c r="O137" i="136" s="1"/>
  <c r="N136" i="136"/>
  <c r="O136" i="136" s="1"/>
  <c r="N135" i="136"/>
  <c r="O135" i="136" s="1"/>
  <c r="N134" i="136"/>
  <c r="O134" i="136" s="1"/>
  <c r="N133" i="136"/>
  <c r="O133" i="136" s="1"/>
  <c r="N121" i="136"/>
  <c r="O121" i="136" s="1"/>
  <c r="N120" i="136"/>
  <c r="O120" i="136" s="1"/>
  <c r="N119" i="136"/>
  <c r="O119" i="136" s="1"/>
  <c r="N118" i="136"/>
  <c r="O118" i="136" s="1"/>
  <c r="N117" i="136"/>
  <c r="O117" i="136" s="1"/>
  <c r="N116" i="136"/>
  <c r="O116" i="136" s="1"/>
  <c r="N115" i="136"/>
  <c r="O115" i="136" s="1"/>
  <c r="N114" i="136"/>
  <c r="O114" i="136" s="1"/>
  <c r="N113" i="136"/>
  <c r="O113" i="136" s="1"/>
  <c r="N112" i="136"/>
  <c r="O112" i="136" s="1"/>
  <c r="N101" i="136"/>
  <c r="O101" i="136" s="1"/>
  <c r="N100" i="136"/>
  <c r="O100" i="136" s="1"/>
  <c r="N99" i="136"/>
  <c r="O99" i="136" s="1"/>
  <c r="N98" i="136"/>
  <c r="O98" i="136" s="1"/>
  <c r="N97" i="136"/>
  <c r="O97" i="136" s="1"/>
  <c r="N96" i="136"/>
  <c r="O96" i="136" s="1"/>
  <c r="N95" i="136"/>
  <c r="O95" i="136" s="1"/>
  <c r="N94" i="136"/>
  <c r="O94" i="136" s="1"/>
  <c r="N93" i="136"/>
  <c r="N92" i="136"/>
  <c r="O92" i="136" s="1"/>
  <c r="N81" i="136"/>
  <c r="O81" i="136" s="1"/>
  <c r="N80" i="136"/>
  <c r="O80" i="136" s="1"/>
  <c r="N79" i="136"/>
  <c r="O79" i="136" s="1"/>
  <c r="N78" i="136"/>
  <c r="O78" i="136" s="1"/>
  <c r="N77" i="136"/>
  <c r="O77" i="136" s="1"/>
  <c r="N76" i="136"/>
  <c r="O76" i="136" s="1"/>
  <c r="N75" i="136"/>
  <c r="O75" i="136" s="1"/>
  <c r="N74" i="136"/>
  <c r="O74" i="136" s="1"/>
  <c r="N73" i="136"/>
  <c r="O73" i="136" s="1"/>
  <c r="N72" i="136"/>
  <c r="O72" i="136" s="1"/>
  <c r="N61" i="136"/>
  <c r="O61" i="136" s="1"/>
  <c r="N60" i="136"/>
  <c r="O60" i="136" s="1"/>
  <c r="N59" i="136"/>
  <c r="O59" i="136" s="1"/>
  <c r="N58" i="136"/>
  <c r="N57" i="136"/>
  <c r="O57" i="136" s="1"/>
  <c r="N50" i="136"/>
  <c r="O50" i="136" s="1"/>
  <c r="N49" i="136"/>
  <c r="O49" i="136" s="1"/>
  <c r="N48" i="136"/>
  <c r="O48" i="136" s="1"/>
  <c r="N47" i="136"/>
  <c r="O47" i="136" s="1"/>
  <c r="N46" i="136"/>
  <c r="O46" i="136" s="1"/>
  <c r="N45" i="136"/>
  <c r="O45" i="136" s="1"/>
  <c r="N44" i="136"/>
  <c r="O44" i="136" s="1"/>
  <c r="N43" i="136"/>
  <c r="O43" i="136" s="1"/>
  <c r="N42" i="136"/>
  <c r="O42" i="136" s="1"/>
  <c r="N41" i="136"/>
  <c r="N30" i="136"/>
  <c r="O30" i="136" s="1"/>
  <c r="N29" i="136"/>
  <c r="O29" i="136" s="1"/>
  <c r="N28" i="136"/>
  <c r="O28" i="136" s="1"/>
  <c r="N27" i="136"/>
  <c r="O27" i="136" s="1"/>
  <c r="N26" i="136"/>
  <c r="A137" i="136"/>
  <c r="A98" i="136"/>
  <c r="A70" i="136"/>
  <c r="A58" i="136"/>
  <c r="A44" i="136"/>
  <c r="A26" i="136"/>
  <c r="A10" i="136"/>
  <c r="N11" i="136"/>
  <c r="O11" i="136" s="1"/>
  <c r="N12" i="136"/>
  <c r="O12" i="136" s="1"/>
  <c r="N13" i="136"/>
  <c r="O13" i="136" s="1"/>
  <c r="N14" i="136"/>
  <c r="O14" i="136"/>
  <c r="N15" i="136"/>
  <c r="O15" i="136" s="1"/>
  <c r="N16" i="136"/>
  <c r="O16" i="136" s="1"/>
  <c r="N17" i="136"/>
  <c r="O17" i="136" s="1"/>
  <c r="N18" i="136"/>
  <c r="O18" i="136" s="1"/>
  <c r="N19" i="136"/>
  <c r="O19" i="136" s="1"/>
  <c r="N10" i="136"/>
  <c r="O10" i="136" s="1"/>
  <c r="A179" i="39"/>
  <c r="E4" i="39"/>
  <c r="E3" i="39"/>
  <c r="E2" i="39"/>
  <c r="J166" i="17"/>
  <c r="J169" i="17"/>
  <c r="J171" i="17"/>
  <c r="E35" i="16"/>
  <c r="E36" i="16" s="1"/>
  <c r="G20" i="18"/>
  <c r="H367" i="138" s="1"/>
  <c r="Q367" i="138" s="1"/>
  <c r="G19" i="18"/>
  <c r="H366" i="138" s="1"/>
  <c r="Q366" i="138" s="1"/>
  <c r="G18" i="18"/>
  <c r="H365" i="138" s="1"/>
  <c r="Q365" i="138" s="1"/>
  <c r="G5" i="18"/>
  <c r="G9" i="18"/>
  <c r="G8" i="18"/>
  <c r="G7" i="18"/>
  <c r="G109" i="18"/>
  <c r="G96" i="17"/>
  <c r="G97" i="17"/>
  <c r="G98" i="17"/>
  <c r="G99" i="17"/>
  <c r="G100" i="17"/>
  <c r="G101" i="17"/>
  <c r="G102" i="17"/>
  <c r="G103" i="17"/>
  <c r="G104" i="17"/>
  <c r="G105" i="17"/>
  <c r="G106" i="17"/>
  <c r="G107" i="17"/>
  <c r="G108" i="17"/>
  <c r="G109" i="17"/>
  <c r="G95" i="17"/>
  <c r="G75" i="17"/>
  <c r="G76" i="17"/>
  <c r="G77" i="17"/>
  <c r="G78" i="17"/>
  <c r="G79" i="17"/>
  <c r="G80" i="17"/>
  <c r="G81" i="17"/>
  <c r="G82" i="17"/>
  <c r="G83" i="17"/>
  <c r="G84" i="17"/>
  <c r="G85" i="17"/>
  <c r="G86" i="17"/>
  <c r="G87" i="17"/>
  <c r="G88" i="17"/>
  <c r="G74" i="17"/>
  <c r="G20" i="17"/>
  <c r="H415" i="138" s="1"/>
  <c r="G19" i="17"/>
  <c r="H414" i="138" s="1"/>
  <c r="Q414" i="138" s="1"/>
  <c r="G18" i="17"/>
  <c r="H413" i="138" s="1"/>
  <c r="Q413" i="138" s="1"/>
  <c r="G16" i="17"/>
  <c r="H411" i="138" s="1"/>
  <c r="Q411" i="138" s="1"/>
  <c r="G9" i="17"/>
  <c r="G8" i="17"/>
  <c r="G7" i="17"/>
  <c r="G5" i="17"/>
  <c r="G96" i="18"/>
  <c r="G97" i="18"/>
  <c r="G98" i="18"/>
  <c r="G99" i="18"/>
  <c r="G100" i="18"/>
  <c r="G101" i="18"/>
  <c r="G102" i="18"/>
  <c r="G103" i="18"/>
  <c r="G104" i="18"/>
  <c r="G105" i="18"/>
  <c r="G106" i="18"/>
  <c r="G107" i="18"/>
  <c r="G108" i="18"/>
  <c r="G95" i="18"/>
  <c r="G87" i="18"/>
  <c r="G88" i="18"/>
  <c r="G75" i="18"/>
  <c r="G76" i="18"/>
  <c r="G77" i="18"/>
  <c r="G78" i="18"/>
  <c r="G79" i="18"/>
  <c r="G80" i="18"/>
  <c r="G81" i="18"/>
  <c r="G82" i="18"/>
  <c r="G83" i="18"/>
  <c r="G84" i="18"/>
  <c r="G85" i="18"/>
  <c r="G86" i="18"/>
  <c r="G74" i="18"/>
  <c r="G404" i="138"/>
  <c r="E527" i="138"/>
  <c r="H527" i="138" s="1"/>
  <c r="H530" i="138" s="1"/>
  <c r="G28" i="139" s="1"/>
  <c r="E33" i="9"/>
  <c r="K16" i="69" s="1"/>
  <c r="D33" i="9"/>
  <c r="J16" i="69" s="1"/>
  <c r="E32" i="9"/>
  <c r="I16" i="69" s="1"/>
  <c r="D32" i="9"/>
  <c r="H16" i="69" s="1"/>
  <c r="H5" i="29"/>
  <c r="E33" i="16"/>
  <c r="E173" i="138"/>
  <c r="H173" i="138" s="1"/>
  <c r="E97" i="138"/>
  <c r="H97" i="138" s="1"/>
  <c r="K4" i="74"/>
  <c r="J4" i="74"/>
  <c r="I59" i="133"/>
  <c r="K4" i="133"/>
  <c r="K3" i="133"/>
  <c r="N205" i="133"/>
  <c r="I205" i="133"/>
  <c r="N204" i="133"/>
  <c r="I204" i="133"/>
  <c r="N136" i="133"/>
  <c r="I136" i="133"/>
  <c r="N59" i="133"/>
  <c r="J5" i="133"/>
  <c r="E5" i="133"/>
  <c r="G4" i="133"/>
  <c r="A4" i="133"/>
  <c r="L3" i="133"/>
  <c r="G3" i="133"/>
  <c r="K4" i="131"/>
  <c r="J4" i="131"/>
  <c r="F4" i="131"/>
  <c r="A4" i="131"/>
  <c r="K3" i="131"/>
  <c r="J3" i="131"/>
  <c r="J5" i="131" s="1"/>
  <c r="I3" i="131"/>
  <c r="F3" i="131"/>
  <c r="L3" i="73"/>
  <c r="I3" i="74"/>
  <c r="G4" i="73"/>
  <c r="G3" i="73"/>
  <c r="F3" i="74"/>
  <c r="A4" i="73"/>
  <c r="A4" i="74"/>
  <c r="D4" i="122" s="1"/>
  <c r="K4" i="104"/>
  <c r="K3" i="104"/>
  <c r="H4" i="103"/>
  <c r="H3" i="103"/>
  <c r="M4" i="102"/>
  <c r="M3" i="102"/>
  <c r="M4" i="101"/>
  <c r="M3" i="101"/>
  <c r="A4" i="101"/>
  <c r="J3" i="127"/>
  <c r="J17" i="127"/>
  <c r="J16" i="127"/>
  <c r="J15" i="127"/>
  <c r="J14" i="127"/>
  <c r="J13" i="127"/>
  <c r="J12" i="127"/>
  <c r="J11" i="127"/>
  <c r="J10" i="127"/>
  <c r="J9" i="127"/>
  <c r="J8" i="127"/>
  <c r="J7" i="127"/>
  <c r="J6" i="127"/>
  <c r="J5" i="127"/>
  <c r="J4" i="127"/>
  <c r="J9" i="126"/>
  <c r="G9" i="126"/>
  <c r="J17" i="126"/>
  <c r="J16" i="126"/>
  <c r="J15" i="126"/>
  <c r="J14" i="126"/>
  <c r="J13" i="126"/>
  <c r="J12" i="126"/>
  <c r="J11" i="126"/>
  <c r="J10" i="126"/>
  <c r="J8" i="126"/>
  <c r="J7" i="126"/>
  <c r="J6" i="126"/>
  <c r="J5" i="126"/>
  <c r="J4" i="126"/>
  <c r="J3" i="126"/>
  <c r="G6" i="126"/>
  <c r="H9" i="126"/>
  <c r="H3" i="126"/>
  <c r="G4" i="126"/>
  <c r="G12" i="126"/>
  <c r="G16" i="126"/>
  <c r="A100" i="123"/>
  <c r="A89" i="123"/>
  <c r="E79" i="123"/>
  <c r="D79" i="123"/>
  <c r="D89" i="123" s="1"/>
  <c r="A78" i="123"/>
  <c r="E68" i="123"/>
  <c r="E57" i="123"/>
  <c r="E87" i="123" s="1"/>
  <c r="D57" i="123"/>
  <c r="D87" i="123" s="1"/>
  <c r="E46" i="123"/>
  <c r="A32" i="123"/>
  <c r="A30" i="123"/>
  <c r="E1143" i="138"/>
  <c r="H1143" i="138" s="1"/>
  <c r="A275" i="93"/>
  <c r="A265" i="93"/>
  <c r="A250" i="93"/>
  <c r="A214" i="93"/>
  <c r="A161" i="93"/>
  <c r="A175" i="93"/>
  <c r="A134" i="93"/>
  <c r="A396" i="93"/>
  <c r="A375" i="93"/>
  <c r="A355" i="93"/>
  <c r="A335" i="93"/>
  <c r="A315" i="93"/>
  <c r="A300" i="93"/>
  <c r="A238" i="93"/>
  <c r="A227" i="93"/>
  <c r="A220" i="93"/>
  <c r="A203" i="93"/>
  <c r="A196" i="93"/>
  <c r="A186" i="93"/>
  <c r="A147" i="93"/>
  <c r="A120" i="93"/>
  <c r="A107" i="93"/>
  <c r="A90" i="93"/>
  <c r="A77" i="93"/>
  <c r="A58" i="93"/>
  <c r="A37" i="93"/>
  <c r="A22" i="93"/>
  <c r="A195" i="37"/>
  <c r="A176" i="37"/>
  <c r="A141" i="37"/>
  <c r="A121" i="37"/>
  <c r="A83" i="37"/>
  <c r="A64" i="37"/>
  <c r="A45" i="37"/>
  <c r="A189" i="39"/>
  <c r="A223" i="39"/>
  <c r="A155" i="39"/>
  <c r="A137" i="39"/>
  <c r="A42" i="39"/>
  <c r="A61" i="39"/>
  <c r="A80" i="39"/>
  <c r="A99" i="39"/>
  <c r="A118" i="39"/>
  <c r="A45" i="114"/>
  <c r="A72" i="114"/>
  <c r="A77" i="43"/>
  <c r="A55" i="43"/>
  <c r="A29" i="43"/>
  <c r="A24" i="43"/>
  <c r="A66" i="43"/>
  <c r="A19" i="42"/>
  <c r="A30" i="42"/>
  <c r="A41" i="42"/>
  <c r="A15" i="88"/>
  <c r="A23" i="88"/>
  <c r="A19" i="48"/>
  <c r="A39" i="48"/>
  <c r="A22" i="53"/>
  <c r="A61" i="53"/>
  <c r="A48" i="53"/>
  <c r="A105" i="53"/>
  <c r="A96" i="53"/>
  <c r="A13" i="58"/>
  <c r="A69" i="61"/>
  <c r="A53" i="61"/>
  <c r="A39" i="61"/>
  <c r="A24" i="61"/>
  <c r="A49" i="26"/>
  <c r="A52" i="26"/>
  <c r="A44" i="30"/>
  <c r="A24" i="5"/>
  <c r="A23" i="5"/>
  <c r="A40" i="20"/>
  <c r="A117" i="20"/>
  <c r="A102" i="20"/>
  <c r="A36" i="20"/>
  <c r="A34" i="81"/>
  <c r="A7" i="22"/>
  <c r="A19" i="22"/>
  <c r="A42" i="22"/>
  <c r="A30" i="22"/>
  <c r="A42" i="23"/>
  <c r="A29" i="23"/>
  <c r="A56" i="23"/>
  <c r="A69" i="24"/>
  <c r="A45" i="24"/>
  <c r="A78" i="24"/>
  <c r="A24" i="24"/>
  <c r="A11" i="24"/>
  <c r="A41" i="10"/>
  <c r="A26" i="10"/>
  <c r="A13" i="10"/>
  <c r="A68" i="76"/>
  <c r="A122" i="76"/>
  <c r="A260" i="76"/>
  <c r="A235" i="76"/>
  <c r="A10" i="76"/>
  <c r="A72" i="15"/>
  <c r="A66" i="15"/>
  <c r="A53" i="15"/>
  <c r="A22" i="15"/>
  <c r="A16" i="15"/>
  <c r="A10" i="15"/>
  <c r="C11" i="63"/>
  <c r="I4" i="131" s="1"/>
  <c r="E4" i="63"/>
  <c r="A3" i="74" s="1"/>
  <c r="D3" i="122" s="1"/>
  <c r="D4" i="63"/>
  <c r="A3" i="64" s="1"/>
  <c r="A3" i="65" s="1"/>
  <c r="F204" i="122"/>
  <c r="G204" i="122"/>
  <c r="H204" i="122"/>
  <c r="J204" i="122"/>
  <c r="K204" i="122"/>
  <c r="L204" i="122"/>
  <c r="M204" i="122"/>
  <c r="F205" i="122"/>
  <c r="G205" i="122"/>
  <c r="H205" i="122"/>
  <c r="K205" i="122"/>
  <c r="L205" i="122"/>
  <c r="M205" i="122"/>
  <c r="E204" i="122"/>
  <c r="E140" i="122"/>
  <c r="J143" i="122"/>
  <c r="J147" i="122"/>
  <c r="E149" i="122"/>
  <c r="J151" i="122"/>
  <c r="E153" i="122"/>
  <c r="E155" i="122"/>
  <c r="J155" i="122"/>
  <c r="J156" i="122"/>
  <c r="E157" i="122"/>
  <c r="E162" i="122"/>
  <c r="E164" i="122"/>
  <c r="J170" i="122"/>
  <c r="E172" i="122"/>
  <c r="J172" i="122"/>
  <c r="J175" i="122"/>
  <c r="E182" i="122"/>
  <c r="E105" i="122"/>
  <c r="E107" i="122"/>
  <c r="J107" i="122"/>
  <c r="E109" i="122"/>
  <c r="E116" i="122"/>
  <c r="J116" i="122"/>
  <c r="E119" i="122"/>
  <c r="J119" i="122"/>
  <c r="J121" i="122"/>
  <c r="J127" i="122"/>
  <c r="J97" i="122"/>
  <c r="E67" i="122"/>
  <c r="J67" i="122"/>
  <c r="E71" i="122"/>
  <c r="E75" i="122"/>
  <c r="J76" i="122"/>
  <c r="E77" i="122"/>
  <c r="J79" i="122"/>
  <c r="J83" i="122"/>
  <c r="E63" i="122"/>
  <c r="J63" i="122"/>
  <c r="J61" i="122"/>
  <c r="E31" i="122"/>
  <c r="E32" i="122"/>
  <c r="J32" i="122"/>
  <c r="J36" i="122"/>
  <c r="J39" i="122"/>
  <c r="E42" i="122"/>
  <c r="E46" i="122"/>
  <c r="J47" i="122"/>
  <c r="E51" i="122"/>
  <c r="E52" i="122"/>
  <c r="J52" i="122"/>
  <c r="J11" i="122"/>
  <c r="J12" i="122"/>
  <c r="J13" i="122"/>
  <c r="E17" i="122"/>
  <c r="E19" i="122"/>
  <c r="E23" i="122"/>
  <c r="N136" i="122"/>
  <c r="J136" i="122"/>
  <c r="I136" i="122"/>
  <c r="E136" i="122"/>
  <c r="M135" i="122"/>
  <c r="H135" i="122"/>
  <c r="M134" i="122"/>
  <c r="H134" i="122"/>
  <c r="M133" i="122"/>
  <c r="H133" i="122"/>
  <c r="M132" i="122"/>
  <c r="H132" i="122"/>
  <c r="J59" i="122"/>
  <c r="E59" i="122"/>
  <c r="N5" i="122"/>
  <c r="N59" i="122" s="1"/>
  <c r="J5" i="122"/>
  <c r="I5" i="122"/>
  <c r="I59" i="122" s="1"/>
  <c r="E5" i="122"/>
  <c r="M135" i="73"/>
  <c r="M134" i="73"/>
  <c r="M133" i="73"/>
  <c r="M132" i="73"/>
  <c r="H135" i="73"/>
  <c r="H134" i="73"/>
  <c r="H133" i="73"/>
  <c r="H132" i="73"/>
  <c r="A171" i="17"/>
  <c r="A165" i="17"/>
  <c r="A161" i="17"/>
  <c r="A112" i="17"/>
  <c r="A91" i="17"/>
  <c r="A69" i="17"/>
  <c r="A57" i="17"/>
  <c r="A45" i="17"/>
  <c r="A38" i="17"/>
  <c r="A32" i="17"/>
  <c r="A23" i="17"/>
  <c r="A15" i="17"/>
  <c r="A7" i="17"/>
  <c r="A171" i="18"/>
  <c r="A165" i="18"/>
  <c r="A161" i="18"/>
  <c r="A112" i="18"/>
  <c r="A91" i="18"/>
  <c r="A69" i="18"/>
  <c r="A57" i="18"/>
  <c r="A45" i="18"/>
  <c r="A38" i="18"/>
  <c r="A32" i="18"/>
  <c r="A23" i="18"/>
  <c r="A15" i="18"/>
  <c r="A7" i="18"/>
  <c r="A102" i="69"/>
  <c r="A93" i="69"/>
  <c r="A86" i="69"/>
  <c r="A79" i="69"/>
  <c r="A71" i="69"/>
  <c r="A65" i="69"/>
  <c r="A57" i="69"/>
  <c r="A47" i="69"/>
  <c r="A42" i="69"/>
  <c r="A34" i="69"/>
  <c r="A27" i="69"/>
  <c r="A17" i="69"/>
  <c r="A12" i="69"/>
  <c r="A9" i="69"/>
  <c r="A106" i="69"/>
  <c r="I56" i="108"/>
  <c r="I72" i="108" s="1"/>
  <c r="J56" i="108"/>
  <c r="J72" i="108" s="1"/>
  <c r="K56" i="108"/>
  <c r="K72" i="108" s="1"/>
  <c r="L56" i="108"/>
  <c r="L72" i="108" s="1"/>
  <c r="M56" i="108"/>
  <c r="M72" i="108" s="1"/>
  <c r="I51" i="108"/>
  <c r="J51" i="108"/>
  <c r="K51" i="108"/>
  <c r="K71" i="108" s="1"/>
  <c r="L51" i="108"/>
  <c r="M51" i="108"/>
  <c r="I43" i="108"/>
  <c r="I69" i="108" s="1"/>
  <c r="J43" i="108"/>
  <c r="J69" i="108" s="1"/>
  <c r="K43" i="108"/>
  <c r="K69" i="108" s="1"/>
  <c r="L43" i="108"/>
  <c r="L69" i="108" s="1"/>
  <c r="M43" i="108"/>
  <c r="I37" i="108"/>
  <c r="J37" i="108"/>
  <c r="K37" i="108"/>
  <c r="K68" i="108" s="1"/>
  <c r="L37" i="108"/>
  <c r="L68" i="108" s="1"/>
  <c r="M37" i="108"/>
  <c r="M68" i="108" s="1"/>
  <c r="I29" i="108"/>
  <c r="J29" i="108"/>
  <c r="K29" i="108"/>
  <c r="K66" i="108" s="1"/>
  <c r="L29" i="108"/>
  <c r="L66" i="108" s="1"/>
  <c r="M29" i="108"/>
  <c r="I19" i="108"/>
  <c r="I65" i="108" s="1"/>
  <c r="J19" i="108"/>
  <c r="J65" i="108" s="1"/>
  <c r="K19" i="108"/>
  <c r="L19" i="108"/>
  <c r="M19" i="108"/>
  <c r="M65" i="108" s="1"/>
  <c r="I78" i="108"/>
  <c r="J78" i="108"/>
  <c r="K78" i="108"/>
  <c r="L78" i="108"/>
  <c r="M78" i="108"/>
  <c r="I79" i="108"/>
  <c r="J79" i="108"/>
  <c r="K79" i="108"/>
  <c r="L79" i="108"/>
  <c r="M79" i="108"/>
  <c r="C77" i="108"/>
  <c r="G19" i="108"/>
  <c r="G65" i="108" s="1"/>
  <c r="K3" i="74"/>
  <c r="J3" i="74"/>
  <c r="E195" i="138"/>
  <c r="H195" i="138" s="1"/>
  <c r="E191" i="138"/>
  <c r="E187" i="138"/>
  <c r="H187" i="138" s="1"/>
  <c r="E220" i="138"/>
  <c r="E226" i="138"/>
  <c r="H226" i="138" s="1"/>
  <c r="E198" i="138"/>
  <c r="H198" i="138" s="1"/>
  <c r="E206" i="138"/>
  <c r="H206" i="138" s="1"/>
  <c r="E219" i="138"/>
  <c r="E214" i="138"/>
  <c r="E194" i="138"/>
  <c r="E202" i="138"/>
  <c r="H202" i="138" s="1"/>
  <c r="E228" i="138"/>
  <c r="E236" i="138"/>
  <c r="E185" i="138"/>
  <c r="H185" i="138" s="1"/>
  <c r="E205" i="138"/>
  <c r="H205" i="138" s="1"/>
  <c r="E211" i="138"/>
  <c r="I71" i="108"/>
  <c r="H198" i="137"/>
  <c r="H199" i="137" s="1"/>
  <c r="G86" i="137"/>
  <c r="H86" i="137"/>
  <c r="H175" i="137"/>
  <c r="E85" i="123"/>
  <c r="H262" i="137"/>
  <c r="H300" i="137"/>
  <c r="G28" i="137"/>
  <c r="H129" i="137"/>
  <c r="H40" i="137"/>
  <c r="H272" i="137"/>
  <c r="H323" i="137"/>
  <c r="H108" i="137"/>
  <c r="H226" i="137"/>
  <c r="H292" i="137"/>
  <c r="J4" i="29"/>
  <c r="J5" i="29"/>
  <c r="Q21" i="68"/>
  <c r="O21" i="68"/>
  <c r="P21" i="68"/>
  <c r="O22" i="68"/>
  <c r="P22" i="68"/>
  <c r="Q22" i="68"/>
  <c r="I4" i="100"/>
  <c r="I4" i="101" s="1"/>
  <c r="I3" i="100"/>
  <c r="I3" i="102" s="1"/>
  <c r="G318" i="93"/>
  <c r="E1228" i="138"/>
  <c r="J1266" i="138" s="1"/>
  <c r="F1228" i="138"/>
  <c r="K1266" i="138" s="1"/>
  <c r="E93" i="93"/>
  <c r="K21" i="93"/>
  <c r="K22" i="93"/>
  <c r="K23" i="93"/>
  <c r="K24" i="93"/>
  <c r="K25" i="93"/>
  <c r="K26" i="93"/>
  <c r="K27" i="93"/>
  <c r="K28" i="93"/>
  <c r="K29" i="93"/>
  <c r="K30" i="93"/>
  <c r="K31" i="93"/>
  <c r="K32" i="93"/>
  <c r="K33" i="93"/>
  <c r="K34" i="93"/>
  <c r="K35" i="93"/>
  <c r="K36" i="93"/>
  <c r="K37" i="93"/>
  <c r="H21" i="93"/>
  <c r="H22" i="93"/>
  <c r="H23" i="93"/>
  <c r="H24" i="93"/>
  <c r="H25" i="93"/>
  <c r="H26" i="93"/>
  <c r="H27" i="93"/>
  <c r="H28" i="93"/>
  <c r="H29" i="93"/>
  <c r="H30" i="93"/>
  <c r="H31" i="93"/>
  <c r="H32" i="93"/>
  <c r="H33" i="93"/>
  <c r="H34" i="93"/>
  <c r="H36" i="93"/>
  <c r="G33" i="93"/>
  <c r="G34" i="93"/>
  <c r="G35" i="93"/>
  <c r="G36" i="93"/>
  <c r="G21" i="93"/>
  <c r="G22" i="93"/>
  <c r="G23" i="93"/>
  <c r="G24" i="93"/>
  <c r="G25" i="93"/>
  <c r="G26" i="93"/>
  <c r="G27" i="93"/>
  <c r="G28" i="93"/>
  <c r="G29" i="93"/>
  <c r="G30" i="93"/>
  <c r="G31" i="93"/>
  <c r="G32" i="93"/>
  <c r="G20" i="93"/>
  <c r="J21" i="93"/>
  <c r="J22" i="93"/>
  <c r="J23" i="93"/>
  <c r="J24" i="93"/>
  <c r="J25" i="93"/>
  <c r="J26" i="93"/>
  <c r="J27" i="93"/>
  <c r="J28" i="93"/>
  <c r="J29" i="93"/>
  <c r="J30" i="93"/>
  <c r="J31" i="93"/>
  <c r="J32" i="93"/>
  <c r="J33" i="93"/>
  <c r="J34" i="93"/>
  <c r="J35" i="93"/>
  <c r="J36" i="93"/>
  <c r="J37" i="93"/>
  <c r="J38" i="93"/>
  <c r="H5" i="47"/>
  <c r="H60" i="53"/>
  <c r="H59" i="53"/>
  <c r="H58" i="53"/>
  <c r="H57" i="53"/>
  <c r="H56" i="53"/>
  <c r="H55" i="53"/>
  <c r="H54" i="53"/>
  <c r="H53" i="53"/>
  <c r="H52" i="53"/>
  <c r="H51" i="53"/>
  <c r="H54" i="1"/>
  <c r="F316" i="138" s="1"/>
  <c r="M316" i="138" s="1"/>
  <c r="H55" i="1"/>
  <c r="F317" i="138" s="1"/>
  <c r="M317" i="138" s="1"/>
  <c r="H56" i="1"/>
  <c r="F318" i="138" s="1"/>
  <c r="M318" i="138" s="1"/>
  <c r="H57" i="1"/>
  <c r="F319" i="138" s="1"/>
  <c r="H58" i="1"/>
  <c r="F320" i="138" s="1"/>
  <c r="M320" i="138" s="1"/>
  <c r="H59" i="1"/>
  <c r="F321" i="138" s="1"/>
  <c r="M321" i="138" s="1"/>
  <c r="H60" i="1"/>
  <c r="F322" i="138" s="1"/>
  <c r="M322" i="138" s="1"/>
  <c r="H61" i="1"/>
  <c r="F323" i="138" s="1"/>
  <c r="H62" i="1"/>
  <c r="F324" i="138" s="1"/>
  <c r="H63" i="1"/>
  <c r="F325" i="138" s="1"/>
  <c r="M325" i="138" s="1"/>
  <c r="H64" i="1"/>
  <c r="F326" i="138" s="1"/>
  <c r="M326" i="138" s="1"/>
  <c r="H65" i="1"/>
  <c r="F327" i="138" s="1"/>
  <c r="H66" i="1"/>
  <c r="F328" i="138" s="1"/>
  <c r="H67" i="1"/>
  <c r="F329" i="138" s="1"/>
  <c r="M329" i="138" s="1"/>
  <c r="H68" i="1"/>
  <c r="F330" i="138" s="1"/>
  <c r="M330" i="138" s="1"/>
  <c r="H69" i="1"/>
  <c r="F331" i="138" s="1"/>
  <c r="H70" i="1"/>
  <c r="F332" i="138" s="1"/>
  <c r="M332" i="138" s="1"/>
  <c r="H71" i="1"/>
  <c r="F333" i="138" s="1"/>
  <c r="M333" i="138" s="1"/>
  <c r="H72" i="1"/>
  <c r="F334" i="138" s="1"/>
  <c r="M334" i="138" s="1"/>
  <c r="H73" i="1"/>
  <c r="F335" i="138" s="1"/>
  <c r="H74" i="1"/>
  <c r="F336" i="138" s="1"/>
  <c r="M336" i="138" s="1"/>
  <c r="H75" i="1"/>
  <c r="F337" i="138" s="1"/>
  <c r="M337" i="138" s="1"/>
  <c r="E54" i="1"/>
  <c r="E55" i="1"/>
  <c r="E56" i="1"/>
  <c r="E57" i="1"/>
  <c r="E58" i="1"/>
  <c r="E59" i="1"/>
  <c r="E60" i="1"/>
  <c r="E61" i="1"/>
  <c r="E62" i="1"/>
  <c r="E63" i="1"/>
  <c r="E64" i="1"/>
  <c r="E65" i="1"/>
  <c r="E66" i="1"/>
  <c r="E67" i="1"/>
  <c r="E68" i="1"/>
  <c r="E69" i="1"/>
  <c r="E70" i="1"/>
  <c r="E71" i="1"/>
  <c r="E72" i="1"/>
  <c r="E73" i="1"/>
  <c r="E74" i="1"/>
  <c r="E75" i="1"/>
  <c r="H40" i="1"/>
  <c r="F302" i="138" s="1"/>
  <c r="M302" i="138" s="1"/>
  <c r="H41" i="1"/>
  <c r="F303" i="138" s="1"/>
  <c r="M303" i="138" s="1"/>
  <c r="H42" i="1"/>
  <c r="F304" i="138" s="1"/>
  <c r="H43" i="1"/>
  <c r="F305" i="138"/>
  <c r="M305" i="138" s="1"/>
  <c r="H44" i="1"/>
  <c r="F306" i="138" s="1"/>
  <c r="M306" i="138" s="1"/>
  <c r="H45" i="1"/>
  <c r="F307" i="138" s="1"/>
  <c r="M307" i="138" s="1"/>
  <c r="H46" i="1"/>
  <c r="F308" i="138" s="1"/>
  <c r="M308" i="138" s="1"/>
  <c r="H47" i="1"/>
  <c r="F309" i="138" s="1"/>
  <c r="M309" i="138" s="1"/>
  <c r="H48" i="1"/>
  <c r="F310" i="138" s="1"/>
  <c r="M310" i="138" s="1"/>
  <c r="H49" i="1"/>
  <c r="F311" i="138" s="1"/>
  <c r="M311" i="138" s="1"/>
  <c r="H50" i="1"/>
  <c r="F312" i="138" s="1"/>
  <c r="H51" i="1"/>
  <c r="F313" i="138" s="1"/>
  <c r="M313" i="138" s="1"/>
  <c r="E40" i="1"/>
  <c r="E41" i="1"/>
  <c r="E42" i="1"/>
  <c r="E43" i="1"/>
  <c r="E44" i="1"/>
  <c r="E45" i="1"/>
  <c r="E46" i="1"/>
  <c r="E47" i="1"/>
  <c r="E48" i="1"/>
  <c r="E49" i="1"/>
  <c r="E50" i="1"/>
  <c r="E51" i="1"/>
  <c r="H14" i="1"/>
  <c r="F276" i="138" s="1"/>
  <c r="M276" i="138" s="1"/>
  <c r="H15" i="1"/>
  <c r="F277" i="138" s="1"/>
  <c r="M277" i="138" s="1"/>
  <c r="H16" i="1"/>
  <c r="F278" i="138" s="1"/>
  <c r="M278" i="138" s="1"/>
  <c r="H17" i="1"/>
  <c r="F279" i="138" s="1"/>
  <c r="M279" i="138" s="1"/>
  <c r="H18" i="1"/>
  <c r="F280" i="138" s="1"/>
  <c r="M280" i="138" s="1"/>
  <c r="H19" i="1"/>
  <c r="F281" i="138" s="1"/>
  <c r="M281" i="138" s="1"/>
  <c r="H20" i="1"/>
  <c r="F282" i="138" s="1"/>
  <c r="M282" i="138" s="1"/>
  <c r="H21" i="1"/>
  <c r="F283" i="138" s="1"/>
  <c r="H22" i="1"/>
  <c r="F284" i="138" s="1"/>
  <c r="M284" i="138" s="1"/>
  <c r="H23" i="1"/>
  <c r="F285" i="138" s="1"/>
  <c r="M285" i="138" s="1"/>
  <c r="H24" i="1"/>
  <c r="F286" i="138" s="1"/>
  <c r="M286" i="138" s="1"/>
  <c r="H25" i="1"/>
  <c r="F287" i="138" s="1"/>
  <c r="M287" i="138" s="1"/>
  <c r="H26" i="1"/>
  <c r="F288" i="138" s="1"/>
  <c r="M288" i="138" s="1"/>
  <c r="H27" i="1"/>
  <c r="F289" i="138" s="1"/>
  <c r="M289" i="138" s="1"/>
  <c r="E20" i="1"/>
  <c r="E21" i="1"/>
  <c r="E22" i="1"/>
  <c r="E23" i="1"/>
  <c r="E24" i="1"/>
  <c r="E25" i="1"/>
  <c r="E26" i="1"/>
  <c r="E27" i="1"/>
  <c r="F214" i="37"/>
  <c r="D214" i="37"/>
  <c r="H6" i="29"/>
  <c r="H4" i="29"/>
  <c r="K5" i="29"/>
  <c r="K4" i="29"/>
  <c r="C72" i="76"/>
  <c r="C73" i="76"/>
  <c r="C74" i="76"/>
  <c r="C75" i="76"/>
  <c r="C76" i="76"/>
  <c r="C77" i="76"/>
  <c r="C78" i="76"/>
  <c r="C79" i="76"/>
  <c r="C80" i="76"/>
  <c r="C81" i="76"/>
  <c r="C82" i="76"/>
  <c r="C83" i="76"/>
  <c r="C84" i="76"/>
  <c r="C85" i="76"/>
  <c r="C86" i="76"/>
  <c r="C87" i="76"/>
  <c r="C88" i="76"/>
  <c r="C89" i="76"/>
  <c r="C90" i="76"/>
  <c r="C91" i="76"/>
  <c r="C92" i="76"/>
  <c r="C93" i="76"/>
  <c r="C94" i="76"/>
  <c r="C95" i="76"/>
  <c r="C96" i="76"/>
  <c r="C97" i="76"/>
  <c r="C98" i="76"/>
  <c r="C99" i="76"/>
  <c r="C100" i="76"/>
  <c r="C101" i="76"/>
  <c r="C102" i="76"/>
  <c r="C103" i="76"/>
  <c r="C104" i="76"/>
  <c r="C105" i="76"/>
  <c r="C106" i="76"/>
  <c r="C107" i="76"/>
  <c r="C108" i="76"/>
  <c r="C109" i="76"/>
  <c r="C110" i="76"/>
  <c r="C111" i="76"/>
  <c r="C112" i="76"/>
  <c r="C113" i="76"/>
  <c r="C114" i="76"/>
  <c r="C115" i="76"/>
  <c r="C116" i="76"/>
  <c r="C117" i="76"/>
  <c r="C118" i="76"/>
  <c r="C119" i="76"/>
  <c r="C120" i="76"/>
  <c r="G412" i="138"/>
  <c r="P412" i="138" s="1"/>
  <c r="E26" i="53"/>
  <c r="D26" i="53"/>
  <c r="D50" i="53"/>
  <c r="H62" i="53"/>
  <c r="H63" i="53"/>
  <c r="H64" i="53"/>
  <c r="H65" i="53"/>
  <c r="H66" i="53"/>
  <c r="H67" i="53"/>
  <c r="H68" i="53"/>
  <c r="H69" i="53"/>
  <c r="H70" i="53"/>
  <c r="H71" i="53"/>
  <c r="D85" i="53"/>
  <c r="G61" i="53"/>
  <c r="F61" i="53"/>
  <c r="E61" i="53"/>
  <c r="D61" i="53"/>
  <c r="E50" i="53"/>
  <c r="F50" i="53"/>
  <c r="G50" i="53"/>
  <c r="E37" i="53"/>
  <c r="F37" i="53"/>
  <c r="G37" i="53"/>
  <c r="H37" i="53"/>
  <c r="D37" i="53"/>
  <c r="H26" i="53"/>
  <c r="F26" i="53"/>
  <c r="G26" i="53"/>
  <c r="D48" i="30"/>
  <c r="D50" i="30" s="1"/>
  <c r="H21" i="20"/>
  <c r="I21" i="20"/>
  <c r="H22" i="20"/>
  <c r="I22" i="20"/>
  <c r="H24" i="20"/>
  <c r="I24" i="20"/>
  <c r="H25" i="20"/>
  <c r="I25" i="20"/>
  <c r="H12" i="20"/>
  <c r="I12" i="20"/>
  <c r="H13" i="20"/>
  <c r="I13" i="20"/>
  <c r="H14" i="20"/>
  <c r="I14" i="20"/>
  <c r="H15" i="20"/>
  <c r="I15" i="20"/>
  <c r="H16" i="20"/>
  <c r="I16" i="20"/>
  <c r="H17" i="20"/>
  <c r="I17" i="20"/>
  <c r="H18" i="20"/>
  <c r="I18" i="20"/>
  <c r="H19" i="20"/>
  <c r="I19" i="20"/>
  <c r="H20" i="20"/>
  <c r="I20" i="20"/>
  <c r="H10" i="20"/>
  <c r="I10" i="20"/>
  <c r="H11" i="20"/>
  <c r="I11" i="20"/>
  <c r="N49" i="17"/>
  <c r="O49" i="17"/>
  <c r="N50" i="17"/>
  <c r="O50" i="17"/>
  <c r="N51" i="17"/>
  <c r="O51" i="17"/>
  <c r="N52" i="17"/>
  <c r="O52" i="17"/>
  <c r="N53" i="17"/>
  <c r="O53" i="17"/>
  <c r="C2" i="39"/>
  <c r="C4" i="39"/>
  <c r="F2" i="39"/>
  <c r="D4" i="39"/>
  <c r="D3" i="39"/>
  <c r="D2" i="39"/>
  <c r="C3" i="39"/>
  <c r="H31" i="66"/>
  <c r="I31" i="66"/>
  <c r="K31" i="66" s="1"/>
  <c r="H45" i="66"/>
  <c r="I45" i="66"/>
  <c r="K45" i="66" s="1"/>
  <c r="C211" i="39"/>
  <c r="I90" i="102"/>
  <c r="K94" i="75"/>
  <c r="K95" i="75"/>
  <c r="K96" i="75"/>
  <c r="K97" i="75"/>
  <c r="K98" i="75"/>
  <c r="K99" i="75"/>
  <c r="K100" i="75"/>
  <c r="K101" i="75"/>
  <c r="K102" i="75"/>
  <c r="K103" i="75"/>
  <c r="K104" i="75"/>
  <c r="K105" i="75"/>
  <c r="K106" i="75"/>
  <c r="K107" i="75"/>
  <c r="K108" i="75"/>
  <c r="K109" i="75"/>
  <c r="K110" i="75"/>
  <c r="K111" i="75"/>
  <c r="K112" i="75"/>
  <c r="K113" i="75"/>
  <c r="K114" i="75"/>
  <c r="K115" i="75"/>
  <c r="K116" i="75"/>
  <c r="K148" i="75"/>
  <c r="K149" i="75"/>
  <c r="K150" i="75"/>
  <c r="K151" i="75"/>
  <c r="K152" i="75"/>
  <c r="K153" i="75"/>
  <c r="K154" i="75"/>
  <c r="K155" i="75"/>
  <c r="K156" i="75"/>
  <c r="K157" i="75"/>
  <c r="K158" i="75"/>
  <c r="K159" i="75"/>
  <c r="K160" i="75"/>
  <c r="K161" i="75"/>
  <c r="K162" i="75"/>
  <c r="K163" i="75"/>
  <c r="K164" i="75"/>
  <c r="K165" i="75"/>
  <c r="K166" i="75"/>
  <c r="K167" i="75"/>
  <c r="K168" i="75"/>
  <c r="K169" i="75"/>
  <c r="K170" i="75"/>
  <c r="K171" i="75"/>
  <c r="K145" i="75"/>
  <c r="K146" i="75"/>
  <c r="K147" i="75"/>
  <c r="D82" i="71"/>
  <c r="C82" i="71"/>
  <c r="D59" i="101"/>
  <c r="D58" i="101"/>
  <c r="D57" i="101"/>
  <c r="D151" i="70"/>
  <c r="C151" i="70"/>
  <c r="D152" i="70"/>
  <c r="C152" i="70"/>
  <c r="D60" i="101"/>
  <c r="M173" i="17"/>
  <c r="L173" i="17"/>
  <c r="M172" i="17"/>
  <c r="L172" i="17"/>
  <c r="M171" i="17"/>
  <c r="L171" i="17"/>
  <c r="M170" i="17"/>
  <c r="L170" i="17"/>
  <c r="J170" i="17"/>
  <c r="J171" i="18"/>
  <c r="J170" i="18"/>
  <c r="J20" i="93"/>
  <c r="F131" i="93"/>
  <c r="G131" i="93" s="1"/>
  <c r="N49" i="18"/>
  <c r="O49" i="18"/>
  <c r="N50" i="18"/>
  <c r="O50" i="18"/>
  <c r="N51" i="18"/>
  <c r="O51" i="18"/>
  <c r="N52" i="18"/>
  <c r="O52" i="18"/>
  <c r="N53" i="18"/>
  <c r="O53" i="18"/>
  <c r="O48" i="17"/>
  <c r="N48" i="17"/>
  <c r="O33" i="17"/>
  <c r="B1" i="108"/>
  <c r="D78" i="108"/>
  <c r="E78" i="108"/>
  <c r="F78" i="108"/>
  <c r="G78" i="108"/>
  <c r="D79" i="108"/>
  <c r="E79" i="108"/>
  <c r="F79" i="108"/>
  <c r="G79" i="108"/>
  <c r="C79" i="108"/>
  <c r="C78" i="108"/>
  <c r="C83" i="71"/>
  <c r="F13" i="71"/>
  <c r="D83" i="71"/>
  <c r="C84" i="71"/>
  <c r="D84" i="71"/>
  <c r="C85" i="71"/>
  <c r="D85" i="71"/>
  <c r="D144" i="70"/>
  <c r="D145" i="70"/>
  <c r="D146" i="70"/>
  <c r="D148" i="70"/>
  <c r="D156" i="70"/>
  <c r="C156" i="70"/>
  <c r="C148" i="70"/>
  <c r="C146" i="70"/>
  <c r="C145" i="70"/>
  <c r="C144" i="70"/>
  <c r="D140" i="70"/>
  <c r="C140" i="70"/>
  <c r="D138" i="70"/>
  <c r="C138" i="70"/>
  <c r="G11" i="103"/>
  <c r="G36" i="103"/>
  <c r="G50" i="103"/>
  <c r="G65" i="103"/>
  <c r="B12" i="103"/>
  <c r="C12" i="103"/>
  <c r="B13" i="103"/>
  <c r="I13" i="103" s="1"/>
  <c r="C13" i="103"/>
  <c r="B14" i="103"/>
  <c r="E14" i="103" s="1"/>
  <c r="C14" i="103"/>
  <c r="B15" i="103"/>
  <c r="I15" i="103" s="1"/>
  <c r="C15" i="103"/>
  <c r="C16" i="103"/>
  <c r="C17" i="103"/>
  <c r="B18" i="103"/>
  <c r="C18" i="103"/>
  <c r="B19" i="103"/>
  <c r="C19" i="103"/>
  <c r="C20" i="103"/>
  <c r="B21" i="103"/>
  <c r="C21" i="103"/>
  <c r="B22" i="103"/>
  <c r="C22" i="103"/>
  <c r="C23" i="103"/>
  <c r="B25" i="103"/>
  <c r="C25" i="103"/>
  <c r="B26" i="103"/>
  <c r="C26" i="103"/>
  <c r="C27" i="103"/>
  <c r="C28" i="103"/>
  <c r="B29" i="103"/>
  <c r="C29" i="103"/>
  <c r="B30" i="103"/>
  <c r="C30" i="103"/>
  <c r="C31" i="103"/>
  <c r="B32" i="103"/>
  <c r="C32" i="103"/>
  <c r="B33" i="103"/>
  <c r="C33" i="103"/>
  <c r="B36" i="103"/>
  <c r="C36" i="103"/>
  <c r="C37" i="103"/>
  <c r="B38" i="103"/>
  <c r="C38" i="103"/>
  <c r="C39" i="103"/>
  <c r="B40" i="103"/>
  <c r="C40" i="103"/>
  <c r="B41" i="103"/>
  <c r="C41" i="103"/>
  <c r="C37" i="108"/>
  <c r="C68" i="108" s="1"/>
  <c r="C43" i="103"/>
  <c r="B44" i="103"/>
  <c r="C44" i="103"/>
  <c r="C45" i="103"/>
  <c r="B46" i="103"/>
  <c r="E46" i="103" s="1"/>
  <c r="C46" i="103"/>
  <c r="D46" i="103" s="1"/>
  <c r="B47" i="103"/>
  <c r="C47" i="103"/>
  <c r="B50" i="103"/>
  <c r="C50" i="103"/>
  <c r="C51" i="103"/>
  <c r="B52" i="103"/>
  <c r="C52" i="103"/>
  <c r="B53" i="103"/>
  <c r="C53" i="103"/>
  <c r="C54" i="103"/>
  <c r="B55" i="103"/>
  <c r="C55" i="103"/>
  <c r="B57" i="103"/>
  <c r="C57" i="103"/>
  <c r="C58" i="103"/>
  <c r="B59" i="103"/>
  <c r="I59" i="103" s="1"/>
  <c r="C59" i="103"/>
  <c r="C60" i="103"/>
  <c r="B63" i="103"/>
  <c r="C63" i="103"/>
  <c r="C65" i="103"/>
  <c r="C11" i="103"/>
  <c r="D19" i="108"/>
  <c r="E19" i="108"/>
  <c r="E65" i="108" s="1"/>
  <c r="F19" i="108"/>
  <c r="C19" i="108"/>
  <c r="C29" i="108"/>
  <c r="C43" i="108"/>
  <c r="C69" i="108" s="1"/>
  <c r="C51" i="108"/>
  <c r="C56" i="108"/>
  <c r="C61" i="103" s="1"/>
  <c r="F99" i="103"/>
  <c r="F100" i="103"/>
  <c r="F101" i="103"/>
  <c r="F102" i="103"/>
  <c r="F103" i="103"/>
  <c r="F104" i="103"/>
  <c r="F105" i="103"/>
  <c r="F106" i="103"/>
  <c r="F107" i="103"/>
  <c r="F108" i="103"/>
  <c r="F109" i="103"/>
  <c r="I86" i="102"/>
  <c r="D13" i="102"/>
  <c r="I87" i="102"/>
  <c r="D22" i="102"/>
  <c r="I88" i="102"/>
  <c r="D20" i="102"/>
  <c r="I89" i="102"/>
  <c r="D31" i="102"/>
  <c r="I91" i="102"/>
  <c r="D45" i="102"/>
  <c r="I92" i="102"/>
  <c r="I93" i="102"/>
  <c r="I94" i="102"/>
  <c r="I95" i="102"/>
  <c r="D55" i="102"/>
  <c r="I96" i="102"/>
  <c r="I97" i="102"/>
  <c r="I99" i="102"/>
  <c r="J77" i="102"/>
  <c r="D77" i="102"/>
  <c r="B77" i="102"/>
  <c r="J39" i="101"/>
  <c r="J52" i="101"/>
  <c r="D39" i="101"/>
  <c r="D52" i="101"/>
  <c r="B39" i="101"/>
  <c r="B52" i="101"/>
  <c r="M52" i="101" s="1"/>
  <c r="J33" i="100"/>
  <c r="M33" i="100"/>
  <c r="G33" i="100"/>
  <c r="C33" i="100"/>
  <c r="G29" i="108"/>
  <c r="G66" i="108" s="1"/>
  <c r="G37" i="108"/>
  <c r="G68" i="108" s="1"/>
  <c r="G43" i="108"/>
  <c r="G51" i="108"/>
  <c r="G71" i="108" s="1"/>
  <c r="G56" i="108"/>
  <c r="F29" i="108"/>
  <c r="F66" i="108" s="1"/>
  <c r="F37" i="108"/>
  <c r="F68" i="108" s="1"/>
  <c r="F43" i="108"/>
  <c r="F51" i="108"/>
  <c r="F71" i="108" s="1"/>
  <c r="F56" i="108"/>
  <c r="F72" i="108" s="1"/>
  <c r="E29" i="108"/>
  <c r="E37" i="108"/>
  <c r="E43" i="108"/>
  <c r="E51" i="108"/>
  <c r="E71" i="108" s="1"/>
  <c r="E56" i="108"/>
  <c r="D29" i="108"/>
  <c r="D66" i="108" s="1"/>
  <c r="D37" i="108"/>
  <c r="D68" i="108" s="1"/>
  <c r="D43" i="108"/>
  <c r="D51" i="108"/>
  <c r="D56" i="108"/>
  <c r="D72" i="108" s="1"/>
  <c r="B2" i="108"/>
  <c r="D33" i="100"/>
  <c r="F57" i="102"/>
  <c r="H57" i="102" s="1"/>
  <c r="G57" i="102"/>
  <c r="L57" i="102"/>
  <c r="N57" i="102" s="1"/>
  <c r="M57" i="102"/>
  <c r="D69" i="103"/>
  <c r="E69" i="103"/>
  <c r="H69" i="103"/>
  <c r="I69" i="103"/>
  <c r="D70" i="103"/>
  <c r="E70" i="103"/>
  <c r="H70" i="103"/>
  <c r="I70" i="103"/>
  <c r="D71" i="103"/>
  <c r="E71" i="103"/>
  <c r="H71" i="103"/>
  <c r="I71" i="103"/>
  <c r="D72" i="103"/>
  <c r="E72" i="103"/>
  <c r="H72" i="103"/>
  <c r="I72" i="103"/>
  <c r="D73" i="103"/>
  <c r="E73" i="103"/>
  <c r="H73" i="103"/>
  <c r="I73" i="103"/>
  <c r="D74" i="103"/>
  <c r="E74" i="103"/>
  <c r="H74" i="103"/>
  <c r="I74" i="103"/>
  <c r="D75" i="103"/>
  <c r="E75" i="103"/>
  <c r="H75" i="103"/>
  <c r="I75" i="103"/>
  <c r="D76" i="103"/>
  <c r="E76" i="103"/>
  <c r="H76" i="103"/>
  <c r="I76" i="103"/>
  <c r="D77" i="103"/>
  <c r="E77" i="103"/>
  <c r="H77" i="103"/>
  <c r="I77" i="103"/>
  <c r="D78" i="103"/>
  <c r="E78" i="103"/>
  <c r="H78" i="103"/>
  <c r="I78" i="103"/>
  <c r="D79" i="103"/>
  <c r="E79" i="103"/>
  <c r="H79" i="103"/>
  <c r="I79" i="103"/>
  <c r="D80" i="103"/>
  <c r="E80" i="103"/>
  <c r="H80" i="103"/>
  <c r="I80" i="103"/>
  <c r="D81" i="103"/>
  <c r="E81" i="103"/>
  <c r="H81" i="103"/>
  <c r="I81" i="103"/>
  <c r="D82" i="103"/>
  <c r="E82" i="103"/>
  <c r="H82" i="103"/>
  <c r="I82" i="103"/>
  <c r="D83" i="103"/>
  <c r="E83" i="103"/>
  <c r="H83" i="103"/>
  <c r="I83" i="103"/>
  <c r="D84" i="103"/>
  <c r="E84" i="103"/>
  <c r="H84" i="103"/>
  <c r="I84" i="103"/>
  <c r="B85" i="103"/>
  <c r="H85" i="103" s="1"/>
  <c r="D87" i="103"/>
  <c r="E87" i="103"/>
  <c r="H87" i="103"/>
  <c r="I87" i="103"/>
  <c r="D88" i="103"/>
  <c r="E88" i="103"/>
  <c r="H88" i="103"/>
  <c r="I88" i="103"/>
  <c r="D89" i="103"/>
  <c r="E89" i="103"/>
  <c r="H89" i="103"/>
  <c r="I89" i="103"/>
  <c r="D91" i="103"/>
  <c r="E91" i="103"/>
  <c r="H91" i="103"/>
  <c r="I91" i="103"/>
  <c r="D92" i="103"/>
  <c r="E92" i="103"/>
  <c r="H92" i="103"/>
  <c r="I92" i="103"/>
  <c r="D93" i="103"/>
  <c r="E93" i="103"/>
  <c r="H93" i="103"/>
  <c r="H94" i="103"/>
  <c r="I93" i="103"/>
  <c r="D94" i="103"/>
  <c r="E94" i="103"/>
  <c r="I94" i="103"/>
  <c r="B95" i="103"/>
  <c r="D22" i="104"/>
  <c r="F22" i="104"/>
  <c r="I22" i="104"/>
  <c r="D41" i="104"/>
  <c r="F41" i="104"/>
  <c r="I41" i="104"/>
  <c r="K41" i="104" s="1"/>
  <c r="H6" i="30"/>
  <c r="H5" i="30"/>
  <c r="H4" i="30"/>
  <c r="L39" i="17"/>
  <c r="L38" i="17"/>
  <c r="L37" i="17"/>
  <c r="L36" i="17"/>
  <c r="L33" i="17"/>
  <c r="N48" i="18"/>
  <c r="O48" i="18"/>
  <c r="P18" i="68"/>
  <c r="P14" i="68"/>
  <c r="P9" i="68"/>
  <c r="P6" i="68"/>
  <c r="E260" i="138"/>
  <c r="H260" i="138" s="1"/>
  <c r="K7" i="93"/>
  <c r="K11" i="93"/>
  <c r="E5" i="1"/>
  <c r="F195" i="37"/>
  <c r="F176" i="37"/>
  <c r="F157" i="37"/>
  <c r="D157" i="37"/>
  <c r="F100" i="37"/>
  <c r="F62" i="37"/>
  <c r="D62" i="37"/>
  <c r="F24" i="37"/>
  <c r="E404" i="138"/>
  <c r="L404" i="138" s="1"/>
  <c r="J358" i="93"/>
  <c r="J7" i="122"/>
  <c r="D69" i="101"/>
  <c r="D79" i="101"/>
  <c r="D36" i="100"/>
  <c r="E36" i="100" s="1"/>
  <c r="D37" i="100"/>
  <c r="E37" i="100" s="1"/>
  <c r="D55" i="100"/>
  <c r="E55" i="100" s="1"/>
  <c r="E805" i="138"/>
  <c r="J805" i="138" s="1"/>
  <c r="D40" i="101"/>
  <c r="G449" i="138"/>
  <c r="N449" i="138" s="1"/>
  <c r="G450" i="138"/>
  <c r="N450" i="138" s="1"/>
  <c r="G451" i="138"/>
  <c r="N451" i="138" s="1"/>
  <c r="G452" i="138"/>
  <c r="G455" i="138"/>
  <c r="N455" i="138" s="1"/>
  <c r="D20" i="100"/>
  <c r="E20" i="100" s="1"/>
  <c r="D26" i="100"/>
  <c r="D25" i="101"/>
  <c r="D41" i="101"/>
  <c r="E1005" i="138"/>
  <c r="H1005" i="138" s="1"/>
  <c r="E956" i="138"/>
  <c r="H956" i="138" s="1"/>
  <c r="H4" i="47"/>
  <c r="H6" i="47"/>
  <c r="H7" i="47"/>
  <c r="H4" i="48"/>
  <c r="H11" i="48" s="1"/>
  <c r="H5" i="48"/>
  <c r="H12" i="48" s="1"/>
  <c r="H6" i="48"/>
  <c r="H13" i="48" s="1"/>
  <c r="H7" i="48"/>
  <c r="H14" i="48" s="1"/>
  <c r="H8" i="48"/>
  <c r="H15" i="48" s="1"/>
  <c r="I7" i="20"/>
  <c r="I8" i="20"/>
  <c r="I9" i="20"/>
  <c r="I27" i="20"/>
  <c r="I28" i="20"/>
  <c r="I29" i="20"/>
  <c r="I30" i="20"/>
  <c r="I31" i="20"/>
  <c r="I32" i="20"/>
  <c r="I34" i="20"/>
  <c r="I35" i="20"/>
  <c r="I6" i="20"/>
  <c r="H7" i="20"/>
  <c r="H8" i="20"/>
  <c r="H9" i="20"/>
  <c r="H27" i="20"/>
  <c r="H28" i="20"/>
  <c r="H29" i="20"/>
  <c r="H30" i="20"/>
  <c r="H31" i="20"/>
  <c r="H32" i="20"/>
  <c r="H34" i="20"/>
  <c r="H35" i="20"/>
  <c r="H6" i="20"/>
  <c r="C32" i="23"/>
  <c r="C33" i="23"/>
  <c r="C34" i="23"/>
  <c r="C35" i="23"/>
  <c r="C36" i="23"/>
  <c r="C37" i="23"/>
  <c r="C38" i="23"/>
  <c r="C39" i="23"/>
  <c r="C40" i="23"/>
  <c r="C41" i="23"/>
  <c r="C31" i="23"/>
  <c r="E508" i="138"/>
  <c r="H508" i="138" s="1"/>
  <c r="C70" i="76"/>
  <c r="C71" i="76"/>
  <c r="E150" i="17"/>
  <c r="E131" i="17"/>
  <c r="E150" i="18"/>
  <c r="G24" i="137" s="1"/>
  <c r="K8" i="93"/>
  <c r="K9" i="93"/>
  <c r="K10" i="93"/>
  <c r="K12" i="93"/>
  <c r="K13" i="93"/>
  <c r="K14" i="93"/>
  <c r="E15" i="93"/>
  <c r="F15" i="93"/>
  <c r="G15" i="93"/>
  <c r="H15" i="93"/>
  <c r="I15" i="93"/>
  <c r="J15" i="93"/>
  <c r="F46" i="93"/>
  <c r="G46" i="93"/>
  <c r="H46" i="93"/>
  <c r="I46" i="93"/>
  <c r="J46" i="93"/>
  <c r="K46" i="93"/>
  <c r="L46" i="93"/>
  <c r="E82" i="93"/>
  <c r="F82" i="93"/>
  <c r="G82" i="93"/>
  <c r="H82" i="93"/>
  <c r="I82" i="93"/>
  <c r="F93" i="93"/>
  <c r="J93" i="93"/>
  <c r="H283" i="93"/>
  <c r="I283" i="93"/>
  <c r="J283" i="93"/>
  <c r="K283" i="93"/>
  <c r="F303" i="93"/>
  <c r="G303" i="93"/>
  <c r="H303" i="93"/>
  <c r="I303" i="93"/>
  <c r="F318" i="93"/>
  <c r="J338" i="93"/>
  <c r="G378" i="93"/>
  <c r="I378" i="93"/>
  <c r="E718" i="138"/>
  <c r="H718" i="138" s="1"/>
  <c r="H751" i="138" s="1"/>
  <c r="F38" i="139" s="1"/>
  <c r="E38" i="139" s="1"/>
  <c r="G453" i="138"/>
  <c r="N453" i="138" s="1"/>
  <c r="G17" i="137"/>
  <c r="E131" i="18"/>
  <c r="E356" i="138"/>
  <c r="H356" i="138" s="1"/>
  <c r="G314" i="138"/>
  <c r="E20" i="89"/>
  <c r="E864" i="138"/>
  <c r="H864" i="138" s="1"/>
  <c r="F139" i="37"/>
  <c r="F81" i="37"/>
  <c r="E1050" i="138"/>
  <c r="H1050" i="138" s="1"/>
  <c r="E1035" i="138"/>
  <c r="H1035" i="138" s="1"/>
  <c r="E967" i="138"/>
  <c r="H967" i="138" s="1"/>
  <c r="E896" i="138"/>
  <c r="H896" i="138" s="1"/>
  <c r="E886" i="138"/>
  <c r="I886" i="138" s="1"/>
  <c r="E787" i="138"/>
  <c r="E490" i="138"/>
  <c r="H490" i="138" s="1"/>
  <c r="E464" i="138"/>
  <c r="F456" i="138"/>
  <c r="E456" i="138"/>
  <c r="H30" i="1"/>
  <c r="F292" i="138" s="1"/>
  <c r="M292" i="138" s="1"/>
  <c r="H31" i="1"/>
  <c r="F293" i="138" s="1"/>
  <c r="H32" i="1"/>
  <c r="F294" i="138" s="1"/>
  <c r="M294" i="138" s="1"/>
  <c r="H33" i="1"/>
  <c r="F295" i="138" s="1"/>
  <c r="M295" i="138" s="1"/>
  <c r="H34" i="1"/>
  <c r="F296" i="138" s="1"/>
  <c r="M296" i="138" s="1"/>
  <c r="H35" i="1"/>
  <c r="F297" i="138" s="1"/>
  <c r="M297" i="138" s="1"/>
  <c r="H36" i="1"/>
  <c r="F298" i="138" s="1"/>
  <c r="M298" i="138" s="1"/>
  <c r="H37" i="1"/>
  <c r="F299" i="138" s="1"/>
  <c r="M299" i="138" s="1"/>
  <c r="H38" i="1"/>
  <c r="F300" i="138" s="1"/>
  <c r="M300" i="138" s="1"/>
  <c r="H39" i="1"/>
  <c r="F301" i="138" s="1"/>
  <c r="M301" i="138" s="1"/>
  <c r="E30" i="1"/>
  <c r="E31" i="1"/>
  <c r="E32" i="1"/>
  <c r="E33" i="1"/>
  <c r="E34" i="1"/>
  <c r="E35" i="1"/>
  <c r="E36" i="1"/>
  <c r="E37" i="1"/>
  <c r="E38" i="1"/>
  <c r="E39" i="1"/>
  <c r="H6" i="1"/>
  <c r="F268" i="138" s="1"/>
  <c r="M268" i="138" s="1"/>
  <c r="H7" i="1"/>
  <c r="F269" i="138" s="1"/>
  <c r="M269" i="138" s="1"/>
  <c r="H8" i="1"/>
  <c r="F270" i="138" s="1"/>
  <c r="M270" i="138" s="1"/>
  <c r="H9" i="1"/>
  <c r="F271" i="138" s="1"/>
  <c r="M271" i="138" s="1"/>
  <c r="H10" i="1"/>
  <c r="F272" i="138" s="1"/>
  <c r="M272" i="138" s="1"/>
  <c r="H11" i="1"/>
  <c r="F273" i="138" s="1"/>
  <c r="M273" i="138" s="1"/>
  <c r="H12" i="1"/>
  <c r="F274" i="138" s="1"/>
  <c r="M274" i="138" s="1"/>
  <c r="H13" i="1"/>
  <c r="F275" i="138" s="1"/>
  <c r="M275" i="138" s="1"/>
  <c r="E6" i="1"/>
  <c r="E7" i="1"/>
  <c r="E8" i="1"/>
  <c r="E9" i="1"/>
  <c r="E10" i="1"/>
  <c r="E11" i="1"/>
  <c r="E12" i="1"/>
  <c r="E13" i="1"/>
  <c r="E14" i="1"/>
  <c r="E15" i="1"/>
  <c r="E16" i="1"/>
  <c r="E18" i="1"/>
  <c r="E19" i="1"/>
  <c r="A3" i="75"/>
  <c r="K2" i="75"/>
  <c r="K3" i="75"/>
  <c r="K4" i="75"/>
  <c r="K5" i="75"/>
  <c r="K6" i="75"/>
  <c r="K7" i="75"/>
  <c r="K8" i="75"/>
  <c r="K9" i="75"/>
  <c r="K10" i="75"/>
  <c r="K11" i="75"/>
  <c r="K12" i="75"/>
  <c r="K13" i="75"/>
  <c r="K14" i="75"/>
  <c r="K15" i="75"/>
  <c r="K16" i="75"/>
  <c r="K17" i="75"/>
  <c r="K18" i="75"/>
  <c r="K19" i="75"/>
  <c r="K20" i="75"/>
  <c r="K21" i="75"/>
  <c r="K22" i="75"/>
  <c r="K23" i="75"/>
  <c r="K24" i="75"/>
  <c r="K25" i="75"/>
  <c r="K26" i="75"/>
  <c r="K27" i="75"/>
  <c r="K28" i="75"/>
  <c r="K29" i="75"/>
  <c r="K30" i="75"/>
  <c r="K31" i="75"/>
  <c r="K32" i="75"/>
  <c r="K33" i="75"/>
  <c r="K34" i="75"/>
  <c r="K35" i="75"/>
  <c r="K36" i="75"/>
  <c r="K37" i="75"/>
  <c r="K38" i="75"/>
  <c r="K39" i="75"/>
  <c r="K40" i="75"/>
  <c r="K41" i="75"/>
  <c r="K42" i="75"/>
  <c r="K43" i="75"/>
  <c r="K44" i="75"/>
  <c r="K45" i="75"/>
  <c r="K46" i="75"/>
  <c r="K47" i="75"/>
  <c r="K48" i="75"/>
  <c r="K49" i="75"/>
  <c r="K50" i="75"/>
  <c r="K51" i="75"/>
  <c r="K52" i="75"/>
  <c r="K53" i="75"/>
  <c r="K54" i="75"/>
  <c r="K55" i="75"/>
  <c r="K56" i="75"/>
  <c r="K57" i="75"/>
  <c r="K58" i="75"/>
  <c r="K59" i="75"/>
  <c r="K60" i="75"/>
  <c r="K61" i="75"/>
  <c r="K62" i="75"/>
  <c r="K63" i="75"/>
  <c r="K64" i="75"/>
  <c r="K65" i="75"/>
  <c r="K66" i="75"/>
  <c r="K67" i="75"/>
  <c r="K68" i="75"/>
  <c r="K69" i="75"/>
  <c r="K70" i="75"/>
  <c r="K71" i="75"/>
  <c r="K72" i="75"/>
  <c r="K73" i="75"/>
  <c r="K74" i="75"/>
  <c r="K75" i="75"/>
  <c r="K76" i="75"/>
  <c r="K77" i="75"/>
  <c r="K78" i="75"/>
  <c r="K79" i="75"/>
  <c r="K80" i="75"/>
  <c r="K81" i="75"/>
  <c r="K82" i="75"/>
  <c r="K83" i="75"/>
  <c r="K84" i="75"/>
  <c r="K85" i="75"/>
  <c r="K86" i="75"/>
  <c r="K87" i="75"/>
  <c r="K88" i="75"/>
  <c r="K89" i="75"/>
  <c r="K90" i="75"/>
  <c r="K91" i="75"/>
  <c r="K92" i="75"/>
  <c r="K93" i="75"/>
  <c r="K117" i="75"/>
  <c r="K118" i="75"/>
  <c r="K119" i="75"/>
  <c r="K120" i="75"/>
  <c r="K121" i="75"/>
  <c r="K122" i="75"/>
  <c r="K123" i="75"/>
  <c r="K124" i="75"/>
  <c r="K125" i="75"/>
  <c r="K126" i="75"/>
  <c r="K127" i="75"/>
  <c r="K128" i="75"/>
  <c r="K129" i="75"/>
  <c r="K130" i="75"/>
  <c r="K131" i="75"/>
  <c r="K132" i="75"/>
  <c r="K133" i="75"/>
  <c r="K134" i="75"/>
  <c r="K135" i="75"/>
  <c r="K136" i="75"/>
  <c r="K137" i="75"/>
  <c r="K138" i="75"/>
  <c r="K139" i="75"/>
  <c r="K140" i="75"/>
  <c r="K141" i="75"/>
  <c r="K142" i="75"/>
  <c r="K143" i="75"/>
  <c r="K144" i="75"/>
  <c r="G3" i="75"/>
  <c r="D4" i="75"/>
  <c r="D3" i="75"/>
  <c r="B4" i="75"/>
  <c r="K3" i="73"/>
  <c r="K4" i="73"/>
  <c r="F4" i="74"/>
  <c r="N136" i="73"/>
  <c r="J136" i="73"/>
  <c r="I136" i="73"/>
  <c r="E136" i="73"/>
  <c r="N5" i="73"/>
  <c r="N59" i="73" s="1"/>
  <c r="I5" i="73"/>
  <c r="I59" i="73" s="1"/>
  <c r="E59" i="73"/>
  <c r="J5" i="73"/>
  <c r="E5" i="73"/>
  <c r="J59" i="73"/>
  <c r="A55" i="70"/>
  <c r="A1" i="70"/>
  <c r="A1" i="71"/>
  <c r="A2" i="70"/>
  <c r="A56" i="70" s="1"/>
  <c r="E119" i="70"/>
  <c r="F119" i="70"/>
  <c r="A2" i="71"/>
  <c r="A1" i="68"/>
  <c r="A1" i="67"/>
  <c r="A1" i="66"/>
  <c r="A55" i="64"/>
  <c r="A1" i="64"/>
  <c r="A2" i="68"/>
  <c r="A2" i="67"/>
  <c r="A2" i="66"/>
  <c r="A2" i="65"/>
  <c r="A2" i="64"/>
  <c r="A56" i="64" s="1"/>
  <c r="E1112" i="138"/>
  <c r="H1112" i="138" s="1"/>
  <c r="E517" i="138"/>
  <c r="E53" i="1"/>
  <c r="H53" i="1"/>
  <c r="F315" i="138" s="1"/>
  <c r="H5" i="1"/>
  <c r="F267" i="138" s="1"/>
  <c r="M267" i="138" s="1"/>
  <c r="H29" i="1"/>
  <c r="F291" i="138" s="1"/>
  <c r="M291" i="138" s="1"/>
  <c r="E29" i="1"/>
  <c r="D21" i="101"/>
  <c r="D44" i="101"/>
  <c r="P11" i="68"/>
  <c r="D36" i="101"/>
  <c r="D17" i="101"/>
  <c r="Q12" i="68"/>
  <c r="D46" i="100"/>
  <c r="E46" i="100" s="1"/>
  <c r="D43" i="102"/>
  <c r="C48" i="103"/>
  <c r="G45" i="103"/>
  <c r="G52" i="103"/>
  <c r="G29" i="103"/>
  <c r="G25" i="103"/>
  <c r="G43" i="103"/>
  <c r="G37" i="103"/>
  <c r="G17" i="103"/>
  <c r="D79" i="102"/>
  <c r="H20" i="93"/>
  <c r="P16" i="68"/>
  <c r="P20" i="68"/>
  <c r="G22" i="103"/>
  <c r="D38" i="102"/>
  <c r="E102" i="70"/>
  <c r="D26" i="102"/>
  <c r="D24" i="102"/>
  <c r="D78" i="102"/>
  <c r="D52" i="102"/>
  <c r="E37" i="37"/>
  <c r="E33" i="37"/>
  <c r="E38" i="37"/>
  <c r="E34" i="37"/>
  <c r="E113" i="1"/>
  <c r="I13" i="69" s="1"/>
  <c r="G290" i="138"/>
  <c r="N290" i="138" s="1"/>
  <c r="E777" i="138"/>
  <c r="E521" i="138"/>
  <c r="H521" i="138" s="1"/>
  <c r="D50" i="26"/>
  <c r="E616" i="138"/>
  <c r="H616" i="138" s="1"/>
  <c r="E647" i="138"/>
  <c r="E652" i="138"/>
  <c r="E648" i="138"/>
  <c r="H648" i="138" s="1"/>
  <c r="E655" i="138"/>
  <c r="H655" i="138" s="1"/>
  <c r="E651" i="138"/>
  <c r="H651" i="138" s="1"/>
  <c r="E649" i="138"/>
  <c r="H649" i="138" s="1"/>
  <c r="E556" i="138"/>
  <c r="H556" i="138" s="1"/>
  <c r="E500" i="138"/>
  <c r="H500" i="138" s="1"/>
  <c r="E480" i="138"/>
  <c r="H480" i="138" s="1"/>
  <c r="E750" i="138"/>
  <c r="H750" i="138" s="1"/>
  <c r="E734" i="138"/>
  <c r="E583" i="138"/>
  <c r="H583" i="138" s="1"/>
  <c r="B78" i="102"/>
  <c r="E174" i="138"/>
  <c r="H174" i="138" s="1"/>
  <c r="G27" i="103"/>
  <c r="G51" i="103"/>
  <c r="H78" i="108"/>
  <c r="C56" i="103"/>
  <c r="D49" i="30"/>
  <c r="G21" i="103"/>
  <c r="H36" i="20"/>
  <c r="E872" i="138"/>
  <c r="H872" i="138" s="1"/>
  <c r="E115" i="1"/>
  <c r="M13" i="69" s="1"/>
  <c r="D114" i="1"/>
  <c r="J13" i="69" s="1"/>
  <c r="G242" i="137"/>
  <c r="G272" i="137"/>
  <c r="G188" i="137"/>
  <c r="G189" i="137" s="1"/>
  <c r="G428" i="137" s="1"/>
  <c r="G292" i="137"/>
  <c r="G350" i="137"/>
  <c r="G353" i="137" s="1"/>
  <c r="G355" i="137" s="1"/>
  <c r="G449" i="137" s="1"/>
  <c r="G311" i="137"/>
  <c r="H5" i="16"/>
  <c r="F400" i="138" s="1"/>
  <c r="M400" i="138" s="1"/>
  <c r="G85" i="136"/>
  <c r="I98" i="69" s="1"/>
  <c r="G40" i="137"/>
  <c r="G32" i="103"/>
  <c r="I27" i="66"/>
  <c r="K27" i="66" s="1"/>
  <c r="G39" i="103"/>
  <c r="G283" i="137"/>
  <c r="G333" i="137"/>
  <c r="F102" i="70"/>
  <c r="I3" i="101"/>
  <c r="G145" i="136"/>
  <c r="L98" i="69" s="1"/>
  <c r="G125" i="136"/>
  <c r="K98" i="69" s="1"/>
  <c r="G105" i="136"/>
  <c r="J98" i="69" s="1"/>
  <c r="G416" i="138"/>
  <c r="P416" i="138" s="1"/>
  <c r="G56" i="18"/>
  <c r="N204" i="122"/>
  <c r="J78" i="102"/>
  <c r="I204" i="122"/>
  <c r="E898" i="138"/>
  <c r="H898" i="138" s="1"/>
  <c r="D23" i="100"/>
  <c r="E23" i="100" s="1"/>
  <c r="F56" i="18"/>
  <c r="Q15" i="68"/>
  <c r="P10" i="68"/>
  <c r="P12" i="68"/>
  <c r="I48" i="66"/>
  <c r="K48" i="66" s="1"/>
  <c r="E8" i="16"/>
  <c r="E7" i="16"/>
  <c r="E6" i="16"/>
  <c r="E5" i="16"/>
  <c r="Q19" i="68"/>
  <c r="I47" i="66"/>
  <c r="K47" i="66" s="1"/>
  <c r="D147" i="70"/>
  <c r="D30" i="102"/>
  <c r="D28" i="102"/>
  <c r="P7" i="68"/>
  <c r="Q16" i="68"/>
  <c r="D66" i="101"/>
  <c r="I46" i="103"/>
  <c r="G47" i="103"/>
  <c r="I17" i="66"/>
  <c r="K17" i="66" s="1"/>
  <c r="D35" i="102"/>
  <c r="H8" i="16"/>
  <c r="F403" i="138" s="1"/>
  <c r="M403" i="138" s="1"/>
  <c r="H7" i="16"/>
  <c r="H6" i="16"/>
  <c r="F401" i="138" s="1"/>
  <c r="M401" i="138" s="1"/>
  <c r="P17" i="68"/>
  <c r="P13" i="68"/>
  <c r="Q6" i="68"/>
  <c r="G57" i="103"/>
  <c r="C95" i="103"/>
  <c r="G95" i="103"/>
  <c r="H95" i="103" s="1"/>
  <c r="G20" i="103"/>
  <c r="H20" i="66"/>
  <c r="H24" i="66"/>
  <c r="H72" i="65"/>
  <c r="G40" i="103"/>
  <c r="G14" i="103"/>
  <c r="H48" i="66"/>
  <c r="I24" i="66"/>
  <c r="K24" i="66" s="1"/>
  <c r="I20" i="66"/>
  <c r="K20" i="66" s="1"/>
  <c r="I15" i="66"/>
  <c r="K15" i="66" s="1"/>
  <c r="D15" i="102"/>
  <c r="H47" i="66"/>
  <c r="H17" i="66"/>
  <c r="H16" i="66"/>
  <c r="G117" i="37"/>
  <c r="G109" i="37"/>
  <c r="G118" i="37"/>
  <c r="G110" i="37"/>
  <c r="E820" i="138"/>
  <c r="J820" i="138" s="1"/>
  <c r="E574" i="138"/>
  <c r="H574" i="138" s="1"/>
  <c r="E502" i="138"/>
  <c r="H502" i="138" s="1"/>
  <c r="H27" i="66"/>
  <c r="H35" i="93"/>
  <c r="G120" i="137"/>
  <c r="G129" i="137"/>
  <c r="G208" i="137"/>
  <c r="E904" i="138"/>
  <c r="K904" i="138" s="1"/>
  <c r="H73" i="65"/>
  <c r="G369" i="137"/>
  <c r="J815" i="138"/>
  <c r="H259" i="138"/>
  <c r="H255" i="138"/>
  <c r="H247" i="138"/>
  <c r="N277" i="138"/>
  <c r="N309" i="138"/>
  <c r="N328" i="138"/>
  <c r="N275" i="138"/>
  <c r="N310" i="138"/>
  <c r="N267" i="138"/>
  <c r="N323" i="138"/>
  <c r="N281" i="138"/>
  <c r="N313" i="138"/>
  <c r="N329" i="138"/>
  <c r="N315" i="138"/>
  <c r="N298" i="138"/>
  <c r="N269" i="138"/>
  <c r="N285" i="138"/>
  <c r="N301" i="138"/>
  <c r="N333" i="138"/>
  <c r="N291" i="138"/>
  <c r="N327" i="138"/>
  <c r="N282" i="138"/>
  <c r="N302" i="138"/>
  <c r="N296" i="138"/>
  <c r="N279" i="138"/>
  <c r="N293" i="138"/>
  <c r="N307" i="138"/>
  <c r="N330" i="138"/>
  <c r="N316" i="138"/>
  <c r="N295" i="138"/>
  <c r="N297" i="138"/>
  <c r="N283" i="138"/>
  <c r="N318" i="138"/>
  <c r="L307" i="138"/>
  <c r="N303" i="138"/>
  <c r="N331" i="138"/>
  <c r="N273" i="138"/>
  <c r="N289" i="138"/>
  <c r="N305" i="138"/>
  <c r="N337" i="138"/>
  <c r="N299" i="138"/>
  <c r="N335" i="138"/>
  <c r="N306" i="138"/>
  <c r="N326" i="138"/>
  <c r="N276" i="138"/>
  <c r="N319" i="138"/>
  <c r="H965" i="138"/>
  <c r="H961" i="138"/>
  <c r="H980" i="138"/>
  <c r="H895" i="138"/>
  <c r="H1122" i="138"/>
  <c r="K907" i="138"/>
  <c r="H1042" i="138"/>
  <c r="H1020" i="138"/>
  <c r="K910" i="138"/>
  <c r="H893" i="138"/>
  <c r="H855" i="138"/>
  <c r="H1201" i="138"/>
  <c r="H858" i="138"/>
  <c r="H1200" i="138"/>
  <c r="H1173" i="138"/>
  <c r="H1084" i="138"/>
  <c r="H963" i="138"/>
  <c r="H1187" i="138"/>
  <c r="H1016" i="138"/>
  <c r="H977" i="138"/>
  <c r="H1199" i="138"/>
  <c r="H1136" i="138"/>
  <c r="H1120" i="138"/>
  <c r="K911" i="138"/>
  <c r="H894" i="138"/>
  <c r="H1046" i="138"/>
  <c r="H897" i="138"/>
  <c r="H1178" i="138"/>
  <c r="H1093" i="138"/>
  <c r="H1141" i="138"/>
  <c r="H1125" i="138"/>
  <c r="H1029" i="138"/>
  <c r="H999" i="138"/>
  <c r="H1150" i="138"/>
  <c r="H1153" i="138"/>
  <c r="I885" i="138"/>
  <c r="H1154" i="138"/>
  <c r="H1069" i="138"/>
  <c r="H920" i="138"/>
  <c r="H1060" i="138"/>
  <c r="I876" i="138"/>
  <c r="H1182" i="138"/>
  <c r="H1045" i="138"/>
  <c r="H964" i="138"/>
  <c r="H869" i="138"/>
  <c r="H1165" i="138"/>
  <c r="H1151" i="138"/>
  <c r="H1092" i="138"/>
  <c r="H1033" i="138"/>
  <c r="I881" i="138"/>
  <c r="H868" i="138"/>
  <c r="H827" i="138"/>
  <c r="H1118" i="138"/>
  <c r="H721" i="138"/>
  <c r="J1252" i="138"/>
  <c r="H785" i="138"/>
  <c r="H733" i="138"/>
  <c r="K1250" i="138"/>
  <c r="J1268" i="138"/>
  <c r="J1230" i="138"/>
  <c r="K1269" i="138"/>
  <c r="J1242" i="138"/>
  <c r="H1128" i="138"/>
  <c r="J1284" i="138"/>
  <c r="J1246" i="138"/>
  <c r="J1241" i="138"/>
  <c r="J1233" i="138"/>
  <c r="H1156" i="138"/>
  <c r="K1271" i="138"/>
  <c r="J1244" i="138"/>
  <c r="J1287" i="138"/>
  <c r="J1249" i="138"/>
  <c r="K1283" i="138"/>
  <c r="H736" i="138"/>
  <c r="J1293" i="138"/>
  <c r="J1255" i="138"/>
  <c r="J1251" i="138"/>
  <c r="H728" i="138"/>
  <c r="H719" i="138"/>
  <c r="H759" i="138"/>
  <c r="H766" i="138"/>
  <c r="K1227" i="138"/>
  <c r="J1276" i="138"/>
  <c r="J1238" i="138"/>
  <c r="K1292" i="138"/>
  <c r="K1244" i="138"/>
  <c r="K1256" i="138"/>
  <c r="K1258" i="138"/>
  <c r="J1278" i="138"/>
  <c r="H1116" i="138"/>
  <c r="K674" i="138"/>
  <c r="J678" i="138"/>
  <c r="K692" i="138"/>
  <c r="J680" i="138"/>
  <c r="H734" i="138"/>
  <c r="J670" i="138"/>
  <c r="H709" i="138"/>
  <c r="J672" i="138"/>
  <c r="K678" i="138"/>
  <c r="H761" i="138"/>
  <c r="H777" i="138"/>
  <c r="H787" i="138"/>
  <c r="J697" i="138"/>
  <c r="H586" i="138"/>
  <c r="H713" i="138"/>
  <c r="K1228" i="138"/>
  <c r="H501" i="138"/>
  <c r="H486" i="138"/>
  <c r="M304" i="138"/>
  <c r="H473" i="138"/>
  <c r="L450" i="138"/>
  <c r="H589" i="138"/>
  <c r="H569" i="138"/>
  <c r="J1228" i="138"/>
  <c r="P363" i="138"/>
  <c r="M327" i="138"/>
  <c r="H639" i="138"/>
  <c r="L441" i="138"/>
  <c r="N428" i="138"/>
  <c r="N425" i="138"/>
  <c r="H632" i="138"/>
  <c r="H346" i="138"/>
  <c r="N376" i="138"/>
  <c r="P365" i="138"/>
  <c r="H344" i="138"/>
  <c r="M328" i="138"/>
  <c r="H347" i="138"/>
  <c r="M335" i="138"/>
  <c r="M319" i="138"/>
  <c r="H469" i="138"/>
  <c r="H481" i="138" s="1"/>
  <c r="F25" i="139" s="1"/>
  <c r="E25" i="139" s="1"/>
  <c r="L455" i="138"/>
  <c r="H461" i="138"/>
  <c r="N424" i="138"/>
  <c r="H637" i="138"/>
  <c r="H585" i="138"/>
  <c r="N400" i="138"/>
  <c r="H348" i="138"/>
  <c r="M323" i="138"/>
  <c r="H487" i="138"/>
  <c r="N401" i="138"/>
  <c r="P367" i="138"/>
  <c r="N377" i="138"/>
  <c r="H355" i="138"/>
  <c r="M324" i="138"/>
  <c r="M312" i="138"/>
  <c r="M293" i="138"/>
  <c r="M331" i="138"/>
  <c r="M315" i="138"/>
  <c r="M283" i="138"/>
  <c r="H512" i="138"/>
  <c r="M451" i="138"/>
  <c r="L451" i="138"/>
  <c r="H499" i="138"/>
  <c r="H590" i="138"/>
  <c r="H617" i="138"/>
  <c r="N402" i="138"/>
  <c r="H638" i="138"/>
  <c r="N393" i="138"/>
  <c r="J699" i="138"/>
  <c r="L456" i="138"/>
  <c r="H517" i="138"/>
  <c r="H653" i="138"/>
  <c r="N404" i="138"/>
  <c r="H650" i="138"/>
  <c r="N314" i="138"/>
  <c r="M456" i="138"/>
  <c r="H464" i="138"/>
  <c r="H647" i="138"/>
  <c r="H610" i="138"/>
  <c r="H652" i="138"/>
  <c r="Q415" i="138"/>
  <c r="N452" i="138"/>
  <c r="H236" i="138"/>
  <c r="H225" i="138"/>
  <c r="H228" i="138"/>
  <c r="H191" i="138"/>
  <c r="H220" i="138"/>
  <c r="H214" i="138"/>
  <c r="H211" i="138"/>
  <c r="H219" i="138"/>
  <c r="H194" i="138"/>
  <c r="G388" i="137"/>
  <c r="J1272" i="138" l="1"/>
  <c r="H56" i="108"/>
  <c r="AD24" i="67"/>
  <c r="E87" i="122"/>
  <c r="E167" i="122"/>
  <c r="D70" i="102"/>
  <c r="AD35" i="67"/>
  <c r="I49" i="133"/>
  <c r="H49" i="133" s="1"/>
  <c r="E151" i="37"/>
  <c r="H34" i="66"/>
  <c r="B27" i="103"/>
  <c r="E27" i="103" s="1"/>
  <c r="D70" i="101"/>
  <c r="H208" i="137"/>
  <c r="E31" i="157"/>
  <c r="I19" i="133"/>
  <c r="H19" i="133" s="1"/>
  <c r="N49" i="133"/>
  <c r="M49" i="133" s="1"/>
  <c r="I34" i="66"/>
  <c r="K34" i="66" s="1"/>
  <c r="G28" i="37"/>
  <c r="G346" i="137"/>
  <c r="G448" i="137" s="1"/>
  <c r="I82" i="133"/>
  <c r="H82" i="133" s="1"/>
  <c r="I122" i="133"/>
  <c r="H122" i="133" s="1"/>
  <c r="B45" i="103"/>
  <c r="I7" i="66"/>
  <c r="K7" i="66" s="1"/>
  <c r="G33" i="136"/>
  <c r="G31" i="157"/>
  <c r="F13" i="158"/>
  <c r="N51" i="108"/>
  <c r="N71" i="108" s="1"/>
  <c r="D75" i="43"/>
  <c r="D80" i="43" s="1"/>
  <c r="G137" i="37"/>
  <c r="D29" i="101"/>
  <c r="H40" i="66"/>
  <c r="G30" i="103"/>
  <c r="H30" i="103" s="1"/>
  <c r="I52" i="133"/>
  <c r="H52" i="133" s="1"/>
  <c r="G135" i="37"/>
  <c r="I191" i="133"/>
  <c r="H191" i="133" s="1"/>
  <c r="N173" i="133"/>
  <c r="M173" i="133" s="1"/>
  <c r="I53" i="66"/>
  <c r="K53" i="66" s="1"/>
  <c r="G44" i="103"/>
  <c r="B20" i="103"/>
  <c r="G58" i="103"/>
  <c r="G364" i="138"/>
  <c r="P364" i="138" s="1"/>
  <c r="K5" i="131"/>
  <c r="K157" i="93"/>
  <c r="H99" i="69" s="1"/>
  <c r="E169" i="37"/>
  <c r="I26" i="133"/>
  <c r="H26" i="133" s="1"/>
  <c r="E163" i="37"/>
  <c r="G138" i="133"/>
  <c r="I138" i="133" s="1"/>
  <c r="H138" i="133" s="1"/>
  <c r="N147" i="133"/>
  <c r="M147" i="133" s="1"/>
  <c r="H15" i="66"/>
  <c r="C31" i="157"/>
  <c r="H14" i="66"/>
  <c r="E114" i="1"/>
  <c r="K13" i="69" s="1"/>
  <c r="I175" i="18"/>
  <c r="G80" i="37"/>
  <c r="N143" i="133"/>
  <c r="M143" i="133" s="1"/>
  <c r="K1252" i="138"/>
  <c r="D40" i="100"/>
  <c r="B39" i="103"/>
  <c r="E154" i="37"/>
  <c r="E994" i="138"/>
  <c r="K994" i="138" s="1"/>
  <c r="N24" i="133"/>
  <c r="M24" i="133" s="1"/>
  <c r="N19" i="133"/>
  <c r="M19" i="133" s="1"/>
  <c r="N48" i="133"/>
  <c r="M48" i="133" s="1"/>
  <c r="N30" i="133"/>
  <c r="M30" i="133" s="1"/>
  <c r="N182" i="133"/>
  <c r="M182" i="133" s="1"/>
  <c r="J1265" i="138"/>
  <c r="J1227" i="138"/>
  <c r="H311" i="137"/>
  <c r="E230" i="138"/>
  <c r="H230" i="138" s="1"/>
  <c r="K1235" i="138"/>
  <c r="I36" i="20"/>
  <c r="N151" i="133"/>
  <c r="M151" i="133" s="1"/>
  <c r="N141" i="133"/>
  <c r="M141" i="133" s="1"/>
  <c r="H16" i="126"/>
  <c r="J1291" i="138"/>
  <c r="D46" i="102"/>
  <c r="K1241" i="138"/>
  <c r="J1236" i="138"/>
  <c r="D30" i="101"/>
  <c r="G312" i="137"/>
  <c r="G442" i="137" s="1"/>
  <c r="D49" i="101"/>
  <c r="H11" i="126"/>
  <c r="H18" i="126"/>
  <c r="H13" i="126"/>
  <c r="H174" i="137"/>
  <c r="L12" i="68"/>
  <c r="O12" i="68" s="1"/>
  <c r="G171" i="37"/>
  <c r="E168" i="37"/>
  <c r="E155" i="37"/>
  <c r="E145" i="37"/>
  <c r="G202" i="133"/>
  <c r="G129" i="133" s="1"/>
  <c r="I173" i="133"/>
  <c r="H173" i="133" s="1"/>
  <c r="I150" i="133"/>
  <c r="H150" i="133" s="1"/>
  <c r="I140" i="133"/>
  <c r="H140" i="133" s="1"/>
  <c r="I152" i="133"/>
  <c r="H152" i="133" s="1"/>
  <c r="N159" i="133"/>
  <c r="M159" i="133" s="1"/>
  <c r="N150" i="133"/>
  <c r="M150" i="133" s="1"/>
  <c r="D48" i="101"/>
  <c r="E14" i="122"/>
  <c r="E122" i="122"/>
  <c r="H4" i="126"/>
  <c r="H14" i="126"/>
  <c r="K1285" i="138"/>
  <c r="J1269" i="138"/>
  <c r="H7" i="126"/>
  <c r="J18" i="126"/>
  <c r="H10" i="126"/>
  <c r="H15" i="126"/>
  <c r="AD29" i="67"/>
  <c r="D36" i="81"/>
  <c r="I106" i="133"/>
  <c r="H106" i="133" s="1"/>
  <c r="G39" i="22"/>
  <c r="D12" i="153"/>
  <c r="G169" i="37"/>
  <c r="E165" i="37"/>
  <c r="K1243" i="138"/>
  <c r="E797" i="138"/>
  <c r="H797" i="138" s="1"/>
  <c r="H17" i="126"/>
  <c r="E74" i="43"/>
  <c r="E1210" i="138" s="1"/>
  <c r="H1210" i="138" s="1"/>
  <c r="H52" i="66"/>
  <c r="N34" i="67"/>
  <c r="AC34" i="67" s="1"/>
  <c r="I23" i="133"/>
  <c r="H23" i="133" s="1"/>
  <c r="G167" i="37"/>
  <c r="E164" i="37"/>
  <c r="E88" i="37"/>
  <c r="G159" i="17"/>
  <c r="G156" i="17"/>
  <c r="G158" i="17"/>
  <c r="G157" i="17"/>
  <c r="G155" i="17"/>
  <c r="G43" i="17"/>
  <c r="E36" i="17"/>
  <c r="E33" i="17"/>
  <c r="I33" i="133"/>
  <c r="H33" i="133" s="1"/>
  <c r="K1275" i="138"/>
  <c r="J1257" i="138"/>
  <c r="K1277" i="138"/>
  <c r="G293" i="137"/>
  <c r="G440" i="137" s="1"/>
  <c r="D19" i="100"/>
  <c r="C106" i="103"/>
  <c r="H50" i="53"/>
  <c r="H263" i="137"/>
  <c r="H12" i="126"/>
  <c r="I88" i="64"/>
  <c r="I114" i="133"/>
  <c r="H114" i="133" s="1"/>
  <c r="G14" i="22"/>
  <c r="G43" i="22"/>
  <c r="G16" i="43"/>
  <c r="H16" i="43" s="1"/>
  <c r="E21" i="53"/>
  <c r="E173" i="37"/>
  <c r="G156" i="37"/>
  <c r="E149" i="37"/>
  <c r="I197" i="133"/>
  <c r="H197" i="133" s="1"/>
  <c r="H5" i="126"/>
  <c r="H21" i="103"/>
  <c r="D115" i="1"/>
  <c r="L13" i="69" s="1"/>
  <c r="C147" i="70"/>
  <c r="H8" i="126"/>
  <c r="AB26" i="67"/>
  <c r="D79" i="66"/>
  <c r="N23" i="67"/>
  <c r="AC23" i="67" s="1"/>
  <c r="E171" i="37"/>
  <c r="G154" i="37"/>
  <c r="E147" i="37"/>
  <c r="N162" i="133"/>
  <c r="M162" i="133" s="1"/>
  <c r="N152" i="133"/>
  <c r="M152" i="133" s="1"/>
  <c r="N142" i="133"/>
  <c r="M142" i="133" s="1"/>
  <c r="G124" i="137"/>
  <c r="G128" i="137" s="1"/>
  <c r="G130" i="137" s="1"/>
  <c r="G424" i="137" s="1"/>
  <c r="G22" i="27"/>
  <c r="G15" i="127"/>
  <c r="E4" i="28"/>
  <c r="H167" i="18"/>
  <c r="H169" i="18"/>
  <c r="F389" i="138" s="1"/>
  <c r="M389" i="138" s="1"/>
  <c r="E394" i="138"/>
  <c r="L394" i="138" s="1"/>
  <c r="L395" i="138" s="1"/>
  <c r="G381" i="138"/>
  <c r="N381" i="138" s="1"/>
  <c r="G375" i="138"/>
  <c r="N375" i="138" s="1"/>
  <c r="H170" i="18"/>
  <c r="F390" i="138" s="1"/>
  <c r="M390" i="138" s="1"/>
  <c r="H173" i="18"/>
  <c r="F393" i="138" s="1"/>
  <c r="M393" i="138" s="1"/>
  <c r="E172" i="18"/>
  <c r="G394" i="138"/>
  <c r="N394" i="138" s="1"/>
  <c r="M166" i="18"/>
  <c r="G36" i="37"/>
  <c r="G15" i="137"/>
  <c r="E30" i="37"/>
  <c r="E29" i="37"/>
  <c r="G10" i="18"/>
  <c r="E8" i="18"/>
  <c r="E42" i="37"/>
  <c r="E41" i="37"/>
  <c r="E158" i="18"/>
  <c r="G27" i="37"/>
  <c r="E368" i="138"/>
  <c r="N368" i="138" s="1"/>
  <c r="G35" i="37"/>
  <c r="E16" i="18"/>
  <c r="F363" i="138" s="1"/>
  <c r="O363" i="138" s="1"/>
  <c r="E28" i="37"/>
  <c r="E36" i="37"/>
  <c r="E27" i="37"/>
  <c r="E35" i="37"/>
  <c r="G6" i="18"/>
  <c r="E32" i="37"/>
  <c r="E40" i="37"/>
  <c r="E31" i="37"/>
  <c r="E39" i="37"/>
  <c r="E9" i="18"/>
  <c r="G33" i="37"/>
  <c r="G41" i="37"/>
  <c r="G34" i="37"/>
  <c r="G42" i="37"/>
  <c r="E20" i="18"/>
  <c r="F367" i="138" s="1"/>
  <c r="O367" i="138" s="1"/>
  <c r="G361" i="137"/>
  <c r="G29" i="37"/>
  <c r="G37" i="37"/>
  <c r="G30" i="37"/>
  <c r="G38" i="37"/>
  <c r="G175" i="18"/>
  <c r="E19" i="18"/>
  <c r="F366" i="138" s="1"/>
  <c r="O366" i="138" s="1"/>
  <c r="G17" i="18"/>
  <c r="H364" i="138" s="1"/>
  <c r="Q364" i="138" s="1"/>
  <c r="G31" i="37"/>
  <c r="G39" i="37"/>
  <c r="G32" i="37"/>
  <c r="G40" i="37"/>
  <c r="E364" i="138"/>
  <c r="N364" i="138" s="1"/>
  <c r="G21" i="18"/>
  <c r="H368" i="138" s="1"/>
  <c r="Q368" i="138" s="1"/>
  <c r="G429" i="138"/>
  <c r="N429" i="138" s="1"/>
  <c r="N430" i="138" s="1"/>
  <c r="E429" i="138"/>
  <c r="L429" i="138" s="1"/>
  <c r="E110" i="37"/>
  <c r="H26" i="20"/>
  <c r="I26" i="20"/>
  <c r="G14" i="127"/>
  <c r="G9" i="127"/>
  <c r="G7" i="127"/>
  <c r="G12" i="127"/>
  <c r="G11" i="127"/>
  <c r="G13" i="127"/>
  <c r="G10" i="127"/>
  <c r="G8" i="127"/>
  <c r="G18" i="127"/>
  <c r="G17" i="127"/>
  <c r="G16" i="127"/>
  <c r="G3" i="127"/>
  <c r="G6" i="127"/>
  <c r="G5" i="127"/>
  <c r="I25" i="103"/>
  <c r="D25" i="103"/>
  <c r="I877" i="138"/>
  <c r="I878" i="138"/>
  <c r="C33" i="66"/>
  <c r="I33" i="66" s="1"/>
  <c r="K33" i="66" s="1"/>
  <c r="H37" i="108"/>
  <c r="G38" i="103"/>
  <c r="H38" i="103" s="1"/>
  <c r="C10" i="66"/>
  <c r="G15" i="103"/>
  <c r="H15" i="103" s="1"/>
  <c r="C54" i="66"/>
  <c r="H79" i="108"/>
  <c r="O56" i="108"/>
  <c r="D55" i="66"/>
  <c r="E89" i="123" s="1"/>
  <c r="B60" i="103"/>
  <c r="D60" i="103" s="1"/>
  <c r="N56" i="108"/>
  <c r="P56" i="108" s="1"/>
  <c r="E213" i="138"/>
  <c r="H213" i="138" s="1"/>
  <c r="I35" i="66"/>
  <c r="K35" i="66" s="1"/>
  <c r="H217" i="137"/>
  <c r="D32" i="66"/>
  <c r="N37" i="108"/>
  <c r="P37" i="108" s="1"/>
  <c r="H25" i="66"/>
  <c r="E203" i="138"/>
  <c r="H203" i="138" s="1"/>
  <c r="E200" i="138"/>
  <c r="H200" i="138" s="1"/>
  <c r="I22" i="66"/>
  <c r="K22" i="66" s="1"/>
  <c r="D46" i="66"/>
  <c r="B51" i="103"/>
  <c r="H51" i="103" s="1"/>
  <c r="G59" i="103"/>
  <c r="H59" i="103" s="1"/>
  <c r="G12" i="103"/>
  <c r="H22" i="66"/>
  <c r="I14" i="66"/>
  <c r="K14" i="66" s="1"/>
  <c r="M77" i="102"/>
  <c r="G77" i="102"/>
  <c r="D45" i="100"/>
  <c r="E45" i="100" s="1"/>
  <c r="E41" i="122"/>
  <c r="E26" i="122"/>
  <c r="D30" i="100"/>
  <c r="E30" i="100" s="1"/>
  <c r="C50" i="66"/>
  <c r="G55" i="103"/>
  <c r="C36" i="66"/>
  <c r="G41" i="103"/>
  <c r="C26" i="66"/>
  <c r="G31" i="103"/>
  <c r="C23" i="66"/>
  <c r="G28" i="103"/>
  <c r="D11" i="66"/>
  <c r="E189" i="138" s="1"/>
  <c r="H189" i="138" s="1"/>
  <c r="B16" i="103"/>
  <c r="I16" i="103" s="1"/>
  <c r="L33" i="18"/>
  <c r="O33" i="18"/>
  <c r="G41" i="18"/>
  <c r="D41" i="18"/>
  <c r="D43" i="18" s="1"/>
  <c r="N33" i="18"/>
  <c r="H171" i="17"/>
  <c r="F439" i="138" s="1"/>
  <c r="M439" i="138" s="1"/>
  <c r="E442" i="138"/>
  <c r="L442" i="138" s="1"/>
  <c r="L443" i="138" s="1"/>
  <c r="H7" i="66"/>
  <c r="I39" i="103"/>
  <c r="E39" i="103"/>
  <c r="B37" i="103"/>
  <c r="I37" i="103" s="1"/>
  <c r="I26" i="103"/>
  <c r="E26" i="103"/>
  <c r="B23" i="103"/>
  <c r="D23" i="103" s="1"/>
  <c r="E23" i="103" s="1"/>
  <c r="E19" i="103"/>
  <c r="I19" i="103"/>
  <c r="H56" i="137"/>
  <c r="E138" i="73"/>
  <c r="C5" i="71"/>
  <c r="C79" i="71"/>
  <c r="E6" i="71"/>
  <c r="E21" i="122"/>
  <c r="D25" i="100"/>
  <c r="E25" i="100" s="1"/>
  <c r="E175" i="122"/>
  <c r="D48" i="102"/>
  <c r="H35" i="66"/>
  <c r="I25" i="66"/>
  <c r="K25" i="66" s="1"/>
  <c r="D90" i="102"/>
  <c r="I40" i="66"/>
  <c r="K40" i="66" s="1"/>
  <c r="G19" i="103"/>
  <c r="H19" i="103" s="1"/>
  <c r="B54" i="103"/>
  <c r="I54" i="103" s="1"/>
  <c r="N78" i="108"/>
  <c r="E64" i="122"/>
  <c r="E84" i="123"/>
  <c r="N16" i="67"/>
  <c r="AC16" i="67" s="1"/>
  <c r="AB16" i="67"/>
  <c r="N21" i="67"/>
  <c r="AC21" i="67" s="1"/>
  <c r="AB21" i="67"/>
  <c r="N27" i="67"/>
  <c r="AC27" i="67" s="1"/>
  <c r="AB27" i="67"/>
  <c r="AA16" i="67"/>
  <c r="AE16" i="67" s="1"/>
  <c r="AD16" i="67"/>
  <c r="AA7" i="67"/>
  <c r="AE7" i="67" s="1"/>
  <c r="AD7" i="67"/>
  <c r="AA25" i="67"/>
  <c r="AE25" i="67" s="1"/>
  <c r="AD25" i="67"/>
  <c r="V12" i="67"/>
  <c r="V38" i="67" s="1"/>
  <c r="V56" i="67" s="1"/>
  <c r="V55" i="67"/>
  <c r="D39" i="103"/>
  <c r="D37" i="103"/>
  <c r="D33" i="103"/>
  <c r="E33" i="103" s="1"/>
  <c r="F18" i="69"/>
  <c r="E50" i="122"/>
  <c r="D54" i="100"/>
  <c r="E180" i="122"/>
  <c r="D53" i="102"/>
  <c r="D57" i="71"/>
  <c r="F58" i="71"/>
  <c r="E192" i="122"/>
  <c r="D66" i="102"/>
  <c r="E186" i="122"/>
  <c r="D60" i="102"/>
  <c r="N8" i="67"/>
  <c r="AC8" i="67" s="1"/>
  <c r="AB8" i="67"/>
  <c r="N31" i="67"/>
  <c r="AC31" i="67" s="1"/>
  <c r="AB31" i="67"/>
  <c r="N206" i="73"/>
  <c r="J205" i="122"/>
  <c r="F175" i="18"/>
  <c r="E176" i="122"/>
  <c r="D49" i="102"/>
  <c r="E125" i="122"/>
  <c r="D75" i="101"/>
  <c r="E93" i="122"/>
  <c r="D43" i="101"/>
  <c r="E197" i="122"/>
  <c r="D71" i="102"/>
  <c r="D56" i="101"/>
  <c r="E106" i="122"/>
  <c r="E177" i="122"/>
  <c r="D50" i="102"/>
  <c r="E169" i="18"/>
  <c r="E173" i="18"/>
  <c r="E167" i="18"/>
  <c r="E170" i="18"/>
  <c r="E168" i="18"/>
  <c r="E171" i="18"/>
  <c r="D22" i="47"/>
  <c r="G10" i="43"/>
  <c r="H10" i="43" s="1"/>
  <c r="K20" i="93"/>
  <c r="J1247" i="138"/>
  <c r="O7" i="68"/>
  <c r="G60" i="103"/>
  <c r="H60" i="103" s="1"/>
  <c r="H29" i="103"/>
  <c r="Q7" i="68"/>
  <c r="E1056" i="138"/>
  <c r="H1056" i="138" s="1"/>
  <c r="D53" i="100"/>
  <c r="E53" i="100" s="1"/>
  <c r="D43" i="100"/>
  <c r="E43" i="100" s="1"/>
  <c r="E62" i="122"/>
  <c r="E163" i="122"/>
  <c r="H4" i="127"/>
  <c r="G266" i="138"/>
  <c r="N266" i="138" s="1"/>
  <c r="E73" i="43"/>
  <c r="E78" i="43" s="1"/>
  <c r="E1214" i="138" s="1"/>
  <c r="H1214" i="138" s="1"/>
  <c r="G38" i="22"/>
  <c r="G42" i="22"/>
  <c r="G7" i="126"/>
  <c r="G10" i="126"/>
  <c r="G11" i="126"/>
  <c r="G18" i="126"/>
  <c r="G8" i="126"/>
  <c r="G14" i="126"/>
  <c r="G15" i="126"/>
  <c r="G13" i="126"/>
  <c r="G3" i="126"/>
  <c r="G5" i="126"/>
  <c r="G17" i="126"/>
  <c r="E22" i="47"/>
  <c r="E1096" i="138" s="1"/>
  <c r="H1096" i="138" s="1"/>
  <c r="E1078" i="138"/>
  <c r="H1078" i="138" s="1"/>
  <c r="L13" i="68"/>
  <c r="O13" i="68" s="1"/>
  <c r="I206" i="73"/>
  <c r="E205" i="122"/>
  <c r="G243" i="137"/>
  <c r="G433" i="137" s="1"/>
  <c r="AA10" i="67"/>
  <c r="AE10" i="67" s="1"/>
  <c r="AD10" i="67"/>
  <c r="AA15" i="67"/>
  <c r="AE15" i="67" s="1"/>
  <c r="AD15" i="67"/>
  <c r="R12" i="67"/>
  <c r="R49" i="67" s="1"/>
  <c r="AA26" i="67"/>
  <c r="AE26" i="67" s="1"/>
  <c r="AD26" i="67"/>
  <c r="E126" i="37"/>
  <c r="E134" i="37"/>
  <c r="E88" i="123"/>
  <c r="E13" i="153"/>
  <c r="H61" i="69" s="1"/>
  <c r="I73" i="133"/>
  <c r="H73" i="133" s="1"/>
  <c r="B30" i="68"/>
  <c r="D25" i="95"/>
  <c r="D131" i="76"/>
  <c r="H131" i="76"/>
  <c r="F153" i="76"/>
  <c r="D175" i="76"/>
  <c r="H175" i="76"/>
  <c r="F197" i="76"/>
  <c r="J23" i="10"/>
  <c r="G24" i="22"/>
  <c r="G37" i="22"/>
  <c r="G41" i="22"/>
  <c r="G161" i="37"/>
  <c r="E172" i="37"/>
  <c r="E167" i="37"/>
  <c r="E160" i="37"/>
  <c r="G151" i="37"/>
  <c r="N176" i="133"/>
  <c r="M176" i="133" s="1"/>
  <c r="N170" i="133"/>
  <c r="M170" i="133" s="1"/>
  <c r="E86" i="123"/>
  <c r="G12" i="85"/>
  <c r="I101" i="64"/>
  <c r="N116" i="133"/>
  <c r="M116" i="133" s="1"/>
  <c r="N109" i="133"/>
  <c r="M109" i="133" s="1"/>
  <c r="N110" i="133"/>
  <c r="M110" i="133" s="1"/>
  <c r="N69" i="133"/>
  <c r="M69" i="133" s="1"/>
  <c r="N61" i="133"/>
  <c r="M61" i="133" s="1"/>
  <c r="E75" i="43"/>
  <c r="F5" i="13"/>
  <c r="G36" i="22"/>
  <c r="G40" i="22"/>
  <c r="I159" i="133"/>
  <c r="H159" i="133" s="1"/>
  <c r="N199" i="133"/>
  <c r="M199" i="133" s="1"/>
  <c r="I177" i="73"/>
  <c r="I176" i="122" s="1"/>
  <c r="F98" i="73"/>
  <c r="F98" i="122" s="1"/>
  <c r="G98" i="73"/>
  <c r="G98" i="122" s="1"/>
  <c r="G114" i="137"/>
  <c r="G119" i="137" s="1"/>
  <c r="G121" i="137" s="1"/>
  <c r="G423" i="137" s="1"/>
  <c r="I76" i="69"/>
  <c r="J153" i="93"/>
  <c r="F38" i="28"/>
  <c r="D38" i="28"/>
  <c r="K146" i="93"/>
  <c r="K151" i="93" s="1"/>
  <c r="J147" i="93"/>
  <c r="J152" i="93" s="1"/>
  <c r="E559" i="138"/>
  <c r="H559" i="138" s="1"/>
  <c r="E555" i="138"/>
  <c r="H555" i="138" s="1"/>
  <c r="E557" i="138"/>
  <c r="H557" i="138" s="1"/>
  <c r="E558" i="138"/>
  <c r="H558" i="138" s="1"/>
  <c r="E562" i="138"/>
  <c r="H562" i="138" s="1"/>
  <c r="E561" i="138"/>
  <c r="H561" i="138" s="1"/>
  <c r="E109" i="37"/>
  <c r="E118" i="37"/>
  <c r="E117" i="37"/>
  <c r="E104" i="37"/>
  <c r="E111" i="37"/>
  <c r="G6" i="17"/>
  <c r="E106" i="37"/>
  <c r="E114" i="37"/>
  <c r="E105" i="37"/>
  <c r="E113" i="37"/>
  <c r="E9" i="17"/>
  <c r="G10" i="17"/>
  <c r="D175" i="17"/>
  <c r="E7" i="17"/>
  <c r="G359" i="137"/>
  <c r="E112" i="37"/>
  <c r="E103" i="37"/>
  <c r="E8" i="17"/>
  <c r="E108" i="37"/>
  <c r="E116" i="37"/>
  <c r="E107" i="37"/>
  <c r="E115" i="37"/>
  <c r="E5" i="17"/>
  <c r="L405" i="138"/>
  <c r="K1230" i="138"/>
  <c r="K1268" i="138"/>
  <c r="D12" i="71"/>
  <c r="J144" i="73" s="1"/>
  <c r="J144" i="122" s="1"/>
  <c r="J145" i="73"/>
  <c r="J145" i="122" s="1"/>
  <c r="E30" i="122"/>
  <c r="D34" i="100"/>
  <c r="E34" i="100" s="1"/>
  <c r="E47" i="122"/>
  <c r="D51" i="100"/>
  <c r="E51" i="100" s="1"/>
  <c r="E68" i="122"/>
  <c r="D18" i="101"/>
  <c r="E203" i="73"/>
  <c r="E71" i="71"/>
  <c r="J1275" i="138"/>
  <c r="J1277" i="138"/>
  <c r="J1296" i="138"/>
  <c r="D49" i="100"/>
  <c r="D11" i="101"/>
  <c r="D52" i="100"/>
  <c r="E52" i="100" s="1"/>
  <c r="D65" i="101"/>
  <c r="M69" i="108"/>
  <c r="M44" i="108"/>
  <c r="M70" i="108" s="1"/>
  <c r="E72" i="122"/>
  <c r="E69" i="122"/>
  <c r="K1236" i="138"/>
  <c r="K1274" i="138"/>
  <c r="K1280" i="138"/>
  <c r="K1242" i="138"/>
  <c r="K1249" i="138"/>
  <c r="K1287" i="138"/>
  <c r="K1291" i="138"/>
  <c r="K1253" i="138"/>
  <c r="E79" i="43"/>
  <c r="E1215" i="138" s="1"/>
  <c r="H1215" i="138" s="1"/>
  <c r="E24" i="122"/>
  <c r="D28" i="100"/>
  <c r="E11" i="122"/>
  <c r="D15" i="100"/>
  <c r="E15" i="100" s="1"/>
  <c r="E97" i="122"/>
  <c r="D47" i="101"/>
  <c r="E35" i="122"/>
  <c r="D39" i="100"/>
  <c r="E39" i="100" s="1"/>
  <c r="D64" i="101"/>
  <c r="E114" i="122"/>
  <c r="E118" i="122"/>
  <c r="D68" i="101"/>
  <c r="C60" i="66"/>
  <c r="I60" i="66" s="1"/>
  <c r="K60" i="66" s="1"/>
  <c r="H77" i="108"/>
  <c r="N29" i="67"/>
  <c r="AC29" i="67" s="1"/>
  <c r="AB29" i="67"/>
  <c r="I53" i="67"/>
  <c r="I12" i="67"/>
  <c r="I49" i="67" s="1"/>
  <c r="E12" i="67"/>
  <c r="E49" i="67" s="1"/>
  <c r="E53" i="67"/>
  <c r="N28" i="67"/>
  <c r="AC28" i="67" s="1"/>
  <c r="AB28" i="67"/>
  <c r="N35" i="67"/>
  <c r="AC35" i="67" s="1"/>
  <c r="AB35" i="67"/>
  <c r="H55" i="67"/>
  <c r="H12" i="67"/>
  <c r="H49" i="67" s="1"/>
  <c r="J1281" i="138"/>
  <c r="K1255" i="138"/>
  <c r="J1288" i="138"/>
  <c r="J1283" i="138"/>
  <c r="H72" i="108"/>
  <c r="G61" i="103"/>
  <c r="G78" i="102"/>
  <c r="L78" i="102"/>
  <c r="N78" i="102" s="1"/>
  <c r="M78" i="102"/>
  <c r="D48" i="100"/>
  <c r="E48" i="100" s="1"/>
  <c r="E68" i="108"/>
  <c r="E44" i="108"/>
  <c r="E54" i="103"/>
  <c r="E9" i="122"/>
  <c r="J1235" i="138"/>
  <c r="J1273" i="138"/>
  <c r="D24" i="101"/>
  <c r="E74" i="122"/>
  <c r="E82" i="122"/>
  <c r="D32" i="101"/>
  <c r="D54" i="101"/>
  <c r="E104" i="122"/>
  <c r="E126" i="122"/>
  <c r="D76" i="101"/>
  <c r="E185" i="122"/>
  <c r="D59" i="102"/>
  <c r="E166" i="122"/>
  <c r="D39" i="102"/>
  <c r="K1272" i="138"/>
  <c r="K1278" i="138"/>
  <c r="K1251" i="138"/>
  <c r="J1254" i="138"/>
  <c r="J1294" i="138"/>
  <c r="K1246" i="138"/>
  <c r="D34" i="101"/>
  <c r="D81" i="71"/>
  <c r="D33" i="101"/>
  <c r="D42" i="101"/>
  <c r="D23" i="101"/>
  <c r="D12" i="100"/>
  <c r="E12" i="100" s="1"/>
  <c r="N68" i="108"/>
  <c r="O89" i="17"/>
  <c r="F91" i="17" s="1"/>
  <c r="I21" i="69" s="1"/>
  <c r="P75" i="17"/>
  <c r="P89" i="17" s="1"/>
  <c r="G4" i="22"/>
  <c r="G35" i="22"/>
  <c r="G147" i="93"/>
  <c r="E1232" i="138"/>
  <c r="D79" i="15"/>
  <c r="D80" i="15" s="1"/>
  <c r="H22" i="69" s="1"/>
  <c r="C31" i="68"/>
  <c r="L11" i="68"/>
  <c r="O11" i="68" s="1"/>
  <c r="Q11" i="68"/>
  <c r="H957" i="138"/>
  <c r="F59" i="139" s="1"/>
  <c r="E59" i="139" s="1"/>
  <c r="H27" i="103"/>
  <c r="F77" i="102"/>
  <c r="H77" i="102" s="1"/>
  <c r="M136" i="122"/>
  <c r="N62" i="136"/>
  <c r="O58" i="136"/>
  <c r="O62" i="136" s="1"/>
  <c r="O82" i="136"/>
  <c r="O122" i="136"/>
  <c r="H293" i="137"/>
  <c r="H22" i="103"/>
  <c r="I22" i="103" s="1"/>
  <c r="D35" i="27"/>
  <c r="G50" i="69" s="1"/>
  <c r="G79" i="69"/>
  <c r="H13" i="157"/>
  <c r="C22" i="158"/>
  <c r="H21" i="69"/>
  <c r="AA20" i="67"/>
  <c r="AE20" i="67" s="1"/>
  <c r="AD20" i="67"/>
  <c r="H166" i="18"/>
  <c r="F388" i="138" s="1"/>
  <c r="M388" i="138" s="1"/>
  <c r="H172" i="18"/>
  <c r="F392" i="138" s="1"/>
  <c r="M392" i="138" s="1"/>
  <c r="H168" i="18"/>
  <c r="E157" i="18"/>
  <c r="F24" i="28"/>
  <c r="K147" i="93"/>
  <c r="K152" i="93" s="1"/>
  <c r="E149" i="93"/>
  <c r="J146" i="93"/>
  <c r="H14" i="103"/>
  <c r="H13" i="103"/>
  <c r="F78" i="102"/>
  <c r="H78" i="102" s="1"/>
  <c r="H52" i="103"/>
  <c r="K15" i="93"/>
  <c r="D14" i="103"/>
  <c r="D12" i="103"/>
  <c r="G53" i="103"/>
  <c r="H53" i="103" s="1"/>
  <c r="L30" i="108"/>
  <c r="H136" i="122"/>
  <c r="AD37" i="67"/>
  <c r="AD33" i="67"/>
  <c r="H258" i="76"/>
  <c r="D261" i="76"/>
  <c r="G68" i="37"/>
  <c r="G65" i="37"/>
  <c r="G74" i="37"/>
  <c r="G69" i="37"/>
  <c r="G76" i="37"/>
  <c r="G70" i="37"/>
  <c r="G77" i="37"/>
  <c r="N167" i="133"/>
  <c r="M167" i="133" s="1"/>
  <c r="H13" i="158"/>
  <c r="I13" i="158"/>
  <c r="K31" i="158"/>
  <c r="I31" i="158"/>
  <c r="C31" i="158"/>
  <c r="E20" i="60"/>
  <c r="H60" i="69" s="1"/>
  <c r="I28" i="64"/>
  <c r="I118" i="133"/>
  <c r="H118" i="133" s="1"/>
  <c r="N27" i="133"/>
  <c r="M27" i="133" s="1"/>
  <c r="N18" i="133"/>
  <c r="M18" i="133" s="1"/>
  <c r="N14" i="133"/>
  <c r="M14" i="133" s="1"/>
  <c r="N10" i="133"/>
  <c r="M10" i="133" s="1"/>
  <c r="G5" i="13"/>
  <c r="G9" i="13" s="1"/>
  <c r="F131" i="76"/>
  <c r="D153" i="76"/>
  <c r="H153" i="76"/>
  <c r="F175" i="76"/>
  <c r="D197" i="76"/>
  <c r="H197" i="76"/>
  <c r="H55" i="44"/>
  <c r="D55" i="44"/>
  <c r="E68" i="43"/>
  <c r="E1204" i="138" s="1"/>
  <c r="H1204" i="138" s="1"/>
  <c r="E22" i="89"/>
  <c r="G146" i="37"/>
  <c r="G124" i="37"/>
  <c r="E80" i="37"/>
  <c r="I142" i="133"/>
  <c r="H142" i="133" s="1"/>
  <c r="I199" i="133"/>
  <c r="H199" i="133" s="1"/>
  <c r="N174" i="133"/>
  <c r="M174" i="133" s="1"/>
  <c r="N191" i="133"/>
  <c r="M191" i="133" s="1"/>
  <c r="N188" i="133"/>
  <c r="M188" i="133" s="1"/>
  <c r="J190" i="73"/>
  <c r="J189" i="122" s="1"/>
  <c r="J150" i="93"/>
  <c r="C78" i="66"/>
  <c r="H243" i="137"/>
  <c r="F22" i="133"/>
  <c r="F72" i="133"/>
  <c r="I65" i="133"/>
  <c r="H65" i="133" s="1"/>
  <c r="I95" i="133"/>
  <c r="H95" i="133" s="1"/>
  <c r="I91" i="133"/>
  <c r="H91" i="133" s="1"/>
  <c r="I113" i="133"/>
  <c r="H113" i="133" s="1"/>
  <c r="I85" i="133"/>
  <c r="H85" i="133" s="1"/>
  <c r="I96" i="133"/>
  <c r="H96" i="133" s="1"/>
  <c r="I92" i="133"/>
  <c r="H92" i="133" s="1"/>
  <c r="N81" i="133"/>
  <c r="M81" i="133" s="1"/>
  <c r="N66" i="133"/>
  <c r="M66" i="133" s="1"/>
  <c r="N62" i="133"/>
  <c r="M62" i="133" s="1"/>
  <c r="N186" i="133"/>
  <c r="M186" i="133" s="1"/>
  <c r="I175" i="133"/>
  <c r="H175" i="133" s="1"/>
  <c r="I164" i="133"/>
  <c r="H164" i="133" s="1"/>
  <c r="I153" i="133"/>
  <c r="H153" i="133" s="1"/>
  <c r="I143" i="133"/>
  <c r="H143" i="133" s="1"/>
  <c r="F138" i="133"/>
  <c r="I161" i="133"/>
  <c r="H161" i="133" s="1"/>
  <c r="I46" i="133"/>
  <c r="H46" i="133" s="1"/>
  <c r="I42" i="133"/>
  <c r="H42" i="133" s="1"/>
  <c r="I116" i="133"/>
  <c r="H116" i="133" s="1"/>
  <c r="I110" i="133"/>
  <c r="H110" i="133" s="1"/>
  <c r="N20" i="133"/>
  <c r="M20" i="133" s="1"/>
  <c r="N16" i="133"/>
  <c r="M16" i="133" s="1"/>
  <c r="N12" i="133"/>
  <c r="M12" i="133" s="1"/>
  <c r="N8" i="133"/>
  <c r="M8" i="133" s="1"/>
  <c r="G7" i="76"/>
  <c r="G9" i="76" s="1"/>
  <c r="F70" i="76"/>
  <c r="O70" i="76" s="1"/>
  <c r="J55" i="44"/>
  <c r="F55" i="44"/>
  <c r="K23" i="68"/>
  <c r="K27" i="68" s="1"/>
  <c r="G198" i="122"/>
  <c r="H6" i="127"/>
  <c r="H14" i="127"/>
  <c r="H13" i="127"/>
  <c r="H15" i="127"/>
  <c r="H18" i="127"/>
  <c r="H10" i="127"/>
  <c r="J18" i="127"/>
  <c r="H11" i="127"/>
  <c r="H12" i="127"/>
  <c r="H16" i="127"/>
  <c r="H5" i="127"/>
  <c r="H17" i="127"/>
  <c r="H9" i="127"/>
  <c r="H7" i="127"/>
  <c r="H3" i="127"/>
  <c r="E560" i="138"/>
  <c r="H560" i="138" s="1"/>
  <c r="E90" i="37"/>
  <c r="L108" i="122"/>
  <c r="G21" i="17"/>
  <c r="H416" i="138" s="1"/>
  <c r="Q416" i="138" s="1"/>
  <c r="G104" i="37"/>
  <c r="G103" i="37"/>
  <c r="G111" i="37"/>
  <c r="E412" i="138"/>
  <c r="N412" i="138" s="1"/>
  <c r="G98" i="37"/>
  <c r="G108" i="37"/>
  <c r="G116" i="37"/>
  <c r="G107" i="37"/>
  <c r="G115" i="37"/>
  <c r="G17" i="17"/>
  <c r="H412" i="138" s="1"/>
  <c r="Q412" i="138" s="1"/>
  <c r="E19" i="17"/>
  <c r="F414" i="138" s="1"/>
  <c r="O414" i="138" s="1"/>
  <c r="G86" i="37"/>
  <c r="E20" i="17"/>
  <c r="F415" i="138" s="1"/>
  <c r="O415" i="138" s="1"/>
  <c r="G112" i="37"/>
  <c r="E416" i="138"/>
  <c r="N416" i="138" s="1"/>
  <c r="E16" i="17"/>
  <c r="G18" i="43"/>
  <c r="H18" i="43" s="1"/>
  <c r="G106" i="37"/>
  <c r="G114" i="37"/>
  <c r="G105" i="37"/>
  <c r="G113" i="37"/>
  <c r="G175" i="17"/>
  <c r="G94" i="37"/>
  <c r="E1209" i="138"/>
  <c r="H1209" i="138" s="1"/>
  <c r="AD30" i="67"/>
  <c r="F105" i="122"/>
  <c r="K5" i="74"/>
  <c r="K108" i="122"/>
  <c r="L75" i="122"/>
  <c r="G72" i="73"/>
  <c r="G72" i="122" s="1"/>
  <c r="F145" i="73"/>
  <c r="F145" i="122" s="1"/>
  <c r="G75" i="122"/>
  <c r="F168" i="122"/>
  <c r="I121" i="73"/>
  <c r="J71" i="101" s="1"/>
  <c r="L158" i="122"/>
  <c r="L38" i="73"/>
  <c r="L38" i="122" s="1"/>
  <c r="N94" i="73"/>
  <c r="B44" i="101" s="1"/>
  <c r="N7" i="73"/>
  <c r="B11" i="100" s="1"/>
  <c r="K168" i="122"/>
  <c r="N188" i="73"/>
  <c r="B61" i="102" s="1"/>
  <c r="M61" i="102" s="1"/>
  <c r="K190" i="73"/>
  <c r="K189" i="122" s="1"/>
  <c r="K105" i="122"/>
  <c r="K94" i="122"/>
  <c r="N177" i="73"/>
  <c r="N176" i="122" s="1"/>
  <c r="F108" i="122"/>
  <c r="G73" i="122"/>
  <c r="G51" i="73"/>
  <c r="G51" i="122" s="1"/>
  <c r="I31" i="73"/>
  <c r="I31" i="122" s="1"/>
  <c r="N168" i="73"/>
  <c r="N168" i="122" s="1"/>
  <c r="I37" i="73"/>
  <c r="I37" i="122" s="1"/>
  <c r="G105" i="122"/>
  <c r="L105" i="122"/>
  <c r="F77" i="122"/>
  <c r="L187" i="122"/>
  <c r="N19" i="73"/>
  <c r="M19" i="73" s="1"/>
  <c r="M19" i="122" s="1"/>
  <c r="I187" i="73"/>
  <c r="J60" i="102" s="1"/>
  <c r="I73" i="73"/>
  <c r="J23" i="101" s="1"/>
  <c r="I12" i="73"/>
  <c r="H12" i="73" s="1"/>
  <c r="H12" i="122" s="1"/>
  <c r="G76" i="73"/>
  <c r="G76" i="122" s="1"/>
  <c r="G77" i="122"/>
  <c r="L72" i="73"/>
  <c r="L72" i="122" s="1"/>
  <c r="L73" i="122"/>
  <c r="L103" i="73"/>
  <c r="L106" i="122"/>
  <c r="I15" i="73"/>
  <c r="F15" i="122"/>
  <c r="F38" i="73"/>
  <c r="F38" i="122" s="1"/>
  <c r="K76" i="73"/>
  <c r="K76" i="122" s="1"/>
  <c r="K77" i="122"/>
  <c r="F74" i="73"/>
  <c r="F74" i="122" s="1"/>
  <c r="F75" i="122"/>
  <c r="F147" i="122"/>
  <c r="L98" i="73"/>
  <c r="L98" i="122" s="1"/>
  <c r="L36" i="122"/>
  <c r="F73" i="122"/>
  <c r="I75" i="73"/>
  <c r="H75" i="73" s="1"/>
  <c r="H75" i="122" s="1"/>
  <c r="I52" i="73"/>
  <c r="H52" i="73" s="1"/>
  <c r="H52" i="122" s="1"/>
  <c r="I46" i="73"/>
  <c r="I46" i="122" s="1"/>
  <c r="I96" i="73"/>
  <c r="C95" i="64" s="1"/>
  <c r="I193" i="73"/>
  <c r="N23" i="73"/>
  <c r="N23" i="122" s="1"/>
  <c r="L112" i="73"/>
  <c r="L112" i="122" s="1"/>
  <c r="K103" i="73"/>
  <c r="N3" i="73" s="1"/>
  <c r="N123" i="73"/>
  <c r="M123" i="73" s="1"/>
  <c r="M123" i="122" s="1"/>
  <c r="I97" i="73"/>
  <c r="C96" i="64" s="1"/>
  <c r="I113" i="73"/>
  <c r="J63" i="101" s="1"/>
  <c r="G108" i="122"/>
  <c r="G158" i="122"/>
  <c r="I49" i="73"/>
  <c r="I49" i="122" s="1"/>
  <c r="I175" i="73"/>
  <c r="C43" i="65" s="1"/>
  <c r="N125" i="73"/>
  <c r="D124" i="64" s="1"/>
  <c r="I71" i="73"/>
  <c r="C70" i="64" s="1"/>
  <c r="N48" i="73"/>
  <c r="N48" i="122" s="1"/>
  <c r="N121" i="73"/>
  <c r="N121" i="122" s="1"/>
  <c r="I154" i="73"/>
  <c r="H154" i="73" s="1"/>
  <c r="H154" i="122" s="1"/>
  <c r="I146" i="73"/>
  <c r="J19" i="102" s="1"/>
  <c r="I40" i="104" s="1"/>
  <c r="K40" i="104" s="1"/>
  <c r="I39" i="73"/>
  <c r="I39" i="122" s="1"/>
  <c r="B65" i="103"/>
  <c r="D65" i="103" s="1"/>
  <c r="E65" i="103" s="1"/>
  <c r="H53" i="66"/>
  <c r="N79" i="108"/>
  <c r="I57" i="108"/>
  <c r="I73" i="108" s="1"/>
  <c r="B58" i="103"/>
  <c r="D58" i="103" s="1"/>
  <c r="E231" i="138"/>
  <c r="H231" i="138" s="1"/>
  <c r="I39" i="66"/>
  <c r="K39" i="66" s="1"/>
  <c r="E217" i="138"/>
  <c r="H217" i="138" s="1"/>
  <c r="H254" i="137"/>
  <c r="H255" i="137" s="1"/>
  <c r="H39" i="66"/>
  <c r="H38" i="66"/>
  <c r="B43" i="103"/>
  <c r="H43" i="103" s="1"/>
  <c r="E216" i="138"/>
  <c r="H216" i="138" s="1"/>
  <c r="I38" i="66"/>
  <c r="K38" i="66" s="1"/>
  <c r="N43" i="108"/>
  <c r="N69" i="108" s="1"/>
  <c r="H130" i="137"/>
  <c r="H109" i="137"/>
  <c r="B31" i="103"/>
  <c r="H98" i="137"/>
  <c r="H99" i="137" s="1"/>
  <c r="N29" i="108"/>
  <c r="N19" i="108"/>
  <c r="B24" i="103" s="1"/>
  <c r="I6" i="66"/>
  <c r="K6" i="66" s="1"/>
  <c r="H28" i="137"/>
  <c r="H6" i="66"/>
  <c r="B11" i="103"/>
  <c r="D11" i="103" s="1"/>
  <c r="E160" i="122"/>
  <c r="D79" i="71"/>
  <c r="E127" i="122"/>
  <c r="D71" i="101"/>
  <c r="D26" i="101"/>
  <c r="D38" i="101"/>
  <c r="F8" i="104" s="1"/>
  <c r="E87" i="70"/>
  <c r="C143" i="70"/>
  <c r="E37" i="122"/>
  <c r="D41" i="100"/>
  <c r="C8" i="75"/>
  <c r="C19" i="75" s="1"/>
  <c r="E28" i="122"/>
  <c r="E27" i="70"/>
  <c r="C137" i="70"/>
  <c r="N78" i="133"/>
  <c r="M78" i="133" s="1"/>
  <c r="N67" i="133"/>
  <c r="M67" i="133" s="1"/>
  <c r="N63" i="133"/>
  <c r="M63" i="133" s="1"/>
  <c r="N93" i="133"/>
  <c r="M93" i="133" s="1"/>
  <c r="N126" i="133"/>
  <c r="M126" i="133" s="1"/>
  <c r="K19" i="122"/>
  <c r="K198" i="122"/>
  <c r="N108" i="73"/>
  <c r="N175" i="73"/>
  <c r="M175" i="73" s="1"/>
  <c r="M174" i="122" s="1"/>
  <c r="K22" i="133"/>
  <c r="N168" i="133"/>
  <c r="M168" i="133" s="1"/>
  <c r="K188" i="122"/>
  <c r="K98" i="73"/>
  <c r="K98" i="122" s="1"/>
  <c r="N87" i="73"/>
  <c r="N87" i="122" s="1"/>
  <c r="N71" i="133"/>
  <c r="M71" i="133" s="1"/>
  <c r="K158" i="122"/>
  <c r="K123" i="122"/>
  <c r="N158" i="73"/>
  <c r="D26" i="65" s="1"/>
  <c r="E147" i="138" s="1"/>
  <c r="H147" i="138" s="1"/>
  <c r="N122" i="73"/>
  <c r="N122" i="122" s="1"/>
  <c r="N192" i="73"/>
  <c r="D60" i="65" s="1"/>
  <c r="N65" i="133"/>
  <c r="M65" i="133" s="1"/>
  <c r="N95" i="133"/>
  <c r="M95" i="133" s="1"/>
  <c r="N91" i="133"/>
  <c r="M91" i="133" s="1"/>
  <c r="N124" i="133"/>
  <c r="M124" i="133" s="1"/>
  <c r="N119" i="133"/>
  <c r="M119" i="133" s="1"/>
  <c r="N34" i="73"/>
  <c r="D33" i="64" s="1"/>
  <c r="N99" i="133"/>
  <c r="M99" i="133" s="1"/>
  <c r="N163" i="133"/>
  <c r="M163" i="133" s="1"/>
  <c r="K75" i="122"/>
  <c r="K23" i="122"/>
  <c r="K106" i="122"/>
  <c r="N180" i="133"/>
  <c r="M180" i="133" s="1"/>
  <c r="N175" i="133"/>
  <c r="M175" i="133" s="1"/>
  <c r="N165" i="133"/>
  <c r="M165" i="133" s="1"/>
  <c r="N198" i="133"/>
  <c r="M198" i="133" s="1"/>
  <c r="N194" i="133"/>
  <c r="M194" i="133" s="1"/>
  <c r="A2" i="75"/>
  <c r="A2" i="100"/>
  <c r="A3" i="131"/>
  <c r="H762" i="138"/>
  <c r="F39" i="139" s="1"/>
  <c r="E39" i="139" s="1"/>
  <c r="H788" i="138"/>
  <c r="F42" i="139" s="1"/>
  <c r="E42" i="139" s="1"/>
  <c r="H1157" i="138"/>
  <c r="G78" i="139" s="1"/>
  <c r="H1006" i="138"/>
  <c r="F66" i="139" s="1"/>
  <c r="E66" i="139" s="1"/>
  <c r="C66" i="108"/>
  <c r="C34" i="103"/>
  <c r="C100" i="103" s="1"/>
  <c r="E63" i="103"/>
  <c r="I63" i="103"/>
  <c r="I4" i="102"/>
  <c r="D4" i="103"/>
  <c r="J30" i="108"/>
  <c r="J67" i="108" s="1"/>
  <c r="J66" i="108"/>
  <c r="A57" i="64"/>
  <c r="B3" i="108"/>
  <c r="A3" i="67"/>
  <c r="A3" i="68"/>
  <c r="H1097" i="138"/>
  <c r="F71" i="139" s="1"/>
  <c r="E71" i="139" s="1"/>
  <c r="N78" i="73"/>
  <c r="D77" i="64" s="1"/>
  <c r="J78" i="122"/>
  <c r="I27" i="73"/>
  <c r="C26" i="64" s="1"/>
  <c r="E27" i="122"/>
  <c r="D31" i="100"/>
  <c r="E31" i="100" s="1"/>
  <c r="N49" i="73"/>
  <c r="M49" i="73" s="1"/>
  <c r="M49" i="122" s="1"/>
  <c r="E43" i="122"/>
  <c r="D47" i="100"/>
  <c r="E47" i="100" s="1"/>
  <c r="D45" i="101"/>
  <c r="E95" i="122"/>
  <c r="L118" i="73"/>
  <c r="L118" i="122" s="1"/>
  <c r="L198" i="122"/>
  <c r="E193" i="122"/>
  <c r="D67" i="102"/>
  <c r="I183" i="73"/>
  <c r="H183" i="73" s="1"/>
  <c r="H182" i="122" s="1"/>
  <c r="F182" i="122"/>
  <c r="L178" i="73"/>
  <c r="L177" i="122" s="1"/>
  <c r="L178" i="122"/>
  <c r="G178" i="73"/>
  <c r="G177" i="122" s="1"/>
  <c r="G178" i="122"/>
  <c r="G167" i="73"/>
  <c r="G167" i="122" s="1"/>
  <c r="G168" i="122"/>
  <c r="L160" i="73"/>
  <c r="L160" i="122" s="1"/>
  <c r="L162" i="122"/>
  <c r="K161" i="122"/>
  <c r="N161" i="73"/>
  <c r="M161" i="73" s="1"/>
  <c r="M161" i="122" s="1"/>
  <c r="N155" i="73"/>
  <c r="N155" i="122" s="1"/>
  <c r="L145" i="73"/>
  <c r="L145" i="122" s="1"/>
  <c r="L146" i="122"/>
  <c r="I165" i="73"/>
  <c r="F165" i="122"/>
  <c r="I151" i="73"/>
  <c r="F151" i="122"/>
  <c r="E150" i="122"/>
  <c r="D23" i="102"/>
  <c r="E146" i="122"/>
  <c r="D19" i="102"/>
  <c r="F40" i="104" s="1"/>
  <c r="H40" i="104" s="1"/>
  <c r="N141" i="73"/>
  <c r="L141" i="122"/>
  <c r="D14" i="102"/>
  <c r="E141" i="122"/>
  <c r="F138" i="73"/>
  <c r="F139" i="122"/>
  <c r="F39" i="122"/>
  <c r="C49" i="66"/>
  <c r="C51" i="66" s="1"/>
  <c r="H51" i="108"/>
  <c r="H57" i="108" s="1"/>
  <c r="G62" i="103" s="1"/>
  <c r="G54" i="103"/>
  <c r="C41" i="66"/>
  <c r="H43" i="108"/>
  <c r="H44" i="108" s="1"/>
  <c r="H70" i="108" s="1"/>
  <c r="G46" i="103"/>
  <c r="H46" i="103" s="1"/>
  <c r="G198" i="137"/>
  <c r="G199" i="137" s="1"/>
  <c r="G429" i="137" s="1"/>
  <c r="H33" i="66"/>
  <c r="C18" i="66"/>
  <c r="D84" i="123" s="1"/>
  <c r="G23" i="103"/>
  <c r="C8" i="66"/>
  <c r="H19" i="108"/>
  <c r="O19" i="108" s="1"/>
  <c r="F174" i="17"/>
  <c r="L166" i="17"/>
  <c r="P369" i="138"/>
  <c r="M457" i="138"/>
  <c r="G21" i="139" s="1"/>
  <c r="H491" i="138"/>
  <c r="F26" i="139" s="1"/>
  <c r="E26" i="139" s="1"/>
  <c r="H357" i="138"/>
  <c r="F15" i="139" s="1"/>
  <c r="E15" i="139" s="1"/>
  <c r="K1238" i="138"/>
  <c r="K1270" i="138"/>
  <c r="A3" i="66"/>
  <c r="I52" i="66"/>
  <c r="K52" i="66" s="1"/>
  <c r="H4" i="104"/>
  <c r="E59" i="103"/>
  <c r="D27" i="102"/>
  <c r="G16" i="103"/>
  <c r="Q20" i="68"/>
  <c r="E13" i="100"/>
  <c r="F49" i="122"/>
  <c r="L87" i="122"/>
  <c r="G146" i="122"/>
  <c r="H273" i="137"/>
  <c r="J168" i="122"/>
  <c r="E84" i="138"/>
  <c r="H84" i="138" s="1"/>
  <c r="C12" i="71"/>
  <c r="C81" i="71"/>
  <c r="E145" i="73"/>
  <c r="L51" i="73"/>
  <c r="L51" i="122" s="1"/>
  <c r="E66" i="122"/>
  <c r="D16" i="101"/>
  <c r="D39" i="70"/>
  <c r="J40" i="73" s="1"/>
  <c r="J40" i="122" s="1"/>
  <c r="F37" i="70"/>
  <c r="K915" i="138"/>
  <c r="F53" i="139" s="1"/>
  <c r="E53" i="139" s="1"/>
  <c r="B56" i="103"/>
  <c r="P51" i="108"/>
  <c r="I55" i="103"/>
  <c r="E55" i="103"/>
  <c r="E47" i="103"/>
  <c r="I47" i="103"/>
  <c r="K44" i="108"/>
  <c r="I68" i="108"/>
  <c r="I44" i="108"/>
  <c r="I70" i="108" s="1"/>
  <c r="F27" i="68"/>
  <c r="P23" i="68"/>
  <c r="E103" i="73"/>
  <c r="C110" i="70"/>
  <c r="E110" i="70" s="1"/>
  <c r="C150" i="70"/>
  <c r="E34" i="122"/>
  <c r="D38" i="100"/>
  <c r="E38" i="100" s="1"/>
  <c r="I81" i="73"/>
  <c r="D31" i="101"/>
  <c r="E81" i="122"/>
  <c r="N21" i="73"/>
  <c r="D20" i="64" s="1"/>
  <c r="E20" i="138" s="1"/>
  <c r="H20" i="138" s="1"/>
  <c r="J21" i="122"/>
  <c r="J203" i="73"/>
  <c r="J202" i="122" s="1"/>
  <c r="F71" i="71"/>
  <c r="F118" i="73"/>
  <c r="F118" i="122" s="1"/>
  <c r="F198" i="122"/>
  <c r="N169" i="73"/>
  <c r="D37" i="65" s="1"/>
  <c r="K169" i="122"/>
  <c r="N150" i="73"/>
  <c r="J150" i="122"/>
  <c r="N148" i="73"/>
  <c r="L148" i="122"/>
  <c r="K145" i="73"/>
  <c r="K145" i="122" s="1"/>
  <c r="K147" i="122"/>
  <c r="F157" i="73"/>
  <c r="F157" i="122" s="1"/>
  <c r="I158" i="73"/>
  <c r="F158" i="122"/>
  <c r="I156" i="73"/>
  <c r="E156" i="122"/>
  <c r="D29" i="102"/>
  <c r="E152" i="122"/>
  <c r="D25" i="102"/>
  <c r="I148" i="73"/>
  <c r="E148" i="122"/>
  <c r="K138" i="73"/>
  <c r="K138" i="122" s="1"/>
  <c r="K140" i="122"/>
  <c r="L138" i="73"/>
  <c r="L139" i="122"/>
  <c r="I143" i="73"/>
  <c r="E143" i="122"/>
  <c r="D16" i="102"/>
  <c r="I141" i="73"/>
  <c r="F141" i="122"/>
  <c r="G138" i="73"/>
  <c r="G140" i="122"/>
  <c r="E139" i="122"/>
  <c r="D12" i="102"/>
  <c r="F30" i="104" s="1"/>
  <c r="C58" i="66"/>
  <c r="G63" i="103"/>
  <c r="H63" i="103" s="1"/>
  <c r="H50" i="66"/>
  <c r="G300" i="137"/>
  <c r="G301" i="137" s="1"/>
  <c r="G441" i="137" s="1"/>
  <c r="I42" i="66"/>
  <c r="K42" i="66" s="1"/>
  <c r="H42" i="66"/>
  <c r="C28" i="66"/>
  <c r="G33" i="103"/>
  <c r="H33" i="103" s="1"/>
  <c r="I33" i="103" s="1"/>
  <c r="C21" i="66"/>
  <c r="H29" i="108"/>
  <c r="G26" i="103"/>
  <c r="H26" i="103" s="1"/>
  <c r="C13" i="66"/>
  <c r="G18" i="103"/>
  <c r="H18" i="103" s="1"/>
  <c r="I9" i="66"/>
  <c r="K9" i="66" s="1"/>
  <c r="H9" i="66"/>
  <c r="F104" i="133"/>
  <c r="F103" i="133" s="1"/>
  <c r="F111" i="133" s="1"/>
  <c r="I105" i="133"/>
  <c r="H105" i="133" s="1"/>
  <c r="G76" i="133"/>
  <c r="I76" i="133" s="1"/>
  <c r="H76" i="133" s="1"/>
  <c r="I77" i="133"/>
  <c r="H77" i="133" s="1"/>
  <c r="I174" i="17"/>
  <c r="G436" i="138"/>
  <c r="N436" i="138" s="1"/>
  <c r="K1257" i="138"/>
  <c r="D47" i="103"/>
  <c r="K7" i="122"/>
  <c r="L168" i="122"/>
  <c r="D11" i="100"/>
  <c r="A3" i="70"/>
  <c r="E1202" i="138"/>
  <c r="H1202" i="138" s="1"/>
  <c r="H22" i="104"/>
  <c r="G22" i="104"/>
  <c r="K33" i="100"/>
  <c r="L33" i="100"/>
  <c r="N33" i="100" s="1"/>
  <c r="I70" i="73"/>
  <c r="H70" i="73" s="1"/>
  <c r="H70" i="122" s="1"/>
  <c r="D20" i="101"/>
  <c r="H41" i="104"/>
  <c r="G41" i="104"/>
  <c r="L77" i="102"/>
  <c r="N77" i="102" s="1"/>
  <c r="D57" i="103"/>
  <c r="D29" i="103"/>
  <c r="H227" i="137"/>
  <c r="G30" i="108"/>
  <c r="G67" i="108" s="1"/>
  <c r="E178" i="122"/>
  <c r="D51" i="102"/>
  <c r="N73" i="73"/>
  <c r="J73" i="122"/>
  <c r="J118" i="122"/>
  <c r="N198" i="73"/>
  <c r="D66" i="65" s="1"/>
  <c r="F42" i="44" s="1"/>
  <c r="F43" i="44" s="1"/>
  <c r="I196" i="73"/>
  <c r="H196" i="73" s="1"/>
  <c r="H195" i="122" s="1"/>
  <c r="D69" i="102"/>
  <c r="L76" i="73"/>
  <c r="L76" i="122" s="1"/>
  <c r="L77" i="122"/>
  <c r="L67" i="122"/>
  <c r="E12" i="122"/>
  <c r="D16" i="100"/>
  <c r="E16" i="100" s="1"/>
  <c r="I115" i="73"/>
  <c r="G115" i="122"/>
  <c r="F103" i="73"/>
  <c r="F106" i="122"/>
  <c r="G103" i="73"/>
  <c r="G111" i="73" s="1"/>
  <c r="G111" i="122" s="1"/>
  <c r="I126" i="73"/>
  <c r="C125" i="64" s="1"/>
  <c r="G126" i="122"/>
  <c r="F190" i="73"/>
  <c r="F189" i="122" s="1"/>
  <c r="H55" i="103"/>
  <c r="J22" i="104"/>
  <c r="E15" i="103"/>
  <c r="C72" i="108"/>
  <c r="C57" i="108"/>
  <c r="C62" i="103" s="1"/>
  <c r="C107" i="103" s="1"/>
  <c r="J6" i="29"/>
  <c r="M30" i="108"/>
  <c r="M67" i="108" s="1"/>
  <c r="M66" i="108"/>
  <c r="J68" i="108"/>
  <c r="J44" i="108"/>
  <c r="J70" i="108" s="1"/>
  <c r="L34" i="158"/>
  <c r="I90" i="73"/>
  <c r="J40" i="101" s="1"/>
  <c r="E90" i="122"/>
  <c r="I195" i="73"/>
  <c r="I194" i="122" s="1"/>
  <c r="I192" i="73"/>
  <c r="D65" i="102"/>
  <c r="E191" i="122"/>
  <c r="D61" i="102"/>
  <c r="E187" i="122"/>
  <c r="I159" i="73"/>
  <c r="H159" i="73" s="1"/>
  <c r="H159" i="122" s="1"/>
  <c r="D32" i="102"/>
  <c r="N80" i="73"/>
  <c r="L80" i="122"/>
  <c r="L22" i="73"/>
  <c r="L22" i="122" s="1"/>
  <c r="L23" i="122"/>
  <c r="N69" i="73"/>
  <c r="M69" i="73" s="1"/>
  <c r="M69" i="122" s="1"/>
  <c r="E112" i="122"/>
  <c r="D62" i="101"/>
  <c r="N170" i="73"/>
  <c r="D38" i="65" s="1"/>
  <c r="E21" i="159" s="1"/>
  <c r="E22" i="159" s="1"/>
  <c r="F81" i="69" s="1"/>
  <c r="I22" i="157"/>
  <c r="G22" i="157"/>
  <c r="F31" i="157"/>
  <c r="E22" i="157"/>
  <c r="D22" i="158"/>
  <c r="F22" i="158"/>
  <c r="K22" i="158"/>
  <c r="H31" i="158"/>
  <c r="D31" i="158"/>
  <c r="H17" i="69"/>
  <c r="N74" i="73"/>
  <c r="M74" i="73" s="1"/>
  <c r="M74" i="122" s="1"/>
  <c r="I176" i="73"/>
  <c r="C44" i="65" s="1"/>
  <c r="I168" i="73"/>
  <c r="I168" i="122" s="1"/>
  <c r="E168" i="122"/>
  <c r="N77" i="73"/>
  <c r="D76" i="64" s="1"/>
  <c r="J77" i="122"/>
  <c r="I174" i="73"/>
  <c r="H174" i="73" s="1"/>
  <c r="H173" i="122" s="1"/>
  <c r="N179" i="73"/>
  <c r="D47" i="65" s="1"/>
  <c r="D23" i="66"/>
  <c r="B28" i="103"/>
  <c r="E28" i="103" s="1"/>
  <c r="D12" i="66"/>
  <c r="B17" i="103"/>
  <c r="D17" i="103" s="1"/>
  <c r="N10" i="67"/>
  <c r="AC10" i="67" s="1"/>
  <c r="AB10" i="67"/>
  <c r="N17" i="67"/>
  <c r="AC17" i="67" s="1"/>
  <c r="AB17" i="67"/>
  <c r="N41" i="133"/>
  <c r="M41" i="133" s="1"/>
  <c r="H57" i="103"/>
  <c r="H47" i="103"/>
  <c r="G284" i="137"/>
  <c r="G439" i="137" s="1"/>
  <c r="F39" i="101"/>
  <c r="D18" i="103"/>
  <c r="H41" i="137"/>
  <c r="H312" i="137"/>
  <c r="H389" i="137"/>
  <c r="H355" i="137"/>
  <c r="L10" i="158"/>
  <c r="I42" i="73"/>
  <c r="N79" i="73"/>
  <c r="M79" i="73" s="1"/>
  <c r="M79" i="122" s="1"/>
  <c r="N17" i="73"/>
  <c r="J17" i="122"/>
  <c r="I77" i="73"/>
  <c r="H77" i="73" s="1"/>
  <c r="H77" i="122" s="1"/>
  <c r="I79" i="73"/>
  <c r="J29" i="101" s="1"/>
  <c r="Y19" i="67"/>
  <c r="T52" i="67"/>
  <c r="N47" i="133"/>
  <c r="M47" i="133" s="1"/>
  <c r="N43" i="133"/>
  <c r="M43" i="133" s="1"/>
  <c r="N37" i="133"/>
  <c r="M37" i="133" s="1"/>
  <c r="N33" i="133"/>
  <c r="M33" i="133" s="1"/>
  <c r="E188" i="37"/>
  <c r="E191" i="37"/>
  <c r="E182" i="37"/>
  <c r="E185" i="37"/>
  <c r="E193" i="37"/>
  <c r="E21" i="37"/>
  <c r="E7" i="18"/>
  <c r="E6" i="18" s="1"/>
  <c r="D175" i="18"/>
  <c r="E155" i="18"/>
  <c r="E159" i="18"/>
  <c r="I20" i="73"/>
  <c r="H20" i="73" s="1"/>
  <c r="H20" i="122" s="1"/>
  <c r="N114" i="73"/>
  <c r="N196" i="73"/>
  <c r="N195" i="122" s="1"/>
  <c r="G52" i="67"/>
  <c r="L19" i="67"/>
  <c r="AB19" i="67" s="1"/>
  <c r="E11" i="57"/>
  <c r="E6" i="57"/>
  <c r="E9" i="57"/>
  <c r="E201" i="37"/>
  <c r="E211" i="37"/>
  <c r="E206" i="37"/>
  <c r="E203" i="37"/>
  <c r="G167" i="133"/>
  <c r="I167" i="133" s="1"/>
  <c r="H167" i="133" s="1"/>
  <c r="I168" i="133"/>
  <c r="H168" i="133" s="1"/>
  <c r="D55" i="103"/>
  <c r="D53" i="103"/>
  <c r="K6" i="29"/>
  <c r="E20" i="122"/>
  <c r="E174" i="122"/>
  <c r="H370" i="137"/>
  <c r="H346" i="137"/>
  <c r="C13" i="157"/>
  <c r="C13" i="158"/>
  <c r="G13" i="158"/>
  <c r="K13" i="158"/>
  <c r="L19" i="158"/>
  <c r="I24" i="73"/>
  <c r="H24" i="73" s="1"/>
  <c r="H24" i="122" s="1"/>
  <c r="N52" i="73"/>
  <c r="D51" i="64" s="1"/>
  <c r="I32" i="73"/>
  <c r="H32" i="73" s="1"/>
  <c r="H32" i="122" s="1"/>
  <c r="N71" i="73"/>
  <c r="D70" i="64" s="1"/>
  <c r="E67" i="138" s="1"/>
  <c r="H67" i="138" s="1"/>
  <c r="I8" i="73"/>
  <c r="H8" i="73" s="1"/>
  <c r="H8" i="122" s="1"/>
  <c r="N13" i="73"/>
  <c r="M13" i="73" s="1"/>
  <c r="M13" i="122" s="1"/>
  <c r="N35" i="73"/>
  <c r="D34" i="64" s="1"/>
  <c r="I36" i="73"/>
  <c r="C35" i="64" s="1"/>
  <c r="I163" i="73"/>
  <c r="H163" i="73" s="1"/>
  <c r="H163" i="122" s="1"/>
  <c r="I122" i="73"/>
  <c r="I94" i="73"/>
  <c r="C93" i="64" s="1"/>
  <c r="N193" i="73"/>
  <c r="D61" i="65" s="1"/>
  <c r="I198" i="73"/>
  <c r="C66" i="65" s="1"/>
  <c r="N110" i="73"/>
  <c r="N104" i="73"/>
  <c r="C12" i="67"/>
  <c r="C49" i="67" s="1"/>
  <c r="G4" i="56"/>
  <c r="G14" i="56" s="1"/>
  <c r="F157" i="133"/>
  <c r="I157" i="133" s="1"/>
  <c r="H157" i="133" s="1"/>
  <c r="I158" i="133"/>
  <c r="H158" i="133" s="1"/>
  <c r="I139" i="133"/>
  <c r="H139" i="133" s="1"/>
  <c r="N153" i="133"/>
  <c r="M153" i="133" s="1"/>
  <c r="N149" i="133"/>
  <c r="M149" i="133" s="1"/>
  <c r="N163" i="73"/>
  <c r="D31" i="65" s="1"/>
  <c r="G38" i="73"/>
  <c r="N36" i="73"/>
  <c r="M36" i="73" s="1"/>
  <c r="M36" i="122" s="1"/>
  <c r="I180" i="73"/>
  <c r="H180" i="73" s="1"/>
  <c r="H179" i="122" s="1"/>
  <c r="N63" i="73"/>
  <c r="D62" i="64" s="1"/>
  <c r="N174" i="73"/>
  <c r="I108" i="73"/>
  <c r="N75" i="73"/>
  <c r="M75" i="73" s="1"/>
  <c r="M75" i="122" s="1"/>
  <c r="J157" i="93"/>
  <c r="G99" i="69" s="1"/>
  <c r="K22" i="73"/>
  <c r="K28" i="73" s="1"/>
  <c r="K28" i="122" s="1"/>
  <c r="G22" i="73"/>
  <c r="G22" i="122" s="1"/>
  <c r="K112" i="73"/>
  <c r="K112" i="122" s="1"/>
  <c r="N195" i="73"/>
  <c r="D63" i="65" s="1"/>
  <c r="K191" i="73"/>
  <c r="K190" i="122" s="1"/>
  <c r="K203" i="73"/>
  <c r="K202" i="122" s="1"/>
  <c r="K178" i="73"/>
  <c r="K177" i="122" s="1"/>
  <c r="F178" i="73"/>
  <c r="F177" i="122" s="1"/>
  <c r="G173" i="73"/>
  <c r="G172" i="122" s="1"/>
  <c r="N167" i="73"/>
  <c r="N151" i="73"/>
  <c r="M151" i="73" s="1"/>
  <c r="M151" i="122" s="1"/>
  <c r="N147" i="73"/>
  <c r="N147" i="122" s="1"/>
  <c r="F160" i="73"/>
  <c r="F160" i="122" s="1"/>
  <c r="I153" i="73"/>
  <c r="I149" i="73"/>
  <c r="J22" i="102" s="1"/>
  <c r="N143" i="73"/>
  <c r="I140" i="73"/>
  <c r="J13" i="102" s="1"/>
  <c r="I16" i="66"/>
  <c r="K16" i="66" s="1"/>
  <c r="X12" i="67"/>
  <c r="X49" i="67" s="1"/>
  <c r="T12" i="67"/>
  <c r="T49" i="67" s="1"/>
  <c r="I14" i="133"/>
  <c r="H14" i="133" s="1"/>
  <c r="I81" i="133"/>
  <c r="H81" i="133" s="1"/>
  <c r="I126" i="133"/>
  <c r="H126" i="133" s="1"/>
  <c r="E51" i="15"/>
  <c r="G30" i="24"/>
  <c r="G48" i="24" s="1"/>
  <c r="L20" i="68"/>
  <c r="O20" i="68" s="1"/>
  <c r="G209" i="37"/>
  <c r="G205" i="37"/>
  <c r="E78" i="37"/>
  <c r="E70" i="37"/>
  <c r="I192" i="133"/>
  <c r="H192" i="133" s="1"/>
  <c r="N31" i="73"/>
  <c r="M31" i="73" s="1"/>
  <c r="M31" i="122" s="1"/>
  <c r="N105" i="73"/>
  <c r="N9" i="73"/>
  <c r="M9" i="73" s="1"/>
  <c r="M9" i="122" s="1"/>
  <c r="N180" i="73"/>
  <c r="M180" i="73" s="1"/>
  <c r="M179" i="122" s="1"/>
  <c r="N90" i="73"/>
  <c r="D89" i="64" s="1"/>
  <c r="I181" i="73"/>
  <c r="H181" i="73" s="1"/>
  <c r="H180" i="122" s="1"/>
  <c r="I114" i="73"/>
  <c r="H114" i="73" s="1"/>
  <c r="H114" i="122" s="1"/>
  <c r="I199" i="73"/>
  <c r="H199" i="73" s="1"/>
  <c r="H198" i="122" s="1"/>
  <c r="I197" i="73"/>
  <c r="C65" i="65" s="1"/>
  <c r="N159" i="73"/>
  <c r="M159" i="73" s="1"/>
  <c r="M159" i="122" s="1"/>
  <c r="I67" i="73"/>
  <c r="H67" i="73" s="1"/>
  <c r="H67" i="122" s="1"/>
  <c r="F22" i="73"/>
  <c r="F22" i="122" s="1"/>
  <c r="N12" i="73"/>
  <c r="I110" i="73"/>
  <c r="I116" i="73"/>
  <c r="K120" i="73"/>
  <c r="K120" i="122" s="1"/>
  <c r="L190" i="73"/>
  <c r="L189" i="122" s="1"/>
  <c r="N165" i="73"/>
  <c r="N156" i="73"/>
  <c r="I20" i="133"/>
  <c r="H20" i="133" s="1"/>
  <c r="I16" i="133"/>
  <c r="H16" i="133" s="1"/>
  <c r="I12" i="133"/>
  <c r="H12" i="133" s="1"/>
  <c r="I8" i="133"/>
  <c r="H8" i="133" s="1"/>
  <c r="I50" i="133"/>
  <c r="H50" i="133" s="1"/>
  <c r="G74" i="133"/>
  <c r="I74" i="133" s="1"/>
  <c r="H74" i="133" s="1"/>
  <c r="I75" i="133"/>
  <c r="H75" i="133" s="1"/>
  <c r="I69" i="133"/>
  <c r="H69" i="133" s="1"/>
  <c r="I61" i="133"/>
  <c r="H61" i="133" s="1"/>
  <c r="I124" i="133"/>
  <c r="H124" i="133" s="1"/>
  <c r="I119" i="133"/>
  <c r="H119" i="133" s="1"/>
  <c r="L74" i="133"/>
  <c r="N74" i="133" s="1"/>
  <c r="M74" i="133" s="1"/>
  <c r="N75" i="133"/>
  <c r="M75" i="133" s="1"/>
  <c r="G144" i="37"/>
  <c r="G142" i="37"/>
  <c r="G150" i="37"/>
  <c r="G155" i="37"/>
  <c r="G147" i="37"/>
  <c r="G152" i="37"/>
  <c r="G88" i="37"/>
  <c r="G96" i="37"/>
  <c r="G84" i="37"/>
  <c r="G92" i="37"/>
  <c r="H169" i="17"/>
  <c r="F437" i="138" s="1"/>
  <c r="M437" i="138" s="1"/>
  <c r="H167" i="17"/>
  <c r="F28" i="133"/>
  <c r="I47" i="133"/>
  <c r="H47" i="133" s="1"/>
  <c r="I43" i="133"/>
  <c r="H43" i="133" s="1"/>
  <c r="I78" i="133"/>
  <c r="H78" i="133" s="1"/>
  <c r="I68" i="133"/>
  <c r="H68" i="133" s="1"/>
  <c r="I64" i="133"/>
  <c r="H64" i="133" s="1"/>
  <c r="N86" i="133"/>
  <c r="M86" i="133" s="1"/>
  <c r="N82" i="133"/>
  <c r="M82" i="133" s="1"/>
  <c r="N97" i="133"/>
  <c r="M97" i="133" s="1"/>
  <c r="N87" i="133"/>
  <c r="M87" i="133" s="1"/>
  <c r="N83" i="133"/>
  <c r="M83" i="133" s="1"/>
  <c r="N79" i="133"/>
  <c r="M79" i="133" s="1"/>
  <c r="N98" i="133"/>
  <c r="M98" i="133" s="1"/>
  <c r="N94" i="133"/>
  <c r="M94" i="133" s="1"/>
  <c r="N90" i="133"/>
  <c r="M90" i="133" s="1"/>
  <c r="N123" i="133"/>
  <c r="M123" i="133" s="1"/>
  <c r="G29" i="24"/>
  <c r="G47" i="24" s="1"/>
  <c r="F15" i="23"/>
  <c r="I15" i="23"/>
  <c r="F21" i="53"/>
  <c r="E150" i="93"/>
  <c r="I196" i="133"/>
  <c r="H196" i="133" s="1"/>
  <c r="G190" i="133"/>
  <c r="G189" i="133"/>
  <c r="N140" i="133"/>
  <c r="M140" i="133" s="1"/>
  <c r="I170" i="73"/>
  <c r="I44" i="133"/>
  <c r="H44" i="133" s="1"/>
  <c r="I30" i="133"/>
  <c r="H30" i="133" s="1"/>
  <c r="I94" i="133"/>
  <c r="H94" i="133" s="1"/>
  <c r="I90" i="133"/>
  <c r="H90" i="133" s="1"/>
  <c r="I84" i="133"/>
  <c r="H84" i="133" s="1"/>
  <c r="I80" i="133"/>
  <c r="H80" i="133" s="1"/>
  <c r="I70" i="133"/>
  <c r="H70" i="133" s="1"/>
  <c r="I66" i="133"/>
  <c r="H66" i="133" s="1"/>
  <c r="I62" i="133"/>
  <c r="H62" i="133" s="1"/>
  <c r="I97" i="133"/>
  <c r="H97" i="133" s="1"/>
  <c r="I93" i="133"/>
  <c r="H93" i="133" s="1"/>
  <c r="N85" i="133"/>
  <c r="M85" i="133" s="1"/>
  <c r="N125" i="133"/>
  <c r="M125" i="133" s="1"/>
  <c r="N114" i="133"/>
  <c r="M114" i="133" s="1"/>
  <c r="N106" i="133"/>
  <c r="M106" i="133" s="1"/>
  <c r="F76" i="1"/>
  <c r="G13" i="10"/>
  <c r="G7" i="10"/>
  <c r="G26" i="24"/>
  <c r="G44" i="24" s="1"/>
  <c r="H147" i="93"/>
  <c r="F1229" i="138" s="1"/>
  <c r="L14" i="68"/>
  <c r="O14" i="68" s="1"/>
  <c r="G175" i="37"/>
  <c r="E174" i="37"/>
  <c r="E170" i="37"/>
  <c r="E166" i="37"/>
  <c r="E162" i="37"/>
  <c r="G127" i="37"/>
  <c r="E131" i="37"/>
  <c r="E98" i="37"/>
  <c r="G78" i="37"/>
  <c r="G73" i="37"/>
  <c r="G124" i="136"/>
  <c r="I169" i="133"/>
  <c r="H169" i="133" s="1"/>
  <c r="I187" i="133"/>
  <c r="H187" i="133" s="1"/>
  <c r="G172" i="133"/>
  <c r="I195" i="133"/>
  <c r="H195" i="133" s="1"/>
  <c r="F190" i="133"/>
  <c r="F189" i="133"/>
  <c r="H503" i="138"/>
  <c r="F27" i="139" s="1"/>
  <c r="E27" i="139" s="1"/>
  <c r="L71" i="108"/>
  <c r="L57" i="108"/>
  <c r="L73" i="108" s="1"/>
  <c r="N395" i="138"/>
  <c r="L457" i="138"/>
  <c r="F21" i="139" s="1"/>
  <c r="H591" i="138"/>
  <c r="G29" i="139" s="1"/>
  <c r="H873" i="138"/>
  <c r="F49" i="139" s="1"/>
  <c r="E49" i="139" s="1"/>
  <c r="G69" i="108"/>
  <c r="G44" i="108"/>
  <c r="G70" i="108" s="1"/>
  <c r="C65" i="108"/>
  <c r="C24" i="103"/>
  <c r="C99" i="103" s="1"/>
  <c r="H65" i="103"/>
  <c r="F86" i="122"/>
  <c r="I86" i="73"/>
  <c r="I161" i="73"/>
  <c r="E161" i="122"/>
  <c r="D34" i="102"/>
  <c r="N41" i="73"/>
  <c r="D40" i="64" s="1"/>
  <c r="J41" i="122"/>
  <c r="H611" i="138"/>
  <c r="F31" i="139" s="1"/>
  <c r="E31" i="139" s="1"/>
  <c r="L339" i="138"/>
  <c r="F13" i="139" s="1"/>
  <c r="H261" i="138"/>
  <c r="F11" i="139" s="1"/>
  <c r="E11" i="139" s="1"/>
  <c r="J10" i="157"/>
  <c r="L42" i="122"/>
  <c r="L430" i="138"/>
  <c r="H1036" i="138"/>
  <c r="F68" i="139" s="1"/>
  <c r="E68" i="139" s="1"/>
  <c r="H850" i="138"/>
  <c r="F46" i="139" s="1"/>
  <c r="E46" i="139" s="1"/>
  <c r="E28" i="100"/>
  <c r="E21" i="100"/>
  <c r="D71" i="108"/>
  <c r="D57" i="108"/>
  <c r="D73" i="108" s="1"/>
  <c r="E45" i="103"/>
  <c r="H45" i="103"/>
  <c r="I45" i="103"/>
  <c r="E41" i="103"/>
  <c r="I41" i="103"/>
  <c r="H41" i="103"/>
  <c r="D22" i="103"/>
  <c r="E22" i="103" s="1"/>
  <c r="E20" i="103"/>
  <c r="I20" i="103"/>
  <c r="D20" i="103"/>
  <c r="H20" i="103"/>
  <c r="I18" i="103"/>
  <c r="E18" i="103"/>
  <c r="H350" i="138"/>
  <c r="F14" i="139" s="1"/>
  <c r="E14" i="139" s="1"/>
  <c r="P417" i="138"/>
  <c r="H778" i="138"/>
  <c r="F41" i="139" s="1"/>
  <c r="E41" i="139" s="1"/>
  <c r="O51" i="108"/>
  <c r="D30" i="108"/>
  <c r="D67" i="108" s="1"/>
  <c r="E52" i="103"/>
  <c r="I52" i="103"/>
  <c r="E50" i="103"/>
  <c r="I50" i="103"/>
  <c r="G41" i="137"/>
  <c r="G417" i="137" s="1"/>
  <c r="E9" i="16"/>
  <c r="M339" i="138"/>
  <c r="G13" i="139" s="1"/>
  <c r="E85" i="103"/>
  <c r="D85" i="103"/>
  <c r="I85" i="103"/>
  <c r="F52" i="101"/>
  <c r="G52" i="101"/>
  <c r="L52" i="101"/>
  <c r="N52" i="101" s="1"/>
  <c r="C103" i="103"/>
  <c r="K65" i="108"/>
  <c r="K30" i="108"/>
  <c r="K67" i="108" s="1"/>
  <c r="N20" i="136"/>
  <c r="N405" i="138"/>
  <c r="F17" i="139" s="1"/>
  <c r="E17" i="139" s="1"/>
  <c r="J700" i="138"/>
  <c r="F36" i="139" s="1"/>
  <c r="H798" i="138"/>
  <c r="F43" i="139" s="1"/>
  <c r="E43" i="139" s="1"/>
  <c r="H1105" i="138"/>
  <c r="F72" i="139" s="1"/>
  <c r="E72" i="139" s="1"/>
  <c r="H1144" i="138"/>
  <c r="F78" i="139" s="1"/>
  <c r="H40" i="103"/>
  <c r="G42" i="103"/>
  <c r="D95" i="103"/>
  <c r="K22" i="104"/>
  <c r="G273" i="137"/>
  <c r="G436" i="137" s="1"/>
  <c r="E26" i="100"/>
  <c r="F10" i="104"/>
  <c r="F11" i="104" s="1"/>
  <c r="F33" i="100"/>
  <c r="H33" i="100" s="1"/>
  <c r="E33" i="100"/>
  <c r="F39" i="104"/>
  <c r="F38" i="104"/>
  <c r="F37" i="104"/>
  <c r="H37" i="104" s="1"/>
  <c r="L65" i="108"/>
  <c r="I78" i="73"/>
  <c r="H78" i="73" s="1"/>
  <c r="H78" i="122" s="1"/>
  <c r="E78" i="122"/>
  <c r="E95" i="103"/>
  <c r="I95" i="103"/>
  <c r="D40" i="103"/>
  <c r="E40" i="103"/>
  <c r="I40" i="103"/>
  <c r="E38" i="103"/>
  <c r="I38" i="103"/>
  <c r="E30" i="103"/>
  <c r="D30" i="103"/>
  <c r="I30" i="103"/>
  <c r="D3" i="103"/>
  <c r="H3" i="104"/>
  <c r="G4" i="75"/>
  <c r="I4" i="74"/>
  <c r="O20" i="136"/>
  <c r="K700" i="138"/>
  <c r="G36" i="139" s="1"/>
  <c r="J821" i="138"/>
  <c r="F44" i="139" s="1"/>
  <c r="E44" i="139" s="1"/>
  <c r="H1025" i="138"/>
  <c r="F67" i="139" s="1"/>
  <c r="E67" i="139" s="1"/>
  <c r="J27" i="122"/>
  <c r="N27" i="73"/>
  <c r="D26" i="64" s="1"/>
  <c r="I18" i="73"/>
  <c r="H18" i="73" s="1"/>
  <c r="H18" i="122" s="1"/>
  <c r="E18" i="122"/>
  <c r="N181" i="73"/>
  <c r="M181" i="73" s="1"/>
  <c r="M180" i="122" s="1"/>
  <c r="J180" i="122"/>
  <c r="F47" i="122"/>
  <c r="D31" i="157"/>
  <c r="J25" i="157"/>
  <c r="J19" i="157"/>
  <c r="G22" i="158"/>
  <c r="J137" i="73"/>
  <c r="N91" i="73"/>
  <c r="M91" i="73" s="1"/>
  <c r="M91" i="122" s="1"/>
  <c r="J91" i="122"/>
  <c r="I123" i="73"/>
  <c r="D73" i="101"/>
  <c r="I124" i="73"/>
  <c r="C123" i="64" s="1"/>
  <c r="D74" i="101"/>
  <c r="N162" i="73"/>
  <c r="J162" i="122"/>
  <c r="N197" i="73"/>
  <c r="J196" i="122"/>
  <c r="N139" i="73"/>
  <c r="J139" i="122"/>
  <c r="I164" i="73"/>
  <c r="D37" i="102"/>
  <c r="H714" i="138"/>
  <c r="H36" i="139" s="1"/>
  <c r="H1072" i="138"/>
  <c r="F70" i="139" s="1"/>
  <c r="E70" i="139" s="1"/>
  <c r="K995" i="138"/>
  <c r="F63" i="139" s="1"/>
  <c r="E63" i="139" s="1"/>
  <c r="H929" i="138"/>
  <c r="F55" i="139" s="1"/>
  <c r="E55" i="139" s="1"/>
  <c r="H1051" i="138"/>
  <c r="F69" i="139" s="1"/>
  <c r="E69" i="139" s="1"/>
  <c r="H1205" i="138"/>
  <c r="G82" i="139" s="1"/>
  <c r="H837" i="138"/>
  <c r="F45" i="139" s="1"/>
  <c r="E45" i="139" s="1"/>
  <c r="H860" i="138"/>
  <c r="F48" i="139" s="1"/>
  <c r="E48" i="139" s="1"/>
  <c r="H968" i="138"/>
  <c r="F60" i="139" s="1"/>
  <c r="E60" i="139" s="1"/>
  <c r="H899" i="138"/>
  <c r="F51" i="139" s="1"/>
  <c r="E51" i="139" s="1"/>
  <c r="H37" i="93"/>
  <c r="F5" i="71"/>
  <c r="I29" i="103"/>
  <c r="B42" i="103"/>
  <c r="D44" i="103"/>
  <c r="E44" i="103" s="1"/>
  <c r="C105" i="103"/>
  <c r="H44" i="103"/>
  <c r="I44" i="103" s="1"/>
  <c r="D59" i="103"/>
  <c r="J41" i="104"/>
  <c r="F57" i="108"/>
  <c r="F73" i="108" s="1"/>
  <c r="D63" i="103"/>
  <c r="E53" i="103"/>
  <c r="I53" i="103"/>
  <c r="E37" i="103"/>
  <c r="H37" i="103"/>
  <c r="E29" i="103"/>
  <c r="D27" i="103"/>
  <c r="I14" i="103"/>
  <c r="F6" i="71"/>
  <c r="H61" i="53"/>
  <c r="L44" i="108"/>
  <c r="L70" i="108" s="1"/>
  <c r="H209" i="137"/>
  <c r="J57" i="108"/>
  <c r="J73" i="108" s="1"/>
  <c r="J71" i="108"/>
  <c r="E70" i="122"/>
  <c r="G408" i="137"/>
  <c r="G410" i="137" s="1"/>
  <c r="G452" i="137" s="1"/>
  <c r="H301" i="137"/>
  <c r="L1297" i="138"/>
  <c r="J87" i="139" s="1"/>
  <c r="I13" i="157"/>
  <c r="H22" i="157"/>
  <c r="G31" i="158"/>
  <c r="E31" i="158"/>
  <c r="J28" i="73"/>
  <c r="J28" i="122" s="1"/>
  <c r="D137" i="70"/>
  <c r="F99" i="70"/>
  <c r="D92" i="102"/>
  <c r="I51" i="103"/>
  <c r="D45" i="103"/>
  <c r="D38" i="103"/>
  <c r="D32" i="103"/>
  <c r="E32" i="103" s="1"/>
  <c r="E12" i="103"/>
  <c r="I12" i="103"/>
  <c r="H121" i="137"/>
  <c r="K70" i="108"/>
  <c r="J48" i="122"/>
  <c r="E123" i="122"/>
  <c r="A3" i="133"/>
  <c r="A3" i="73"/>
  <c r="H176" i="137"/>
  <c r="G334" i="137"/>
  <c r="G444" i="137" s="1"/>
  <c r="G255" i="137"/>
  <c r="G434" i="137" s="1"/>
  <c r="G174" i="137"/>
  <c r="M1297" i="138"/>
  <c r="K87" i="139" s="1"/>
  <c r="J28" i="157"/>
  <c r="D13" i="157"/>
  <c r="C22" i="157"/>
  <c r="J13" i="158"/>
  <c r="D100" i="70"/>
  <c r="J88" i="73"/>
  <c r="F87" i="70"/>
  <c r="J138" i="73"/>
  <c r="C39" i="70"/>
  <c r="E38" i="73"/>
  <c r="K52" i="122"/>
  <c r="K51" i="73"/>
  <c r="K51" i="122" s="1"/>
  <c r="I13" i="73"/>
  <c r="H13" i="73" s="1"/>
  <c r="H13" i="122" s="1"/>
  <c r="D17" i="100"/>
  <c r="E17" i="100" s="1"/>
  <c r="G13" i="157"/>
  <c r="G33" i="157" s="1"/>
  <c r="F22" i="157"/>
  <c r="L25" i="158"/>
  <c r="D13" i="158"/>
  <c r="E13" i="158"/>
  <c r="J31" i="158"/>
  <c r="L5" i="158"/>
  <c r="N42" i="73"/>
  <c r="N47" i="73"/>
  <c r="D46" i="64" s="1"/>
  <c r="I19" i="73"/>
  <c r="N16" i="73"/>
  <c r="M16" i="73" s="1"/>
  <c r="M16" i="122" s="1"/>
  <c r="I35" i="73"/>
  <c r="C34" i="64" s="1"/>
  <c r="I63" i="73"/>
  <c r="I34" i="73"/>
  <c r="C33" i="64" s="1"/>
  <c r="N32" i="73"/>
  <c r="I105" i="73"/>
  <c r="H32" i="103"/>
  <c r="I32" i="103" s="1"/>
  <c r="G324" i="137"/>
  <c r="G443" i="137" s="1"/>
  <c r="H12" i="103"/>
  <c r="D52" i="103"/>
  <c r="D19" i="103"/>
  <c r="H324" i="137"/>
  <c r="H87" i="137"/>
  <c r="J49" i="122"/>
  <c r="J35" i="122"/>
  <c r="F186" i="122"/>
  <c r="I31" i="157"/>
  <c r="H31" i="157"/>
  <c r="F13" i="157"/>
  <c r="E13" i="157"/>
  <c r="D22" i="157"/>
  <c r="I22" i="158"/>
  <c r="I33" i="158" s="1"/>
  <c r="J22" i="158"/>
  <c r="G29" i="69"/>
  <c r="E17" i="18"/>
  <c r="H82" i="69"/>
  <c r="J38" i="73"/>
  <c r="J38" i="122" s="1"/>
  <c r="N33" i="73"/>
  <c r="I179" i="73"/>
  <c r="N70" i="73"/>
  <c r="D69" i="64" s="1"/>
  <c r="E66" i="138" s="1"/>
  <c r="H66" i="138" s="1"/>
  <c r="I17" i="73"/>
  <c r="C16" i="64" s="1"/>
  <c r="N82" i="73"/>
  <c r="D81" i="64" s="1"/>
  <c r="E78" i="138" s="1"/>
  <c r="H78" i="138" s="1"/>
  <c r="I30" i="73"/>
  <c r="N20" i="73"/>
  <c r="M20" i="73" s="1"/>
  <c r="M20" i="122" s="1"/>
  <c r="N30" i="73"/>
  <c r="D29" i="64" s="1"/>
  <c r="E28" i="138" s="1"/>
  <c r="H28" i="138" s="1"/>
  <c r="I48" i="73"/>
  <c r="C47" i="64" s="1"/>
  <c r="I95" i="73"/>
  <c r="C94" i="64" s="1"/>
  <c r="K38" i="73"/>
  <c r="K38" i="122" s="1"/>
  <c r="I26" i="73"/>
  <c r="N11" i="73"/>
  <c r="I162" i="73"/>
  <c r="I44" i="73"/>
  <c r="H44" i="73" s="1"/>
  <c r="H44" i="122" s="1"/>
  <c r="I9" i="73"/>
  <c r="C8" i="64" s="1"/>
  <c r="N37" i="73"/>
  <c r="M37" i="73" s="1"/>
  <c r="M37" i="122" s="1"/>
  <c r="N18" i="73"/>
  <c r="N43" i="73"/>
  <c r="D42" i="64" s="1"/>
  <c r="I45" i="73"/>
  <c r="H45" i="73" s="1"/>
  <c r="H45" i="122" s="1"/>
  <c r="I99" i="73"/>
  <c r="I23" i="73"/>
  <c r="N92" i="73"/>
  <c r="M92" i="73" s="1"/>
  <c r="M92" i="122" s="1"/>
  <c r="I16" i="73"/>
  <c r="C15" i="64" s="1"/>
  <c r="I87" i="73"/>
  <c r="H87" i="73" s="1"/>
  <c r="H87" i="122" s="1"/>
  <c r="I125" i="73"/>
  <c r="N65" i="73"/>
  <c r="D64" i="64" s="1"/>
  <c r="N10" i="73"/>
  <c r="M10" i="73" s="1"/>
  <c r="M10" i="122" s="1"/>
  <c r="E190" i="73"/>
  <c r="G203" i="73"/>
  <c r="G202" i="122" s="1"/>
  <c r="G160" i="73"/>
  <c r="G160" i="122" s="1"/>
  <c r="N24" i="67"/>
  <c r="AC24" i="67" s="1"/>
  <c r="L54" i="67"/>
  <c r="X48" i="67"/>
  <c r="P12" i="67"/>
  <c r="P38" i="67" s="1"/>
  <c r="P56" i="67" s="1"/>
  <c r="P51" i="67"/>
  <c r="G21" i="69"/>
  <c r="E17" i="17"/>
  <c r="H41" i="69"/>
  <c r="I66" i="73"/>
  <c r="N45" i="73"/>
  <c r="M45" i="73" s="1"/>
  <c r="M45" i="122" s="1"/>
  <c r="N15" i="73"/>
  <c r="D14" i="64" s="1"/>
  <c r="I21" i="73"/>
  <c r="C20" i="64" s="1"/>
  <c r="N83" i="73"/>
  <c r="N50" i="73"/>
  <c r="M50" i="73" s="1"/>
  <c r="M50" i="122" s="1"/>
  <c r="I91" i="73"/>
  <c r="C90" i="64" s="1"/>
  <c r="I43" i="73"/>
  <c r="H43" i="73" s="1"/>
  <c r="H43" i="122" s="1"/>
  <c r="I64" i="73"/>
  <c r="C63" i="64" s="1"/>
  <c r="N44" i="73"/>
  <c r="M44" i="73" s="1"/>
  <c r="M44" i="122" s="1"/>
  <c r="I41" i="73"/>
  <c r="C40" i="64" s="1"/>
  <c r="I83" i="73"/>
  <c r="H83" i="73" s="1"/>
  <c r="H83" i="122" s="1"/>
  <c r="I61" i="73"/>
  <c r="H61" i="73" s="1"/>
  <c r="H61" i="122" s="1"/>
  <c r="N97" i="73"/>
  <c r="D96" i="64" s="1"/>
  <c r="I50" i="73"/>
  <c r="H50" i="73" s="1"/>
  <c r="H50" i="122" s="1"/>
  <c r="I82" i="73"/>
  <c r="C81" i="64" s="1"/>
  <c r="N99" i="73"/>
  <c r="M99" i="73" s="1"/>
  <c r="M99" i="122" s="1"/>
  <c r="I33" i="73"/>
  <c r="H33" i="73" s="1"/>
  <c r="H33" i="122" s="1"/>
  <c r="I62" i="73"/>
  <c r="H62" i="73" s="1"/>
  <c r="H62" i="122" s="1"/>
  <c r="N24" i="73"/>
  <c r="M24" i="73" s="1"/>
  <c r="M24" i="122" s="1"/>
  <c r="N81" i="73"/>
  <c r="D80" i="64" s="1"/>
  <c r="N46" i="73"/>
  <c r="M46" i="73" s="1"/>
  <c r="M46" i="122" s="1"/>
  <c r="N8" i="73"/>
  <c r="D7" i="64" s="1"/>
  <c r="E7" i="138" s="1"/>
  <c r="H7" i="138" s="1"/>
  <c r="N93" i="73"/>
  <c r="M93" i="73" s="1"/>
  <c r="M93" i="122" s="1"/>
  <c r="I65" i="73"/>
  <c r="C64" i="64" s="1"/>
  <c r="I189" i="73"/>
  <c r="N199" i="73"/>
  <c r="N187" i="73"/>
  <c r="I80" i="73"/>
  <c r="K72" i="73"/>
  <c r="K72" i="122" s="1"/>
  <c r="F112" i="73"/>
  <c r="F112" i="122" s="1"/>
  <c r="F120" i="73"/>
  <c r="F120" i="122" s="1"/>
  <c r="G145" i="73"/>
  <c r="G145" i="122" s="1"/>
  <c r="N115" i="73"/>
  <c r="N116" i="73"/>
  <c r="F194" i="73"/>
  <c r="F193" i="122" s="1"/>
  <c r="I186" i="73"/>
  <c r="L173" i="73"/>
  <c r="L172" i="122" s="1"/>
  <c r="N164" i="73"/>
  <c r="B12" i="67"/>
  <c r="B49" i="67" s="1"/>
  <c r="B51" i="67"/>
  <c r="Y32" i="67"/>
  <c r="AD32" i="67" s="1"/>
  <c r="I14" i="73"/>
  <c r="I68" i="73"/>
  <c r="F98" i="133"/>
  <c r="I98" i="133" s="1"/>
  <c r="H98" i="133" s="1"/>
  <c r="I99" i="133"/>
  <c r="H99" i="133" s="1"/>
  <c r="I123" i="133"/>
  <c r="H123" i="133" s="1"/>
  <c r="I109" i="133"/>
  <c r="H109" i="133" s="1"/>
  <c r="N121" i="133"/>
  <c r="M121" i="133" s="1"/>
  <c r="L120" i="133"/>
  <c r="N106" i="73"/>
  <c r="N166" i="73"/>
  <c r="N153" i="73"/>
  <c r="L14" i="67"/>
  <c r="L32" i="67"/>
  <c r="Y14" i="67"/>
  <c r="AD14" i="67" s="1"/>
  <c r="I10" i="133"/>
  <c r="H10" i="133" s="1"/>
  <c r="I39" i="133"/>
  <c r="H39" i="133" s="1"/>
  <c r="D41" i="24"/>
  <c r="D22" i="24"/>
  <c r="E553" i="138" s="1"/>
  <c r="H553" i="138" s="1"/>
  <c r="G14" i="81"/>
  <c r="N146" i="133"/>
  <c r="M146" i="133" s="1"/>
  <c r="L145" i="133"/>
  <c r="N176" i="73"/>
  <c r="N124" i="73"/>
  <c r="M124" i="73" s="1"/>
  <c r="M124" i="122" s="1"/>
  <c r="N62" i="73"/>
  <c r="N84" i="73"/>
  <c r="I25" i="73"/>
  <c r="H25" i="73" s="1"/>
  <c r="H25" i="122" s="1"/>
  <c r="N113" i="73"/>
  <c r="I188" i="73"/>
  <c r="N14" i="73"/>
  <c r="N67" i="73"/>
  <c r="N68" i="73"/>
  <c r="G112" i="73"/>
  <c r="I107" i="73"/>
  <c r="I106" i="73"/>
  <c r="G190" i="73"/>
  <c r="G189" i="122" s="1"/>
  <c r="N129" i="73"/>
  <c r="N107" i="73"/>
  <c r="N119" i="73"/>
  <c r="L191" i="73"/>
  <c r="L190" i="122" s="1"/>
  <c r="G191" i="73"/>
  <c r="G190" i="122" s="1"/>
  <c r="N183" i="73"/>
  <c r="F173" i="73"/>
  <c r="F172" i="122" s="1"/>
  <c r="N149" i="73"/>
  <c r="N146" i="73"/>
  <c r="I155" i="73"/>
  <c r="I152" i="73"/>
  <c r="I150" i="73"/>
  <c r="I147" i="73"/>
  <c r="N142" i="73"/>
  <c r="N140" i="73"/>
  <c r="I142" i="73"/>
  <c r="I139" i="73"/>
  <c r="I7" i="73"/>
  <c r="N39" i="73"/>
  <c r="C56" i="66"/>
  <c r="Y11" i="67"/>
  <c r="Y48" i="67" s="1"/>
  <c r="L54" i="44"/>
  <c r="G47" i="37"/>
  <c r="G46" i="37"/>
  <c r="G52" i="37"/>
  <c r="G57" i="37"/>
  <c r="G48" i="37"/>
  <c r="G54" i="37"/>
  <c r="G61" i="37"/>
  <c r="G50" i="37"/>
  <c r="G58" i="37"/>
  <c r="G53" i="37"/>
  <c r="G56" i="37"/>
  <c r="G49" i="37"/>
  <c r="F160" i="133"/>
  <c r="I162" i="133"/>
  <c r="H162" i="133" s="1"/>
  <c r="F137" i="133"/>
  <c r="I141" i="133"/>
  <c r="H141" i="133" s="1"/>
  <c r="K202" i="133"/>
  <c r="N185" i="133"/>
  <c r="M185" i="133" s="1"/>
  <c r="K177" i="133"/>
  <c r="N179" i="133"/>
  <c r="M179" i="133" s="1"/>
  <c r="K138" i="133"/>
  <c r="K137" i="133" s="1"/>
  <c r="N139" i="133"/>
  <c r="M139" i="133" s="1"/>
  <c r="L177" i="133"/>
  <c r="N178" i="133"/>
  <c r="M178" i="133" s="1"/>
  <c r="N166" i="133"/>
  <c r="M166" i="133" s="1"/>
  <c r="L157" i="133"/>
  <c r="N157" i="133" s="1"/>
  <c r="M157" i="133" s="1"/>
  <c r="N158" i="133"/>
  <c r="M158" i="133" s="1"/>
  <c r="I69" i="73"/>
  <c r="I129" i="73"/>
  <c r="I109" i="73"/>
  <c r="I119" i="73"/>
  <c r="N109" i="73"/>
  <c r="N126" i="73"/>
  <c r="N200" i="73"/>
  <c r="F191" i="73"/>
  <c r="F190" i="122" s="1"/>
  <c r="K173" i="73"/>
  <c r="K172" i="122" s="1"/>
  <c r="I169" i="73"/>
  <c r="N157" i="73"/>
  <c r="N154" i="73"/>
  <c r="N152" i="73"/>
  <c r="D12" i="67"/>
  <c r="D49" i="67" s="1"/>
  <c r="I21" i="133"/>
  <c r="H21" i="133" s="1"/>
  <c r="I17" i="133"/>
  <c r="H17" i="133" s="1"/>
  <c r="I13" i="133"/>
  <c r="H13" i="133" s="1"/>
  <c r="I9" i="133"/>
  <c r="H9" i="133" s="1"/>
  <c r="K28" i="133"/>
  <c r="N108" i="133"/>
  <c r="M108" i="133" s="1"/>
  <c r="K120" i="133"/>
  <c r="E9" i="37"/>
  <c r="E14" i="37"/>
  <c r="E20" i="37"/>
  <c r="E8" i="37"/>
  <c r="E16" i="37"/>
  <c r="E22" i="37"/>
  <c r="E12" i="37"/>
  <c r="E18" i="37"/>
  <c r="E13" i="37"/>
  <c r="E17" i="37"/>
  <c r="E10" i="37"/>
  <c r="O12" i="67"/>
  <c r="O49" i="67" s="1"/>
  <c r="I25" i="133"/>
  <c r="H25" i="133" s="1"/>
  <c r="I32" i="133"/>
  <c r="H32" i="133" s="1"/>
  <c r="I35" i="133"/>
  <c r="H35" i="133" s="1"/>
  <c r="I31" i="133"/>
  <c r="H31" i="133" s="1"/>
  <c r="F112" i="133"/>
  <c r="I71" i="133"/>
  <c r="H71" i="133" s="1"/>
  <c r="I67" i="133"/>
  <c r="H67" i="133" s="1"/>
  <c r="I63" i="133"/>
  <c r="H63" i="133" s="1"/>
  <c r="G112" i="133"/>
  <c r="N25" i="133"/>
  <c r="M25" i="133" s="1"/>
  <c r="N32" i="133"/>
  <c r="M32" i="133" s="1"/>
  <c r="N39" i="133"/>
  <c r="M39" i="133" s="1"/>
  <c r="G17" i="76"/>
  <c r="E70" i="76"/>
  <c r="H102" i="76"/>
  <c r="I70" i="76"/>
  <c r="D34" i="22"/>
  <c r="E646" i="138" s="1"/>
  <c r="H646" i="138" s="1"/>
  <c r="H656" i="138" s="1"/>
  <c r="F33" i="139" s="1"/>
  <c r="E33" i="139" s="1"/>
  <c r="G7" i="153"/>
  <c r="D13" i="153" s="1"/>
  <c r="G61" i="69" s="1"/>
  <c r="G4" i="59"/>
  <c r="G18" i="59" s="1"/>
  <c r="I62" i="69" s="1"/>
  <c r="E4" i="57"/>
  <c r="E7" i="57"/>
  <c r="E13" i="57"/>
  <c r="E5" i="57"/>
  <c r="E10" i="57"/>
  <c r="I55" i="44"/>
  <c r="F166" i="93"/>
  <c r="F145" i="93"/>
  <c r="E199" i="37"/>
  <c r="E200" i="37"/>
  <c r="E204" i="37"/>
  <c r="E208" i="37"/>
  <c r="E212" i="37"/>
  <c r="E198" i="37"/>
  <c r="E205" i="37"/>
  <c r="E210" i="37"/>
  <c r="E202" i="37"/>
  <c r="E207" i="37"/>
  <c r="E213" i="37"/>
  <c r="E137" i="37"/>
  <c r="G18" i="37"/>
  <c r="G22" i="37"/>
  <c r="I115" i="133"/>
  <c r="H115" i="133" s="1"/>
  <c r="I107" i="133"/>
  <c r="H107" i="133" s="1"/>
  <c r="L22" i="133"/>
  <c r="N22" i="133" s="1"/>
  <c r="M22" i="133" s="1"/>
  <c r="K38" i="133"/>
  <c r="K40" i="133" s="1"/>
  <c r="N118" i="133"/>
  <c r="M118" i="133" s="1"/>
  <c r="K112" i="133"/>
  <c r="E55" i="44"/>
  <c r="E166" i="93"/>
  <c r="E145" i="93"/>
  <c r="L6" i="68"/>
  <c r="G201" i="37"/>
  <c r="G213" i="37"/>
  <c r="G199" i="37"/>
  <c r="G207" i="37"/>
  <c r="E124" i="37"/>
  <c r="E128" i="37"/>
  <c r="E132" i="37"/>
  <c r="E136" i="37"/>
  <c r="E125" i="37"/>
  <c r="E130" i="37"/>
  <c r="E135" i="37"/>
  <c r="E122" i="37"/>
  <c r="E127" i="37"/>
  <c r="E133" i="37"/>
  <c r="E138" i="37"/>
  <c r="N21" i="133"/>
  <c r="M21" i="133" s="1"/>
  <c r="N17" i="133"/>
  <c r="M17" i="133" s="1"/>
  <c r="N13" i="133"/>
  <c r="M13" i="133" s="1"/>
  <c r="N9" i="133"/>
  <c r="M9" i="133" s="1"/>
  <c r="N35" i="133"/>
  <c r="M35" i="133" s="1"/>
  <c r="N31" i="133"/>
  <c r="M31" i="133" s="1"/>
  <c r="K103" i="133"/>
  <c r="D110" i="1"/>
  <c r="G3" i="95"/>
  <c r="D5" i="13"/>
  <c r="D9" i="13" s="1"/>
  <c r="E135" i="93"/>
  <c r="E137" i="93" s="1"/>
  <c r="E180" i="37"/>
  <c r="E181" i="37"/>
  <c r="E186" i="37"/>
  <c r="E190" i="37"/>
  <c r="E194" i="37"/>
  <c r="E179" i="37"/>
  <c r="E187" i="37"/>
  <c r="E192" i="37"/>
  <c r="E183" i="37"/>
  <c r="E189" i="37"/>
  <c r="G122" i="37"/>
  <c r="G126" i="37"/>
  <c r="G130" i="37"/>
  <c r="G134" i="37"/>
  <c r="G138" i="37"/>
  <c r="G123" i="37"/>
  <c r="G128" i="37"/>
  <c r="G133" i="37"/>
  <c r="G125" i="37"/>
  <c r="G131" i="37"/>
  <c r="G136" i="37"/>
  <c r="E129" i="37"/>
  <c r="E53" i="37"/>
  <c r="E49" i="37"/>
  <c r="E61" i="37"/>
  <c r="I180" i="133"/>
  <c r="H180" i="133" s="1"/>
  <c r="G177" i="133"/>
  <c r="L160" i="133"/>
  <c r="N171" i="73"/>
  <c r="H36" i="17"/>
  <c r="F424" i="138" s="1"/>
  <c r="M424" i="138" s="1"/>
  <c r="H34" i="17"/>
  <c r="H38" i="17"/>
  <c r="F426" i="138" s="1"/>
  <c r="M426" i="138" s="1"/>
  <c r="F423" i="138"/>
  <c r="M423" i="138" s="1"/>
  <c r="H37" i="17"/>
  <c r="F425" i="138" s="1"/>
  <c r="M425" i="138" s="1"/>
  <c r="E25" i="95"/>
  <c r="G39" i="15"/>
  <c r="F17" i="76"/>
  <c r="D70" i="76"/>
  <c r="H71" i="76"/>
  <c r="G131" i="76"/>
  <c r="E153" i="76"/>
  <c r="I153" i="76"/>
  <c r="G175" i="76"/>
  <c r="E197" i="76"/>
  <c r="I197" i="76"/>
  <c r="J26" i="10"/>
  <c r="I18" i="23"/>
  <c r="G11" i="77"/>
  <c r="G13" i="77" s="1"/>
  <c r="E8" i="44"/>
  <c r="E1113" i="138" s="1"/>
  <c r="H1113" i="138" s="1"/>
  <c r="H8" i="44"/>
  <c r="H25" i="44" s="1"/>
  <c r="F77" i="154"/>
  <c r="F150" i="93"/>
  <c r="F147" i="93" s="1"/>
  <c r="L8" i="68"/>
  <c r="O8" i="68" s="1"/>
  <c r="L10" i="68"/>
  <c r="O10" i="68" s="1"/>
  <c r="E96" i="37"/>
  <c r="G67" i="37"/>
  <c r="G71" i="37"/>
  <c r="G75" i="37"/>
  <c r="G79" i="37"/>
  <c r="G84" i="136"/>
  <c r="N169" i="133"/>
  <c r="M169" i="133" s="1"/>
  <c r="G145" i="133"/>
  <c r="K145" i="133"/>
  <c r="F25" i="95"/>
  <c r="G70" i="76"/>
  <c r="H111" i="76"/>
  <c r="E131" i="76"/>
  <c r="I131" i="76"/>
  <c r="G153" i="76"/>
  <c r="E175" i="76"/>
  <c r="I175" i="76"/>
  <c r="G197" i="76"/>
  <c r="G23" i="24"/>
  <c r="G41" i="24" s="1"/>
  <c r="G27" i="24"/>
  <c r="G45" i="24" s="1"/>
  <c r="G28" i="24"/>
  <c r="G46" i="24" s="1"/>
  <c r="G8" i="85"/>
  <c r="G8" i="44"/>
  <c r="K8" i="44" s="1"/>
  <c r="D68" i="43"/>
  <c r="L16" i="68"/>
  <c r="O16" i="68" s="1"/>
  <c r="L18" i="68"/>
  <c r="O18" i="68" s="1"/>
  <c r="G165" i="37"/>
  <c r="G173" i="37"/>
  <c r="G143" i="37"/>
  <c r="G145" i="37"/>
  <c r="G149" i="37"/>
  <c r="G153" i="37"/>
  <c r="E144" i="37"/>
  <c r="E148" i="37"/>
  <c r="E152" i="37"/>
  <c r="E156" i="37"/>
  <c r="G66" i="37"/>
  <c r="K160" i="133"/>
  <c r="N161" i="133"/>
  <c r="M161" i="133" s="1"/>
  <c r="L138" i="133"/>
  <c r="N192" i="133"/>
  <c r="M192" i="133" s="1"/>
  <c r="I171" i="73"/>
  <c r="E38" i="17"/>
  <c r="E40" i="17"/>
  <c r="L15" i="68"/>
  <c r="L19" i="68"/>
  <c r="G104" i="136"/>
  <c r="G65" i="136"/>
  <c r="I186" i="133"/>
  <c r="H186" i="133" s="1"/>
  <c r="I170" i="133"/>
  <c r="H170" i="133" s="1"/>
  <c r="F145" i="133"/>
  <c r="G160" i="133"/>
  <c r="K172" i="133"/>
  <c r="N196" i="133"/>
  <c r="M196" i="133" s="1"/>
  <c r="L190" i="133"/>
  <c r="L189" i="133"/>
  <c r="F172" i="133"/>
  <c r="I198" i="133"/>
  <c r="H198" i="133" s="1"/>
  <c r="I194" i="133"/>
  <c r="H194" i="133" s="1"/>
  <c r="L202" i="133"/>
  <c r="L129" i="133" s="1"/>
  <c r="L172" i="133"/>
  <c r="K190" i="133"/>
  <c r="K189" i="133"/>
  <c r="N33" i="17"/>
  <c r="E27" i="100"/>
  <c r="H30" i="104"/>
  <c r="E36" i="103"/>
  <c r="I36" i="103"/>
  <c r="D26" i="103"/>
  <c r="I17" i="103"/>
  <c r="E17" i="103"/>
  <c r="F402" i="138"/>
  <c r="M402" i="138" s="1"/>
  <c r="H9" i="16"/>
  <c r="F404" i="138" s="1"/>
  <c r="M404" i="138" s="1"/>
  <c r="E49" i="100"/>
  <c r="E19" i="100"/>
  <c r="E30" i="108"/>
  <c r="E67" i="108" s="1"/>
  <c r="E66" i="108"/>
  <c r="F44" i="108"/>
  <c r="F70" i="108" s="1"/>
  <c r="F69" i="108"/>
  <c r="G57" i="108"/>
  <c r="G72" i="108"/>
  <c r="D44" i="108"/>
  <c r="D70" i="108" s="1"/>
  <c r="D69" i="108"/>
  <c r="F30" i="108"/>
  <c r="F65" i="108"/>
  <c r="H25" i="103"/>
  <c r="E25" i="103"/>
  <c r="D15" i="103"/>
  <c r="O142" i="136"/>
  <c r="G209" i="137"/>
  <c r="G430" i="137" s="1"/>
  <c r="G102" i="103"/>
  <c r="N44" i="108"/>
  <c r="B49" i="103" s="1"/>
  <c r="E70" i="108"/>
  <c r="E69" i="108"/>
  <c r="C71" i="108"/>
  <c r="E57" i="103"/>
  <c r="I57" i="103"/>
  <c r="H39" i="103"/>
  <c r="B102" i="103"/>
  <c r="L67" i="108"/>
  <c r="E72" i="108"/>
  <c r="E57" i="108"/>
  <c r="E73" i="108" s="1"/>
  <c r="M39" i="101"/>
  <c r="G39" i="101"/>
  <c r="L39" i="101"/>
  <c r="N39" i="101" s="1"/>
  <c r="C42" i="103"/>
  <c r="C44" i="108"/>
  <c r="I21" i="103"/>
  <c r="D21" i="103"/>
  <c r="E21" i="103"/>
  <c r="D13" i="103"/>
  <c r="E13" i="103"/>
  <c r="I66" i="108"/>
  <c r="I30" i="108"/>
  <c r="M57" i="108"/>
  <c r="M71" i="108"/>
  <c r="P89" i="18"/>
  <c r="P110" i="18"/>
  <c r="N31" i="136"/>
  <c r="O26" i="136"/>
  <c r="O31" i="136" s="1"/>
  <c r="O41" i="136"/>
  <c r="O51" i="136" s="1"/>
  <c r="N51" i="136"/>
  <c r="N102" i="136"/>
  <c r="O93" i="136"/>
  <c r="O102" i="136" s="1"/>
  <c r="H408" i="137"/>
  <c r="H410" i="137" s="1"/>
  <c r="H43" i="41"/>
  <c r="E100" i="73"/>
  <c r="C100" i="70"/>
  <c r="D65" i="108"/>
  <c r="L4" i="133"/>
  <c r="L4" i="73"/>
  <c r="P110" i="17"/>
  <c r="I27" i="103"/>
  <c r="D41" i="103"/>
  <c r="C30" i="108"/>
  <c r="K57" i="108"/>
  <c r="J5" i="74"/>
  <c r="J103" i="73"/>
  <c r="D110" i="70"/>
  <c r="N82" i="136"/>
  <c r="N142" i="136"/>
  <c r="V49" i="67"/>
  <c r="O110" i="17"/>
  <c r="F112" i="17" s="1"/>
  <c r="J21" i="69" s="1"/>
  <c r="O89" i="18"/>
  <c r="F91" i="18" s="1"/>
  <c r="I17" i="69" s="1"/>
  <c r="N122" i="136"/>
  <c r="F46" i="157"/>
  <c r="J34" i="157"/>
  <c r="E22" i="158"/>
  <c r="F31" i="158"/>
  <c r="F33" i="158" s="1"/>
  <c r="L16" i="158"/>
  <c r="L22" i="158" s="1"/>
  <c r="O110" i="18"/>
  <c r="F112" i="18" s="1"/>
  <c r="J17" i="69" s="1"/>
  <c r="F79" i="69"/>
  <c r="D125" i="20"/>
  <c r="B27" i="68"/>
  <c r="J16" i="157"/>
  <c r="L28" i="158"/>
  <c r="N26" i="73"/>
  <c r="N66" i="73"/>
  <c r="I11" i="73"/>
  <c r="J5" i="157"/>
  <c r="L120" i="73"/>
  <c r="L120" i="122" s="1"/>
  <c r="I84" i="73"/>
  <c r="I93" i="73"/>
  <c r="I10" i="73"/>
  <c r="N85" i="73"/>
  <c r="K194" i="73"/>
  <c r="K193" i="122" s="1"/>
  <c r="AA23" i="67"/>
  <c r="Y54" i="67"/>
  <c r="U55" i="67"/>
  <c r="U12" i="67"/>
  <c r="N86" i="73"/>
  <c r="N95" i="73"/>
  <c r="L194" i="73"/>
  <c r="L193" i="122" s="1"/>
  <c r="N186" i="73"/>
  <c r="L203" i="73"/>
  <c r="L202" i="122" s="1"/>
  <c r="I47" i="73"/>
  <c r="N61" i="73"/>
  <c r="N64" i="73"/>
  <c r="I92" i="73"/>
  <c r="I85" i="73"/>
  <c r="N25" i="73"/>
  <c r="N96" i="73"/>
  <c r="I104" i="73"/>
  <c r="G120" i="73"/>
  <c r="G120" i="122" s="1"/>
  <c r="I200" i="73"/>
  <c r="F203" i="73"/>
  <c r="F202" i="122" s="1"/>
  <c r="G194" i="73"/>
  <c r="G193" i="122" s="1"/>
  <c r="AA8" i="67"/>
  <c r="I104" i="133"/>
  <c r="H104" i="133" s="1"/>
  <c r="I166" i="73"/>
  <c r="K160" i="73"/>
  <c r="O48" i="67"/>
  <c r="Q51" i="67"/>
  <c r="Q12" i="67"/>
  <c r="I36" i="133"/>
  <c r="H36" i="133" s="1"/>
  <c r="G38" i="133"/>
  <c r="G40" i="133" s="1"/>
  <c r="N36" i="133"/>
  <c r="M36" i="133" s="1"/>
  <c r="L38" i="133"/>
  <c r="L40" i="133" s="1"/>
  <c r="D56" i="66"/>
  <c r="D43" i="66"/>
  <c r="K12" i="67"/>
  <c r="K49" i="67" s="1"/>
  <c r="K100" i="133"/>
  <c r="D29" i="66"/>
  <c r="D78" i="66"/>
  <c r="D51" i="66"/>
  <c r="G12" i="67"/>
  <c r="G49" i="67" s="1"/>
  <c r="G53" i="67"/>
  <c r="L22" i="67"/>
  <c r="C53" i="67"/>
  <c r="Y22" i="67"/>
  <c r="I51" i="133"/>
  <c r="H51" i="133" s="1"/>
  <c r="I108" i="133"/>
  <c r="H108" i="133" s="1"/>
  <c r="G120" i="133"/>
  <c r="I121" i="133"/>
  <c r="H121" i="133" s="1"/>
  <c r="G14" i="27"/>
  <c r="O53" i="67"/>
  <c r="T48" i="67"/>
  <c r="G22" i="133"/>
  <c r="I22" i="133" s="1"/>
  <c r="H22" i="133" s="1"/>
  <c r="F38" i="133"/>
  <c r="F88" i="133"/>
  <c r="K51" i="133"/>
  <c r="N51" i="133" s="1"/>
  <c r="M51" i="133" s="1"/>
  <c r="N52" i="133"/>
  <c r="M52" i="133" s="1"/>
  <c r="K72" i="133"/>
  <c r="K88" i="133" s="1"/>
  <c r="L76" i="133"/>
  <c r="N76" i="133" s="1"/>
  <c r="M76" i="133" s="1"/>
  <c r="N77" i="133"/>
  <c r="M77" i="133" s="1"/>
  <c r="N113" i="133"/>
  <c r="M113" i="133" s="1"/>
  <c r="L112" i="133"/>
  <c r="I76" i="1"/>
  <c r="F23" i="15"/>
  <c r="G45" i="15"/>
  <c r="F120" i="133"/>
  <c r="I87" i="133"/>
  <c r="H87" i="133" s="1"/>
  <c r="I83" i="133"/>
  <c r="H83" i="133" s="1"/>
  <c r="I79" i="133"/>
  <c r="H79" i="133" s="1"/>
  <c r="G103" i="133"/>
  <c r="N84" i="133"/>
  <c r="M84" i="133" s="1"/>
  <c r="N80" i="133"/>
  <c r="M80" i="133" s="1"/>
  <c r="N96" i="133"/>
  <c r="M96" i="133" s="1"/>
  <c r="N92" i="133"/>
  <c r="M92" i="133" s="1"/>
  <c r="L104" i="133"/>
  <c r="N105" i="133"/>
  <c r="M105" i="133" s="1"/>
  <c r="F12" i="15"/>
  <c r="G179" i="37"/>
  <c r="G183" i="37"/>
  <c r="G187" i="37"/>
  <c r="G191" i="37"/>
  <c r="G181" i="37"/>
  <c r="G185" i="37"/>
  <c r="G189" i="37"/>
  <c r="G193" i="37"/>
  <c r="G182" i="37"/>
  <c r="G190" i="37"/>
  <c r="G184" i="37"/>
  <c r="G192" i="37"/>
  <c r="G180" i="37"/>
  <c r="G188" i="37"/>
  <c r="G186" i="37"/>
  <c r="G194" i="37"/>
  <c r="G100" i="133"/>
  <c r="N73" i="133"/>
  <c r="M73" i="133" s="1"/>
  <c r="N68" i="133"/>
  <c r="M68" i="133" s="1"/>
  <c r="N64" i="133"/>
  <c r="M64" i="133" s="1"/>
  <c r="L100" i="133"/>
  <c r="N122" i="133"/>
  <c r="M122" i="133" s="1"/>
  <c r="N107" i="133"/>
  <c r="M107" i="133" s="1"/>
  <c r="E110" i="1"/>
  <c r="N23" i="133"/>
  <c r="M23" i="133" s="1"/>
  <c r="G14" i="95"/>
  <c r="F51" i="15"/>
  <c r="G33" i="15"/>
  <c r="I5" i="13"/>
  <c r="H5" i="13"/>
  <c r="H9" i="13" s="1"/>
  <c r="E5" i="13"/>
  <c r="E17" i="76"/>
  <c r="I17" i="76"/>
  <c r="G12" i="10"/>
  <c r="G18" i="10" s="1"/>
  <c r="J29" i="10"/>
  <c r="G25" i="24"/>
  <c r="G43" i="24" s="1"/>
  <c r="H14" i="21"/>
  <c r="D35" i="6"/>
  <c r="H19" i="145"/>
  <c r="D8" i="44"/>
  <c r="J8" i="44" s="1"/>
  <c r="G144" i="93"/>
  <c r="E1226" i="138" s="1"/>
  <c r="G165" i="93"/>
  <c r="E1248" i="138" s="1"/>
  <c r="H17" i="76"/>
  <c r="D10" i="10"/>
  <c r="E514" i="138" s="1"/>
  <c r="H514" i="138" s="1"/>
  <c r="D18" i="10"/>
  <c r="G11" i="10"/>
  <c r="G4" i="10"/>
  <c r="G24" i="24"/>
  <c r="G4" i="24"/>
  <c r="J16" i="152"/>
  <c r="G12" i="25"/>
  <c r="D51" i="15"/>
  <c r="D53" i="15" s="1"/>
  <c r="G27" i="15"/>
  <c r="G31" i="24"/>
  <c r="G13" i="24"/>
  <c r="G13" i="58"/>
  <c r="H14" i="57"/>
  <c r="D14" i="56"/>
  <c r="G9" i="55"/>
  <c r="D21" i="53"/>
  <c r="G52" i="44"/>
  <c r="I8" i="44"/>
  <c r="I25" i="44" s="1"/>
  <c r="E85" i="37"/>
  <c r="E89" i="37"/>
  <c r="E93" i="37"/>
  <c r="E97" i="37"/>
  <c r="E87" i="37"/>
  <c r="E91" i="37"/>
  <c r="E95" i="37"/>
  <c r="E99" i="37"/>
  <c r="E65" i="37"/>
  <c r="E69" i="37"/>
  <c r="E73" i="37"/>
  <c r="E77" i="37"/>
  <c r="E67" i="37"/>
  <c r="E71" i="37"/>
  <c r="E75" i="37"/>
  <c r="E79" i="37"/>
  <c r="G8" i="37"/>
  <c r="G12" i="37"/>
  <c r="G16" i="37"/>
  <c r="G20" i="37"/>
  <c r="G9" i="37"/>
  <c r="G13" i="37"/>
  <c r="G17" i="37"/>
  <c r="G21" i="37"/>
  <c r="G11" i="37"/>
  <c r="G15" i="37"/>
  <c r="G19" i="37"/>
  <c r="G23" i="37"/>
  <c r="L9" i="68"/>
  <c r="L17" i="68"/>
  <c r="O17" i="68" s="1"/>
  <c r="E88" i="69"/>
  <c r="D88" i="69" s="1"/>
  <c r="G200" i="37"/>
  <c r="G204" i="37"/>
  <c r="G208" i="37"/>
  <c r="G212" i="37"/>
  <c r="G198" i="37"/>
  <c r="G202" i="37"/>
  <c r="G206" i="37"/>
  <c r="G210" i="37"/>
  <c r="G85" i="37"/>
  <c r="G89" i="37"/>
  <c r="G93" i="37"/>
  <c r="G97" i="37"/>
  <c r="G87" i="37"/>
  <c r="G91" i="37"/>
  <c r="G95" i="37"/>
  <c r="G99" i="37"/>
  <c r="E94" i="37"/>
  <c r="E86" i="37"/>
  <c r="E76" i="37"/>
  <c r="E68" i="37"/>
  <c r="G14" i="37"/>
  <c r="E12" i="57"/>
  <c r="E8" i="57"/>
  <c r="F8" i="44"/>
  <c r="F25" i="44" s="1"/>
  <c r="G211" i="37"/>
  <c r="G203" i="37"/>
  <c r="G162" i="37"/>
  <c r="G166" i="37"/>
  <c r="G170" i="37"/>
  <c r="G174" i="37"/>
  <c r="G160" i="37"/>
  <c r="G164" i="37"/>
  <c r="G168" i="37"/>
  <c r="G172" i="37"/>
  <c r="E92" i="37"/>
  <c r="E84" i="37"/>
  <c r="E74" i="37"/>
  <c r="E66" i="37"/>
  <c r="E47" i="37"/>
  <c r="E51" i="37"/>
  <c r="E55" i="37"/>
  <c r="E59" i="37"/>
  <c r="E48" i="37"/>
  <c r="E52" i="37"/>
  <c r="E56" i="37"/>
  <c r="E60" i="37"/>
  <c r="E46" i="37"/>
  <c r="E50" i="37"/>
  <c r="E54" i="37"/>
  <c r="E58" i="37"/>
  <c r="G10" i="37"/>
  <c r="E184" i="37"/>
  <c r="G59" i="37"/>
  <c r="G55" i="37"/>
  <c r="G51" i="37"/>
  <c r="E11" i="37"/>
  <c r="E15" i="37"/>
  <c r="E19" i="37"/>
  <c r="E23" i="37"/>
  <c r="G144" i="136"/>
  <c r="G34" i="136"/>
  <c r="E98" i="69" s="1"/>
  <c r="I185" i="133"/>
  <c r="H185" i="133" s="1"/>
  <c r="F202" i="133"/>
  <c r="E170" i="17"/>
  <c r="E167" i="17"/>
  <c r="E171" i="17"/>
  <c r="E168" i="17"/>
  <c r="E166" i="17"/>
  <c r="E172" i="17"/>
  <c r="E169" i="17"/>
  <c r="E173" i="17"/>
  <c r="G64" i="136"/>
  <c r="G20" i="28"/>
  <c r="G24" i="28" s="1"/>
  <c r="G30" i="28"/>
  <c r="G38" i="28" s="1"/>
  <c r="F177" i="133"/>
  <c r="G193" i="133"/>
  <c r="L193" i="133"/>
  <c r="E34" i="17"/>
  <c r="E37" i="17"/>
  <c r="H39" i="17"/>
  <c r="F427" i="138" s="1"/>
  <c r="M427" i="138" s="1"/>
  <c r="H35" i="17"/>
  <c r="D43" i="17"/>
  <c r="H168" i="17"/>
  <c r="H172" i="17"/>
  <c r="F440" i="138" s="1"/>
  <c r="M440" i="138" s="1"/>
  <c r="H166" i="17"/>
  <c r="F193" i="133"/>
  <c r="K193" i="133"/>
  <c r="E39" i="17"/>
  <c r="H170" i="17"/>
  <c r="F438" i="138" s="1"/>
  <c r="M438" i="138" s="1"/>
  <c r="E35" i="17"/>
  <c r="H40" i="17"/>
  <c r="F428" i="138" s="1"/>
  <c r="M428" i="138" s="1"/>
  <c r="H173" i="17"/>
  <c r="F441" i="138" s="1"/>
  <c r="M441" i="138" s="1"/>
  <c r="N382" i="138" l="1"/>
  <c r="H23" i="103"/>
  <c r="I23" i="103" s="1"/>
  <c r="H11" i="66"/>
  <c r="F100" i="133"/>
  <c r="D19" i="66"/>
  <c r="E197" i="138" s="1"/>
  <c r="H197" i="138" s="1"/>
  <c r="M59" i="108"/>
  <c r="M61" i="108" s="1"/>
  <c r="M75" i="108" s="1"/>
  <c r="I145" i="133"/>
  <c r="H145" i="133" s="1"/>
  <c r="C33" i="158"/>
  <c r="I11" i="66"/>
  <c r="K11" i="66" s="1"/>
  <c r="F175" i="17"/>
  <c r="F179" i="17"/>
  <c r="F181" i="17" s="1"/>
  <c r="G137" i="133"/>
  <c r="I137" i="133" s="1"/>
  <c r="H137" i="133" s="1"/>
  <c r="E16" i="103"/>
  <c r="H16" i="103"/>
  <c r="N145" i="133"/>
  <c r="M145" i="133" s="1"/>
  <c r="K33" i="158"/>
  <c r="N65" i="108"/>
  <c r="H33" i="158"/>
  <c r="L52" i="67"/>
  <c r="H17" i="103"/>
  <c r="B99" i="103"/>
  <c r="N30" i="108"/>
  <c r="N67" i="108" s="1"/>
  <c r="I887" i="138"/>
  <c r="F50" i="139" s="1"/>
  <c r="E50" i="139" s="1"/>
  <c r="G160" i="17"/>
  <c r="E43" i="37"/>
  <c r="E44" i="37" s="1"/>
  <c r="G43" i="37"/>
  <c r="G44" i="37" s="1"/>
  <c r="D84" i="101"/>
  <c r="F100" i="73"/>
  <c r="F100" i="122" s="1"/>
  <c r="F4" i="28"/>
  <c r="F9" i="28" s="1"/>
  <c r="D45" i="28"/>
  <c r="G49" i="69" s="1"/>
  <c r="E9" i="28"/>
  <c r="J144" i="93" s="1"/>
  <c r="E37" i="28"/>
  <c r="H16" i="139"/>
  <c r="E174" i="18"/>
  <c r="E175" i="18" s="1"/>
  <c r="G24" i="18"/>
  <c r="N369" i="138"/>
  <c r="F16" i="139" s="1"/>
  <c r="Q369" i="138"/>
  <c r="E10" i="18"/>
  <c r="E160" i="18"/>
  <c r="F24" i="18"/>
  <c r="E6" i="17"/>
  <c r="F25" i="17" s="1"/>
  <c r="E137" i="73"/>
  <c r="C78" i="71"/>
  <c r="E5" i="71"/>
  <c r="I36" i="66"/>
  <c r="K36" i="66" s="1"/>
  <c r="H36" i="66"/>
  <c r="G226" i="137"/>
  <c r="G227" i="137" s="1"/>
  <c r="G432" i="137" s="1"/>
  <c r="H32" i="66"/>
  <c r="I32" i="66"/>
  <c r="K32" i="66" s="1"/>
  <c r="E210" i="138"/>
  <c r="H210" i="138" s="1"/>
  <c r="H188" i="137"/>
  <c r="H189" i="137" s="1"/>
  <c r="D37" i="66"/>
  <c r="N72" i="108"/>
  <c r="N40" i="133"/>
  <c r="M40" i="133" s="1"/>
  <c r="C33" i="157"/>
  <c r="C29" i="66"/>
  <c r="E29" i="66" s="1"/>
  <c r="N57" i="108"/>
  <c r="D54" i="103"/>
  <c r="D11" i="102"/>
  <c r="D87" i="102" s="1"/>
  <c r="E138" i="122"/>
  <c r="E37" i="18"/>
  <c r="E39" i="18"/>
  <c r="E40" i="18"/>
  <c r="E33" i="18"/>
  <c r="E36" i="18"/>
  <c r="E35" i="18"/>
  <c r="H54" i="66"/>
  <c r="I54" i="66"/>
  <c r="K54" i="66" s="1"/>
  <c r="C33" i="68"/>
  <c r="O43" i="108"/>
  <c r="E60" i="103"/>
  <c r="B61" i="103"/>
  <c r="C73" i="108"/>
  <c r="P43" i="108"/>
  <c r="P29" i="108"/>
  <c r="I172" i="133"/>
  <c r="H172" i="133" s="1"/>
  <c r="G25" i="95"/>
  <c r="L13" i="158"/>
  <c r="L33" i="158" s="1"/>
  <c r="D16" i="103"/>
  <c r="D24" i="103" s="1"/>
  <c r="E24" i="103" s="1"/>
  <c r="I190" i="133"/>
  <c r="H190" i="133" s="1"/>
  <c r="T38" i="67"/>
  <c r="G7" i="67" s="1"/>
  <c r="Q23" i="68"/>
  <c r="H54" i="103"/>
  <c r="H31" i="103"/>
  <c r="I31" i="103" s="1"/>
  <c r="E34" i="18"/>
  <c r="D51" i="103"/>
  <c r="H37" i="18"/>
  <c r="F377" i="138" s="1"/>
  <c r="M377" i="138" s="1"/>
  <c r="H34" i="18"/>
  <c r="G43" i="18"/>
  <c r="H38" i="18"/>
  <c r="F378" i="138" s="1"/>
  <c r="M378" i="138" s="1"/>
  <c r="H35" i="18"/>
  <c r="H39" i="18"/>
  <c r="F379" i="138" s="1"/>
  <c r="M379" i="138" s="1"/>
  <c r="E381" i="138"/>
  <c r="L381" i="138" s="1"/>
  <c r="L382" i="138" s="1"/>
  <c r="G16" i="139" s="1"/>
  <c r="H36" i="18"/>
  <c r="F376" i="138" s="1"/>
  <c r="M376" i="138" s="1"/>
  <c r="H40" i="18"/>
  <c r="F380" i="138" s="1"/>
  <c r="M380" i="138" s="1"/>
  <c r="H33" i="18"/>
  <c r="I26" i="66"/>
  <c r="K26" i="66" s="1"/>
  <c r="H26" i="66"/>
  <c r="G108" i="137"/>
  <c r="G98" i="137"/>
  <c r="I50" i="66"/>
  <c r="K50" i="66" s="1"/>
  <c r="D88" i="123"/>
  <c r="H283" i="137"/>
  <c r="H284" i="137" s="1"/>
  <c r="E224" i="138"/>
  <c r="H224" i="138" s="1"/>
  <c r="I46" i="66"/>
  <c r="K46" i="66" s="1"/>
  <c r="H46" i="66"/>
  <c r="E233" i="138"/>
  <c r="H233" i="138" s="1"/>
  <c r="H333" i="137"/>
  <c r="H334" i="137" s="1"/>
  <c r="I55" i="66"/>
  <c r="K55" i="66" s="1"/>
  <c r="H55" i="66"/>
  <c r="N177" i="133"/>
  <c r="M177" i="133" s="1"/>
  <c r="G106" i="103"/>
  <c r="E80" i="43"/>
  <c r="E1216" i="138" s="1"/>
  <c r="H1216" i="138" s="1"/>
  <c r="E1211" i="138"/>
  <c r="H1211" i="138" s="1"/>
  <c r="F26" i="47"/>
  <c r="K38" i="93"/>
  <c r="K42" i="93" s="1"/>
  <c r="J189" i="73"/>
  <c r="D90" i="71"/>
  <c r="F57" i="71"/>
  <c r="O37" i="108"/>
  <c r="H68" i="108"/>
  <c r="C37" i="66"/>
  <c r="L53" i="133"/>
  <c r="C79" i="66"/>
  <c r="R38" i="67"/>
  <c r="R56" i="67" s="1"/>
  <c r="E25" i="44"/>
  <c r="E1129" i="138" s="1"/>
  <c r="H1129" i="138" s="1"/>
  <c r="AA14" i="67"/>
  <c r="AA51" i="67" s="1"/>
  <c r="I60" i="103"/>
  <c r="B48" i="103"/>
  <c r="D48" i="103" s="1"/>
  <c r="L144" i="133"/>
  <c r="E51" i="103"/>
  <c r="P19" i="108"/>
  <c r="D31" i="103"/>
  <c r="E31" i="103" s="1"/>
  <c r="D86" i="123"/>
  <c r="E38" i="18"/>
  <c r="G34" i="22"/>
  <c r="C74" i="65"/>
  <c r="I205" i="122"/>
  <c r="J79" i="102"/>
  <c r="D74" i="65"/>
  <c r="E175" i="138" s="1"/>
  <c r="H175" i="138" s="1"/>
  <c r="B79" i="102"/>
  <c r="N205" i="122"/>
  <c r="H10" i="66"/>
  <c r="I10" i="66"/>
  <c r="K10" i="66" s="1"/>
  <c r="G100" i="73"/>
  <c r="G100" i="122" s="1"/>
  <c r="J49" i="102"/>
  <c r="H177" i="73"/>
  <c r="H176" i="122" s="1"/>
  <c r="C45" i="65"/>
  <c r="I8" i="48" s="1"/>
  <c r="I15" i="48" s="1"/>
  <c r="I98" i="73"/>
  <c r="H98" i="73" s="1"/>
  <c r="H98" i="122" s="1"/>
  <c r="E147" i="93"/>
  <c r="J151" i="93"/>
  <c r="E119" i="37"/>
  <c r="E120" i="37" s="1"/>
  <c r="D33" i="158"/>
  <c r="D76" i="102"/>
  <c r="E202" i="122"/>
  <c r="H174" i="18"/>
  <c r="E36" i="139"/>
  <c r="I65" i="103"/>
  <c r="G157" i="37"/>
  <c r="G158" i="37" s="1"/>
  <c r="H60" i="66"/>
  <c r="F98" i="69"/>
  <c r="H165" i="93"/>
  <c r="F1248" i="138" s="1"/>
  <c r="K1248" i="138" s="1"/>
  <c r="L72" i="133"/>
  <c r="N72" i="133" s="1"/>
  <c r="M72" i="133" s="1"/>
  <c r="F101" i="133"/>
  <c r="T56" i="67"/>
  <c r="Y55" i="67"/>
  <c r="D28" i="103"/>
  <c r="N66" i="108"/>
  <c r="F17" i="104"/>
  <c r="H17" i="104" s="1"/>
  <c r="F9" i="104"/>
  <c r="H9" i="104" s="1"/>
  <c r="E157" i="37"/>
  <c r="E158" i="37" s="1"/>
  <c r="G144" i="133"/>
  <c r="X38" i="67"/>
  <c r="K7" i="67" s="1"/>
  <c r="X42" i="67" s="1"/>
  <c r="E33" i="157"/>
  <c r="D43" i="103"/>
  <c r="E43" i="103" s="1"/>
  <c r="G28" i="43"/>
  <c r="H28" i="43" s="1"/>
  <c r="F12" i="71"/>
  <c r="C32" i="68"/>
  <c r="D236" i="76"/>
  <c r="D237" i="76" s="1"/>
  <c r="I29" i="69" s="1"/>
  <c r="G142" i="93"/>
  <c r="E1225" i="138" s="1"/>
  <c r="E1229" i="138"/>
  <c r="G48" i="103"/>
  <c r="H48" i="103" s="1"/>
  <c r="I48" i="103" s="1"/>
  <c r="H69" i="108"/>
  <c r="J33" i="158"/>
  <c r="D40" i="71"/>
  <c r="D80" i="71"/>
  <c r="J1232" i="138"/>
  <c r="J1270" i="138"/>
  <c r="L28" i="133"/>
  <c r="N28" i="133" s="1"/>
  <c r="M28" i="133" s="1"/>
  <c r="G53" i="133"/>
  <c r="AA32" i="67"/>
  <c r="AA55" i="67" s="1"/>
  <c r="I28" i="103"/>
  <c r="H11" i="103"/>
  <c r="I11" i="103" s="1"/>
  <c r="N120" i="133"/>
  <c r="M120" i="133" s="1"/>
  <c r="D52" i="70"/>
  <c r="F33" i="157"/>
  <c r="G33" i="158"/>
  <c r="J59" i="108"/>
  <c r="J61" i="108" s="1"/>
  <c r="J75" i="108" s="1"/>
  <c r="E176" i="37"/>
  <c r="E177" i="37" s="1"/>
  <c r="I189" i="133"/>
  <c r="H189" i="133" s="1"/>
  <c r="H261" i="76"/>
  <c r="J29" i="69" s="1"/>
  <c r="D262" i="76"/>
  <c r="C74" i="64"/>
  <c r="N417" i="138"/>
  <c r="F20" i="139" s="1"/>
  <c r="Q417" i="138"/>
  <c r="G119" i="37"/>
  <c r="G120" i="37" s="1"/>
  <c r="C14" i="65"/>
  <c r="D100" i="53" s="1"/>
  <c r="D101" i="53" s="1"/>
  <c r="H73" i="73"/>
  <c r="H73" i="122" s="1"/>
  <c r="C12" i="64"/>
  <c r="E24" i="18" s="1"/>
  <c r="E25" i="18" s="1"/>
  <c r="H31" i="73"/>
  <c r="H31" i="122" s="1"/>
  <c r="J53" i="100"/>
  <c r="K53" i="100" s="1"/>
  <c r="C22" i="65"/>
  <c r="H41" i="73"/>
  <c r="H41" i="122" s="1"/>
  <c r="C31" i="64"/>
  <c r="D33" i="12" s="1"/>
  <c r="D34" i="12" s="1"/>
  <c r="E27" i="69" s="1"/>
  <c r="C36" i="64"/>
  <c r="H121" i="73"/>
  <c r="H121" i="122" s="1"/>
  <c r="F40" i="73"/>
  <c r="F40" i="122" s="1"/>
  <c r="I138" i="73"/>
  <c r="J11" i="102" s="1"/>
  <c r="H10" i="104"/>
  <c r="C120" i="64"/>
  <c r="E16" i="55" s="1"/>
  <c r="C63" i="65"/>
  <c r="E36" i="44" s="1"/>
  <c r="E37" i="44" s="1"/>
  <c r="H146" i="73"/>
  <c r="H146" i="122" s="1"/>
  <c r="H48" i="73"/>
  <c r="H48" i="122" s="1"/>
  <c r="I167" i="73"/>
  <c r="I167" i="122" s="1"/>
  <c r="H96" i="73"/>
  <c r="H96" i="122" s="1"/>
  <c r="I121" i="122"/>
  <c r="I51" i="73"/>
  <c r="I51" i="122" s="1"/>
  <c r="F411" i="138"/>
  <c r="O411" i="138" s="1"/>
  <c r="G24" i="17"/>
  <c r="F24" i="17"/>
  <c r="M188" i="73"/>
  <c r="M187" i="122" s="1"/>
  <c r="I186" i="122"/>
  <c r="I146" i="122"/>
  <c r="H71" i="73"/>
  <c r="H71" i="122" s="1"/>
  <c r="H17" i="73"/>
  <c r="H17" i="122" s="1"/>
  <c r="H97" i="73"/>
  <c r="H97" i="122" s="1"/>
  <c r="C17" i="65"/>
  <c r="J68" i="102"/>
  <c r="H187" i="73"/>
  <c r="H186" i="122" s="1"/>
  <c r="N19" i="122"/>
  <c r="B8" i="75"/>
  <c r="B19" i="75" s="1"/>
  <c r="M7" i="73"/>
  <c r="M7" i="122" s="1"/>
  <c r="K103" i="122"/>
  <c r="L100" i="73"/>
  <c r="L100" i="122" s="1"/>
  <c r="D122" i="64"/>
  <c r="D18" i="55" s="1"/>
  <c r="N123" i="122"/>
  <c r="N158" i="122"/>
  <c r="B73" i="101"/>
  <c r="G73" i="101" s="1"/>
  <c r="G61" i="102"/>
  <c r="B31" i="102"/>
  <c r="F31" i="102" s="1"/>
  <c r="H31" i="102" s="1"/>
  <c r="M158" i="73"/>
  <c r="M158" i="122" s="1"/>
  <c r="D86" i="64"/>
  <c r="E82" i="138" s="1"/>
  <c r="H82" i="138" s="1"/>
  <c r="D93" i="64"/>
  <c r="I93" i="64" s="1"/>
  <c r="B37" i="101"/>
  <c r="G37" i="101" s="1"/>
  <c r="M87" i="73"/>
  <c r="M87" i="122" s="1"/>
  <c r="H113" i="73"/>
  <c r="H113" i="122" s="1"/>
  <c r="I191" i="73"/>
  <c r="I190" i="122" s="1"/>
  <c r="C60" i="64"/>
  <c r="D27" i="5" s="1"/>
  <c r="D28" i="5" s="1"/>
  <c r="G28" i="73"/>
  <c r="G28" i="122" s="1"/>
  <c r="C66" i="64"/>
  <c r="D8" i="31" s="1"/>
  <c r="D9" i="31" s="1"/>
  <c r="M34" i="73"/>
  <c r="M34" i="122" s="1"/>
  <c r="H168" i="73"/>
  <c r="H168" i="122" s="1"/>
  <c r="J35" i="100"/>
  <c r="H49" i="73"/>
  <c r="H49" i="122" s="1"/>
  <c r="M23" i="73"/>
  <c r="M23" i="122" s="1"/>
  <c r="I73" i="122"/>
  <c r="J41" i="100"/>
  <c r="H64" i="73"/>
  <c r="H64" i="122" s="1"/>
  <c r="H46" i="73"/>
  <c r="H46" i="122" s="1"/>
  <c r="C72" i="64"/>
  <c r="D40" i="28" s="1"/>
  <c r="D43" i="28" s="1"/>
  <c r="C7" i="64"/>
  <c r="I7" i="64" s="1"/>
  <c r="H124" i="73"/>
  <c r="H124" i="122" s="1"/>
  <c r="C31" i="65"/>
  <c r="D6" i="117" s="1"/>
  <c r="D7" i="117" s="1"/>
  <c r="E89" i="69" s="1"/>
  <c r="D89" i="69" s="1"/>
  <c r="H79" i="73"/>
  <c r="H79" i="122" s="1"/>
  <c r="L40" i="73"/>
  <c r="L40" i="122" s="1"/>
  <c r="C30" i="64"/>
  <c r="D30" i="13" s="1"/>
  <c r="H39" i="73"/>
  <c r="H39" i="122" s="1"/>
  <c r="C48" i="64"/>
  <c r="E17" i="21" s="1"/>
  <c r="E18" i="21" s="1"/>
  <c r="G44" i="101"/>
  <c r="F44" i="101"/>
  <c r="M44" i="101"/>
  <c r="D121" i="64"/>
  <c r="E112" i="138" s="1"/>
  <c r="H112" i="138" s="1"/>
  <c r="M94" i="73"/>
  <c r="M94" i="122" s="1"/>
  <c r="M198" i="73"/>
  <c r="M197" i="122" s="1"/>
  <c r="N94" i="122"/>
  <c r="D47" i="64"/>
  <c r="D31" i="81" s="1"/>
  <c r="D32" i="81" s="1"/>
  <c r="M177" i="73"/>
  <c r="M176" i="122" s="1"/>
  <c r="N187" i="122"/>
  <c r="M122" i="73"/>
  <c r="M122" i="122" s="1"/>
  <c r="F61" i="102"/>
  <c r="H61" i="102" s="1"/>
  <c r="D36" i="65"/>
  <c r="E156" i="138" s="1"/>
  <c r="H156" i="138" s="1"/>
  <c r="D6" i="64"/>
  <c r="E6" i="138" s="1"/>
  <c r="H6" i="138" s="1"/>
  <c r="M170" i="73"/>
  <c r="M47" i="73"/>
  <c r="M47" i="122" s="1"/>
  <c r="M15" i="73"/>
  <c r="M15" i="122" s="1"/>
  <c r="N7" i="122"/>
  <c r="B52" i="100"/>
  <c r="C52" i="100" s="1"/>
  <c r="D92" i="64"/>
  <c r="E10" i="153" s="1"/>
  <c r="E11" i="153" s="1"/>
  <c r="F61" i="69" s="1"/>
  <c r="N174" i="122"/>
  <c r="B41" i="102"/>
  <c r="G41" i="102" s="1"/>
  <c r="D45" i="65"/>
  <c r="B49" i="102"/>
  <c r="M35" i="73"/>
  <c r="M35" i="122" s="1"/>
  <c r="D48" i="64"/>
  <c r="E47" i="138" s="1"/>
  <c r="H47" i="138" s="1"/>
  <c r="M21" i="73"/>
  <c r="M21" i="122" s="1"/>
  <c r="M196" i="73"/>
  <c r="M195" i="122" s="1"/>
  <c r="K137" i="73"/>
  <c r="K137" i="122" s="1"/>
  <c r="M168" i="73"/>
  <c r="M168" i="122" s="1"/>
  <c r="C23" i="64"/>
  <c r="D73" i="15" s="1"/>
  <c r="D76" i="15" s="1"/>
  <c r="H27" i="73"/>
  <c r="H27" i="122" s="1"/>
  <c r="M125" i="73"/>
  <c r="M125" i="122" s="1"/>
  <c r="D18" i="64"/>
  <c r="D27" i="95" s="1"/>
  <c r="D28" i="95" s="1"/>
  <c r="I12" i="122"/>
  <c r="J16" i="100"/>
  <c r="K16" i="100" s="1"/>
  <c r="I118" i="73"/>
  <c r="C117" i="64" s="1"/>
  <c r="H16" i="73"/>
  <c r="H16" i="122" s="1"/>
  <c r="H21" i="73"/>
  <c r="H21" i="122" s="1"/>
  <c r="H9" i="73"/>
  <c r="H9" i="122" s="1"/>
  <c r="I74" i="73"/>
  <c r="H74" i="73" s="1"/>
  <c r="H74" i="122" s="1"/>
  <c r="D8" i="64"/>
  <c r="E8" i="138" s="1"/>
  <c r="H8" i="138" s="1"/>
  <c r="F28" i="73"/>
  <c r="F28" i="122" s="1"/>
  <c r="H37" i="73"/>
  <c r="H37" i="122" s="1"/>
  <c r="B47" i="102"/>
  <c r="G47" i="102" s="1"/>
  <c r="J41" i="102"/>
  <c r="I154" i="122"/>
  <c r="B23" i="100"/>
  <c r="F23" i="100" s="1"/>
  <c r="H23" i="100" s="1"/>
  <c r="K111" i="73"/>
  <c r="K111" i="122" s="1"/>
  <c r="C49" i="64"/>
  <c r="E115" i="20" s="1"/>
  <c r="E116" i="20" s="1"/>
  <c r="C44" i="64"/>
  <c r="K100" i="73"/>
  <c r="K100" i="122" s="1"/>
  <c r="H140" i="73"/>
  <c r="H140" i="122" s="1"/>
  <c r="D43" i="65"/>
  <c r="E161" i="138" s="1"/>
  <c r="H161" i="138" s="1"/>
  <c r="C36" i="65"/>
  <c r="N160" i="73"/>
  <c r="B33" i="102" s="1"/>
  <c r="F72" i="73"/>
  <c r="F88" i="73" s="1"/>
  <c r="H90" i="73"/>
  <c r="H90" i="122" s="1"/>
  <c r="D120" i="64"/>
  <c r="D16" i="55" s="1"/>
  <c r="C78" i="64"/>
  <c r="E21" i="82" s="1"/>
  <c r="C11" i="64"/>
  <c r="E23" i="9" s="1"/>
  <c r="E24" i="9" s="1"/>
  <c r="J27" i="102"/>
  <c r="I178" i="73"/>
  <c r="C46" i="65" s="1"/>
  <c r="N173" i="73"/>
  <c r="B45" i="102" s="1"/>
  <c r="M70" i="73"/>
  <c r="M70" i="122" s="1"/>
  <c r="I22" i="73"/>
  <c r="I22" i="122" s="1"/>
  <c r="I103" i="73"/>
  <c r="H103" i="73" s="1"/>
  <c r="H103" i="122" s="1"/>
  <c r="D19" i="64"/>
  <c r="E24" i="17" s="1"/>
  <c r="E25" i="17" s="1"/>
  <c r="C24" i="64"/>
  <c r="D21" i="142" s="1"/>
  <c r="D22" i="142" s="1"/>
  <c r="E23" i="69" s="1"/>
  <c r="D30" i="64"/>
  <c r="C32" i="64"/>
  <c r="E12" i="11" s="1"/>
  <c r="E13" i="11" s="1"/>
  <c r="F28" i="69" s="1"/>
  <c r="H91" i="73"/>
  <c r="H91" i="122" s="1"/>
  <c r="K40" i="73"/>
  <c r="K53" i="73" s="1"/>
  <c r="M43" i="73"/>
  <c r="M43" i="122" s="1"/>
  <c r="C43" i="64"/>
  <c r="N76" i="73"/>
  <c r="B26" i="101" s="1"/>
  <c r="D22" i="64"/>
  <c r="E22" i="138" s="1"/>
  <c r="H22" i="138" s="1"/>
  <c r="C51" i="65"/>
  <c r="D9" i="46" s="1"/>
  <c r="H176" i="73"/>
  <c r="H175" i="122" s="1"/>
  <c r="J50" i="100"/>
  <c r="K50" i="100" s="1"/>
  <c r="G103" i="122"/>
  <c r="J43" i="100"/>
  <c r="K43" i="100" s="1"/>
  <c r="B71" i="101"/>
  <c r="B27" i="100"/>
  <c r="J21" i="101"/>
  <c r="I71" i="122"/>
  <c r="H193" i="73"/>
  <c r="H192" i="122" s="1"/>
  <c r="I192" i="122"/>
  <c r="C61" i="65"/>
  <c r="E32" i="44" s="1"/>
  <c r="E33" i="44" s="1"/>
  <c r="J66" i="102"/>
  <c r="J25" i="101"/>
  <c r="I75" i="122"/>
  <c r="J47" i="102"/>
  <c r="I174" i="122"/>
  <c r="C112" i="64"/>
  <c r="B28" i="102"/>
  <c r="F28" i="102" s="1"/>
  <c r="J47" i="101"/>
  <c r="I97" i="122"/>
  <c r="J56" i="100"/>
  <c r="K56" i="100" s="1"/>
  <c r="I52" i="122"/>
  <c r="L111" i="73"/>
  <c r="L111" i="122" s="1"/>
  <c r="L103" i="122"/>
  <c r="C27" i="65"/>
  <c r="I160" i="73"/>
  <c r="H160" i="73" s="1"/>
  <c r="H160" i="122" s="1"/>
  <c r="I76" i="73"/>
  <c r="I76" i="122" s="1"/>
  <c r="C17" i="64"/>
  <c r="D23" i="94" s="1"/>
  <c r="D24" i="94" s="1"/>
  <c r="C51" i="64"/>
  <c r="I51" i="64" s="1"/>
  <c r="H35" i="73"/>
  <c r="H35" i="122" s="1"/>
  <c r="C89" i="64"/>
  <c r="D70" i="61" s="1"/>
  <c r="D71" i="61" s="1"/>
  <c r="E57" i="69" s="1"/>
  <c r="M48" i="73"/>
  <c r="M48" i="122" s="1"/>
  <c r="H175" i="73"/>
  <c r="H174" i="122" s="1"/>
  <c r="G144" i="73"/>
  <c r="G144" i="122" s="1"/>
  <c r="L144" i="73"/>
  <c r="L144" i="122" s="1"/>
  <c r="M121" i="73"/>
  <c r="M121" i="122" s="1"/>
  <c r="I113" i="122"/>
  <c r="N98" i="73"/>
  <c r="B48" i="101" s="1"/>
  <c r="I90" i="122"/>
  <c r="C45" i="64"/>
  <c r="D45" i="158" s="1"/>
  <c r="G88" i="73"/>
  <c r="N118" i="73"/>
  <c r="D117" i="64" s="1"/>
  <c r="E61" i="44" s="1"/>
  <c r="E62" i="44" s="1"/>
  <c r="C38" i="64"/>
  <c r="C28" i="68" s="1"/>
  <c r="B75" i="101"/>
  <c r="N125" i="122"/>
  <c r="J46" i="101"/>
  <c r="I96" i="122"/>
  <c r="C14" i="64"/>
  <c r="I14" i="64" s="1"/>
  <c r="J19" i="100"/>
  <c r="K19" i="100" s="1"/>
  <c r="H15" i="73"/>
  <c r="H15" i="122" s="1"/>
  <c r="I15" i="122"/>
  <c r="E58" i="103"/>
  <c r="H58" i="103"/>
  <c r="I58" i="103" s="1"/>
  <c r="I43" i="103"/>
  <c r="B34" i="103"/>
  <c r="B100" i="103" s="1"/>
  <c r="E11" i="103"/>
  <c r="C153" i="70"/>
  <c r="D107" i="64"/>
  <c r="E103" i="138" s="1"/>
  <c r="H103" i="138" s="1"/>
  <c r="N108" i="122"/>
  <c r="M108" i="73"/>
  <c r="M108" i="122" s="1"/>
  <c r="B58" i="101"/>
  <c r="D15" i="64"/>
  <c r="E15" i="138" s="1"/>
  <c r="H15" i="138" s="1"/>
  <c r="D44" i="64"/>
  <c r="E43" i="138" s="1"/>
  <c r="H43" i="138" s="1"/>
  <c r="F11" i="100"/>
  <c r="G11" i="100" s="1"/>
  <c r="B65" i="102"/>
  <c r="N191" i="122"/>
  <c r="M192" i="73"/>
  <c r="M191" i="122" s="1"/>
  <c r="N112" i="73"/>
  <c r="D111" i="64" s="1"/>
  <c r="P45" i="67" s="1"/>
  <c r="M41" i="73"/>
  <c r="M41" i="122" s="1"/>
  <c r="M8" i="73"/>
  <c r="M8" i="122" s="1"/>
  <c r="D36" i="64"/>
  <c r="E35" i="138" s="1"/>
  <c r="H35" i="138" s="1"/>
  <c r="B20" i="102"/>
  <c r="G20" i="102" s="1"/>
  <c r="B72" i="101"/>
  <c r="G72" i="101" s="1"/>
  <c r="M147" i="73"/>
  <c r="M147" i="122" s="1"/>
  <c r="N112" i="133"/>
  <c r="M112" i="133" s="1"/>
  <c r="M65" i="73"/>
  <c r="M65" i="122" s="1"/>
  <c r="M30" i="73"/>
  <c r="M30" i="122" s="1"/>
  <c r="D123" i="64"/>
  <c r="D19" i="55" s="1"/>
  <c r="M82" i="73"/>
  <c r="M82" i="122" s="1"/>
  <c r="D73" i="64"/>
  <c r="E70" i="138" s="1"/>
  <c r="H70" i="138" s="1"/>
  <c r="D49" i="64"/>
  <c r="D115" i="20" s="1"/>
  <c r="D116" i="20" s="1"/>
  <c r="D91" i="64"/>
  <c r="E17" i="60" s="1"/>
  <c r="E18" i="60" s="1"/>
  <c r="F60" i="69" s="1"/>
  <c r="N15" i="122"/>
  <c r="D29" i="65"/>
  <c r="E149" i="138" s="1"/>
  <c r="H149" i="138" s="1"/>
  <c r="N34" i="122"/>
  <c r="B38" i="100"/>
  <c r="M97" i="73"/>
  <c r="M97" i="122" s="1"/>
  <c r="D43" i="64"/>
  <c r="E42" i="138" s="1"/>
  <c r="H42" i="138" s="1"/>
  <c r="D45" i="64"/>
  <c r="D51" i="22" s="1"/>
  <c r="D52" i="22" s="1"/>
  <c r="D23" i="65"/>
  <c r="E17" i="96" s="1"/>
  <c r="E18" i="96" s="1"/>
  <c r="D98" i="64"/>
  <c r="E94" i="138" s="1"/>
  <c r="H94" i="138" s="1"/>
  <c r="M81" i="73"/>
  <c r="M81" i="122" s="1"/>
  <c r="D15" i="65"/>
  <c r="H63" i="137" s="1"/>
  <c r="A2" i="101"/>
  <c r="A2" i="102" s="1"/>
  <c r="A2" i="103" s="1"/>
  <c r="A2" i="104"/>
  <c r="K1267" i="138"/>
  <c r="K1229" i="138"/>
  <c r="C38" i="65"/>
  <c r="D21" i="159" s="1"/>
  <c r="D22" i="159" s="1"/>
  <c r="E81" i="69" s="1"/>
  <c r="D81" i="69" s="1"/>
  <c r="H170" i="73"/>
  <c r="D33" i="65"/>
  <c r="E153" i="138" s="1"/>
  <c r="H153" i="138" s="1"/>
  <c r="M165" i="73"/>
  <c r="M165" i="122" s="1"/>
  <c r="B38" i="102"/>
  <c r="N165" i="122"/>
  <c r="C109" i="64"/>
  <c r="H110" i="73"/>
  <c r="H110" i="122" s="1"/>
  <c r="I110" i="122"/>
  <c r="J60" i="101"/>
  <c r="D27" i="65"/>
  <c r="N159" i="122"/>
  <c r="B32" i="102"/>
  <c r="F32" i="102" s="1"/>
  <c r="H32" i="102" s="1"/>
  <c r="I180" i="122"/>
  <c r="J53" i="102"/>
  <c r="D104" i="64"/>
  <c r="M105" i="73"/>
  <c r="M105" i="122" s="1"/>
  <c r="N105" i="122"/>
  <c r="B55" i="101"/>
  <c r="N151" i="122"/>
  <c r="B24" i="102"/>
  <c r="N63" i="122"/>
  <c r="B13" i="101"/>
  <c r="B36" i="102"/>
  <c r="N163" i="122"/>
  <c r="B66" i="102"/>
  <c r="N192" i="122"/>
  <c r="I36" i="122"/>
  <c r="J40" i="100"/>
  <c r="N71" i="122"/>
  <c r="B21" i="101"/>
  <c r="I20" i="122"/>
  <c r="J24" i="100"/>
  <c r="AA19" i="67"/>
  <c r="AD19" i="67"/>
  <c r="D16" i="64"/>
  <c r="E16" i="138" s="1"/>
  <c r="H16" i="138" s="1"/>
  <c r="N17" i="122"/>
  <c r="B21" i="100"/>
  <c r="N178" i="122"/>
  <c r="B51" i="102"/>
  <c r="F51" i="102" s="1"/>
  <c r="H51" i="102" s="1"/>
  <c r="D68" i="64"/>
  <c r="B19" i="101"/>
  <c r="N69" i="122"/>
  <c r="B30" i="101"/>
  <c r="N80" i="122"/>
  <c r="H192" i="73"/>
  <c r="H191" i="122" s="1"/>
  <c r="C60" i="65"/>
  <c r="E30" i="44" s="1"/>
  <c r="E31" i="44" s="1"/>
  <c r="I191" i="122"/>
  <c r="J65" i="102"/>
  <c r="M73" i="73"/>
  <c r="M73" i="122" s="1"/>
  <c r="B23" i="101"/>
  <c r="D72" i="64"/>
  <c r="N73" i="122"/>
  <c r="A3" i="71"/>
  <c r="A57" i="70"/>
  <c r="I13" i="66"/>
  <c r="K13" i="66" s="1"/>
  <c r="H13" i="66"/>
  <c r="C9" i="65"/>
  <c r="J14" i="102"/>
  <c r="H141" i="73"/>
  <c r="H141" i="122" s="1"/>
  <c r="I141" i="122"/>
  <c r="D16" i="65"/>
  <c r="E137" i="138" s="1"/>
  <c r="H137" i="138" s="1"/>
  <c r="N148" i="122"/>
  <c r="B21" i="102"/>
  <c r="M148" i="73"/>
  <c r="M148" i="122" s="1"/>
  <c r="B42" i="102"/>
  <c r="N169" i="122"/>
  <c r="C80" i="64"/>
  <c r="I80" i="64" s="1"/>
  <c r="H81" i="73"/>
  <c r="H81" i="122" s="1"/>
  <c r="J31" i="101"/>
  <c r="I81" i="122"/>
  <c r="E56" i="103"/>
  <c r="E105" i="103" s="1"/>
  <c r="I56" i="103"/>
  <c r="I105" i="103" s="1"/>
  <c r="D56" i="103"/>
  <c r="E14" i="57"/>
  <c r="H144" i="93"/>
  <c r="F1226" i="138" s="1"/>
  <c r="C19" i="66"/>
  <c r="H19" i="66" s="1"/>
  <c r="I157" i="73"/>
  <c r="H157" i="73" s="1"/>
  <c r="H157" i="122" s="1"/>
  <c r="M169" i="73"/>
  <c r="M169" i="122" s="1"/>
  <c r="P49" i="67"/>
  <c r="M193" i="73"/>
  <c r="M192" i="122" s="1"/>
  <c r="C61" i="64"/>
  <c r="C19" i="64"/>
  <c r="D24" i="17" s="1"/>
  <c r="D25" i="17" s="1"/>
  <c r="M71" i="73"/>
  <c r="M71" i="122" s="1"/>
  <c r="O44" i="108"/>
  <c r="G59" i="108"/>
  <c r="G61" i="108" s="1"/>
  <c r="G75" i="108" s="1"/>
  <c r="D61" i="100"/>
  <c r="B19" i="100"/>
  <c r="M19" i="100" s="1"/>
  <c r="N172" i="133"/>
  <c r="M172" i="133" s="1"/>
  <c r="K144" i="133"/>
  <c r="K171" i="133" s="1"/>
  <c r="K181" i="133" s="1"/>
  <c r="K183" i="133" s="1"/>
  <c r="Y52" i="67"/>
  <c r="F144" i="73"/>
  <c r="F144" i="122" s="1"/>
  <c r="M80" i="73"/>
  <c r="M80" i="122" s="1"/>
  <c r="L28" i="73"/>
  <c r="L28" i="122" s="1"/>
  <c r="I140" i="122"/>
  <c r="D19" i="65"/>
  <c r="E140" i="138" s="1"/>
  <c r="H140" i="138" s="1"/>
  <c r="F25" i="18"/>
  <c r="O57" i="108"/>
  <c r="G56" i="103"/>
  <c r="G107" i="103" s="1"/>
  <c r="G20" i="139"/>
  <c r="D11" i="64"/>
  <c r="N12" i="122"/>
  <c r="M12" i="73"/>
  <c r="M12" i="122" s="1"/>
  <c r="B16" i="100"/>
  <c r="H197" i="73"/>
  <c r="H196" i="122" s="1"/>
  <c r="I196" i="122"/>
  <c r="J70" i="102"/>
  <c r="B40" i="101"/>
  <c r="L40" i="101" s="1"/>
  <c r="N40" i="101" s="1"/>
  <c r="N90" i="122"/>
  <c r="N31" i="122"/>
  <c r="B35" i="100"/>
  <c r="C21" i="65"/>
  <c r="I153" i="122"/>
  <c r="H153" i="73"/>
  <c r="H153" i="122" s="1"/>
  <c r="J26" i="102"/>
  <c r="D35" i="65"/>
  <c r="M167" i="73"/>
  <c r="M167" i="122" s="1"/>
  <c r="B40" i="102"/>
  <c r="N167" i="122"/>
  <c r="N75" i="122"/>
  <c r="B25" i="101"/>
  <c r="C48" i="65"/>
  <c r="I179" i="122"/>
  <c r="J52" i="102"/>
  <c r="D103" i="64"/>
  <c r="E99" i="138" s="1"/>
  <c r="H99" i="138" s="1"/>
  <c r="M104" i="73"/>
  <c r="M104" i="122" s="1"/>
  <c r="N104" i="122"/>
  <c r="B54" i="101"/>
  <c r="I94" i="122"/>
  <c r="J44" i="101"/>
  <c r="L44" i="101" s="1"/>
  <c r="N44" i="101" s="1"/>
  <c r="N35" i="122"/>
  <c r="B39" i="100"/>
  <c r="I32" i="122"/>
  <c r="J36" i="100"/>
  <c r="K36" i="100" s="1"/>
  <c r="N79" i="122"/>
  <c r="B29" i="101"/>
  <c r="N145" i="73"/>
  <c r="E190" i="138"/>
  <c r="H190" i="138" s="1"/>
  <c r="I12" i="66"/>
  <c r="K12" i="66" s="1"/>
  <c r="H12" i="66"/>
  <c r="M77" i="73"/>
  <c r="M77" i="122" s="1"/>
  <c r="B27" i="101"/>
  <c r="N77" i="122"/>
  <c r="N74" i="122"/>
  <c r="B24" i="101"/>
  <c r="H28" i="103"/>
  <c r="F111" i="73"/>
  <c r="F111" i="122" s="1"/>
  <c r="F103" i="122"/>
  <c r="C64" i="65"/>
  <c r="J69" i="102"/>
  <c r="I195" i="122"/>
  <c r="G175" i="137"/>
  <c r="G176" i="137" s="1"/>
  <c r="G425" i="137" s="1"/>
  <c r="I28" i="66"/>
  <c r="K28" i="66" s="1"/>
  <c r="D85" i="123"/>
  <c r="H28" i="66"/>
  <c r="L137" i="73"/>
  <c r="L137" i="122" s="1"/>
  <c r="L138" i="122"/>
  <c r="C16" i="65"/>
  <c r="H148" i="73"/>
  <c r="H148" i="122" s="1"/>
  <c r="J21" i="102"/>
  <c r="I148" i="122"/>
  <c r="C24" i="65"/>
  <c r="H156" i="73"/>
  <c r="H156" i="122" s="1"/>
  <c r="I156" i="122"/>
  <c r="J29" i="102"/>
  <c r="E111" i="73"/>
  <c r="C127" i="70"/>
  <c r="D18" i="102"/>
  <c r="E145" i="122"/>
  <c r="G72" i="133"/>
  <c r="I18" i="66"/>
  <c r="K18" i="66" s="1"/>
  <c r="G56" i="137"/>
  <c r="H18" i="66"/>
  <c r="I49" i="66"/>
  <c r="K49" i="66" s="1"/>
  <c r="H49" i="66"/>
  <c r="C19" i="65"/>
  <c r="J24" i="102"/>
  <c r="H151" i="73"/>
  <c r="H151" i="122" s="1"/>
  <c r="I151" i="122"/>
  <c r="J31" i="100"/>
  <c r="I27" i="122"/>
  <c r="I103" i="133"/>
  <c r="H103" i="133" s="1"/>
  <c r="N38" i="133"/>
  <c r="M38" i="133" s="1"/>
  <c r="O38" i="67"/>
  <c r="B7" i="67" s="1"/>
  <c r="D49" i="65"/>
  <c r="J7" i="47" s="1"/>
  <c r="J13" i="47" s="1"/>
  <c r="H34" i="73"/>
  <c r="H34" i="122" s="1"/>
  <c r="C42" i="64"/>
  <c r="E16" i="78" s="1"/>
  <c r="E17" i="78" s="1"/>
  <c r="E33" i="158"/>
  <c r="P44" i="108"/>
  <c r="F12" i="104"/>
  <c r="F13" i="104" s="1"/>
  <c r="F16" i="104" s="1"/>
  <c r="G81" i="37"/>
  <c r="G82" i="37" s="1"/>
  <c r="D79" i="64"/>
  <c r="E76" i="138" s="1"/>
  <c r="H76" i="138" s="1"/>
  <c r="H33" i="157"/>
  <c r="M17" i="73"/>
  <c r="M17" i="122" s="1"/>
  <c r="I149" i="122"/>
  <c r="E78" i="139"/>
  <c r="B105" i="103"/>
  <c r="H71" i="108"/>
  <c r="C67" i="65"/>
  <c r="E44" i="44" s="1"/>
  <c r="E45" i="44" s="1"/>
  <c r="I198" i="122"/>
  <c r="J72" i="102"/>
  <c r="D48" i="65"/>
  <c r="B52" i="102"/>
  <c r="N179" i="122"/>
  <c r="K22" i="122"/>
  <c r="N22" i="73"/>
  <c r="C107" i="64"/>
  <c r="H108" i="73"/>
  <c r="H108" i="122" s="1"/>
  <c r="I108" i="122"/>
  <c r="J58" i="101"/>
  <c r="N36" i="122"/>
  <c r="B40" i="100"/>
  <c r="D109" i="64"/>
  <c r="E105" i="138" s="1"/>
  <c r="H105" i="138" s="1"/>
  <c r="M110" i="73"/>
  <c r="M110" i="122" s="1"/>
  <c r="B60" i="101"/>
  <c r="N110" i="122"/>
  <c r="H122" i="73"/>
  <c r="H122" i="122" s="1"/>
  <c r="C121" i="64"/>
  <c r="E17" i="55" s="1"/>
  <c r="I122" i="122"/>
  <c r="J72" i="101"/>
  <c r="B17" i="100"/>
  <c r="N13" i="122"/>
  <c r="N52" i="122"/>
  <c r="B56" i="100"/>
  <c r="D64" i="65"/>
  <c r="F38" i="44" s="1"/>
  <c r="F39" i="44" s="1"/>
  <c r="B69" i="102"/>
  <c r="J27" i="101"/>
  <c r="I77" i="122"/>
  <c r="C41" i="64"/>
  <c r="E16" i="77" s="1"/>
  <c r="E17" i="77" s="1"/>
  <c r="I42" i="122"/>
  <c r="H42" i="73"/>
  <c r="H42" i="122" s="1"/>
  <c r="J46" i="100"/>
  <c r="K46" i="100" s="1"/>
  <c r="I126" i="122"/>
  <c r="J76" i="101"/>
  <c r="N197" i="122"/>
  <c r="B71" i="102"/>
  <c r="I70" i="122"/>
  <c r="J20" i="101"/>
  <c r="I175" i="17"/>
  <c r="G442" i="138"/>
  <c r="N442" i="138" s="1"/>
  <c r="N443" i="138" s="1"/>
  <c r="H20" i="139" s="1"/>
  <c r="G34" i="103"/>
  <c r="G100" i="103" s="1"/>
  <c r="H66" i="108"/>
  <c r="O29" i="108"/>
  <c r="G137" i="73"/>
  <c r="G138" i="122"/>
  <c r="D18" i="65"/>
  <c r="E139" i="138" s="1"/>
  <c r="H139" i="138" s="1"/>
  <c r="M150" i="73"/>
  <c r="M150" i="122" s="1"/>
  <c r="B23" i="102"/>
  <c r="F23" i="102" s="1"/>
  <c r="H23" i="102" s="1"/>
  <c r="N150" i="122"/>
  <c r="B25" i="100"/>
  <c r="N21" i="122"/>
  <c r="E103" i="122"/>
  <c r="D53" i="101"/>
  <c r="G24" i="103"/>
  <c r="H65" i="108"/>
  <c r="H30" i="108"/>
  <c r="H41" i="66"/>
  <c r="G262" i="137"/>
  <c r="G263" i="137" s="1"/>
  <c r="G435" i="137" s="1"/>
  <c r="I41" i="66"/>
  <c r="K41" i="66" s="1"/>
  <c r="I182" i="122"/>
  <c r="J55" i="102"/>
  <c r="N78" i="122"/>
  <c r="B28" i="101"/>
  <c r="G98" i="69"/>
  <c r="E24" i="37"/>
  <c r="E25" i="37" s="1"/>
  <c r="H142" i="93"/>
  <c r="F1225" i="138" s="1"/>
  <c r="K1263" i="138" s="1"/>
  <c r="C43" i="66"/>
  <c r="E43" i="66" s="1"/>
  <c r="Y51" i="67"/>
  <c r="D65" i="66"/>
  <c r="N19" i="67"/>
  <c r="AC19" i="67" s="1"/>
  <c r="C49" i="65"/>
  <c r="N178" i="73"/>
  <c r="D46" i="65" s="1"/>
  <c r="N72" i="73"/>
  <c r="B22" i="101" s="1"/>
  <c r="M90" i="73"/>
  <c r="M90" i="122" s="1"/>
  <c r="M63" i="73"/>
  <c r="M63" i="122" s="1"/>
  <c r="H36" i="73"/>
  <c r="H36" i="122" s="1"/>
  <c r="D35" i="64"/>
  <c r="I35" i="64" s="1"/>
  <c r="M179" i="73"/>
  <c r="M178" i="122" s="1"/>
  <c r="M52" i="73"/>
  <c r="M52" i="122" s="1"/>
  <c r="C69" i="64"/>
  <c r="I69" i="64" s="1"/>
  <c r="N160" i="133"/>
  <c r="M160" i="133" s="1"/>
  <c r="G139" i="37"/>
  <c r="G140" i="37" s="1"/>
  <c r="D72" i="43"/>
  <c r="D77" i="43" s="1"/>
  <c r="E139" i="37"/>
  <c r="E140" i="37" s="1"/>
  <c r="I112" i="133"/>
  <c r="H112" i="133" s="1"/>
  <c r="N191" i="73"/>
  <c r="M191" i="73" s="1"/>
  <c r="M190" i="122" s="1"/>
  <c r="N190" i="73"/>
  <c r="D58" i="65" s="1"/>
  <c r="M163" i="73"/>
  <c r="M163" i="122" s="1"/>
  <c r="I33" i="157"/>
  <c r="D74" i="64"/>
  <c r="D78" i="64"/>
  <c r="M78" i="73"/>
  <c r="M78" i="122" s="1"/>
  <c r="H94" i="73"/>
  <c r="H94" i="122" s="1"/>
  <c r="L31" i="158"/>
  <c r="C8" i="65"/>
  <c r="H149" i="73"/>
  <c r="H149" i="122" s="1"/>
  <c r="M155" i="73"/>
  <c r="M155" i="122" s="1"/>
  <c r="H126" i="73"/>
  <c r="H126" i="122" s="1"/>
  <c r="I79" i="122"/>
  <c r="C76" i="64"/>
  <c r="I76" i="64" s="1"/>
  <c r="D12" i="64"/>
  <c r="D24" i="18" s="1"/>
  <c r="D25" i="18" s="1"/>
  <c r="J31" i="157"/>
  <c r="H195" i="73"/>
  <c r="H194" i="122" s="1"/>
  <c r="H73" i="108"/>
  <c r="D24" i="65"/>
  <c r="M156" i="73"/>
  <c r="M156" i="122" s="1"/>
  <c r="N156" i="122"/>
  <c r="B29" i="102"/>
  <c r="C115" i="64"/>
  <c r="H116" i="73"/>
  <c r="H116" i="122" s="1"/>
  <c r="J66" i="101"/>
  <c r="I116" i="122"/>
  <c r="I67" i="122"/>
  <c r="J17" i="101"/>
  <c r="C113" i="64"/>
  <c r="J64" i="101"/>
  <c r="I114" i="122"/>
  <c r="N9" i="122"/>
  <c r="B13" i="100"/>
  <c r="D11" i="65"/>
  <c r="E132" i="138" s="1"/>
  <c r="H132" i="138" s="1"/>
  <c r="M143" i="73"/>
  <c r="M143" i="122" s="1"/>
  <c r="B16" i="102"/>
  <c r="N143" i="122"/>
  <c r="M195" i="73"/>
  <c r="M194" i="122" s="1"/>
  <c r="B68" i="102"/>
  <c r="N194" i="122"/>
  <c r="D42" i="65"/>
  <c r="M174" i="73"/>
  <c r="M173" i="122" s="1"/>
  <c r="N173" i="122"/>
  <c r="B46" i="102"/>
  <c r="G40" i="73"/>
  <c r="G38" i="122"/>
  <c r="H198" i="73"/>
  <c r="H197" i="122" s="1"/>
  <c r="J71" i="102"/>
  <c r="I197" i="122"/>
  <c r="J36" i="102"/>
  <c r="I163" i="122"/>
  <c r="J12" i="100"/>
  <c r="K12" i="100" s="1"/>
  <c r="I8" i="122"/>
  <c r="I24" i="122"/>
  <c r="J28" i="100"/>
  <c r="K28" i="100" s="1"/>
  <c r="D113" i="64"/>
  <c r="M114" i="73"/>
  <c r="M114" i="122" s="1"/>
  <c r="N114" i="122"/>
  <c r="B64" i="101"/>
  <c r="I23" i="66"/>
  <c r="K23" i="66" s="1"/>
  <c r="E201" i="138"/>
  <c r="H201" i="138" s="1"/>
  <c r="H23" i="66"/>
  <c r="C42" i="65"/>
  <c r="I173" i="122"/>
  <c r="J46" i="102"/>
  <c r="E115" i="138"/>
  <c r="H115" i="138" s="1"/>
  <c r="D20" i="55"/>
  <c r="J48" i="102"/>
  <c r="I175" i="122"/>
  <c r="J32" i="102"/>
  <c r="I159" i="122"/>
  <c r="C114" i="64"/>
  <c r="E18" i="56" s="1"/>
  <c r="E19" i="56" s="1"/>
  <c r="J65" i="101"/>
  <c r="H115" i="73"/>
  <c r="H115" i="122" s="1"/>
  <c r="I115" i="122"/>
  <c r="L88" i="73"/>
  <c r="L88" i="122" s="1"/>
  <c r="I21" i="66"/>
  <c r="K21" i="66" s="1"/>
  <c r="H21" i="66"/>
  <c r="I58" i="66"/>
  <c r="K58" i="66" s="1"/>
  <c r="H58" i="66"/>
  <c r="C11" i="65"/>
  <c r="H143" i="73"/>
  <c r="H143" i="122" s="1"/>
  <c r="I143" i="122"/>
  <c r="J16" i="102"/>
  <c r="L16" i="102" s="1"/>
  <c r="N16" i="102" s="1"/>
  <c r="H158" i="73"/>
  <c r="H158" i="122" s="1"/>
  <c r="C26" i="65"/>
  <c r="I158" i="122"/>
  <c r="J31" i="102"/>
  <c r="D93" i="102"/>
  <c r="F39" i="70"/>
  <c r="E144" i="73"/>
  <c r="C40" i="71"/>
  <c r="C86" i="71" s="1"/>
  <c r="C80" i="71"/>
  <c r="E12" i="71"/>
  <c r="H8" i="66"/>
  <c r="I8" i="66"/>
  <c r="K8" i="66" s="1"/>
  <c r="F137" i="73"/>
  <c r="F138" i="122"/>
  <c r="D9" i="65"/>
  <c r="E130" i="138" s="1"/>
  <c r="H130" i="138" s="1"/>
  <c r="M141" i="73"/>
  <c r="M141" i="122" s="1"/>
  <c r="N141" i="122"/>
  <c r="B14" i="102"/>
  <c r="C33" i="65"/>
  <c r="H165" i="73"/>
  <c r="H165" i="122" s="1"/>
  <c r="J38" i="102"/>
  <c r="I165" i="122"/>
  <c r="B34" i="102"/>
  <c r="F34" i="102" s="1"/>
  <c r="H34" i="102" s="1"/>
  <c r="N161" i="122"/>
  <c r="N49" i="122"/>
  <c r="B53" i="100"/>
  <c r="D67" i="64"/>
  <c r="M68" i="73"/>
  <c r="M68" i="122" s="1"/>
  <c r="B18" i="101"/>
  <c r="N68" i="122"/>
  <c r="H188" i="73"/>
  <c r="H187" i="122" s="1"/>
  <c r="I187" i="122"/>
  <c r="J61" i="102"/>
  <c r="L61" i="102" s="1"/>
  <c r="N61" i="102" s="1"/>
  <c r="B12" i="101"/>
  <c r="N62" i="122"/>
  <c r="L55" i="67"/>
  <c r="N32" i="67"/>
  <c r="AB32" i="67"/>
  <c r="D105" i="64"/>
  <c r="E101" i="138" s="1"/>
  <c r="H101" i="138" s="1"/>
  <c r="M106" i="73"/>
  <c r="M106" i="122" s="1"/>
  <c r="N106" i="122"/>
  <c r="B56" i="101"/>
  <c r="C67" i="64"/>
  <c r="H68" i="73"/>
  <c r="H68" i="122" s="1"/>
  <c r="I68" i="122"/>
  <c r="J18" i="101"/>
  <c r="C54" i="65"/>
  <c r="I185" i="122"/>
  <c r="H186" i="73"/>
  <c r="H185" i="122" s="1"/>
  <c r="J59" i="102"/>
  <c r="D114" i="64"/>
  <c r="M115" i="73"/>
  <c r="M115" i="122" s="1"/>
  <c r="N115" i="122"/>
  <c r="B65" i="101"/>
  <c r="B72" i="102"/>
  <c r="N198" i="122"/>
  <c r="N24" i="122"/>
  <c r="B28" i="100"/>
  <c r="B14" i="100"/>
  <c r="N10" i="122"/>
  <c r="D17" i="64"/>
  <c r="B22" i="100"/>
  <c r="N18" i="122"/>
  <c r="E24" i="97"/>
  <c r="E151" i="138"/>
  <c r="H151" i="138" s="1"/>
  <c r="J34" i="100"/>
  <c r="I30" i="122"/>
  <c r="C62" i="64"/>
  <c r="I62" i="64" s="1"/>
  <c r="H63" i="73"/>
  <c r="H63" i="122" s="1"/>
  <c r="I63" i="122"/>
  <c r="J13" i="101"/>
  <c r="D14" i="83"/>
  <c r="D15" i="83" s="1"/>
  <c r="E74" i="138"/>
  <c r="H74" i="138" s="1"/>
  <c r="D30" i="65"/>
  <c r="M162" i="73"/>
  <c r="M162" i="122" s="1"/>
  <c r="N162" i="122"/>
  <c r="B35" i="102"/>
  <c r="I7" i="48"/>
  <c r="I14" i="48" s="1"/>
  <c r="E44" i="155"/>
  <c r="E45" i="155" s="1"/>
  <c r="F65" i="69" s="1"/>
  <c r="I177" i="133"/>
  <c r="H177" i="133" s="1"/>
  <c r="G62" i="37"/>
  <c r="G63" i="37" s="1"/>
  <c r="I173" i="73"/>
  <c r="I172" i="122" s="1"/>
  <c r="D23" i="64"/>
  <c r="E23" i="138" s="1"/>
  <c r="H23" i="138" s="1"/>
  <c r="D9" i="64"/>
  <c r="E9" i="138" s="1"/>
  <c r="D33" i="157"/>
  <c r="M74" i="108"/>
  <c r="N45" i="122"/>
  <c r="M405" i="138"/>
  <c r="E35" i="81"/>
  <c r="E36" i="81" s="1"/>
  <c r="F39" i="69" s="1"/>
  <c r="O19" i="68"/>
  <c r="C35" i="68"/>
  <c r="C39" i="65"/>
  <c r="H171" i="73"/>
  <c r="H170" i="122" s="1"/>
  <c r="I170" i="122"/>
  <c r="J43" i="102"/>
  <c r="F144" i="133"/>
  <c r="F171" i="133" s="1"/>
  <c r="K111" i="133"/>
  <c r="N3" i="133"/>
  <c r="C37" i="65"/>
  <c r="H37" i="65" s="1"/>
  <c r="H169" i="73"/>
  <c r="H169" i="122" s="1"/>
  <c r="I169" i="122"/>
  <c r="J42" i="102"/>
  <c r="D68" i="65"/>
  <c r="M200" i="73"/>
  <c r="M199" i="122" s="1"/>
  <c r="B73" i="102"/>
  <c r="N199" i="122"/>
  <c r="C68" i="64"/>
  <c r="H69" i="73"/>
  <c r="H69" i="122" s="1"/>
  <c r="J19" i="101"/>
  <c r="I69" i="122"/>
  <c r="I160" i="133"/>
  <c r="H160" i="133" s="1"/>
  <c r="C6" i="64"/>
  <c r="H7" i="73"/>
  <c r="H7" i="122" s="1"/>
  <c r="I7" i="122"/>
  <c r="J11" i="100"/>
  <c r="E8" i="75"/>
  <c r="D10" i="65"/>
  <c r="E131" i="138" s="1"/>
  <c r="H131" i="138" s="1"/>
  <c r="M142" i="73"/>
  <c r="M142" i="122" s="1"/>
  <c r="B15" i="102"/>
  <c r="N142" i="122"/>
  <c r="C23" i="65"/>
  <c r="H155" i="73"/>
  <c r="H155" i="122" s="1"/>
  <c r="I155" i="122"/>
  <c r="J28" i="102"/>
  <c r="D51" i="65"/>
  <c r="M183" i="73"/>
  <c r="M182" i="122" s="1"/>
  <c r="B55" i="102"/>
  <c r="N182" i="122"/>
  <c r="D118" i="64"/>
  <c r="N119" i="122"/>
  <c r="B69" i="101"/>
  <c r="M119" i="73"/>
  <c r="M119" i="122" s="1"/>
  <c r="C105" i="64"/>
  <c r="H106" i="73"/>
  <c r="H106" i="122" s="1"/>
  <c r="J56" i="101"/>
  <c r="I106" i="122"/>
  <c r="D66" i="64"/>
  <c r="M67" i="73"/>
  <c r="M67" i="122" s="1"/>
  <c r="N67" i="122"/>
  <c r="B17" i="101"/>
  <c r="M113" i="73"/>
  <c r="M113" i="122" s="1"/>
  <c r="D112" i="64"/>
  <c r="B63" i="101"/>
  <c r="N113" i="122"/>
  <c r="B74" i="101"/>
  <c r="N124" i="122"/>
  <c r="L51" i="67"/>
  <c r="N14" i="67"/>
  <c r="AB14" i="67"/>
  <c r="C13" i="64"/>
  <c r="H14" i="73"/>
  <c r="H14" i="122" s="1"/>
  <c r="J18" i="100"/>
  <c r="I14" i="122"/>
  <c r="H189" i="73"/>
  <c r="H188" i="122" s="1"/>
  <c r="C57" i="65"/>
  <c r="E176" i="138" s="1"/>
  <c r="H176" i="138" s="1"/>
  <c r="J62" i="102"/>
  <c r="I188" i="122"/>
  <c r="B12" i="100"/>
  <c r="N8" i="122"/>
  <c r="J12" i="101"/>
  <c r="I62" i="122"/>
  <c r="J54" i="100"/>
  <c r="I50" i="122"/>
  <c r="I41" i="122"/>
  <c r="J45" i="100"/>
  <c r="I43" i="122"/>
  <c r="J47" i="100"/>
  <c r="I21" i="122"/>
  <c r="J25" i="100"/>
  <c r="B15" i="101"/>
  <c r="N65" i="122"/>
  <c r="J20" i="100"/>
  <c r="I16" i="122"/>
  <c r="C98" i="64"/>
  <c r="H99" i="73"/>
  <c r="H99" i="122" s="1"/>
  <c r="J49" i="101"/>
  <c r="I99" i="122"/>
  <c r="B41" i="100"/>
  <c r="N37" i="122"/>
  <c r="I48" i="122"/>
  <c r="J52" i="100"/>
  <c r="B32" i="101"/>
  <c r="N82" i="122"/>
  <c r="J39" i="100"/>
  <c r="I35" i="122"/>
  <c r="N47" i="122"/>
  <c r="B51" i="100"/>
  <c r="J88" i="122"/>
  <c r="E232" i="76"/>
  <c r="E233" i="76" s="1"/>
  <c r="D12" i="76"/>
  <c r="D13" i="76" s="1"/>
  <c r="E32" i="138"/>
  <c r="H32" i="138" s="1"/>
  <c r="I42" i="103"/>
  <c r="I102" i="103" s="1"/>
  <c r="E42" i="103"/>
  <c r="E102" i="103" s="1"/>
  <c r="D7" i="65"/>
  <c r="M139" i="73"/>
  <c r="M139" i="122" s="1"/>
  <c r="B12" i="102"/>
  <c r="N139" i="122"/>
  <c r="I124" i="122"/>
  <c r="J74" i="101"/>
  <c r="B53" i="102"/>
  <c r="N180" i="122"/>
  <c r="C29" i="65"/>
  <c r="H161" i="73"/>
  <c r="H161" i="122" s="1"/>
  <c r="J34" i="102"/>
  <c r="I161" i="122"/>
  <c r="Q18" i="76"/>
  <c r="E263" i="76"/>
  <c r="D25" i="65"/>
  <c r="B30" i="102"/>
  <c r="M157" i="73"/>
  <c r="M157" i="122" s="1"/>
  <c r="N157" i="122"/>
  <c r="D108" i="64"/>
  <c r="E104" i="138" s="1"/>
  <c r="H104" i="138" s="1"/>
  <c r="M109" i="73"/>
  <c r="M109" i="122" s="1"/>
  <c r="B59" i="101"/>
  <c r="N109" i="122"/>
  <c r="C128" i="64"/>
  <c r="H129" i="73"/>
  <c r="H129" i="122" s="1"/>
  <c r="J79" i="101"/>
  <c r="I129" i="122"/>
  <c r="N202" i="133"/>
  <c r="M202" i="133" s="1"/>
  <c r="K129" i="133"/>
  <c r="N129" i="133" s="1"/>
  <c r="M129" i="133" s="1"/>
  <c r="D38" i="64"/>
  <c r="M39" i="73"/>
  <c r="M39" i="122" s="1"/>
  <c r="B43" i="100"/>
  <c r="N39" i="122"/>
  <c r="D8" i="65"/>
  <c r="M140" i="73"/>
  <c r="M140" i="122" s="1"/>
  <c r="N140" i="122"/>
  <c r="B13" i="102"/>
  <c r="C20" i="65"/>
  <c r="H152" i="73"/>
  <c r="H152" i="122" s="1"/>
  <c r="J25" i="102"/>
  <c r="I152" i="122"/>
  <c r="I82" i="122"/>
  <c r="J32" i="101"/>
  <c r="I83" i="122"/>
  <c r="J33" i="101"/>
  <c r="D82" i="64"/>
  <c r="E79" i="138" s="1"/>
  <c r="H79" i="138" s="1"/>
  <c r="M83" i="73"/>
  <c r="M83" i="122" s="1"/>
  <c r="B33" i="101"/>
  <c r="N83" i="122"/>
  <c r="J37" i="101"/>
  <c r="I87" i="122"/>
  <c r="C30" i="65"/>
  <c r="H162" i="73"/>
  <c r="H162" i="122" s="1"/>
  <c r="J35" i="102"/>
  <c r="I162" i="122"/>
  <c r="D10" i="64"/>
  <c r="M11" i="73"/>
  <c r="M11" i="122" s="1"/>
  <c r="N11" i="122"/>
  <c r="B15" i="100"/>
  <c r="I95" i="122"/>
  <c r="J45" i="101"/>
  <c r="C47" i="65"/>
  <c r="I5" i="47" s="1"/>
  <c r="I11" i="47" s="1"/>
  <c r="H179" i="73"/>
  <c r="H178" i="122" s="1"/>
  <c r="J51" i="102"/>
  <c r="I178" i="122"/>
  <c r="E21" i="18"/>
  <c r="F368" i="138" s="1"/>
  <c r="O368" i="138" s="1"/>
  <c r="F364" i="138"/>
  <c r="O364" i="138" s="1"/>
  <c r="G25" i="18"/>
  <c r="I105" i="122"/>
  <c r="J55" i="101"/>
  <c r="G16" i="59"/>
  <c r="G17" i="59" s="1"/>
  <c r="C32" i="65"/>
  <c r="H164" i="73"/>
  <c r="H164" i="122" s="1"/>
  <c r="I164" i="122"/>
  <c r="J37" i="102"/>
  <c r="J137" i="122"/>
  <c r="N27" i="122"/>
  <c r="B31" i="100"/>
  <c r="L59" i="108"/>
  <c r="L61" i="108" s="1"/>
  <c r="L75" i="108" s="1"/>
  <c r="E10" i="17"/>
  <c r="J28" i="101"/>
  <c r="I78" i="122"/>
  <c r="H39" i="104"/>
  <c r="E195" i="37"/>
  <c r="E196" i="37" s="1"/>
  <c r="E100" i="37"/>
  <c r="E101" i="37" s="1"/>
  <c r="H70" i="76"/>
  <c r="N54" i="67"/>
  <c r="C29" i="64"/>
  <c r="I29" i="64" s="1"/>
  <c r="D61" i="64"/>
  <c r="E58" i="138" s="1"/>
  <c r="H58" i="138" s="1"/>
  <c r="I193" i="133"/>
  <c r="H193" i="133" s="1"/>
  <c r="G24" i="37"/>
  <c r="G25" i="37" s="1"/>
  <c r="D67" i="65"/>
  <c r="N120" i="73"/>
  <c r="N120" i="122" s="1"/>
  <c r="H105" i="73"/>
  <c r="H105" i="122" s="1"/>
  <c r="H95" i="73"/>
  <c r="H95" i="122" s="1"/>
  <c r="H30" i="73"/>
  <c r="H30" i="122" s="1"/>
  <c r="M62" i="73"/>
  <c r="M62" i="122" s="1"/>
  <c r="M27" i="73"/>
  <c r="M27" i="122" s="1"/>
  <c r="J13" i="157"/>
  <c r="M73" i="108"/>
  <c r="B49" i="100"/>
  <c r="F49" i="100" s="1"/>
  <c r="H49" i="100" s="1"/>
  <c r="N189" i="133"/>
  <c r="M189" i="133" s="1"/>
  <c r="C34" i="68"/>
  <c r="E62" i="23"/>
  <c r="E63" i="23" s="1"/>
  <c r="F33" i="69" s="1"/>
  <c r="O15" i="68"/>
  <c r="D39" i="65"/>
  <c r="M171" i="73"/>
  <c r="M170" i="122" s="1"/>
  <c r="N170" i="122"/>
  <c r="B43" i="102"/>
  <c r="E214" i="37"/>
  <c r="E215" i="37" s="1"/>
  <c r="D20" i="65"/>
  <c r="E141" i="138" s="1"/>
  <c r="H141" i="138" s="1"/>
  <c r="M152" i="73"/>
  <c r="M152" i="122" s="1"/>
  <c r="N152" i="122"/>
  <c r="B25" i="102"/>
  <c r="C118" i="64"/>
  <c r="I119" i="122"/>
  <c r="H119" i="73"/>
  <c r="H119" i="122" s="1"/>
  <c r="J69" i="101"/>
  <c r="AA11" i="67"/>
  <c r="AE11" i="67" s="1"/>
  <c r="AD11" i="67"/>
  <c r="C7" i="65"/>
  <c r="H139" i="73"/>
  <c r="H139" i="122" s="1"/>
  <c r="I139" i="122"/>
  <c r="J12" i="102"/>
  <c r="C15" i="65"/>
  <c r="H147" i="73"/>
  <c r="H147" i="122" s="1"/>
  <c r="J20" i="102"/>
  <c r="I147" i="122"/>
  <c r="D14" i="65"/>
  <c r="M146" i="73"/>
  <c r="M146" i="122" s="1"/>
  <c r="N146" i="122"/>
  <c r="B19" i="102"/>
  <c r="D106" i="64"/>
  <c r="M107" i="73"/>
  <c r="M107" i="122" s="1"/>
  <c r="B57" i="101"/>
  <c r="N107" i="122"/>
  <c r="C106" i="64"/>
  <c r="H107" i="73"/>
  <c r="H107" i="122" s="1"/>
  <c r="J57" i="101"/>
  <c r="I107" i="122"/>
  <c r="D13" i="64"/>
  <c r="M14" i="73"/>
  <c r="M14" i="122" s="1"/>
  <c r="B18" i="100"/>
  <c r="N14" i="122"/>
  <c r="J29" i="100"/>
  <c r="K29" i="100" s="1"/>
  <c r="I25" i="122"/>
  <c r="D44" i="65"/>
  <c r="M176" i="73"/>
  <c r="M175" i="122" s="1"/>
  <c r="B48" i="102"/>
  <c r="N175" i="122"/>
  <c r="D21" i="65"/>
  <c r="N153" i="122"/>
  <c r="M153" i="73"/>
  <c r="M153" i="122" s="1"/>
  <c r="B26" i="102"/>
  <c r="G25" i="44"/>
  <c r="K25" i="44" s="1"/>
  <c r="D32" i="65"/>
  <c r="M164" i="73"/>
  <c r="M164" i="122" s="1"/>
  <c r="B37" i="102"/>
  <c r="F37" i="102" s="1"/>
  <c r="N164" i="122"/>
  <c r="D115" i="64"/>
  <c r="R45" i="67" s="1"/>
  <c r="M116" i="73"/>
  <c r="M116" i="122" s="1"/>
  <c r="N116" i="122"/>
  <c r="B66" i="101"/>
  <c r="C79" i="64"/>
  <c r="H80" i="73"/>
  <c r="H80" i="122" s="1"/>
  <c r="I80" i="122"/>
  <c r="J30" i="101"/>
  <c r="H65" i="73"/>
  <c r="H65" i="122" s="1"/>
  <c r="J15" i="101"/>
  <c r="I65" i="122"/>
  <c r="B50" i="100"/>
  <c r="N46" i="122"/>
  <c r="I33" i="122"/>
  <c r="J37" i="100"/>
  <c r="N97" i="122"/>
  <c r="B47" i="101"/>
  <c r="B48" i="100"/>
  <c r="N44" i="122"/>
  <c r="J41" i="101"/>
  <c r="I91" i="122"/>
  <c r="H66" i="73"/>
  <c r="H66" i="122" s="1"/>
  <c r="C65" i="64"/>
  <c r="J16" i="101"/>
  <c r="I66" i="122"/>
  <c r="B42" i="101"/>
  <c r="N92" i="122"/>
  <c r="I45" i="122"/>
  <c r="J49" i="100"/>
  <c r="I9" i="122"/>
  <c r="J13" i="100"/>
  <c r="C25" i="64"/>
  <c r="D21" i="116" s="1"/>
  <c r="D22" i="116" s="1"/>
  <c r="E24" i="69" s="1"/>
  <c r="H26" i="73"/>
  <c r="H26" i="122" s="1"/>
  <c r="J30" i="100"/>
  <c r="K30" i="100" s="1"/>
  <c r="I26" i="122"/>
  <c r="B34" i="100"/>
  <c r="N30" i="122"/>
  <c r="J21" i="100"/>
  <c r="I17" i="122"/>
  <c r="D32" i="64"/>
  <c r="M33" i="73"/>
  <c r="M33" i="122" s="1"/>
  <c r="B37" i="100"/>
  <c r="N33" i="122"/>
  <c r="D31" i="64"/>
  <c r="M32" i="73"/>
  <c r="M32" i="122" s="1"/>
  <c r="N32" i="122"/>
  <c r="B36" i="100"/>
  <c r="B20" i="100"/>
  <c r="N16" i="122"/>
  <c r="M42" i="73"/>
  <c r="M42" i="122" s="1"/>
  <c r="D41" i="64"/>
  <c r="B46" i="100"/>
  <c r="N42" i="122"/>
  <c r="I13" i="122"/>
  <c r="J17" i="100"/>
  <c r="I38" i="73"/>
  <c r="E38" i="122"/>
  <c r="D42" i="100"/>
  <c r="N138" i="73"/>
  <c r="J138" i="122"/>
  <c r="J101" i="73"/>
  <c r="D149" i="70"/>
  <c r="F100" i="70"/>
  <c r="J22" i="157"/>
  <c r="K88" i="73"/>
  <c r="K88" i="122" s="1"/>
  <c r="F19" i="66"/>
  <c r="D65" i="65"/>
  <c r="F40" i="44" s="1"/>
  <c r="F41" i="44" s="1"/>
  <c r="M197" i="73"/>
  <c r="M196" i="122" s="1"/>
  <c r="N196" i="122"/>
  <c r="B70" i="102"/>
  <c r="C122" i="64"/>
  <c r="H123" i="73"/>
  <c r="H123" i="122" s="1"/>
  <c r="I123" i="122"/>
  <c r="J73" i="101"/>
  <c r="D90" i="64"/>
  <c r="I90" i="64" s="1"/>
  <c r="B41" i="101"/>
  <c r="N91" i="122"/>
  <c r="G49" i="103"/>
  <c r="B45" i="100"/>
  <c r="N41" i="122"/>
  <c r="C85" i="64"/>
  <c r="D14" i="62" s="1"/>
  <c r="D15" i="62" s="1"/>
  <c r="I86" i="122"/>
  <c r="J36" i="101"/>
  <c r="H86" i="73"/>
  <c r="H86" i="122" s="1"/>
  <c r="I203" i="73"/>
  <c r="J76" i="102" s="1"/>
  <c r="Q49" i="76"/>
  <c r="E264" i="76"/>
  <c r="I9" i="13"/>
  <c r="M199" i="73"/>
  <c r="M198" i="122" s="1"/>
  <c r="C104" i="64"/>
  <c r="C77" i="64"/>
  <c r="I77" i="64" s="1"/>
  <c r="C86" i="64"/>
  <c r="D16" i="4" s="1"/>
  <c r="D17" i="4" s="1"/>
  <c r="E56" i="69" s="1"/>
  <c r="H82" i="73"/>
  <c r="H82" i="122" s="1"/>
  <c r="C82" i="64"/>
  <c r="N38" i="73"/>
  <c r="D37" i="64" s="1"/>
  <c r="M18" i="73"/>
  <c r="M18" i="122" s="1"/>
  <c r="N190" i="133"/>
  <c r="M190" i="133" s="1"/>
  <c r="L137" i="133"/>
  <c r="N137" i="133" s="1"/>
  <c r="M137" i="133" s="1"/>
  <c r="N138" i="133"/>
  <c r="M138" i="133" s="1"/>
  <c r="Q58" i="76"/>
  <c r="E265" i="76"/>
  <c r="C30" i="68"/>
  <c r="O6" i="68"/>
  <c r="M154" i="73"/>
  <c r="M154" i="122" s="1"/>
  <c r="N154" i="122"/>
  <c r="B27" i="102"/>
  <c r="D22" i="65"/>
  <c r="D125" i="64"/>
  <c r="E116" i="138" s="1"/>
  <c r="H116" i="138" s="1"/>
  <c r="M126" i="73"/>
  <c r="M126" i="122" s="1"/>
  <c r="N126" i="122"/>
  <c r="B76" i="101"/>
  <c r="C108" i="64"/>
  <c r="H109" i="73"/>
  <c r="H109" i="122" s="1"/>
  <c r="I109" i="122"/>
  <c r="J59" i="101"/>
  <c r="C72" i="66"/>
  <c r="E56" i="66"/>
  <c r="C10" i="65"/>
  <c r="H142" i="73"/>
  <c r="H142" i="122" s="1"/>
  <c r="I142" i="122"/>
  <c r="J15" i="102"/>
  <c r="C18" i="65"/>
  <c r="I150" i="122"/>
  <c r="H150" i="73"/>
  <c r="H150" i="122" s="1"/>
  <c r="J23" i="102"/>
  <c r="D17" i="65"/>
  <c r="E138" i="138" s="1"/>
  <c r="H138" i="138" s="1"/>
  <c r="M149" i="73"/>
  <c r="M149" i="122" s="1"/>
  <c r="N149" i="122"/>
  <c r="B22" i="102"/>
  <c r="D128" i="64"/>
  <c r="M129" i="73"/>
  <c r="M129" i="122" s="1"/>
  <c r="B79" i="101"/>
  <c r="N129" i="122"/>
  <c r="I112" i="73"/>
  <c r="G112" i="122"/>
  <c r="D83" i="64"/>
  <c r="E80" i="138" s="1"/>
  <c r="H80" i="138" s="1"/>
  <c r="M84" i="73"/>
  <c r="M84" i="122" s="1"/>
  <c r="N84" i="122"/>
  <c r="B34" i="101"/>
  <c r="D40" i="24"/>
  <c r="E571" i="138" s="1"/>
  <c r="H571" i="138" s="1"/>
  <c r="E572" i="138"/>
  <c r="H572" i="138" s="1"/>
  <c r="D34" i="65"/>
  <c r="M166" i="73"/>
  <c r="M166" i="122" s="1"/>
  <c r="N166" i="122"/>
  <c r="B39" i="102"/>
  <c r="M187" i="73"/>
  <c r="M186" i="122" s="1"/>
  <c r="B60" i="102"/>
  <c r="N186" i="122"/>
  <c r="N93" i="122"/>
  <c r="B43" i="101"/>
  <c r="N81" i="122"/>
  <c r="B31" i="101"/>
  <c r="B49" i="101"/>
  <c r="N99" i="122"/>
  <c r="I61" i="122"/>
  <c r="J11" i="101"/>
  <c r="I64" i="122"/>
  <c r="J14" i="101"/>
  <c r="B54" i="100"/>
  <c r="N50" i="122"/>
  <c r="G25" i="17"/>
  <c r="F412" i="138"/>
  <c r="O412" i="138" s="1"/>
  <c r="E21" i="17"/>
  <c r="F416" i="138" s="1"/>
  <c r="O416" i="138" s="1"/>
  <c r="I190" i="73"/>
  <c r="D63" i="102"/>
  <c r="E189" i="122"/>
  <c r="C124" i="64"/>
  <c r="H125" i="73"/>
  <c r="H125" i="122" s="1"/>
  <c r="J75" i="101"/>
  <c r="I125" i="122"/>
  <c r="H23" i="73"/>
  <c r="H23" i="122" s="1"/>
  <c r="J27" i="100"/>
  <c r="C22" i="64"/>
  <c r="I23" i="122"/>
  <c r="N43" i="122"/>
  <c r="B47" i="100"/>
  <c r="I44" i="122"/>
  <c r="J48" i="100"/>
  <c r="N20" i="122"/>
  <c r="B24" i="100"/>
  <c r="N70" i="122"/>
  <c r="B20" i="101"/>
  <c r="N51" i="73"/>
  <c r="J53" i="73"/>
  <c r="J53" i="122" s="1"/>
  <c r="D53" i="70"/>
  <c r="F52" i="70"/>
  <c r="D139" i="70"/>
  <c r="E31" i="27"/>
  <c r="E34" i="27" s="1"/>
  <c r="E73" i="138"/>
  <c r="H73" i="138" s="1"/>
  <c r="I34" i="122"/>
  <c r="J38" i="100"/>
  <c r="C18" i="64"/>
  <c r="H19" i="73"/>
  <c r="H19" i="122" s="1"/>
  <c r="J23" i="100"/>
  <c r="I19" i="122"/>
  <c r="C52" i="70"/>
  <c r="C139" i="70" s="1"/>
  <c r="E40" i="73"/>
  <c r="E39" i="70"/>
  <c r="I145" i="73"/>
  <c r="F40" i="71"/>
  <c r="J22" i="100"/>
  <c r="I18" i="122"/>
  <c r="H38" i="104"/>
  <c r="H42" i="103"/>
  <c r="H102" i="103" s="1"/>
  <c r="D91" i="102"/>
  <c r="G214" i="37"/>
  <c r="G215" i="37" s="1"/>
  <c r="I6" i="57"/>
  <c r="I10" i="57"/>
  <c r="I7" i="57"/>
  <c r="I11" i="57"/>
  <c r="I5" i="57"/>
  <c r="I9" i="57"/>
  <c r="I13" i="57"/>
  <c r="I8" i="57"/>
  <c r="I4" i="57"/>
  <c r="I12" i="57"/>
  <c r="F36" i="44"/>
  <c r="F37" i="44" s="1"/>
  <c r="AA54" i="67"/>
  <c r="AE23" i="67"/>
  <c r="E70" i="61"/>
  <c r="E71" i="61" s="1"/>
  <c r="F57" i="69" s="1"/>
  <c r="E85" i="138"/>
  <c r="H85" i="138" s="1"/>
  <c r="I70" i="64"/>
  <c r="D16" i="78"/>
  <c r="D17" i="78" s="1"/>
  <c r="E41" i="138"/>
  <c r="H41" i="138" s="1"/>
  <c r="F181" i="133"/>
  <c r="F183" i="133" s="1"/>
  <c r="H41" i="17"/>
  <c r="H43" i="17" s="1"/>
  <c r="G171" i="133"/>
  <c r="G19" i="58"/>
  <c r="F66" i="69" s="1"/>
  <c r="G42" i="24"/>
  <c r="G40" i="24" s="1"/>
  <c r="G22" i="24"/>
  <c r="D16" i="10"/>
  <c r="E522" i="138"/>
  <c r="H522" i="138" s="1"/>
  <c r="E9" i="13"/>
  <c r="F9" i="13" s="1"/>
  <c r="E463" i="138"/>
  <c r="H463" i="138" s="1"/>
  <c r="N100" i="133"/>
  <c r="M100" i="133" s="1"/>
  <c r="G195" i="37"/>
  <c r="G196" i="37" s="1"/>
  <c r="N104" i="133"/>
  <c r="M104" i="133" s="1"/>
  <c r="L103" i="133"/>
  <c r="G456" i="138"/>
  <c r="N456" i="138" s="1"/>
  <c r="N457" i="138" s="1"/>
  <c r="H21" i="139" s="1"/>
  <c r="E21" i="139" s="1"/>
  <c r="L53" i="67"/>
  <c r="N22" i="67"/>
  <c r="AB22" i="67"/>
  <c r="C71" i="66"/>
  <c r="C57" i="66"/>
  <c r="C73" i="66" s="1"/>
  <c r="E51" i="66"/>
  <c r="H51" i="66"/>
  <c r="I51" i="66"/>
  <c r="K51" i="66" s="1"/>
  <c r="K101" i="133"/>
  <c r="G111" i="133"/>
  <c r="Q49" i="67"/>
  <c r="Q38" i="67"/>
  <c r="M96" i="73"/>
  <c r="M96" i="122" s="1"/>
  <c r="D95" i="64"/>
  <c r="I95" i="64" s="1"/>
  <c r="N96" i="122"/>
  <c r="B46" i="101"/>
  <c r="C84" i="64"/>
  <c r="H85" i="73"/>
  <c r="H85" i="122" s="1"/>
  <c r="J35" i="101"/>
  <c r="I85" i="122"/>
  <c r="M61" i="73"/>
  <c r="M61" i="122" s="1"/>
  <c r="D60" i="64"/>
  <c r="N61" i="122"/>
  <c r="B11" i="101"/>
  <c r="N203" i="73"/>
  <c r="C9" i="64"/>
  <c r="H10" i="73"/>
  <c r="H10" i="122" s="1"/>
  <c r="J14" i="100"/>
  <c r="I10" i="122"/>
  <c r="C83" i="64"/>
  <c r="H84" i="73"/>
  <c r="H84" i="122" s="1"/>
  <c r="I84" i="122"/>
  <c r="J34" i="101"/>
  <c r="E10" i="32"/>
  <c r="E11" i="32" s="1"/>
  <c r="E61" i="138"/>
  <c r="H61" i="138" s="1"/>
  <c r="E59" i="138"/>
  <c r="H59" i="138" s="1"/>
  <c r="E15" i="25"/>
  <c r="E16" i="25" s="1"/>
  <c r="E21" i="14"/>
  <c r="E22" i="14" s="1"/>
  <c r="F25" i="69" s="1"/>
  <c r="E25" i="138"/>
  <c r="H25" i="138" s="1"/>
  <c r="D65" i="64"/>
  <c r="M66" i="73"/>
  <c r="M66" i="122" s="1"/>
  <c r="B16" i="101"/>
  <c r="N66" i="122"/>
  <c r="J5" i="47"/>
  <c r="J11" i="47" s="1"/>
  <c r="E165" i="138"/>
  <c r="H165" i="138" s="1"/>
  <c r="E58" i="23"/>
  <c r="E59" i="23" s="1"/>
  <c r="I40" i="64"/>
  <c r="I20" i="64"/>
  <c r="I6" i="48"/>
  <c r="I13" i="48" s="1"/>
  <c r="D21" i="14"/>
  <c r="D22" i="14" s="1"/>
  <c r="E25" i="69" s="1"/>
  <c r="I26" i="64"/>
  <c r="E100" i="122"/>
  <c r="D50" i="101"/>
  <c r="K59" i="108"/>
  <c r="K61" i="108" s="1"/>
  <c r="K75" i="108" s="1"/>
  <c r="G74" i="108"/>
  <c r="F40" i="133"/>
  <c r="I40" i="133" s="1"/>
  <c r="H40" i="133" s="1"/>
  <c r="I38" i="133"/>
  <c r="H38" i="133" s="1"/>
  <c r="D66" i="66"/>
  <c r="F29" i="66"/>
  <c r="E207" i="138"/>
  <c r="H207" i="138" s="1"/>
  <c r="D72" i="66"/>
  <c r="F56" i="66"/>
  <c r="H56" i="66"/>
  <c r="I56" i="66"/>
  <c r="K56" i="66" s="1"/>
  <c r="E234" i="138"/>
  <c r="H234" i="138" s="1"/>
  <c r="D63" i="64"/>
  <c r="E60" i="138" s="1"/>
  <c r="H60" i="138" s="1"/>
  <c r="M64" i="73"/>
  <c r="M64" i="122" s="1"/>
  <c r="N64" i="122"/>
  <c r="B14" i="101"/>
  <c r="N52" i="67"/>
  <c r="D84" i="64"/>
  <c r="E21" i="143" s="1"/>
  <c r="M85" i="73"/>
  <c r="M85" i="122" s="1"/>
  <c r="N85" i="122"/>
  <c r="B35" i="101"/>
  <c r="G12" i="76"/>
  <c r="G13" i="76" s="1"/>
  <c r="D232" i="76"/>
  <c r="D233" i="76" s="1"/>
  <c r="I33" i="64"/>
  <c r="D20" i="152"/>
  <c r="D21" i="152" s="1"/>
  <c r="E45" i="138"/>
  <c r="H45" i="138" s="1"/>
  <c r="D119" i="20"/>
  <c r="D120" i="20" s="1"/>
  <c r="E92" i="138"/>
  <c r="H92" i="138" s="1"/>
  <c r="E28" i="84"/>
  <c r="K73" i="108"/>
  <c r="K1226" i="138"/>
  <c r="K1264" i="138"/>
  <c r="D25" i="44"/>
  <c r="J25" i="44" s="1"/>
  <c r="E41" i="17"/>
  <c r="E43" i="17" s="1"/>
  <c r="E174" i="17"/>
  <c r="E175" i="17" s="1"/>
  <c r="J1248" i="138"/>
  <c r="J1286" i="138"/>
  <c r="I100" i="133"/>
  <c r="H100" i="133" s="1"/>
  <c r="E72" i="43"/>
  <c r="G338" i="138"/>
  <c r="N338" i="138" s="1"/>
  <c r="N339" i="138" s="1"/>
  <c r="H13" i="139" s="1"/>
  <c r="E13" i="139" s="1"/>
  <c r="G28" i="133"/>
  <c r="I28" i="133" s="1"/>
  <c r="H28" i="133" s="1"/>
  <c r="AA22" i="67"/>
  <c r="Y53" i="67"/>
  <c r="AD22" i="67"/>
  <c r="D57" i="66"/>
  <c r="E235" i="138" s="1"/>
  <c r="H235" i="138" s="1"/>
  <c r="D71" i="66"/>
  <c r="F51" i="66"/>
  <c r="E229" i="138"/>
  <c r="H229" i="138" s="1"/>
  <c r="E19" i="66"/>
  <c r="K144" i="73"/>
  <c r="K160" i="122"/>
  <c r="G11" i="67"/>
  <c r="T42" i="67"/>
  <c r="C68" i="65"/>
  <c r="H200" i="73"/>
  <c r="H199" i="122" s="1"/>
  <c r="I199" i="122"/>
  <c r="J73" i="102"/>
  <c r="C103" i="64"/>
  <c r="H104" i="73"/>
  <c r="H104" i="122" s="1"/>
  <c r="I104" i="122"/>
  <c r="J54" i="101"/>
  <c r="D10" i="32"/>
  <c r="D11" i="32" s="1"/>
  <c r="I64" i="64"/>
  <c r="H47" i="73"/>
  <c r="H47" i="122" s="1"/>
  <c r="C46" i="64"/>
  <c r="J51" i="100"/>
  <c r="I47" i="122"/>
  <c r="D54" i="65"/>
  <c r="M186" i="73"/>
  <c r="M185" i="122" s="1"/>
  <c r="B59" i="102"/>
  <c r="N185" i="122"/>
  <c r="E40" i="44"/>
  <c r="E41" i="44" s="1"/>
  <c r="D94" i="64"/>
  <c r="I94" i="64" s="1"/>
  <c r="M95" i="73"/>
  <c r="M95" i="122" s="1"/>
  <c r="N95" i="122"/>
  <c r="B45" i="101"/>
  <c r="C92" i="64"/>
  <c r="H93" i="73"/>
  <c r="H93" i="122" s="1"/>
  <c r="I93" i="122"/>
  <c r="J43" i="101"/>
  <c r="F32" i="44"/>
  <c r="F33" i="44" s="1"/>
  <c r="D58" i="23"/>
  <c r="D59" i="23" s="1"/>
  <c r="E39" i="138"/>
  <c r="H39" i="138" s="1"/>
  <c r="E41" i="10"/>
  <c r="I34" i="64"/>
  <c r="E119" i="20"/>
  <c r="E120" i="20" s="1"/>
  <c r="I96" i="64"/>
  <c r="E7" i="67"/>
  <c r="E19" i="55"/>
  <c r="D25" i="64"/>
  <c r="M26" i="73"/>
  <c r="M26" i="122" s="1"/>
  <c r="B30" i="100"/>
  <c r="N26" i="122"/>
  <c r="E14" i="138"/>
  <c r="H14" i="138" s="1"/>
  <c r="E81" i="37"/>
  <c r="E82" i="37" s="1"/>
  <c r="F165" i="93"/>
  <c r="F144" i="93"/>
  <c r="F142" i="93"/>
  <c r="G10" i="10"/>
  <c r="G17" i="10"/>
  <c r="G16" i="10" s="1"/>
  <c r="G51" i="15"/>
  <c r="G53" i="15" s="1"/>
  <c r="E22" i="69" s="1"/>
  <c r="F30" i="44"/>
  <c r="F31" i="44" s="1"/>
  <c r="D41" i="10"/>
  <c r="E33" i="138"/>
  <c r="H33" i="138" s="1"/>
  <c r="I81" i="64"/>
  <c r="N103" i="73"/>
  <c r="J103" i="122"/>
  <c r="E101" i="73"/>
  <c r="E100" i="70"/>
  <c r="C149" i="70"/>
  <c r="I59" i="108"/>
  <c r="I61" i="108" s="1"/>
  <c r="D42" i="103"/>
  <c r="C102" i="103"/>
  <c r="F59" i="108"/>
  <c r="F61" i="108" s="1"/>
  <c r="F75" i="108" s="1"/>
  <c r="H174" i="17"/>
  <c r="F436" i="138"/>
  <c r="M436" i="138" s="1"/>
  <c r="N193" i="133"/>
  <c r="M193" i="133" s="1"/>
  <c r="I202" i="133"/>
  <c r="H202" i="133" s="1"/>
  <c r="F129" i="133"/>
  <c r="I129" i="133" s="1"/>
  <c r="H129" i="133" s="1"/>
  <c r="E62" i="37"/>
  <c r="E63" i="37" s="1"/>
  <c r="G176" i="37"/>
  <c r="G177" i="37" s="1"/>
  <c r="G100" i="37"/>
  <c r="G101" i="37" s="1"/>
  <c r="L23" i="68"/>
  <c r="O9" i="68"/>
  <c r="G53" i="44"/>
  <c r="G55" i="44" s="1"/>
  <c r="L52" i="44"/>
  <c r="L53" i="44" s="1"/>
  <c r="L55" i="44" s="1"/>
  <c r="E946" i="138"/>
  <c r="H946" i="138" s="1"/>
  <c r="H947" i="138" s="1"/>
  <c r="F58" i="139" s="1"/>
  <c r="E58" i="139" s="1"/>
  <c r="J1226" i="138"/>
  <c r="J1264" i="138"/>
  <c r="K53" i="133"/>
  <c r="I120" i="133"/>
  <c r="H120" i="133" s="1"/>
  <c r="E37" i="66"/>
  <c r="D69" i="66"/>
  <c r="F43" i="66"/>
  <c r="E221" i="138"/>
  <c r="H221" i="138" s="1"/>
  <c r="D44" i="66"/>
  <c r="E222" i="138" s="1"/>
  <c r="H222" i="138" s="1"/>
  <c r="D68" i="66"/>
  <c r="F37" i="66"/>
  <c r="E215" i="138"/>
  <c r="H215" i="138" s="1"/>
  <c r="C34" i="65"/>
  <c r="H166" i="73"/>
  <c r="H166" i="122" s="1"/>
  <c r="I166" i="122"/>
  <c r="J39" i="102"/>
  <c r="AE8" i="67"/>
  <c r="N194" i="73"/>
  <c r="M25" i="73"/>
  <c r="M25" i="122" s="1"/>
  <c r="D24" i="64"/>
  <c r="E21" i="142" s="1"/>
  <c r="E22" i="142" s="1"/>
  <c r="F23" i="69" s="1"/>
  <c r="N25" i="122"/>
  <c r="B29" i="100"/>
  <c r="C91" i="64"/>
  <c r="H92" i="73"/>
  <c r="H92" i="122" s="1"/>
  <c r="J42" i="101"/>
  <c r="I92" i="122"/>
  <c r="D30" i="66"/>
  <c r="D67" i="66" s="1"/>
  <c r="E42" i="44"/>
  <c r="E43" i="44" s="1"/>
  <c r="L85" i="69" s="1"/>
  <c r="H66" i="65"/>
  <c r="D85" i="64"/>
  <c r="M86" i="73"/>
  <c r="M86" i="122" s="1"/>
  <c r="N86" i="122"/>
  <c r="B36" i="101"/>
  <c r="U38" i="67"/>
  <c r="U56" i="67" s="1"/>
  <c r="U49" i="67"/>
  <c r="C7" i="67"/>
  <c r="I194" i="73"/>
  <c r="I120" i="73"/>
  <c r="E31" i="81"/>
  <c r="E32" i="81" s="1"/>
  <c r="C10" i="64"/>
  <c r="H11" i="73"/>
  <c r="H11" i="122" s="1"/>
  <c r="J15" i="100"/>
  <c r="I11" i="122"/>
  <c r="I7" i="67"/>
  <c r="E23" i="145"/>
  <c r="E24" i="145" s="1"/>
  <c r="E77" i="138"/>
  <c r="H77" i="138" s="1"/>
  <c r="E50" i="138"/>
  <c r="H50" i="138" s="1"/>
  <c r="J111" i="73"/>
  <c r="D153" i="70"/>
  <c r="D127" i="70"/>
  <c r="D157" i="70" s="1"/>
  <c r="F110" i="70"/>
  <c r="C59" i="108"/>
  <c r="C35" i="103"/>
  <c r="F33" i="104" s="1"/>
  <c r="H33" i="104" s="1"/>
  <c r="C67" i="108"/>
  <c r="I67" i="108"/>
  <c r="C49" i="103"/>
  <c r="D49" i="103" s="1"/>
  <c r="E49" i="103" s="1"/>
  <c r="C70" i="108"/>
  <c r="D61" i="103"/>
  <c r="N70" i="108"/>
  <c r="F67" i="108"/>
  <c r="D59" i="108"/>
  <c r="D61" i="108" s="1"/>
  <c r="D75" i="108" s="1"/>
  <c r="G73" i="108"/>
  <c r="E59" i="108"/>
  <c r="E61" i="108" s="1"/>
  <c r="E75" i="108" s="1"/>
  <c r="E74" i="108"/>
  <c r="H11" i="104"/>
  <c r="H8" i="104"/>
  <c r="AE32" i="67" l="1"/>
  <c r="AE14" i="67"/>
  <c r="L49" i="102"/>
  <c r="N49" i="102" s="1"/>
  <c r="M17" i="69"/>
  <c r="J33" i="157"/>
  <c r="P30" i="108"/>
  <c r="I144" i="133"/>
  <c r="H144" i="133" s="1"/>
  <c r="N59" i="108"/>
  <c r="N74" i="108" s="1"/>
  <c r="B35" i="103"/>
  <c r="L171" i="133"/>
  <c r="I37" i="66"/>
  <c r="K37" i="66" s="1"/>
  <c r="H74" i="65"/>
  <c r="G104" i="103"/>
  <c r="D105" i="103"/>
  <c r="E61" i="103"/>
  <c r="E106" i="103" s="1"/>
  <c r="E99" i="103"/>
  <c r="H29" i="66"/>
  <c r="C66" i="66"/>
  <c r="I29" i="66"/>
  <c r="K29" i="66" s="1"/>
  <c r="E16" i="139"/>
  <c r="J149" i="93"/>
  <c r="K144" i="93"/>
  <c r="K149" i="93" s="1"/>
  <c r="F99" i="69" s="1"/>
  <c r="G102" i="137"/>
  <c r="G107" i="137" s="1"/>
  <c r="G109" i="137" s="1"/>
  <c r="G422" i="137" s="1"/>
  <c r="G4" i="28"/>
  <c r="G9" i="28" s="1"/>
  <c r="F37" i="28"/>
  <c r="F394" i="138"/>
  <c r="M394" i="138" s="1"/>
  <c r="M395" i="138" s="1"/>
  <c r="H175" i="18"/>
  <c r="K17" i="69" s="1"/>
  <c r="E41" i="18"/>
  <c r="E43" i="18" s="1"/>
  <c r="I100" i="73"/>
  <c r="H100" i="73" s="1"/>
  <c r="H100" i="122" s="1"/>
  <c r="D81" i="1"/>
  <c r="D82" i="1" s="1"/>
  <c r="J74" i="108"/>
  <c r="N189" i="73"/>
  <c r="J188" i="122"/>
  <c r="B62" i="103"/>
  <c r="B107" i="103" s="1"/>
  <c r="N73" i="108"/>
  <c r="D34" i="103"/>
  <c r="E34" i="103" s="1"/>
  <c r="E100" i="103" s="1"/>
  <c r="H37" i="66"/>
  <c r="B103" i="103"/>
  <c r="H43" i="66"/>
  <c r="K1286" i="138"/>
  <c r="K11" i="67"/>
  <c r="K43" i="67" s="1"/>
  <c r="H56" i="103"/>
  <c r="H105" i="103" s="1"/>
  <c r="F100" i="69" a="1"/>
  <c r="F100" i="69" s="1"/>
  <c r="P57" i="108"/>
  <c r="D46" i="158"/>
  <c r="C44" i="66"/>
  <c r="E44" i="66" s="1"/>
  <c r="B101" i="103"/>
  <c r="G103" i="103"/>
  <c r="E92" i="69" a="1"/>
  <c r="E92" i="69" s="1"/>
  <c r="D92" i="69" s="1"/>
  <c r="D98" i="69"/>
  <c r="M79" i="102"/>
  <c r="G79" i="102"/>
  <c r="F79" i="102"/>
  <c r="H79" i="102" s="1"/>
  <c r="E137" i="122"/>
  <c r="D10" i="102"/>
  <c r="H61" i="103"/>
  <c r="I61" i="103" s="1"/>
  <c r="I106" i="103" s="1"/>
  <c r="C68" i="66"/>
  <c r="B106" i="103"/>
  <c r="E48" i="103"/>
  <c r="E103" i="103" s="1"/>
  <c r="F57" i="66"/>
  <c r="D73" i="66"/>
  <c r="C69" i="66"/>
  <c r="X56" i="67"/>
  <c r="G105" i="103"/>
  <c r="D103" i="103"/>
  <c r="L79" i="102"/>
  <c r="N79" i="102" s="1"/>
  <c r="B104" i="103"/>
  <c r="F375" i="138"/>
  <c r="M375" i="138" s="1"/>
  <c r="H41" i="18"/>
  <c r="C97" i="64"/>
  <c r="C148" i="64" s="1"/>
  <c r="H45" i="65"/>
  <c r="I98" i="122"/>
  <c r="J48" i="101"/>
  <c r="L48" i="101" s="1"/>
  <c r="N48" i="101" s="1"/>
  <c r="F73" i="101"/>
  <c r="E165" i="93"/>
  <c r="E144" i="93"/>
  <c r="E142" i="93"/>
  <c r="E99" i="69"/>
  <c r="D99" i="69" s="1"/>
  <c r="F442" i="138"/>
  <c r="M442" i="138" s="1"/>
  <c r="M443" i="138" s="1"/>
  <c r="H175" i="17"/>
  <c r="K21" i="69" s="1"/>
  <c r="F429" i="138"/>
  <c r="M429" i="138" s="1"/>
  <c r="M430" i="138" s="1"/>
  <c r="F21" i="69"/>
  <c r="K1225" i="138"/>
  <c r="K1259" i="138" s="1"/>
  <c r="G87" i="139" s="1"/>
  <c r="L54" i="133"/>
  <c r="D50" i="71"/>
  <c r="G50" i="71" s="1"/>
  <c r="G51" i="71" s="1"/>
  <c r="J172" i="73"/>
  <c r="J171" i="122" s="1"/>
  <c r="F97" i="69"/>
  <c r="I19" i="66"/>
  <c r="K19" i="66" s="1"/>
  <c r="C30" i="66"/>
  <c r="C67" i="66" s="1"/>
  <c r="L88" i="133"/>
  <c r="N88" i="133" s="1"/>
  <c r="M88" i="133" s="1"/>
  <c r="J1229" i="138"/>
  <c r="J1267" i="138"/>
  <c r="O56" i="67"/>
  <c r="C65" i="66"/>
  <c r="C102" i="64"/>
  <c r="C150" i="64" s="1"/>
  <c r="H34" i="103"/>
  <c r="D87" i="71"/>
  <c r="D86" i="71"/>
  <c r="M21" i="69"/>
  <c r="J1225" i="138"/>
  <c r="J1263" i="138"/>
  <c r="M5" i="65"/>
  <c r="J24" i="101"/>
  <c r="L24" i="101" s="1"/>
  <c r="N24" i="101" s="1"/>
  <c r="G62" i="137"/>
  <c r="I5" i="53"/>
  <c r="I74" i="64"/>
  <c r="C35" i="65"/>
  <c r="D17" i="50" s="1"/>
  <c r="D18" i="50" s="1"/>
  <c r="I118" i="122"/>
  <c r="H51" i="73"/>
  <c r="H51" i="122" s="1"/>
  <c r="L53" i="100"/>
  <c r="M53" i="100" s="1"/>
  <c r="J40" i="102"/>
  <c r="L40" i="102" s="1"/>
  <c r="N40" i="102" s="1"/>
  <c r="E16" i="4"/>
  <c r="E17" i="4" s="1"/>
  <c r="F56" i="69" s="1"/>
  <c r="D56" i="69" s="1"/>
  <c r="L73" i="101"/>
  <c r="N73" i="101" s="1"/>
  <c r="H167" i="73"/>
  <c r="H167" i="122" s="1"/>
  <c r="M73" i="101"/>
  <c r="I30" i="64"/>
  <c r="D63" i="142"/>
  <c r="D64" i="142" s="1"/>
  <c r="G23" i="69" s="1"/>
  <c r="I31" i="64"/>
  <c r="M41" i="102"/>
  <c r="D24" i="97"/>
  <c r="H76" i="69" s="1"/>
  <c r="E113" i="138"/>
  <c r="H113" i="138" s="1"/>
  <c r="D16" i="59"/>
  <c r="D17" i="59" s="1"/>
  <c r="E62" i="69" s="1"/>
  <c r="D62" i="69" s="1"/>
  <c r="D31" i="13"/>
  <c r="E26" i="69" s="1"/>
  <c r="I66" i="64"/>
  <c r="F17" i="57"/>
  <c r="F18" i="57"/>
  <c r="D176" i="18"/>
  <c r="I177" i="122"/>
  <c r="H31" i="65"/>
  <c r="J53" i="101"/>
  <c r="I72" i="73"/>
  <c r="I72" i="122" s="1"/>
  <c r="H118" i="73"/>
  <c r="H118" i="122" s="1"/>
  <c r="J55" i="100"/>
  <c r="K55" i="100" s="1"/>
  <c r="G172" i="73"/>
  <c r="G171" i="122" s="1"/>
  <c r="H138" i="73"/>
  <c r="H138" i="122" s="1"/>
  <c r="H36" i="65"/>
  <c r="J68" i="101"/>
  <c r="C73" i="64"/>
  <c r="C144" i="64" s="1"/>
  <c r="C50" i="64"/>
  <c r="E21" i="7" s="1"/>
  <c r="E22" i="7" s="1"/>
  <c r="C28" i="65"/>
  <c r="C83" i="65" s="1"/>
  <c r="I74" i="122"/>
  <c r="D28" i="65"/>
  <c r="D83" i="65" s="1"/>
  <c r="C6" i="65"/>
  <c r="N16" i="64" s="1"/>
  <c r="H191" i="73"/>
  <c r="H190" i="122" s="1"/>
  <c r="H63" i="65"/>
  <c r="I138" i="122"/>
  <c r="C59" i="65"/>
  <c r="C91" i="65" s="1"/>
  <c r="I157" i="122"/>
  <c r="I85" i="69"/>
  <c r="I112" i="64"/>
  <c r="F53" i="73"/>
  <c r="F54" i="73" s="1"/>
  <c r="F54" i="122" s="1"/>
  <c r="M173" i="73"/>
  <c r="M172" i="122" s="1"/>
  <c r="J64" i="102"/>
  <c r="H76" i="73"/>
  <c r="H76" i="122" s="1"/>
  <c r="I103" i="122"/>
  <c r="I42" i="64"/>
  <c r="I89" i="64"/>
  <c r="I78" i="64"/>
  <c r="I72" i="64"/>
  <c r="C75" i="64"/>
  <c r="C146" i="64" s="1"/>
  <c r="E89" i="138"/>
  <c r="H89" i="138" s="1"/>
  <c r="AA48" i="67"/>
  <c r="C49" i="100"/>
  <c r="L37" i="101"/>
  <c r="N37" i="101" s="1"/>
  <c r="G31" i="102"/>
  <c r="C77" i="66"/>
  <c r="F19" i="100"/>
  <c r="H19" i="100" s="1"/>
  <c r="F52" i="100"/>
  <c r="H52" i="100" s="1"/>
  <c r="M37" i="101"/>
  <c r="H61" i="65"/>
  <c r="L68" i="102"/>
  <c r="N68" i="102" s="1"/>
  <c r="L35" i="100"/>
  <c r="M35" i="100" s="1"/>
  <c r="E12" i="138"/>
  <c r="H12" i="138" s="1"/>
  <c r="I47" i="64"/>
  <c r="M31" i="102"/>
  <c r="L43" i="101"/>
  <c r="N43" i="101" s="1"/>
  <c r="F20" i="102"/>
  <c r="H20" i="102" s="1"/>
  <c r="G52" i="100"/>
  <c r="N100" i="73"/>
  <c r="B50" i="101" s="1"/>
  <c r="G50" i="101" s="1"/>
  <c r="D17" i="55"/>
  <c r="G70" i="69" s="1"/>
  <c r="L31" i="102"/>
  <c r="N31" i="102" s="1"/>
  <c r="F37" i="101"/>
  <c r="D119" i="64"/>
  <c r="D12" i="55" s="1"/>
  <c r="D13" i="55" s="1"/>
  <c r="L56" i="101"/>
  <c r="N56" i="101" s="1"/>
  <c r="L32" i="102"/>
  <c r="N32" i="102" s="1"/>
  <c r="B68" i="101"/>
  <c r="F68" i="101" s="1"/>
  <c r="E72" i="15"/>
  <c r="E75" i="15" s="1"/>
  <c r="E87" i="138"/>
  <c r="H87" i="138" s="1"/>
  <c r="J33" i="102"/>
  <c r="J91" i="102" s="1"/>
  <c r="H203" i="73"/>
  <c r="H202" i="122" s="1"/>
  <c r="E46" i="138"/>
  <c r="H46" i="138" s="1"/>
  <c r="E88" i="138"/>
  <c r="F72" i="122"/>
  <c r="E34" i="138"/>
  <c r="H34" i="138" s="1"/>
  <c r="N177" i="122"/>
  <c r="I160" i="122"/>
  <c r="L101" i="73"/>
  <c r="L101" i="122" s="1"/>
  <c r="M76" i="73"/>
  <c r="M76" i="122" s="1"/>
  <c r="L19" i="101"/>
  <c r="N19" i="101" s="1"/>
  <c r="L47" i="102"/>
  <c r="N47" i="102" s="1"/>
  <c r="I48" i="64"/>
  <c r="K40" i="122"/>
  <c r="G85" i="69"/>
  <c r="B50" i="102"/>
  <c r="F50" i="102" s="1"/>
  <c r="L53" i="73"/>
  <c r="L53" i="122" s="1"/>
  <c r="M52" i="100"/>
  <c r="E29" i="138"/>
  <c r="H29" i="138" s="1"/>
  <c r="B62" i="101"/>
  <c r="F62" i="101" s="1"/>
  <c r="N72" i="122"/>
  <c r="D97" i="64"/>
  <c r="D17" i="58" s="1"/>
  <c r="D18" i="58" s="1"/>
  <c r="L59" i="101"/>
  <c r="N59" i="101" s="1"/>
  <c r="L51" i="102"/>
  <c r="N51" i="102" s="1"/>
  <c r="L36" i="102"/>
  <c r="N36" i="102" s="1"/>
  <c r="I107" i="64"/>
  <c r="E30" i="13"/>
  <c r="E31" i="13" s="1"/>
  <c r="F26" i="69" s="1"/>
  <c r="H43" i="65"/>
  <c r="H49" i="65"/>
  <c r="I8" i="64"/>
  <c r="E48" i="138"/>
  <c r="H48" i="138" s="1"/>
  <c r="L21" i="102"/>
  <c r="N21" i="102" s="1"/>
  <c r="L57" i="101"/>
  <c r="M57" i="101" s="1"/>
  <c r="M160" i="73"/>
  <c r="M160" i="122" s="1"/>
  <c r="M47" i="102"/>
  <c r="M118" i="73"/>
  <c r="M118" i="122" s="1"/>
  <c r="I44" i="64"/>
  <c r="N172" i="122"/>
  <c r="N40" i="73"/>
  <c r="M40" i="73" s="1"/>
  <c r="M40" i="122" s="1"/>
  <c r="I123" i="64"/>
  <c r="M178" i="73"/>
  <c r="M177" i="122" s="1"/>
  <c r="N160" i="122"/>
  <c r="E118" i="138"/>
  <c r="H118" i="138" s="1"/>
  <c r="N98" i="122"/>
  <c r="F47" i="102"/>
  <c r="H47" i="102" s="1"/>
  <c r="E71" i="138"/>
  <c r="H71" i="138" s="1"/>
  <c r="G176" i="18"/>
  <c r="F41" i="102"/>
  <c r="H41" i="102" s="1"/>
  <c r="E18" i="138"/>
  <c r="H18" i="138" s="1"/>
  <c r="L27" i="101"/>
  <c r="M27" i="101" s="1"/>
  <c r="M23" i="100"/>
  <c r="I43" i="64"/>
  <c r="M49" i="102"/>
  <c r="F49" i="102"/>
  <c r="H49" i="102" s="1"/>
  <c r="G49" i="102"/>
  <c r="D17" i="21"/>
  <c r="D18" i="21" s="1"/>
  <c r="E40" i="69" s="1"/>
  <c r="D40" i="69" s="1"/>
  <c r="D41" i="65"/>
  <c r="E43" i="48" s="1"/>
  <c r="E44" i="48" s="1"/>
  <c r="M98" i="73"/>
  <c r="M98" i="122" s="1"/>
  <c r="I12" i="64"/>
  <c r="L23" i="102"/>
  <c r="N23" i="102" s="1"/>
  <c r="I98" i="64"/>
  <c r="N118" i="122"/>
  <c r="L41" i="102"/>
  <c r="N41" i="102" s="1"/>
  <c r="J8" i="48"/>
  <c r="J15" i="48" s="1"/>
  <c r="E163" i="138"/>
  <c r="H163" i="138" s="1"/>
  <c r="H178" i="73"/>
  <c r="H177" i="122" s="1"/>
  <c r="C71" i="65"/>
  <c r="M13" i="67" s="1"/>
  <c r="C25" i="65"/>
  <c r="H25" i="65" s="1"/>
  <c r="D75" i="64"/>
  <c r="D26" i="27" s="1"/>
  <c r="D27" i="27" s="1"/>
  <c r="M6" i="65"/>
  <c r="J50" i="102"/>
  <c r="J93" i="102" s="1"/>
  <c r="I202" i="122"/>
  <c r="H29" i="69"/>
  <c r="G176" i="17"/>
  <c r="I15" i="64"/>
  <c r="J26" i="100"/>
  <c r="K26" i="100" s="1"/>
  <c r="N76" i="122"/>
  <c r="J6" i="48"/>
  <c r="J13" i="48" s="1"/>
  <c r="E111" i="138"/>
  <c r="H111" i="138" s="1"/>
  <c r="L28" i="102"/>
  <c r="M28" i="102" s="1"/>
  <c r="L38" i="102"/>
  <c r="N38" i="102" s="1"/>
  <c r="L72" i="101"/>
  <c r="N72" i="101" s="1"/>
  <c r="F72" i="101"/>
  <c r="M72" i="101"/>
  <c r="E51" i="22"/>
  <c r="E52" i="22" s="1"/>
  <c r="E36" i="69" s="1"/>
  <c r="D36" i="69" s="1"/>
  <c r="C23" i="100"/>
  <c r="G23" i="100"/>
  <c r="E19" i="138"/>
  <c r="H19" i="138" s="1"/>
  <c r="I120" i="64"/>
  <c r="E41" i="28"/>
  <c r="E44" i="28" s="1"/>
  <c r="C45" i="158"/>
  <c r="C46" i="158" s="1"/>
  <c r="E136" i="138"/>
  <c r="H136" i="138" s="1"/>
  <c r="L50" i="100"/>
  <c r="N50" i="100" s="1"/>
  <c r="L30" i="101"/>
  <c r="M30" i="101" s="1"/>
  <c r="L20" i="102"/>
  <c r="N20" i="102" s="1"/>
  <c r="H67" i="65"/>
  <c r="L32" i="101"/>
  <c r="N32" i="101" s="1"/>
  <c r="I28" i="73"/>
  <c r="I28" i="122" s="1"/>
  <c r="I19" i="64"/>
  <c r="H27" i="65"/>
  <c r="M75" i="101"/>
  <c r="G75" i="101"/>
  <c r="F75" i="101"/>
  <c r="E14" i="83"/>
  <c r="E15" i="83" s="1"/>
  <c r="E51" i="69" s="1"/>
  <c r="D51" i="69" s="1"/>
  <c r="H22" i="73"/>
  <c r="H22" i="122" s="1"/>
  <c r="L35" i="102"/>
  <c r="L64" i="101"/>
  <c r="N64" i="101" s="1"/>
  <c r="I7" i="47"/>
  <c r="I13" i="47" s="1"/>
  <c r="J26" i="101"/>
  <c r="L26" i="101" s="1"/>
  <c r="M26" i="101" s="1"/>
  <c r="L54" i="101"/>
  <c r="N54" i="101" s="1"/>
  <c r="E114" i="138"/>
  <c r="H114" i="138" s="1"/>
  <c r="J30" i="102"/>
  <c r="L30" i="102" s="1"/>
  <c r="M30" i="102" s="1"/>
  <c r="I121" i="64"/>
  <c r="G12" i="137"/>
  <c r="C21" i="64"/>
  <c r="C138" i="64" s="1"/>
  <c r="L15" i="101"/>
  <c r="N15" i="101" s="1"/>
  <c r="I17" i="64"/>
  <c r="H19" i="65"/>
  <c r="L71" i="101"/>
  <c r="M71" i="101" s="1"/>
  <c r="F71" i="101"/>
  <c r="G71" i="101" s="1"/>
  <c r="N112" i="122"/>
  <c r="L42" i="101"/>
  <c r="N42" i="101" s="1"/>
  <c r="F85" i="69"/>
  <c r="H47" i="65"/>
  <c r="D31" i="27"/>
  <c r="D34" i="27" s="1"/>
  <c r="F50" i="69" s="1"/>
  <c r="L75" i="101"/>
  <c r="N75" i="101" s="1"/>
  <c r="I32" i="64"/>
  <c r="L34" i="102"/>
  <c r="N34" i="102" s="1"/>
  <c r="G88" i="122"/>
  <c r="G101" i="73"/>
  <c r="G101" i="122" s="1"/>
  <c r="M27" i="100"/>
  <c r="F27" i="100"/>
  <c r="H27" i="100" s="1"/>
  <c r="C27" i="100"/>
  <c r="G27" i="100"/>
  <c r="N16" i="65"/>
  <c r="G28" i="102"/>
  <c r="E144" i="138"/>
  <c r="H144" i="138" s="1"/>
  <c r="E41" i="69"/>
  <c r="D176" i="17"/>
  <c r="B70" i="101"/>
  <c r="F70" i="101" s="1"/>
  <c r="G70" i="101" s="1"/>
  <c r="D71" i="64"/>
  <c r="D145" i="64" s="1"/>
  <c r="F110" i="103"/>
  <c r="D144" i="64"/>
  <c r="E108" i="53"/>
  <c r="E109" i="53" s="1"/>
  <c r="M20" i="102"/>
  <c r="I36" i="64"/>
  <c r="E44" i="138"/>
  <c r="H44" i="138" s="1"/>
  <c r="M112" i="73"/>
  <c r="M112" i="122" s="1"/>
  <c r="C19" i="100"/>
  <c r="I23" i="64"/>
  <c r="E167" i="138"/>
  <c r="H167" i="138" s="1"/>
  <c r="E73" i="15"/>
  <c r="E76" i="15" s="1"/>
  <c r="F44" i="44"/>
  <c r="F45" i="44" s="1"/>
  <c r="M85" i="69" s="1"/>
  <c r="K13" i="53"/>
  <c r="I104" i="64"/>
  <c r="D55" i="26"/>
  <c r="D56" i="26" s="1"/>
  <c r="L55" i="101"/>
  <c r="N55" i="101" s="1"/>
  <c r="N190" i="122"/>
  <c r="L13" i="101"/>
  <c r="N13" i="101" s="1"/>
  <c r="H33" i="65"/>
  <c r="G65" i="102"/>
  <c r="M65" i="102"/>
  <c r="G58" i="101"/>
  <c r="M58" i="101"/>
  <c r="F58" i="101"/>
  <c r="I45" i="64"/>
  <c r="G19" i="100"/>
  <c r="E22" i="97"/>
  <c r="L58" i="101"/>
  <c r="N58" i="101" s="1"/>
  <c r="F65" i="102"/>
  <c r="H65" i="102" s="1"/>
  <c r="I16" i="64"/>
  <c r="N144" i="133"/>
  <c r="M144" i="133" s="1"/>
  <c r="H12" i="104"/>
  <c r="M190" i="73"/>
  <c r="M189" i="122" s="1"/>
  <c r="N6" i="65"/>
  <c r="D59" i="65"/>
  <c r="F28" i="44" s="1"/>
  <c r="F29" i="44" s="1"/>
  <c r="I105" i="64"/>
  <c r="L65" i="102"/>
  <c r="N65" i="102" s="1"/>
  <c r="G38" i="100"/>
  <c r="C38" i="100"/>
  <c r="M38" i="100"/>
  <c r="F38" i="100"/>
  <c r="H38" i="100" s="1"/>
  <c r="B42" i="100"/>
  <c r="F42" i="100" s="1"/>
  <c r="I82" i="64"/>
  <c r="L19" i="100"/>
  <c r="N19" i="100" s="1"/>
  <c r="I49" i="64"/>
  <c r="H8" i="65"/>
  <c r="L69" i="101"/>
  <c r="N69" i="101" s="1"/>
  <c r="B63" i="102"/>
  <c r="M63" i="102" s="1"/>
  <c r="L71" i="102"/>
  <c r="N71" i="102" s="1"/>
  <c r="H16" i="65"/>
  <c r="D57" i="69"/>
  <c r="D13" i="8"/>
  <c r="D14" i="8" s="1"/>
  <c r="E21" i="69"/>
  <c r="L73" i="102"/>
  <c r="N73" i="102" s="1"/>
  <c r="C81" i="66"/>
  <c r="E75" i="138"/>
  <c r="H75" i="138" s="1"/>
  <c r="L42" i="102"/>
  <c r="N42" i="102" s="1"/>
  <c r="L14" i="102"/>
  <c r="N14" i="102" s="1"/>
  <c r="F46" i="44"/>
  <c r="F47" i="44" s="1"/>
  <c r="K184" i="133"/>
  <c r="K201" i="133" s="1"/>
  <c r="K117" i="133" s="1"/>
  <c r="K200" i="133"/>
  <c r="M34" i="102"/>
  <c r="G34" i="102"/>
  <c r="M29" i="102"/>
  <c r="G29" i="102"/>
  <c r="F29" i="102"/>
  <c r="H29" i="102" s="1"/>
  <c r="M28" i="101"/>
  <c r="F28" i="101"/>
  <c r="G28" i="101"/>
  <c r="G35" i="103"/>
  <c r="H35" i="103" s="1"/>
  <c r="I35" i="103" s="1"/>
  <c r="H59" i="108"/>
  <c r="H74" i="108" s="1"/>
  <c r="H67" i="108"/>
  <c r="F25" i="100"/>
  <c r="H25" i="100" s="1"/>
  <c r="M25" i="100"/>
  <c r="G25" i="100"/>
  <c r="C25" i="100"/>
  <c r="G71" i="102"/>
  <c r="M71" i="102"/>
  <c r="F71" i="102"/>
  <c r="H71" i="102" s="1"/>
  <c r="G60" i="101"/>
  <c r="M60" i="101"/>
  <c r="F60" i="101"/>
  <c r="G52" i="102"/>
  <c r="M52" i="102"/>
  <c r="F52" i="102"/>
  <c r="H52" i="102" s="1"/>
  <c r="G88" i="133"/>
  <c r="I72" i="133"/>
  <c r="H72" i="133" s="1"/>
  <c r="E111" i="122"/>
  <c r="D61" i="101"/>
  <c r="D21" i="126"/>
  <c r="D22" i="126" s="1"/>
  <c r="H24" i="65"/>
  <c r="H64" i="65"/>
  <c r="E38" i="44"/>
  <c r="E39" i="44" s="1"/>
  <c r="J85" i="69" s="1"/>
  <c r="F24" i="101"/>
  <c r="G24" i="101"/>
  <c r="M24" i="101"/>
  <c r="D13" i="65"/>
  <c r="D81" i="65" s="1"/>
  <c r="M145" i="73"/>
  <c r="M145" i="122" s="1"/>
  <c r="B18" i="102"/>
  <c r="B89" i="102" s="1"/>
  <c r="N145" i="122"/>
  <c r="G25" i="101"/>
  <c r="M25" i="101"/>
  <c r="L25" i="101"/>
  <c r="N25" i="101" s="1"/>
  <c r="F25" i="101"/>
  <c r="D23" i="9"/>
  <c r="D24" i="9" s="1"/>
  <c r="E16" i="69" s="1"/>
  <c r="D16" i="69" s="1"/>
  <c r="G14" i="137"/>
  <c r="E11" i="138"/>
  <c r="H11" i="138" s="1"/>
  <c r="G360" i="137"/>
  <c r="F23" i="101"/>
  <c r="G23" i="101" s="1"/>
  <c r="L23" i="101"/>
  <c r="M23" i="101" s="1"/>
  <c r="E36" i="29"/>
  <c r="E37" i="29" s="1"/>
  <c r="E65" i="138"/>
  <c r="H65" i="138" s="1"/>
  <c r="L40" i="100"/>
  <c r="M24" i="102"/>
  <c r="G24" i="102"/>
  <c r="F24" i="102"/>
  <c r="H24" i="102" s="1"/>
  <c r="G32" i="102"/>
  <c r="M32" i="102"/>
  <c r="G38" i="102"/>
  <c r="M38" i="102"/>
  <c r="F38" i="102"/>
  <c r="H38" i="102" s="1"/>
  <c r="I86" i="64"/>
  <c r="H60" i="65"/>
  <c r="E45" i="69"/>
  <c r="D45" i="69" s="1"/>
  <c r="G13" i="43"/>
  <c r="H13" i="43" s="1"/>
  <c r="I43" i="66"/>
  <c r="K43" i="66" s="1"/>
  <c r="L34" i="101"/>
  <c r="N34" i="101" s="1"/>
  <c r="M72" i="73"/>
  <c r="M72" i="122" s="1"/>
  <c r="M120" i="73"/>
  <c r="M120" i="122" s="1"/>
  <c r="D104" i="53"/>
  <c r="D105" i="53" s="1"/>
  <c r="O417" i="138"/>
  <c r="H580" i="138"/>
  <c r="F29" i="139" s="1"/>
  <c r="E29" i="139" s="1"/>
  <c r="I108" i="64"/>
  <c r="D21" i="82"/>
  <c r="D23" i="82" s="1"/>
  <c r="N189" i="122"/>
  <c r="B64" i="102"/>
  <c r="M64" i="102" s="1"/>
  <c r="E20" i="139"/>
  <c r="L74" i="101"/>
  <c r="N74" i="101" s="1"/>
  <c r="N5" i="65"/>
  <c r="I111" i="73"/>
  <c r="I111" i="122" s="1"/>
  <c r="L12" i="101"/>
  <c r="N12" i="101" s="1"/>
  <c r="F53" i="100"/>
  <c r="M14" i="102"/>
  <c r="G14" i="102"/>
  <c r="E144" i="122"/>
  <c r="D17" i="102"/>
  <c r="D88" i="102" s="1"/>
  <c r="H26" i="65"/>
  <c r="F20" i="152"/>
  <c r="F21" i="152" s="1"/>
  <c r="H11" i="65"/>
  <c r="L46" i="102"/>
  <c r="N46" i="102" s="1"/>
  <c r="G40" i="122"/>
  <c r="G53" i="73"/>
  <c r="J5" i="48"/>
  <c r="J12" i="48" s="1"/>
  <c r="E160" i="138"/>
  <c r="H160" i="138" s="1"/>
  <c r="M13" i="100"/>
  <c r="F13" i="100"/>
  <c r="H13" i="100" s="1"/>
  <c r="G13" i="100"/>
  <c r="C13" i="100"/>
  <c r="I113" i="64"/>
  <c r="O30" i="108"/>
  <c r="F34" i="104"/>
  <c r="H34" i="104" s="1"/>
  <c r="M69" i="102"/>
  <c r="G69" i="102"/>
  <c r="F69" i="102"/>
  <c r="H69" i="102" s="1"/>
  <c r="N22" i="122"/>
  <c r="B26" i="100"/>
  <c r="D21" i="64"/>
  <c r="M22" i="73"/>
  <c r="M22" i="122" s="1"/>
  <c r="E166" i="138"/>
  <c r="H166" i="138" s="1"/>
  <c r="J6" i="47"/>
  <c r="J12" i="47" s="1"/>
  <c r="L24" i="102"/>
  <c r="N24" i="102" s="1"/>
  <c r="L29" i="102"/>
  <c r="N29" i="102" s="1"/>
  <c r="M29" i="101"/>
  <c r="G29" i="101"/>
  <c r="F29" i="101"/>
  <c r="L29" i="101"/>
  <c r="N29" i="101" s="1"/>
  <c r="M39" i="100"/>
  <c r="G39" i="100"/>
  <c r="C39" i="100"/>
  <c r="F39" i="100"/>
  <c r="H39" i="100" s="1"/>
  <c r="F54" i="101"/>
  <c r="G54" i="101"/>
  <c r="M54" i="101"/>
  <c r="L52" i="102"/>
  <c r="N52" i="102" s="1"/>
  <c r="E17" i="50"/>
  <c r="E18" i="50" s="1"/>
  <c r="E155" i="138"/>
  <c r="H155" i="138" s="1"/>
  <c r="M40" i="101"/>
  <c r="G40" i="101"/>
  <c r="F40" i="101"/>
  <c r="F16" i="100"/>
  <c r="H16" i="100" s="1"/>
  <c r="G16" i="100"/>
  <c r="L16" i="100"/>
  <c r="N16" i="100" s="1"/>
  <c r="C16" i="100"/>
  <c r="M16" i="100"/>
  <c r="G42" i="102"/>
  <c r="F42" i="102"/>
  <c r="H42" i="102" s="1"/>
  <c r="M42" i="102"/>
  <c r="H9" i="65"/>
  <c r="F30" i="101"/>
  <c r="G30" i="101" s="1"/>
  <c r="M51" i="102"/>
  <c r="G51" i="102"/>
  <c r="G36" i="102"/>
  <c r="M36" i="102"/>
  <c r="F36" i="102"/>
  <c r="H36" i="102" s="1"/>
  <c r="D151" i="64"/>
  <c r="E100" i="138"/>
  <c r="H100" i="138" s="1"/>
  <c r="L25" i="102"/>
  <c r="N25" i="102" s="1"/>
  <c r="F137" i="122"/>
  <c r="F172" i="73"/>
  <c r="G46" i="102"/>
  <c r="M46" i="102"/>
  <c r="F46" i="102"/>
  <c r="H46" i="102" s="1"/>
  <c r="M16" i="102"/>
  <c r="G16" i="102"/>
  <c r="H24" i="103"/>
  <c r="G99" i="103"/>
  <c r="G23" i="102"/>
  <c r="M23" i="102"/>
  <c r="G137" i="122"/>
  <c r="I137" i="73"/>
  <c r="F17" i="100"/>
  <c r="G17" i="100" s="1"/>
  <c r="D89" i="102"/>
  <c r="F35" i="100"/>
  <c r="M21" i="101"/>
  <c r="G21" i="101"/>
  <c r="L21" i="101"/>
  <c r="N21" i="101" s="1"/>
  <c r="F21" i="101"/>
  <c r="G13" i="101"/>
  <c r="F13" i="101"/>
  <c r="M13" i="101"/>
  <c r="F55" i="101"/>
  <c r="M55" i="101"/>
  <c r="G55" i="101"/>
  <c r="I109" i="64"/>
  <c r="C82" i="66"/>
  <c r="J45" i="102"/>
  <c r="J92" i="102" s="1"/>
  <c r="N28" i="73"/>
  <c r="B32" i="100" s="1"/>
  <c r="F14" i="104" s="1"/>
  <c r="H14" i="104" s="1"/>
  <c r="G445" i="137"/>
  <c r="G100" i="69" s="1" a="1"/>
  <c r="G100" i="69" s="1"/>
  <c r="H13" i="53"/>
  <c r="I144" i="73"/>
  <c r="J17" i="102" s="1"/>
  <c r="L172" i="73"/>
  <c r="L182" i="73" s="1"/>
  <c r="H18" i="65"/>
  <c r="L28" i="101"/>
  <c r="N28" i="101" s="1"/>
  <c r="N137" i="73"/>
  <c r="D5" i="65" s="1"/>
  <c r="O369" i="138"/>
  <c r="L18" i="101"/>
  <c r="N18" i="101" s="1"/>
  <c r="C50" i="71"/>
  <c r="C87" i="71" s="1"/>
  <c r="E172" i="73"/>
  <c r="E40" i="71"/>
  <c r="I11" i="64"/>
  <c r="I5" i="48"/>
  <c r="I12" i="48" s="1"/>
  <c r="H42" i="65"/>
  <c r="G64" i="101"/>
  <c r="M64" i="101"/>
  <c r="F64" i="101"/>
  <c r="G68" i="102"/>
  <c r="F68" i="102"/>
  <c r="H68" i="102" s="1"/>
  <c r="M68" i="102"/>
  <c r="E21" i="126"/>
  <c r="E22" i="126" s="1"/>
  <c r="E145" i="138"/>
  <c r="H145" i="138" s="1"/>
  <c r="C56" i="100"/>
  <c r="M56" i="100"/>
  <c r="L56" i="100"/>
  <c r="N56" i="100" s="1"/>
  <c r="G56" i="100"/>
  <c r="F56" i="100"/>
  <c r="H56" i="100" s="1"/>
  <c r="F40" i="100"/>
  <c r="G40" i="100" s="1"/>
  <c r="F14" i="102"/>
  <c r="H14" i="102" s="1"/>
  <c r="C157" i="70"/>
  <c r="E127" i="70"/>
  <c r="C129" i="70"/>
  <c r="E128" i="73"/>
  <c r="F16" i="102"/>
  <c r="H16" i="102" s="1"/>
  <c r="L69" i="102"/>
  <c r="N69" i="102" s="1"/>
  <c r="F27" i="101"/>
  <c r="G27" i="101" s="1"/>
  <c r="I6" i="47"/>
  <c r="I12" i="47" s="1"/>
  <c r="H48" i="65"/>
  <c r="M40" i="102"/>
  <c r="F40" i="102"/>
  <c r="H40" i="102" s="1"/>
  <c r="G40" i="102"/>
  <c r="G21" i="102"/>
  <c r="M21" i="102"/>
  <c r="F21" i="102"/>
  <c r="H21" i="102" s="1"/>
  <c r="E69" i="138"/>
  <c r="H69" i="138" s="1"/>
  <c r="E40" i="28"/>
  <c r="E43" i="28" s="1"/>
  <c r="G19" i="101"/>
  <c r="M19" i="101"/>
  <c r="F19" i="101"/>
  <c r="C21" i="100"/>
  <c r="M21" i="100"/>
  <c r="G21" i="100"/>
  <c r="F21" i="100"/>
  <c r="H21" i="100" s="1"/>
  <c r="AE19" i="67"/>
  <c r="AA52" i="67"/>
  <c r="M66" i="102"/>
  <c r="G66" i="102"/>
  <c r="L66" i="102"/>
  <c r="N66" i="102" s="1"/>
  <c r="F66" i="102"/>
  <c r="H66" i="102" s="1"/>
  <c r="L60" i="101"/>
  <c r="N60" i="101" s="1"/>
  <c r="G48" i="101"/>
  <c r="M48" i="101"/>
  <c r="F48" i="101"/>
  <c r="E102" i="138"/>
  <c r="H102" i="138" s="1"/>
  <c r="D152" i="64"/>
  <c r="D23" i="97"/>
  <c r="G48" i="137"/>
  <c r="G55" i="137" s="1"/>
  <c r="G57" i="137" s="1"/>
  <c r="G418" i="137" s="1"/>
  <c r="H30" i="65"/>
  <c r="M33" i="101"/>
  <c r="F33" i="101"/>
  <c r="G33" i="101"/>
  <c r="G43" i="100"/>
  <c r="F43" i="100"/>
  <c r="H43" i="100" s="1"/>
  <c r="C43" i="100"/>
  <c r="L43" i="100"/>
  <c r="N43" i="100" s="1"/>
  <c r="M43" i="100"/>
  <c r="H55" i="144"/>
  <c r="H56" i="144" s="1"/>
  <c r="I128" i="64"/>
  <c r="D11" i="85"/>
  <c r="D12" i="85" s="1"/>
  <c r="T45" i="67"/>
  <c r="E109" i="138"/>
  <c r="H109" i="138" s="1"/>
  <c r="E23" i="97"/>
  <c r="H48" i="137"/>
  <c r="H55" i="137" s="1"/>
  <c r="H57" i="137" s="1"/>
  <c r="E150" i="138"/>
  <c r="H150" i="138" s="1"/>
  <c r="K34" i="100"/>
  <c r="L34" i="100"/>
  <c r="N34" i="100" s="1"/>
  <c r="C22" i="100"/>
  <c r="G22" i="100"/>
  <c r="M22" i="100"/>
  <c r="F22" i="100"/>
  <c r="H22" i="100" s="1"/>
  <c r="M49" i="100"/>
  <c r="N38" i="122"/>
  <c r="E29" i="69"/>
  <c r="H173" i="73"/>
  <c r="H172" i="122" s="1"/>
  <c r="I60" i="64"/>
  <c r="K38" i="100"/>
  <c r="L38" i="100"/>
  <c r="N38" i="100" s="1"/>
  <c r="D50" i="64"/>
  <c r="M51" i="73"/>
  <c r="M51" i="122" s="1"/>
  <c r="B55" i="100"/>
  <c r="N51" i="122"/>
  <c r="D72" i="15"/>
  <c r="D75" i="15" s="1"/>
  <c r="I22" i="64"/>
  <c r="G43" i="101"/>
  <c r="M43" i="101"/>
  <c r="F43" i="101"/>
  <c r="M34" i="101"/>
  <c r="G34" i="101"/>
  <c r="F34" i="101"/>
  <c r="F26" i="101"/>
  <c r="G26" i="101" s="1"/>
  <c r="M76" i="101"/>
  <c r="F76" i="101"/>
  <c r="G76" i="101"/>
  <c r="L76" i="101"/>
  <c r="N76" i="101" s="1"/>
  <c r="E143" i="138"/>
  <c r="H143" i="138" s="1"/>
  <c r="H22" i="65"/>
  <c r="M70" i="102"/>
  <c r="G70" i="102"/>
  <c r="F70" i="102"/>
  <c r="H70" i="102" s="1"/>
  <c r="L70" i="102"/>
  <c r="N70" i="102" s="1"/>
  <c r="J101" i="122"/>
  <c r="M37" i="100"/>
  <c r="F37" i="100"/>
  <c r="H37" i="100" s="1"/>
  <c r="G37" i="100"/>
  <c r="C37" i="100"/>
  <c r="L21" i="100"/>
  <c r="N21" i="100" s="1"/>
  <c r="K21" i="100"/>
  <c r="M47" i="101"/>
  <c r="G47" i="101"/>
  <c r="F47" i="101"/>
  <c r="L47" i="101"/>
  <c r="N47" i="101" s="1"/>
  <c r="G377" i="137"/>
  <c r="E55" i="26"/>
  <c r="E56" i="26" s="1"/>
  <c r="I79" i="64"/>
  <c r="E108" i="138"/>
  <c r="H108" i="138" s="1"/>
  <c r="I115" i="64"/>
  <c r="E152" i="138"/>
  <c r="H152" i="138" s="1"/>
  <c r="E20" i="49"/>
  <c r="E21" i="49" s="1"/>
  <c r="F19" i="102"/>
  <c r="L19" i="102"/>
  <c r="N19" i="102" s="1"/>
  <c r="M19" i="102"/>
  <c r="D40" i="104"/>
  <c r="G19" i="102"/>
  <c r="I37" i="104"/>
  <c r="I30" i="104"/>
  <c r="I38" i="104"/>
  <c r="L12" i="102"/>
  <c r="I39" i="104"/>
  <c r="J87" i="102"/>
  <c r="D20" i="49"/>
  <c r="D21" i="49" s="1"/>
  <c r="H32" i="65"/>
  <c r="B29" i="68"/>
  <c r="C15" i="100"/>
  <c r="F15" i="100"/>
  <c r="H15" i="100" s="1"/>
  <c r="G15" i="100"/>
  <c r="M15" i="100"/>
  <c r="K29" i="69"/>
  <c r="L49" i="101"/>
  <c r="N49" i="101" s="1"/>
  <c r="K20" i="100"/>
  <c r="L20" i="100"/>
  <c r="N20" i="100" s="1"/>
  <c r="K18" i="100"/>
  <c r="L18" i="100"/>
  <c r="N18" i="100" s="1"/>
  <c r="AC14" i="67"/>
  <c r="N51" i="67"/>
  <c r="M17" i="101"/>
  <c r="G17" i="101"/>
  <c r="F17" i="101"/>
  <c r="L17" i="101"/>
  <c r="N17" i="101" s="1"/>
  <c r="E19" i="75"/>
  <c r="F19" i="75" s="1"/>
  <c r="F8" i="75"/>
  <c r="D8" i="75"/>
  <c r="D19" i="75" s="1"/>
  <c r="I6" i="64"/>
  <c r="E81" i="1"/>
  <c r="E82" i="1" s="1"/>
  <c r="F35" i="102"/>
  <c r="H17" i="65"/>
  <c r="E23" i="94"/>
  <c r="E24" i="94" s="1"/>
  <c r="E19" i="69" s="1"/>
  <c r="D19" i="69" s="1"/>
  <c r="E17" i="138"/>
  <c r="H17" i="138" s="1"/>
  <c r="L72" i="102"/>
  <c r="N72" i="102" s="1"/>
  <c r="M72" i="102"/>
  <c r="G72" i="102"/>
  <c r="F72" i="102"/>
  <c r="H72" i="102" s="1"/>
  <c r="D18" i="56"/>
  <c r="D19" i="56" s="1"/>
  <c r="E68" i="69" s="1"/>
  <c r="D68" i="69" s="1"/>
  <c r="E107" i="138"/>
  <c r="H107" i="138" s="1"/>
  <c r="I114" i="64"/>
  <c r="D45" i="30"/>
  <c r="D46" i="30" s="1"/>
  <c r="G374" i="137"/>
  <c r="I67" i="64"/>
  <c r="E45" i="30"/>
  <c r="E46" i="30" s="1"/>
  <c r="G72" i="137"/>
  <c r="E64" i="138"/>
  <c r="H64" i="138" s="1"/>
  <c r="E53" i="73"/>
  <c r="C53" i="70"/>
  <c r="L24" i="100"/>
  <c r="M24" i="100" s="1"/>
  <c r="F24" i="100"/>
  <c r="G24" i="100" s="1"/>
  <c r="K48" i="100"/>
  <c r="L48" i="100"/>
  <c r="N48" i="100" s="1"/>
  <c r="M60" i="102"/>
  <c r="G60" i="102"/>
  <c r="F60" i="102"/>
  <c r="H60" i="102" s="1"/>
  <c r="L60" i="102"/>
  <c r="N60" i="102" s="1"/>
  <c r="D28" i="84"/>
  <c r="E86" i="138"/>
  <c r="H86" i="138" s="1"/>
  <c r="L49" i="100"/>
  <c r="N49" i="100" s="1"/>
  <c r="K49" i="100"/>
  <c r="G48" i="100"/>
  <c r="C48" i="100"/>
  <c r="M48" i="100"/>
  <c r="F48" i="100"/>
  <c r="H48" i="100" s="1"/>
  <c r="L48" i="102"/>
  <c r="M48" i="102" s="1"/>
  <c r="F48" i="102"/>
  <c r="G48" i="102" s="1"/>
  <c r="E13" i="138"/>
  <c r="H13" i="138" s="1"/>
  <c r="E12" i="16"/>
  <c r="E13" i="16" s="1"/>
  <c r="G362" i="137"/>
  <c r="C152" i="64"/>
  <c r="I106" i="64"/>
  <c r="E100" i="53"/>
  <c r="E101" i="53" s="1"/>
  <c r="H72" i="69" s="1"/>
  <c r="E135" i="138"/>
  <c r="H135" i="138" s="1"/>
  <c r="K5" i="53"/>
  <c r="H62" i="137"/>
  <c r="H14" i="65"/>
  <c r="D108" i="53"/>
  <c r="D109" i="53" s="1"/>
  <c r="G63" i="137"/>
  <c r="H15" i="65"/>
  <c r="I13" i="53"/>
  <c r="D96" i="53"/>
  <c r="D97" i="53" s="1"/>
  <c r="G11" i="137"/>
  <c r="H5" i="53"/>
  <c r="H7" i="65"/>
  <c r="F43" i="102"/>
  <c r="D11" i="148"/>
  <c r="D12" i="148" s="1"/>
  <c r="E10" i="138"/>
  <c r="H10" i="138" s="1"/>
  <c r="D82" i="65"/>
  <c r="E21" i="127"/>
  <c r="E22" i="127" s="1"/>
  <c r="E146" i="138"/>
  <c r="H146" i="138" s="1"/>
  <c r="E128" i="138"/>
  <c r="H128" i="138" s="1"/>
  <c r="H11" i="137"/>
  <c r="E96" i="53"/>
  <c r="E97" i="53" s="1"/>
  <c r="J5" i="53"/>
  <c r="K52" i="100"/>
  <c r="L52" i="100"/>
  <c r="N52" i="100" s="1"/>
  <c r="K25" i="100"/>
  <c r="L25" i="100"/>
  <c r="N25" i="100" s="1"/>
  <c r="L45" i="100"/>
  <c r="N45" i="100" s="1"/>
  <c r="K45" i="100"/>
  <c r="M74" i="101"/>
  <c r="G74" i="101"/>
  <c r="E8" i="31"/>
  <c r="E9" i="31" s="1"/>
  <c r="E46" i="69" s="1"/>
  <c r="D46" i="69" s="1"/>
  <c r="G73" i="137"/>
  <c r="E63" i="138"/>
  <c r="H63" i="138" s="1"/>
  <c r="E9" i="46"/>
  <c r="E169" i="138"/>
  <c r="H169" i="138" s="1"/>
  <c r="D17" i="96"/>
  <c r="D18" i="96" s="1"/>
  <c r="E73" i="69" s="1"/>
  <c r="D73" i="69" s="1"/>
  <c r="H23" i="65"/>
  <c r="L43" i="102"/>
  <c r="M43" i="102" s="1"/>
  <c r="F74" i="101"/>
  <c r="E17" i="69"/>
  <c r="I24" i="64"/>
  <c r="I61" i="64"/>
  <c r="G49" i="100"/>
  <c r="V45" i="67"/>
  <c r="M38" i="73"/>
  <c r="M38" i="122" s="1"/>
  <c r="F44" i="66"/>
  <c r="D70" i="66"/>
  <c r="E97" i="69"/>
  <c r="H65" i="65"/>
  <c r="F41" i="69"/>
  <c r="C41" i="65"/>
  <c r="E52" i="70"/>
  <c r="K23" i="100"/>
  <c r="L23" i="100"/>
  <c r="N23" i="100" s="1"/>
  <c r="M20" i="101"/>
  <c r="F20" i="101"/>
  <c r="L20" i="101"/>
  <c r="N20" i="101" s="1"/>
  <c r="G20" i="101"/>
  <c r="M47" i="100"/>
  <c r="G47" i="100"/>
  <c r="F47" i="100"/>
  <c r="H47" i="100" s="1"/>
  <c r="C47" i="100"/>
  <c r="K27" i="100"/>
  <c r="L27" i="100"/>
  <c r="N27" i="100" s="1"/>
  <c r="I189" i="122"/>
  <c r="J63" i="102"/>
  <c r="C58" i="65"/>
  <c r="H190" i="73"/>
  <c r="H189" i="122" s="1"/>
  <c r="G49" i="101"/>
  <c r="M49" i="101"/>
  <c r="F49" i="101"/>
  <c r="E12" i="51"/>
  <c r="E13" i="51" s="1"/>
  <c r="E154" i="138"/>
  <c r="H154" i="138" s="1"/>
  <c r="C111" i="64"/>
  <c r="I111" i="64" s="1"/>
  <c r="I112" i="122"/>
  <c r="J62" i="101"/>
  <c r="H112" i="73"/>
  <c r="H112" i="122" s="1"/>
  <c r="I55" i="144"/>
  <c r="I56" i="144" s="1"/>
  <c r="E120" i="138"/>
  <c r="H120" i="138" s="1"/>
  <c r="H10" i="65"/>
  <c r="M27" i="102"/>
  <c r="F27" i="102"/>
  <c r="H27" i="102" s="1"/>
  <c r="G27" i="102"/>
  <c r="L27" i="102"/>
  <c r="N27" i="102" s="1"/>
  <c r="E18" i="55"/>
  <c r="H70" i="69" s="1"/>
  <c r="I122" i="64"/>
  <c r="C37" i="64"/>
  <c r="H38" i="73"/>
  <c r="H38" i="122" s="1"/>
  <c r="J42" i="100"/>
  <c r="I38" i="122"/>
  <c r="G46" i="100"/>
  <c r="L46" i="100"/>
  <c r="N46" i="100" s="1"/>
  <c r="C46" i="100"/>
  <c r="M46" i="100"/>
  <c r="F46" i="100"/>
  <c r="H46" i="100" s="1"/>
  <c r="M20" i="100"/>
  <c r="G20" i="100"/>
  <c r="F20" i="100"/>
  <c r="H20" i="100" s="1"/>
  <c r="C20" i="100"/>
  <c r="E30" i="138"/>
  <c r="H30" i="138" s="1"/>
  <c r="E33" i="12"/>
  <c r="E34" i="12" s="1"/>
  <c r="F27" i="69" s="1"/>
  <c r="D27" i="69" s="1"/>
  <c r="G375" i="137"/>
  <c r="K13" i="100"/>
  <c r="L13" i="100"/>
  <c r="N13" i="100" s="1"/>
  <c r="L41" i="101"/>
  <c r="N41" i="101" s="1"/>
  <c r="M50" i="100"/>
  <c r="C50" i="100"/>
  <c r="G50" i="100"/>
  <c r="F50" i="100"/>
  <c r="H50" i="100" s="1"/>
  <c r="M66" i="101"/>
  <c r="G66" i="101"/>
  <c r="F66" i="101"/>
  <c r="L66" i="101"/>
  <c r="N66" i="101" s="1"/>
  <c r="E142" i="138"/>
  <c r="H142" i="138" s="1"/>
  <c r="H21" i="65"/>
  <c r="J7" i="48"/>
  <c r="J14" i="48" s="1"/>
  <c r="E162" i="138"/>
  <c r="H162" i="138" s="1"/>
  <c r="M18" i="100"/>
  <c r="C18" i="100"/>
  <c r="G18" i="100"/>
  <c r="F18" i="100"/>
  <c r="H18" i="100" s="1"/>
  <c r="F57" i="101"/>
  <c r="G57" i="101" s="1"/>
  <c r="E11" i="85"/>
  <c r="E12" i="85" s="1"/>
  <c r="I118" i="64"/>
  <c r="L31" i="100"/>
  <c r="F31" i="100"/>
  <c r="L37" i="102"/>
  <c r="H20" i="65"/>
  <c r="E104" i="53"/>
  <c r="E105" i="53" s="1"/>
  <c r="H12" i="137"/>
  <c r="J13" i="53"/>
  <c r="E129" i="138"/>
  <c r="H129" i="138" s="1"/>
  <c r="B28" i="68"/>
  <c r="E37" i="138"/>
  <c r="H37" i="138" s="1"/>
  <c r="I38" i="64"/>
  <c r="L79" i="101"/>
  <c r="N79" i="101" s="1"/>
  <c r="F59" i="101"/>
  <c r="M59" i="101"/>
  <c r="G59" i="101"/>
  <c r="F29" i="69"/>
  <c r="D37" i="104"/>
  <c r="G37" i="104" s="1"/>
  <c r="D30" i="104"/>
  <c r="G30" i="104" s="1"/>
  <c r="D39" i="104"/>
  <c r="G39" i="104" s="1"/>
  <c r="D38" i="104"/>
  <c r="G38" i="104" s="1"/>
  <c r="F12" i="102"/>
  <c r="L39" i="100"/>
  <c r="N39" i="100" s="1"/>
  <c r="K39" i="100"/>
  <c r="K47" i="100"/>
  <c r="L47" i="100"/>
  <c r="N47" i="100" s="1"/>
  <c r="G63" i="101"/>
  <c r="F63" i="101"/>
  <c r="M63" i="101"/>
  <c r="L63" i="101"/>
  <c r="N63" i="101" s="1"/>
  <c r="M69" i="101"/>
  <c r="G69" i="101"/>
  <c r="F69" i="101"/>
  <c r="F55" i="102"/>
  <c r="L55" i="102"/>
  <c r="F15" i="102"/>
  <c r="G15" i="102"/>
  <c r="L11" i="100"/>
  <c r="M11" i="100" s="1"/>
  <c r="D36" i="29"/>
  <c r="D37" i="29" s="1"/>
  <c r="G376" i="137"/>
  <c r="G16" i="137"/>
  <c r="I68" i="64"/>
  <c r="G73" i="102"/>
  <c r="M73" i="102"/>
  <c r="F73" i="102"/>
  <c r="H73" i="102" s="1"/>
  <c r="L74" i="108"/>
  <c r="H44" i="65"/>
  <c r="G28" i="100"/>
  <c r="M28" i="100"/>
  <c r="C28" i="100"/>
  <c r="F28" i="100"/>
  <c r="H28" i="100" s="1"/>
  <c r="L28" i="100"/>
  <c r="N28" i="100" s="1"/>
  <c r="F65" i="101"/>
  <c r="M65" i="101"/>
  <c r="G65" i="101"/>
  <c r="L65" i="101"/>
  <c r="N65" i="101" s="1"/>
  <c r="M56" i="101"/>
  <c r="G56" i="101"/>
  <c r="F56" i="101"/>
  <c r="M12" i="101"/>
  <c r="G12" i="101"/>
  <c r="F12" i="101"/>
  <c r="K22" i="100"/>
  <c r="L22" i="100"/>
  <c r="N22" i="100" s="1"/>
  <c r="G27" i="95"/>
  <c r="G28" i="95" s="1"/>
  <c r="E20" i="69" s="1"/>
  <c r="D20" i="69" s="1"/>
  <c r="I18" i="64"/>
  <c r="F54" i="100"/>
  <c r="G54" i="100" s="1"/>
  <c r="F79" i="101"/>
  <c r="M79" i="101"/>
  <c r="G79" i="101"/>
  <c r="H49" i="103"/>
  <c r="K85" i="69"/>
  <c r="C13" i="65"/>
  <c r="H145" i="73"/>
  <c r="H145" i="122" s="1"/>
  <c r="I145" i="122"/>
  <c r="J18" i="102"/>
  <c r="I40" i="73"/>
  <c r="E40" i="122"/>
  <c r="D44" i="100"/>
  <c r="J54" i="73"/>
  <c r="J54" i="122" s="1"/>
  <c r="D141" i="70"/>
  <c r="F53" i="70"/>
  <c r="E20" i="55"/>
  <c r="J70" i="69" s="1"/>
  <c r="I124" i="64"/>
  <c r="M31" i="101"/>
  <c r="G31" i="101"/>
  <c r="L31" i="101"/>
  <c r="N31" i="101" s="1"/>
  <c r="F31" i="101"/>
  <c r="F39" i="102"/>
  <c r="H39" i="102" s="1"/>
  <c r="G39" i="102"/>
  <c r="M39" i="102"/>
  <c r="F22" i="102"/>
  <c r="H22" i="102" s="1"/>
  <c r="M22" i="102"/>
  <c r="L22" i="102"/>
  <c r="N22" i="102" s="1"/>
  <c r="G22" i="102"/>
  <c r="L15" i="102"/>
  <c r="G45" i="100"/>
  <c r="M45" i="100"/>
  <c r="F45" i="100"/>
  <c r="H45" i="100" s="1"/>
  <c r="C45" i="100"/>
  <c r="G41" i="101"/>
  <c r="M41" i="101"/>
  <c r="F41" i="101"/>
  <c r="H51" i="65"/>
  <c r="N138" i="122"/>
  <c r="B11" i="102"/>
  <c r="D6" i="65"/>
  <c r="M138" i="73"/>
  <c r="M138" i="122" s="1"/>
  <c r="L17" i="100"/>
  <c r="M17" i="100" s="1"/>
  <c r="D16" i="77"/>
  <c r="D17" i="77" s="1"/>
  <c r="E34" i="69" s="1"/>
  <c r="D34" i="69" s="1"/>
  <c r="E40" i="138"/>
  <c r="H40" i="138" s="1"/>
  <c r="I41" i="64"/>
  <c r="C36" i="100"/>
  <c r="M36" i="100"/>
  <c r="G36" i="100"/>
  <c r="L36" i="100"/>
  <c r="N36" i="100" s="1"/>
  <c r="F36" i="100"/>
  <c r="H36" i="100" s="1"/>
  <c r="D12" i="11"/>
  <c r="D13" i="11" s="1"/>
  <c r="E28" i="69" s="1"/>
  <c r="D28" i="69" s="1"/>
  <c r="E31" i="138"/>
  <c r="H31" i="138" s="1"/>
  <c r="G34" i="100"/>
  <c r="M34" i="100"/>
  <c r="C34" i="100"/>
  <c r="F34" i="100"/>
  <c r="H34" i="100" s="1"/>
  <c r="M42" i="101"/>
  <c r="G42" i="101"/>
  <c r="F42" i="101"/>
  <c r="K37" i="100"/>
  <c r="L37" i="100"/>
  <c r="N37" i="100" s="1"/>
  <c r="G37" i="102"/>
  <c r="M26" i="102"/>
  <c r="G26" i="102"/>
  <c r="F26" i="102"/>
  <c r="H26" i="102" s="1"/>
  <c r="L26" i="102"/>
  <c r="N26" i="102" s="1"/>
  <c r="G25" i="102"/>
  <c r="M25" i="102"/>
  <c r="F25" i="102"/>
  <c r="H25" i="102" s="1"/>
  <c r="E157" i="138"/>
  <c r="H157" i="138" s="1"/>
  <c r="E21" i="156"/>
  <c r="E22" i="156" s="1"/>
  <c r="F80" i="69" s="1"/>
  <c r="I125" i="64"/>
  <c r="K101" i="73"/>
  <c r="K101" i="122" s="1"/>
  <c r="L33" i="101"/>
  <c r="N33" i="101" s="1"/>
  <c r="M13" i="102"/>
  <c r="G13" i="102"/>
  <c r="L13" i="102"/>
  <c r="N13" i="102" s="1"/>
  <c r="F13" i="102"/>
  <c r="H13" i="102" s="1"/>
  <c r="F30" i="102"/>
  <c r="G30" i="102" s="1"/>
  <c r="B90" i="102"/>
  <c r="D22" i="97"/>
  <c r="H29" i="65"/>
  <c r="F53" i="102"/>
  <c r="H53" i="102" s="1"/>
  <c r="L53" i="102"/>
  <c r="N53" i="102" s="1"/>
  <c r="G53" i="102"/>
  <c r="M53" i="102"/>
  <c r="E22" i="82"/>
  <c r="E23" i="82"/>
  <c r="N88" i="73"/>
  <c r="G51" i="100"/>
  <c r="M51" i="100"/>
  <c r="C51" i="100"/>
  <c r="F51" i="100"/>
  <c r="H51" i="100" s="1"/>
  <c r="F70" i="69"/>
  <c r="F32" i="101"/>
  <c r="M32" i="101"/>
  <c r="G32" i="101"/>
  <c r="F41" i="100"/>
  <c r="G41" i="100" s="1"/>
  <c r="L41" i="100"/>
  <c r="M41" i="100" s="1"/>
  <c r="M15" i="101"/>
  <c r="G15" i="101"/>
  <c r="F15" i="101"/>
  <c r="L54" i="100"/>
  <c r="F12" i="100"/>
  <c r="H12" i="100" s="1"/>
  <c r="M12" i="100"/>
  <c r="G12" i="100"/>
  <c r="C12" i="100"/>
  <c r="L12" i="100"/>
  <c r="N12" i="100" s="1"/>
  <c r="D12" i="16"/>
  <c r="D13" i="16" s="1"/>
  <c r="G74" i="137"/>
  <c r="I13" i="64"/>
  <c r="D44" i="155"/>
  <c r="D45" i="155" s="1"/>
  <c r="E65" i="69" s="1"/>
  <c r="D65" i="69" s="1"/>
  <c r="H39" i="65"/>
  <c r="D21" i="156"/>
  <c r="D22" i="156" s="1"/>
  <c r="E80" i="69" s="1"/>
  <c r="M14" i="100"/>
  <c r="C14" i="100"/>
  <c r="F14" i="100"/>
  <c r="H14" i="100" s="1"/>
  <c r="G14" i="100"/>
  <c r="AC32" i="67"/>
  <c r="N55" i="67"/>
  <c r="G18" i="101"/>
  <c r="M18" i="101"/>
  <c r="F18" i="101"/>
  <c r="N111" i="73"/>
  <c r="J111" i="122"/>
  <c r="N53" i="133"/>
  <c r="M53" i="133" s="1"/>
  <c r="K54" i="133"/>
  <c r="N54" i="133" s="1"/>
  <c r="M54" i="133" s="1"/>
  <c r="K54" i="73"/>
  <c r="K53" i="122"/>
  <c r="G38" i="67"/>
  <c r="G45" i="67" s="1"/>
  <c r="G43" i="67"/>
  <c r="G44" i="67"/>
  <c r="G16" i="101"/>
  <c r="M16" i="101"/>
  <c r="L16" i="101"/>
  <c r="N16" i="101" s="1"/>
  <c r="F16" i="101"/>
  <c r="D74" i="108"/>
  <c r="C64" i="103"/>
  <c r="C108" i="103" s="1"/>
  <c r="C61" i="108"/>
  <c r="E36" i="138"/>
  <c r="H36" i="138" s="1"/>
  <c r="E11" i="148"/>
  <c r="E12" i="148" s="1"/>
  <c r="I10" i="64"/>
  <c r="C11" i="67"/>
  <c r="P42" i="67"/>
  <c r="M36" i="101"/>
  <c r="G36" i="101"/>
  <c r="L36" i="101"/>
  <c r="N36" i="101" s="1"/>
  <c r="F36" i="101"/>
  <c r="L29" i="100"/>
  <c r="N29" i="100" s="1"/>
  <c r="C29" i="100"/>
  <c r="F29" i="100"/>
  <c r="H29" i="100" s="1"/>
  <c r="G29" i="100"/>
  <c r="M29" i="100"/>
  <c r="D62" i="65"/>
  <c r="M194" i="73"/>
  <c r="M193" i="122" s="1"/>
  <c r="N193" i="122"/>
  <c r="B67" i="102"/>
  <c r="D25" i="47"/>
  <c r="D26" i="47" s="1"/>
  <c r="C85" i="65"/>
  <c r="I4" i="47"/>
  <c r="I10" i="47" s="1"/>
  <c r="H46" i="65"/>
  <c r="E125" i="20"/>
  <c r="G41" i="69" s="1"/>
  <c r="L27" i="68"/>
  <c r="O23" i="68"/>
  <c r="I74" i="108"/>
  <c r="E101" i="122"/>
  <c r="D51" i="101"/>
  <c r="E39" i="69"/>
  <c r="D39" i="69" s="1"/>
  <c r="E21" i="116"/>
  <c r="E22" i="116" s="1"/>
  <c r="F24" i="69" s="1"/>
  <c r="D24" i="69" s="1"/>
  <c r="E24" i="138"/>
  <c r="H24" i="138" s="1"/>
  <c r="I25" i="64"/>
  <c r="E172" i="138"/>
  <c r="H172" i="138" s="1"/>
  <c r="H54" i="65"/>
  <c r="K144" i="122"/>
  <c r="N144" i="73"/>
  <c r="K172" i="73"/>
  <c r="B11" i="67"/>
  <c r="O42" i="67"/>
  <c r="AA53" i="67"/>
  <c r="AE22" i="67"/>
  <c r="N171" i="133"/>
  <c r="M171" i="133" s="1"/>
  <c r="L181" i="133"/>
  <c r="I70" i="69"/>
  <c r="F35" i="101"/>
  <c r="M35" i="101"/>
  <c r="G35" i="101"/>
  <c r="F30" i="66"/>
  <c r="H13" i="104"/>
  <c r="F37" i="64"/>
  <c r="K14" i="100"/>
  <c r="L14" i="100"/>
  <c r="N14" i="100" s="1"/>
  <c r="D21" i="143"/>
  <c r="D22" i="143" s="1"/>
  <c r="E54" i="69" s="1"/>
  <c r="D54" i="69" s="1"/>
  <c r="E63" i="142"/>
  <c r="E64" i="142" s="1"/>
  <c r="H23" i="69" s="1"/>
  <c r="I84" i="64"/>
  <c r="D7" i="67"/>
  <c r="Q45" i="67"/>
  <c r="L111" i="133"/>
  <c r="N103" i="133"/>
  <c r="M103" i="133" s="1"/>
  <c r="G181" i="133"/>
  <c r="I171" i="133"/>
  <c r="H171" i="133" s="1"/>
  <c r="F22" i="101"/>
  <c r="G22" i="101" s="1"/>
  <c r="K74" i="108"/>
  <c r="D99" i="103"/>
  <c r="C119" i="64"/>
  <c r="H120" i="73"/>
  <c r="H120" i="122" s="1"/>
  <c r="I120" i="122"/>
  <c r="J70" i="101"/>
  <c r="I75" i="108"/>
  <c r="I76" i="108"/>
  <c r="N61" i="108"/>
  <c r="B64" i="103"/>
  <c r="B108" i="103" s="1"/>
  <c r="G54" i="133"/>
  <c r="G11" i="101"/>
  <c r="F11" i="101"/>
  <c r="M11" i="101"/>
  <c r="L11" i="101"/>
  <c r="N11" i="101" s="1"/>
  <c r="M46" i="101"/>
  <c r="F46" i="101"/>
  <c r="G46" i="101"/>
  <c r="L46" i="101"/>
  <c r="N46" i="101" s="1"/>
  <c r="B91" i="102"/>
  <c r="F33" i="102"/>
  <c r="G33" i="102" s="1"/>
  <c r="H57" i="66"/>
  <c r="I57" i="66"/>
  <c r="K57" i="66" s="1"/>
  <c r="H16" i="104"/>
  <c r="D106" i="103"/>
  <c r="C74" i="108"/>
  <c r="L15" i="100"/>
  <c r="N15" i="100" s="1"/>
  <c r="K15" i="100"/>
  <c r="C62" i="65"/>
  <c r="H194" i="73"/>
  <c r="H193" i="122" s="1"/>
  <c r="J67" i="102"/>
  <c r="I193" i="122"/>
  <c r="F45" i="102"/>
  <c r="G45" i="102" s="1"/>
  <c r="B92" i="102"/>
  <c r="D12" i="51"/>
  <c r="D13" i="51" s="1"/>
  <c r="G12" i="43"/>
  <c r="H12" i="43" s="1"/>
  <c r="H34" i="65"/>
  <c r="K1297" i="138"/>
  <c r="I87" i="139" s="1"/>
  <c r="F74" i="108"/>
  <c r="C104" i="103"/>
  <c r="D102" i="64"/>
  <c r="M103" i="73"/>
  <c r="M103" i="122" s="1"/>
  <c r="N103" i="122"/>
  <c r="B53" i="101"/>
  <c r="E42" i="10"/>
  <c r="K127" i="133"/>
  <c r="D23" i="104"/>
  <c r="B96" i="103"/>
  <c r="I103" i="103"/>
  <c r="G30" i="100"/>
  <c r="M30" i="100"/>
  <c r="F30" i="100"/>
  <c r="H30" i="100" s="1"/>
  <c r="L30" i="100"/>
  <c r="N30" i="100" s="1"/>
  <c r="C30" i="100"/>
  <c r="E11" i="67"/>
  <c r="E48" i="67" s="1"/>
  <c r="R42" i="67"/>
  <c r="D154" i="64"/>
  <c r="D40" i="144"/>
  <c r="D41" i="144" s="1"/>
  <c r="D10" i="153"/>
  <c r="D11" i="153" s="1"/>
  <c r="E61" i="69" s="1"/>
  <c r="D61" i="69" s="1"/>
  <c r="I92" i="64"/>
  <c r="D15" i="25"/>
  <c r="D16" i="25" s="1"/>
  <c r="E63" i="69" s="1"/>
  <c r="D63" i="69" s="1"/>
  <c r="E90" i="138"/>
  <c r="H90" i="138" s="1"/>
  <c r="M59" i="102"/>
  <c r="F59" i="102"/>
  <c r="H59" i="102" s="1"/>
  <c r="G59" i="102"/>
  <c r="L59" i="102"/>
  <c r="N59" i="102" s="1"/>
  <c r="K51" i="100"/>
  <c r="L51" i="100"/>
  <c r="N51" i="100" s="1"/>
  <c r="G48" i="67"/>
  <c r="E29" i="84"/>
  <c r="E30" i="84"/>
  <c r="D85" i="101"/>
  <c r="I63" i="64"/>
  <c r="J4" i="47"/>
  <c r="J10" i="47" s="1"/>
  <c r="D85" i="65"/>
  <c r="E25" i="47"/>
  <c r="E26" i="47" s="1"/>
  <c r="E164" i="138"/>
  <c r="H164" i="138" s="1"/>
  <c r="I83" i="64"/>
  <c r="E13" i="8"/>
  <c r="E14" i="8" s="1"/>
  <c r="I9" i="64"/>
  <c r="L35" i="101"/>
  <c r="N35" i="101" s="1"/>
  <c r="I111" i="133"/>
  <c r="H111" i="133" s="1"/>
  <c r="E57" i="66"/>
  <c r="F200" i="133"/>
  <c r="F184" i="133"/>
  <c r="F53" i="133"/>
  <c r="C96" i="103"/>
  <c r="F23" i="104"/>
  <c r="D35" i="103"/>
  <c r="E35" i="103" s="1"/>
  <c r="C101" i="103"/>
  <c r="J128" i="73"/>
  <c r="D129" i="70"/>
  <c r="D158" i="70" s="1"/>
  <c r="F127" i="70"/>
  <c r="I11" i="67"/>
  <c r="I48" i="67" s="1"/>
  <c r="V42" i="67"/>
  <c r="H7" i="67"/>
  <c r="E14" i="62"/>
  <c r="E15" i="62" s="1"/>
  <c r="E55" i="69" s="1"/>
  <c r="D55" i="69" s="1"/>
  <c r="I85" i="64"/>
  <c r="E81" i="138"/>
  <c r="H81" i="138" s="1"/>
  <c r="D59" i="66"/>
  <c r="F59" i="66" s="1"/>
  <c r="E34" i="43"/>
  <c r="E1192" i="138" s="1"/>
  <c r="H1192" i="138" s="1"/>
  <c r="E208" i="138"/>
  <c r="H208" i="138" s="1"/>
  <c r="D17" i="60"/>
  <c r="D18" i="60" s="1"/>
  <c r="E60" i="69" s="1"/>
  <c r="D60" i="69" s="1"/>
  <c r="I91" i="64"/>
  <c r="L39" i="102"/>
  <c r="N39" i="102" s="1"/>
  <c r="D104" i="103"/>
  <c r="D102" i="103"/>
  <c r="P59" i="108"/>
  <c r="H103" i="103"/>
  <c r="E33" i="69"/>
  <c r="D33" i="69" s="1"/>
  <c r="M45" i="101"/>
  <c r="G45" i="101"/>
  <c r="F45" i="101"/>
  <c r="L45" i="101"/>
  <c r="N45" i="101" s="1"/>
  <c r="I88" i="73"/>
  <c r="F88" i="122"/>
  <c r="F101" i="73"/>
  <c r="F101" i="122" s="1"/>
  <c r="E20" i="152"/>
  <c r="E21" i="152" s="1"/>
  <c r="I46" i="64"/>
  <c r="C151" i="64"/>
  <c r="I103" i="64"/>
  <c r="H68" i="65"/>
  <c r="E77" i="43"/>
  <c r="E1213" i="138" s="1"/>
  <c r="H1213" i="138" s="1"/>
  <c r="E1208" i="138"/>
  <c r="H1208" i="138" s="1"/>
  <c r="M14" i="101"/>
  <c r="G14" i="101"/>
  <c r="F14" i="101"/>
  <c r="L14" i="101"/>
  <c r="N14" i="101" s="1"/>
  <c r="D25" i="69"/>
  <c r="E62" i="138"/>
  <c r="E768" i="138"/>
  <c r="H768" i="138" s="1"/>
  <c r="H771" i="138" s="1"/>
  <c r="F40" i="139" s="1"/>
  <c r="E40" i="139" s="1"/>
  <c r="I65" i="64"/>
  <c r="D71" i="65"/>
  <c r="M203" i="73"/>
  <c r="M202" i="122" s="1"/>
  <c r="N202" i="122"/>
  <c r="B76" i="102"/>
  <c r="D61" i="44"/>
  <c r="D62" i="44" s="1"/>
  <c r="I117" i="64"/>
  <c r="E27" i="5"/>
  <c r="E28" i="5" s="1"/>
  <c r="E44" i="69" s="1"/>
  <c r="D44" i="69" s="1"/>
  <c r="E57" i="138"/>
  <c r="H57" i="138" s="1"/>
  <c r="D23" i="145"/>
  <c r="D24" i="145" s="1"/>
  <c r="E64" i="69" s="1"/>
  <c r="D64" i="69" s="1"/>
  <c r="E91" i="138"/>
  <c r="H91" i="138" s="1"/>
  <c r="Q56" i="67"/>
  <c r="N53" i="67"/>
  <c r="AC22" i="67"/>
  <c r="D42" i="10"/>
  <c r="E520" i="138"/>
  <c r="H520" i="138" s="1"/>
  <c r="H523" i="138" s="1"/>
  <c r="F28" i="139" s="1"/>
  <c r="E28" i="139" s="1"/>
  <c r="E35" i="69"/>
  <c r="D35" i="69" s="1"/>
  <c r="I14" i="57"/>
  <c r="H44" i="66" l="1"/>
  <c r="I44" i="66"/>
  <c r="K44" i="66" s="1"/>
  <c r="C70" i="66"/>
  <c r="C59" i="66"/>
  <c r="C74" i="66" s="1"/>
  <c r="G9" i="69" a="1"/>
  <c r="J1297" i="138"/>
  <c r="H87" i="139" s="1"/>
  <c r="J50" i="101"/>
  <c r="J85" i="101" s="1"/>
  <c r="G37" i="28"/>
  <c r="F381" i="138"/>
  <c r="M381" i="138" s="1"/>
  <c r="M382" i="138" s="1"/>
  <c r="H43" i="18"/>
  <c r="F17" i="69" s="1"/>
  <c r="I100" i="122"/>
  <c r="C99" i="64"/>
  <c r="E99" i="64" s="1"/>
  <c r="E104" i="103"/>
  <c r="I30" i="66"/>
  <c r="K30" i="66" s="1"/>
  <c r="D100" i="103"/>
  <c r="E13" i="69"/>
  <c r="D13" i="69" s="1"/>
  <c r="M15" i="102"/>
  <c r="E17" i="58"/>
  <c r="E18" i="58" s="1"/>
  <c r="E66" i="69" s="1"/>
  <c r="D66" i="69" s="1"/>
  <c r="M100" i="73"/>
  <c r="M100" i="122" s="1"/>
  <c r="H62" i="103"/>
  <c r="I62" i="103" s="1"/>
  <c r="I107" i="103" s="1"/>
  <c r="D62" i="103"/>
  <c r="L101" i="133"/>
  <c r="N101" i="133" s="1"/>
  <c r="M101" i="133" s="1"/>
  <c r="J1259" i="138"/>
  <c r="F87" i="139" s="1"/>
  <c r="E87" i="139" s="1"/>
  <c r="E64" i="102"/>
  <c r="F31" i="104"/>
  <c r="H31" i="104" s="1"/>
  <c r="E36" i="102"/>
  <c r="E21" i="102"/>
  <c r="E13" i="102"/>
  <c r="E63" i="102"/>
  <c r="E29" i="102"/>
  <c r="E25" i="102"/>
  <c r="E48" i="102"/>
  <c r="F25" i="104"/>
  <c r="H25" i="104" s="1"/>
  <c r="E15" i="102"/>
  <c r="E52" i="102"/>
  <c r="E62" i="102"/>
  <c r="E11" i="102"/>
  <c r="E49" i="102"/>
  <c r="E23" i="102"/>
  <c r="E34" i="102"/>
  <c r="E67" i="102"/>
  <c r="E12" i="102"/>
  <c r="E69" i="102"/>
  <c r="E79" i="102"/>
  <c r="E50" i="102"/>
  <c r="E54" i="102"/>
  <c r="E75" i="102"/>
  <c r="E46" i="102"/>
  <c r="E57" i="102"/>
  <c r="E72" i="102"/>
  <c r="E47" i="102"/>
  <c r="E14" i="102"/>
  <c r="E60" i="102"/>
  <c r="E40" i="102"/>
  <c r="E20" i="102"/>
  <c r="E41" i="102"/>
  <c r="E33" i="102"/>
  <c r="E59" i="102"/>
  <c r="E18" i="102"/>
  <c r="E28" i="102"/>
  <c r="E24" i="102"/>
  <c r="E42" i="102"/>
  <c r="E77" i="102"/>
  <c r="E68" i="102"/>
  <c r="E17" i="102"/>
  <c r="E44" i="102"/>
  <c r="E45" i="102"/>
  <c r="E58" i="102"/>
  <c r="E31" i="102"/>
  <c r="E71" i="102"/>
  <c r="E65" i="102"/>
  <c r="E19" i="102"/>
  <c r="E74" i="102"/>
  <c r="E32" i="102"/>
  <c r="E26" i="102"/>
  <c r="E30" i="102"/>
  <c r="E90" i="102" s="1"/>
  <c r="E38" i="102"/>
  <c r="E76" i="102"/>
  <c r="E73" i="102"/>
  <c r="F24" i="104"/>
  <c r="H24" i="104" s="1"/>
  <c r="E55" i="102"/>
  <c r="E51" i="102"/>
  <c r="E22" i="102"/>
  <c r="E35" i="102"/>
  <c r="E78" i="102"/>
  <c r="E39" i="102"/>
  <c r="E61" i="102"/>
  <c r="E70" i="102"/>
  <c r="E53" i="102"/>
  <c r="E66" i="102"/>
  <c r="E27" i="102"/>
  <c r="E43" i="102"/>
  <c r="E56" i="102"/>
  <c r="E37" i="102"/>
  <c r="E16" i="102"/>
  <c r="E10" i="102"/>
  <c r="F32" i="104"/>
  <c r="H32" i="104" s="1"/>
  <c r="D86" i="102"/>
  <c r="D57" i="65"/>
  <c r="B62" i="102"/>
  <c r="N188" i="122"/>
  <c r="M189" i="73"/>
  <c r="M188" i="122" s="1"/>
  <c r="H106" i="103"/>
  <c r="K48" i="67"/>
  <c r="K38" i="67"/>
  <c r="K56" i="67" s="1"/>
  <c r="E37" i="69"/>
  <c r="D37" i="69" s="1"/>
  <c r="G43" i="102"/>
  <c r="E102" i="64"/>
  <c r="E17" i="57"/>
  <c r="E18" i="57" s="1"/>
  <c r="D97" i="69"/>
  <c r="E59" i="66"/>
  <c r="D34" i="43"/>
  <c r="I34" i="103"/>
  <c r="I100" i="103" s="1"/>
  <c r="H100" i="103"/>
  <c r="M16" i="65"/>
  <c r="D52" i="71"/>
  <c r="D88" i="71" s="1"/>
  <c r="J182" i="73"/>
  <c r="J181" i="122" s="1"/>
  <c r="F50" i="71"/>
  <c r="H30" i="66"/>
  <c r="G21" i="43"/>
  <c r="E30" i="66"/>
  <c r="H35" i="65"/>
  <c r="J22" i="101"/>
  <c r="L22" i="101" s="1"/>
  <c r="M22" i="101" s="1"/>
  <c r="E6" i="65"/>
  <c r="I34" i="104"/>
  <c r="K34" i="104" s="1"/>
  <c r="L53" i="101"/>
  <c r="M53" i="101" s="1"/>
  <c r="D23" i="69"/>
  <c r="B93" i="102"/>
  <c r="H72" i="73"/>
  <c r="H72" i="122" s="1"/>
  <c r="C79" i="65"/>
  <c r="I50" i="64"/>
  <c r="F53" i="122"/>
  <c r="L17" i="69"/>
  <c r="D26" i="69"/>
  <c r="G17" i="57"/>
  <c r="G18" i="57"/>
  <c r="F67" i="69" s="1"/>
  <c r="G182" i="73"/>
  <c r="G184" i="73" s="1"/>
  <c r="D20" i="97"/>
  <c r="D21" i="97" s="1"/>
  <c r="E26" i="27"/>
  <c r="E27" i="27" s="1"/>
  <c r="E28" i="44"/>
  <c r="E29" i="44" s="1"/>
  <c r="E85" i="69" s="1"/>
  <c r="C71" i="64"/>
  <c r="E35" i="28" s="1"/>
  <c r="E36" i="28" s="1"/>
  <c r="N22" i="64"/>
  <c r="C140" i="64"/>
  <c r="H28" i="65"/>
  <c r="E148" i="138"/>
  <c r="H148" i="138" s="1"/>
  <c r="E20" i="97"/>
  <c r="E21" i="97" s="1"/>
  <c r="L33" i="102"/>
  <c r="M33" i="102" s="1"/>
  <c r="I73" i="64"/>
  <c r="D41" i="28"/>
  <c r="D44" i="28" s="1"/>
  <c r="L50" i="102"/>
  <c r="J90" i="102"/>
  <c r="L171" i="122"/>
  <c r="G50" i="102"/>
  <c r="G93" i="102" s="1"/>
  <c r="M62" i="101"/>
  <c r="I10" i="104"/>
  <c r="K10" i="104" s="1"/>
  <c r="F18" i="102"/>
  <c r="H18" i="102" s="1"/>
  <c r="D39" i="64"/>
  <c r="F39" i="64" s="1"/>
  <c r="F64" i="102"/>
  <c r="H64" i="102" s="1"/>
  <c r="C94" i="65"/>
  <c r="C110" i="64"/>
  <c r="E110" i="64" s="1"/>
  <c r="G68" i="101"/>
  <c r="G62" i="101"/>
  <c r="D35" i="28"/>
  <c r="D36" i="28" s="1"/>
  <c r="G90" i="102"/>
  <c r="D68" i="15"/>
  <c r="D69" i="15" s="1"/>
  <c r="D21" i="127"/>
  <c r="D22" i="127" s="1"/>
  <c r="E75" i="69" s="1"/>
  <c r="D75" i="69" s="1"/>
  <c r="G22" i="69"/>
  <c r="D156" i="64"/>
  <c r="J72" i="69"/>
  <c r="N100" i="122"/>
  <c r="M90" i="102"/>
  <c r="E110" i="138"/>
  <c r="H110" i="138" s="1"/>
  <c r="U45" i="67"/>
  <c r="B44" i="100"/>
  <c r="F44" i="100" s="1"/>
  <c r="F119" i="64"/>
  <c r="N40" i="122"/>
  <c r="I97" i="64"/>
  <c r="D99" i="64"/>
  <c r="E95" i="138" s="1"/>
  <c r="H95" i="138" s="1"/>
  <c r="M68" i="101"/>
  <c r="M50" i="102"/>
  <c r="M93" i="102" s="1"/>
  <c r="N53" i="73"/>
  <c r="D52" i="64" s="1"/>
  <c r="O20" i="64" s="1"/>
  <c r="L70" i="101"/>
  <c r="M70" i="101" s="1"/>
  <c r="L62" i="101"/>
  <c r="N62" i="101" s="1"/>
  <c r="L68" i="101"/>
  <c r="N68" i="101" s="1"/>
  <c r="H28" i="73"/>
  <c r="H28" i="122" s="1"/>
  <c r="E38" i="69"/>
  <c r="D38" i="69" s="1"/>
  <c r="E14" i="69"/>
  <c r="D14" i="69" s="1"/>
  <c r="E159" i="138"/>
  <c r="H159" i="138" s="1"/>
  <c r="H41" i="65"/>
  <c r="E93" i="138"/>
  <c r="H93" i="138" s="1"/>
  <c r="L26" i="100"/>
  <c r="N26" i="100" s="1"/>
  <c r="C27" i="64"/>
  <c r="E27" i="64" s="1"/>
  <c r="L54" i="73"/>
  <c r="L54" i="122" s="1"/>
  <c r="L21" i="69"/>
  <c r="D21" i="69" s="1"/>
  <c r="D148" i="64"/>
  <c r="F63" i="102"/>
  <c r="H63" i="102" s="1"/>
  <c r="L63" i="102"/>
  <c r="N63" i="102" s="1"/>
  <c r="J32" i="100"/>
  <c r="J61" i="100" s="1"/>
  <c r="G31" i="100"/>
  <c r="D84" i="65"/>
  <c r="M31" i="100"/>
  <c r="B85" i="101"/>
  <c r="F50" i="101"/>
  <c r="F85" i="101" s="1"/>
  <c r="M50" i="101"/>
  <c r="M85" i="101" s="1"/>
  <c r="G378" i="137"/>
  <c r="I75" i="64"/>
  <c r="J4" i="48"/>
  <c r="J11" i="48" s="1"/>
  <c r="G82" i="69" s="1"/>
  <c r="D146" i="64"/>
  <c r="D29" i="69"/>
  <c r="E72" i="138"/>
  <c r="H72" i="138" s="1"/>
  <c r="E50" i="69"/>
  <c r="D50" i="69" s="1"/>
  <c r="F83" i="69"/>
  <c r="I172" i="73"/>
  <c r="J44" i="102" s="1"/>
  <c r="L67" i="102"/>
  <c r="N67" i="102" s="1"/>
  <c r="C82" i="65"/>
  <c r="L45" i="102"/>
  <c r="M45" i="102" s="1"/>
  <c r="M92" i="102" s="1"/>
  <c r="G64" i="102"/>
  <c r="J61" i="101"/>
  <c r="L64" i="102"/>
  <c r="N64" i="102" s="1"/>
  <c r="I37" i="64"/>
  <c r="H111" i="73"/>
  <c r="H111" i="122" s="1"/>
  <c r="D80" i="69"/>
  <c r="E53" i="69"/>
  <c r="D53" i="69" s="1"/>
  <c r="D41" i="69"/>
  <c r="M137" i="73"/>
  <c r="M137" i="122" s="1"/>
  <c r="E68" i="138"/>
  <c r="H68" i="138" s="1"/>
  <c r="D22" i="82"/>
  <c r="E52" i="69" s="1"/>
  <c r="M35" i="102"/>
  <c r="E30" i="69"/>
  <c r="D30" i="69" s="1"/>
  <c r="M37" i="102"/>
  <c r="F13" i="65"/>
  <c r="H104" i="103"/>
  <c r="I49" i="103"/>
  <c r="I104" i="103" s="1"/>
  <c r="H99" i="103"/>
  <c r="I24" i="103"/>
  <c r="I99" i="103" s="1"/>
  <c r="I144" i="122"/>
  <c r="G55" i="102"/>
  <c r="M55" i="102"/>
  <c r="G35" i="102"/>
  <c r="G91" i="102" s="1"/>
  <c r="B10" i="102"/>
  <c r="M12" i="102"/>
  <c r="G12" i="102"/>
  <c r="E50" i="71"/>
  <c r="M54" i="100"/>
  <c r="G53" i="100"/>
  <c r="L42" i="100"/>
  <c r="M40" i="100"/>
  <c r="G35" i="100"/>
  <c r="N28" i="122"/>
  <c r="M28" i="73"/>
  <c r="M28" i="122" s="1"/>
  <c r="D91" i="65"/>
  <c r="E15" i="69"/>
  <c r="D15" i="69" s="1"/>
  <c r="G42" i="100"/>
  <c r="N137" i="122"/>
  <c r="H59" i="65"/>
  <c r="F76" i="69"/>
  <c r="G63" i="102"/>
  <c r="G9" i="69"/>
  <c r="D27" i="64"/>
  <c r="O18" i="64" s="1"/>
  <c r="E48" i="69"/>
  <c r="D48" i="69" s="1"/>
  <c r="G83" i="69"/>
  <c r="E79" i="69"/>
  <c r="D79" i="69" s="1"/>
  <c r="E47" i="69"/>
  <c r="D47" i="69" s="1"/>
  <c r="E68" i="15"/>
  <c r="E69" i="15" s="1"/>
  <c r="D138" i="64"/>
  <c r="E21" i="138"/>
  <c r="H21" i="138" s="1"/>
  <c r="G54" i="73"/>
  <c r="G54" i="122" s="1"/>
  <c r="G53" i="122"/>
  <c r="E78" i="69"/>
  <c r="D78" i="69" s="1"/>
  <c r="N17" i="64"/>
  <c r="C12" i="65"/>
  <c r="C80" i="65" s="1"/>
  <c r="D78" i="101"/>
  <c r="D87" i="101" s="1"/>
  <c r="E128" i="122"/>
  <c r="F182" i="73"/>
  <c r="F171" i="122"/>
  <c r="C26" i="100"/>
  <c r="G26" i="100"/>
  <c r="D10" i="104"/>
  <c r="M26" i="100"/>
  <c r="F26" i="100"/>
  <c r="H26" i="100" s="1"/>
  <c r="M18" i="102"/>
  <c r="M89" i="102" s="1"/>
  <c r="G18" i="102"/>
  <c r="G89" i="102" s="1"/>
  <c r="G64" i="103"/>
  <c r="I35" i="104" s="1"/>
  <c r="K35" i="104" s="1"/>
  <c r="O59" i="108"/>
  <c r="H61" i="108"/>
  <c r="G56" i="67"/>
  <c r="O22" i="64"/>
  <c r="O16" i="64"/>
  <c r="I72" i="69"/>
  <c r="G65" i="137"/>
  <c r="G71" i="137" s="1"/>
  <c r="G85" i="137" s="1"/>
  <c r="G87" i="137" s="1"/>
  <c r="G420" i="137" s="1"/>
  <c r="H144" i="73"/>
  <c r="H144" i="122" s="1"/>
  <c r="G368" i="137"/>
  <c r="G370" i="137" s="1"/>
  <c r="G450" i="137" s="1"/>
  <c r="N101" i="73"/>
  <c r="N101" i="122" s="1"/>
  <c r="G76" i="69"/>
  <c r="E130" i="73"/>
  <c r="C158" i="70"/>
  <c r="E129" i="70"/>
  <c r="C130" i="70"/>
  <c r="C52" i="71"/>
  <c r="C88" i="71" s="1"/>
  <c r="E182" i="73"/>
  <c r="I137" i="122"/>
  <c r="J10" i="102"/>
  <c r="I12" i="104" s="1"/>
  <c r="K12" i="104" s="1"/>
  <c r="H137" i="73"/>
  <c r="H137" i="122" s="1"/>
  <c r="C5" i="65"/>
  <c r="E74" i="69"/>
  <c r="D74" i="69" s="1"/>
  <c r="I88" i="133"/>
  <c r="H88" i="133" s="1"/>
  <c r="G101" i="133"/>
  <c r="I101" i="133" s="1"/>
  <c r="H101" i="133" s="1"/>
  <c r="I23" i="104"/>
  <c r="K23" i="104" s="1"/>
  <c r="G96" i="103"/>
  <c r="G101" i="103"/>
  <c r="D43" i="48"/>
  <c r="D44" i="48" s="1"/>
  <c r="E82" i="69" s="1"/>
  <c r="I21" i="64"/>
  <c r="E77" i="69"/>
  <c r="D77" i="69" s="1"/>
  <c r="D44" i="102"/>
  <c r="E171" i="122"/>
  <c r="O17" i="64"/>
  <c r="E92" i="53"/>
  <c r="E93" i="53" s="1"/>
  <c r="E134" i="138"/>
  <c r="H134" i="138" s="1"/>
  <c r="J89" i="102"/>
  <c r="L18" i="102"/>
  <c r="L184" i="73"/>
  <c r="L181" i="122"/>
  <c r="K128" i="133"/>
  <c r="K130" i="133" s="1"/>
  <c r="K131" i="133" s="1"/>
  <c r="E18" i="69"/>
  <c r="D18" i="69" s="1"/>
  <c r="B87" i="102"/>
  <c r="F11" i="102"/>
  <c r="G11" i="102" s="1"/>
  <c r="L11" i="102"/>
  <c r="M11" i="102" s="1"/>
  <c r="I16" i="144"/>
  <c r="I17" i="144" s="1"/>
  <c r="E59" i="69" s="1"/>
  <c r="E40" i="144"/>
  <c r="E41" i="144" s="1"/>
  <c r="F59" i="69" s="1"/>
  <c r="C154" i="64"/>
  <c r="C90" i="65"/>
  <c r="H58" i="65"/>
  <c r="E46" i="44"/>
  <c r="E47" i="44" s="1"/>
  <c r="H27" i="137"/>
  <c r="H29" i="137" s="1"/>
  <c r="G72" i="69"/>
  <c r="K38" i="104"/>
  <c r="J38" i="104"/>
  <c r="H19" i="102"/>
  <c r="F52" i="69"/>
  <c r="M55" i="100"/>
  <c r="C55" i="100"/>
  <c r="G55" i="100"/>
  <c r="F55" i="100"/>
  <c r="H55" i="100" s="1"/>
  <c r="L55" i="100"/>
  <c r="N55" i="100" s="1"/>
  <c r="I4" i="48"/>
  <c r="I11" i="48" s="1"/>
  <c r="F82" i="69" s="1"/>
  <c r="D74" i="66"/>
  <c r="C84" i="65"/>
  <c r="G27" i="137"/>
  <c r="G29" i="137" s="1"/>
  <c r="G416" i="137" s="1"/>
  <c r="D29" i="84"/>
  <c r="E58" i="69" s="1"/>
  <c r="D30" i="84"/>
  <c r="F58" i="69" s="1"/>
  <c r="E53" i="70"/>
  <c r="E54" i="73"/>
  <c r="C141" i="70"/>
  <c r="J30" i="104"/>
  <c r="K30" i="104"/>
  <c r="J40" i="104"/>
  <c r="G40" i="104"/>
  <c r="D21" i="7"/>
  <c r="D22" i="7" s="1"/>
  <c r="E42" i="69" s="1"/>
  <c r="D42" i="69" s="1"/>
  <c r="E49" i="138"/>
  <c r="H49" i="138" s="1"/>
  <c r="D140" i="64"/>
  <c r="D78" i="65"/>
  <c r="E126" i="138"/>
  <c r="H126" i="138" s="1"/>
  <c r="E88" i="53"/>
  <c r="E89" i="53" s="1"/>
  <c r="F5" i="65"/>
  <c r="H6" i="65"/>
  <c r="E127" i="138"/>
  <c r="H127" i="138" s="1"/>
  <c r="F6" i="65"/>
  <c r="D79" i="65"/>
  <c r="J88" i="102"/>
  <c r="G92" i="102"/>
  <c r="B38" i="101"/>
  <c r="D17" i="104" s="1"/>
  <c r="G17" i="104" s="1"/>
  <c r="N88" i="122"/>
  <c r="M88" i="73"/>
  <c r="M88" i="122" s="1"/>
  <c r="D87" i="64"/>
  <c r="F90" i="102"/>
  <c r="I40" i="122"/>
  <c r="J44" i="100"/>
  <c r="C39" i="64"/>
  <c r="H40" i="73"/>
  <c r="H40" i="122" s="1"/>
  <c r="C81" i="65"/>
  <c r="D92" i="53"/>
  <c r="D93" i="53" s="1"/>
  <c r="E13" i="65"/>
  <c r="H13" i="65"/>
  <c r="E37" i="64"/>
  <c r="D57" i="100"/>
  <c r="E53" i="122"/>
  <c r="I53" i="73"/>
  <c r="J39" i="104"/>
  <c r="K39" i="104"/>
  <c r="K37" i="104"/>
  <c r="J37" i="104"/>
  <c r="E69" i="69"/>
  <c r="D69" i="69" s="1"/>
  <c r="H59" i="69"/>
  <c r="L90" i="102"/>
  <c r="F76" i="102"/>
  <c r="H76" i="102" s="1"/>
  <c r="G76" i="102"/>
  <c r="M76" i="102"/>
  <c r="D96" i="103"/>
  <c r="D11" i="67"/>
  <c r="D48" i="67" s="1"/>
  <c r="Q42" i="67"/>
  <c r="K182" i="73"/>
  <c r="K171" i="122"/>
  <c r="N172" i="73"/>
  <c r="D86" i="101"/>
  <c r="C38" i="67"/>
  <c r="C45" i="67" s="1"/>
  <c r="C43" i="67"/>
  <c r="C44" i="67"/>
  <c r="D61" i="66"/>
  <c r="E237" i="138"/>
  <c r="H237" i="138" s="1"/>
  <c r="J128" i="122"/>
  <c r="H23" i="104"/>
  <c r="G23" i="104"/>
  <c r="M12" i="67"/>
  <c r="M49" i="67" s="1"/>
  <c r="D46" i="67"/>
  <c r="G85" i="101"/>
  <c r="L76" i="102"/>
  <c r="N76" i="102" s="1"/>
  <c r="D17" i="57"/>
  <c r="D18" i="57" s="1"/>
  <c r="D150" i="64"/>
  <c r="F102" i="64"/>
  <c r="E98" i="138"/>
  <c r="H98" i="138" s="1"/>
  <c r="F92" i="102"/>
  <c r="C92" i="65"/>
  <c r="E34" i="44"/>
  <c r="E35" i="44" s="1"/>
  <c r="H62" i="65"/>
  <c r="I102" i="64"/>
  <c r="O62" i="108"/>
  <c r="N75" i="108"/>
  <c r="P61" i="108"/>
  <c r="P60" i="108"/>
  <c r="B66" i="103"/>
  <c r="N76" i="108"/>
  <c r="D12" i="65"/>
  <c r="M144" i="73"/>
  <c r="M144" i="122" s="1"/>
  <c r="B17" i="102"/>
  <c r="N144" i="122"/>
  <c r="E83" i="69"/>
  <c r="D92" i="65"/>
  <c r="F34" i="44"/>
  <c r="F35" i="44" s="1"/>
  <c r="D94" i="65"/>
  <c r="C48" i="67"/>
  <c r="C75" i="108"/>
  <c r="C66" i="103"/>
  <c r="F35" i="104" s="1"/>
  <c r="H35" i="104" s="1"/>
  <c r="C76" i="108"/>
  <c r="C87" i="64"/>
  <c r="H88" i="73"/>
  <c r="H88" i="122" s="1"/>
  <c r="J38" i="101"/>
  <c r="I88" i="122"/>
  <c r="H96" i="103"/>
  <c r="H101" i="103"/>
  <c r="B97" i="103"/>
  <c r="D101" i="103"/>
  <c r="F54" i="133"/>
  <c r="I54" i="133" s="1"/>
  <c r="H54" i="133" s="1"/>
  <c r="I53" i="133"/>
  <c r="H53" i="133" s="1"/>
  <c r="D35" i="104"/>
  <c r="D34" i="104"/>
  <c r="G34" i="104" s="1"/>
  <c r="F53" i="101"/>
  <c r="G53" i="101" s="1"/>
  <c r="F91" i="102"/>
  <c r="N111" i="133"/>
  <c r="M111" i="133" s="1"/>
  <c r="E101" i="103"/>
  <c r="B38" i="67"/>
  <c r="B56" i="67" s="1"/>
  <c r="B43" i="67"/>
  <c r="I101" i="73"/>
  <c r="M67" i="102"/>
  <c r="F67" i="102"/>
  <c r="H67" i="102" s="1"/>
  <c r="G67" i="102"/>
  <c r="C97" i="103"/>
  <c r="D64" i="103"/>
  <c r="D97" i="103" s="1"/>
  <c r="K54" i="122"/>
  <c r="H11" i="67"/>
  <c r="U42" i="67"/>
  <c r="J130" i="73"/>
  <c r="D130" i="70"/>
  <c r="F129" i="70"/>
  <c r="Z13" i="67"/>
  <c r="E179" i="138"/>
  <c r="H179" i="138" s="1"/>
  <c r="I44" i="67"/>
  <c r="I43" i="67"/>
  <c r="I38" i="67"/>
  <c r="I45" i="67" s="1"/>
  <c r="F201" i="133"/>
  <c r="F117" i="133" s="1"/>
  <c r="F127" i="133"/>
  <c r="C61" i="66"/>
  <c r="G31" i="43"/>
  <c r="H31" i="43" s="1"/>
  <c r="I59" i="66"/>
  <c r="K59" i="66" s="1"/>
  <c r="H59" i="66"/>
  <c r="E43" i="67"/>
  <c r="E38" i="67"/>
  <c r="E45" i="67" s="1"/>
  <c r="E44" i="67"/>
  <c r="E12" i="55"/>
  <c r="E13" i="55" s="1"/>
  <c r="E70" i="69" s="1"/>
  <c r="D70" i="69" s="1"/>
  <c r="E119" i="64"/>
  <c r="C156" i="64"/>
  <c r="I119" i="64"/>
  <c r="G183" i="133"/>
  <c r="I181" i="133"/>
  <c r="H181" i="133" s="1"/>
  <c r="F93" i="102"/>
  <c r="H50" i="102"/>
  <c r="H93" i="102" s="1"/>
  <c r="N181" i="133"/>
  <c r="M181" i="133" s="1"/>
  <c r="L183" i="133"/>
  <c r="B48" i="67"/>
  <c r="B61" i="100"/>
  <c r="F32" i="100"/>
  <c r="G32" i="100" s="1"/>
  <c r="M111" i="73"/>
  <c r="M111" i="122" s="1"/>
  <c r="D110" i="64"/>
  <c r="N111" i="122"/>
  <c r="B61" i="101"/>
  <c r="D17" i="69" l="1"/>
  <c r="L50" i="101"/>
  <c r="L85" i="101" s="1"/>
  <c r="E76" i="69"/>
  <c r="D76" i="69" s="1"/>
  <c r="C147" i="64"/>
  <c r="H107" i="103"/>
  <c r="F49" i="69"/>
  <c r="C56" i="67"/>
  <c r="I13" i="104"/>
  <c r="K13" i="104" s="1"/>
  <c r="C70" i="102"/>
  <c r="D12" i="104"/>
  <c r="F62" i="102"/>
  <c r="H62" i="102" s="1"/>
  <c r="G62" i="102"/>
  <c r="M62" i="102"/>
  <c r="L62" i="102"/>
  <c r="N62" i="102" s="1"/>
  <c r="E94" i="102"/>
  <c r="E86" i="102"/>
  <c r="E92" i="102"/>
  <c r="E89" i="102"/>
  <c r="E95" i="102"/>
  <c r="E96" i="102"/>
  <c r="E87" i="102"/>
  <c r="E62" i="103"/>
  <c r="E107" i="103" s="1"/>
  <c r="D107" i="103"/>
  <c r="H57" i="65"/>
  <c r="D90" i="65"/>
  <c r="E97" i="102"/>
  <c r="E98" i="102"/>
  <c r="E99" i="102"/>
  <c r="E88" i="102"/>
  <c r="E91" i="102"/>
  <c r="E93" i="102"/>
  <c r="E67" i="69"/>
  <c r="D67" i="69" s="1"/>
  <c r="F52" i="71"/>
  <c r="D69" i="71"/>
  <c r="J184" i="73"/>
  <c r="J183" i="122" s="1"/>
  <c r="D53" i="71"/>
  <c r="G35" i="104"/>
  <c r="H64" i="103"/>
  <c r="H97" i="103" s="1"/>
  <c r="I101" i="103"/>
  <c r="I171" i="122"/>
  <c r="E38" i="138"/>
  <c r="H38" i="138" s="1"/>
  <c r="G92" i="137"/>
  <c r="G97" i="137" s="1"/>
  <c r="G99" i="137" s="1"/>
  <c r="G421" i="137" s="1"/>
  <c r="I71" i="64"/>
  <c r="G181" i="122"/>
  <c r="F89" i="102"/>
  <c r="L93" i="102"/>
  <c r="I11" i="104"/>
  <c r="M91" i="102"/>
  <c r="C153" i="64"/>
  <c r="C145" i="64"/>
  <c r="G379" i="137"/>
  <c r="G387" i="137" s="1"/>
  <c r="G389" i="137" s="1"/>
  <c r="G451" i="137" s="1"/>
  <c r="H100" i="69" s="1" a="1"/>
  <c r="J10" i="104"/>
  <c r="L91" i="102"/>
  <c r="C92" i="157"/>
  <c r="C93" i="157" s="1"/>
  <c r="H89" i="102"/>
  <c r="F22" i="69"/>
  <c r="D22" i="69" s="1"/>
  <c r="H172" i="73"/>
  <c r="H171" i="122" s="1"/>
  <c r="C137" i="64"/>
  <c r="N18" i="64"/>
  <c r="D78" i="24"/>
  <c r="D79" i="24" s="1"/>
  <c r="I39" i="64"/>
  <c r="L32" i="100"/>
  <c r="M32" i="100" s="1"/>
  <c r="M61" i="100" s="1"/>
  <c r="E49" i="69"/>
  <c r="F99" i="64"/>
  <c r="B57" i="100"/>
  <c r="B62" i="100" s="1"/>
  <c r="L44" i="100"/>
  <c r="M44" i="100" s="1"/>
  <c r="I99" i="64"/>
  <c r="D147" i="64"/>
  <c r="M53" i="73"/>
  <c r="M53" i="122" s="1"/>
  <c r="N54" i="73"/>
  <c r="M54" i="73" s="1"/>
  <c r="M54" i="122" s="1"/>
  <c r="N53" i="122"/>
  <c r="C25" i="102"/>
  <c r="I14" i="104"/>
  <c r="K14" i="104" s="1"/>
  <c r="D14" i="104"/>
  <c r="G14" i="104" s="1"/>
  <c r="C76" i="102"/>
  <c r="C51" i="102"/>
  <c r="C71" i="102"/>
  <c r="M87" i="102"/>
  <c r="G87" i="102"/>
  <c r="E26" i="138"/>
  <c r="H26" i="138" s="1"/>
  <c r="C48" i="102"/>
  <c r="C43" i="102"/>
  <c r="C26" i="102"/>
  <c r="C55" i="102"/>
  <c r="C18" i="102"/>
  <c r="C78" i="102"/>
  <c r="C64" i="102"/>
  <c r="C22" i="102"/>
  <c r="C40" i="65"/>
  <c r="C86" i="65" s="1"/>
  <c r="L92" i="102"/>
  <c r="C69" i="102"/>
  <c r="C12" i="102"/>
  <c r="C45" i="102"/>
  <c r="C73" i="102"/>
  <c r="C72" i="102"/>
  <c r="E12" i="65"/>
  <c r="D83" i="69"/>
  <c r="E64" i="103"/>
  <c r="B86" i="102"/>
  <c r="C39" i="102"/>
  <c r="C34" i="102"/>
  <c r="D32" i="104"/>
  <c r="G32" i="104" s="1"/>
  <c r="C42" i="102"/>
  <c r="C21" i="102"/>
  <c r="C14" i="102"/>
  <c r="C60" i="102"/>
  <c r="C41" i="102"/>
  <c r="C68" i="102"/>
  <c r="C28" i="102"/>
  <c r="C46" i="102"/>
  <c r="C29" i="102"/>
  <c r="C57" i="102"/>
  <c r="D31" i="104"/>
  <c r="G31" i="104" s="1"/>
  <c r="C30" i="102"/>
  <c r="C47" i="102"/>
  <c r="C32" i="102"/>
  <c r="F10" i="102"/>
  <c r="C77" i="102"/>
  <c r="C65" i="102"/>
  <c r="C10" i="102"/>
  <c r="C11" i="102"/>
  <c r="C15" i="102"/>
  <c r="C49" i="102"/>
  <c r="C79" i="102"/>
  <c r="C13" i="102"/>
  <c r="C63" i="102"/>
  <c r="C38" i="102"/>
  <c r="C50" i="102"/>
  <c r="C67" i="102"/>
  <c r="C36" i="102"/>
  <c r="C17" i="102"/>
  <c r="C33" i="102"/>
  <c r="C40" i="102"/>
  <c r="C66" i="102"/>
  <c r="D25" i="104"/>
  <c r="G25" i="104" s="1"/>
  <c r="C16" i="102"/>
  <c r="C37" i="102"/>
  <c r="C20" i="102"/>
  <c r="C52" i="102"/>
  <c r="C59" i="102"/>
  <c r="C31" i="102"/>
  <c r="C23" i="102"/>
  <c r="C62" i="102"/>
  <c r="C27" i="102"/>
  <c r="C24" i="102"/>
  <c r="C61" i="102"/>
  <c r="C19" i="102"/>
  <c r="C35" i="102"/>
  <c r="C53" i="102"/>
  <c r="L10" i="102"/>
  <c r="B51" i="101"/>
  <c r="B86" i="101" s="1"/>
  <c r="M42" i="100"/>
  <c r="G44" i="100"/>
  <c r="D137" i="64"/>
  <c r="F27" i="64"/>
  <c r="I27" i="64"/>
  <c r="D58" i="69"/>
  <c r="D82" i="69"/>
  <c r="F72" i="69"/>
  <c r="C78" i="65"/>
  <c r="D88" i="53"/>
  <c r="D89" i="53" s="1"/>
  <c r="E72" i="69" s="1"/>
  <c r="E5" i="65"/>
  <c r="E181" i="122"/>
  <c r="D54" i="102"/>
  <c r="D95" i="102" s="1"/>
  <c r="I182" i="73"/>
  <c r="H76" i="108"/>
  <c r="O60" i="108"/>
  <c r="G66" i="103"/>
  <c r="H66" i="103" s="1"/>
  <c r="I66" i="103" s="1"/>
  <c r="H75" i="108"/>
  <c r="O61" i="108"/>
  <c r="O6" i="64"/>
  <c r="O14" i="64"/>
  <c r="O8" i="64"/>
  <c r="D100" i="64"/>
  <c r="E96" i="138" s="1"/>
  <c r="H96" i="138" s="1"/>
  <c r="D94" i="102"/>
  <c r="J23" i="104"/>
  <c r="E39" i="64"/>
  <c r="H5" i="65"/>
  <c r="M101" i="73"/>
  <c r="M101" i="122" s="1"/>
  <c r="K61" i="102"/>
  <c r="K64" i="102"/>
  <c r="K62" i="102"/>
  <c r="K26" i="102"/>
  <c r="I31" i="104"/>
  <c r="K31" i="104" s="1"/>
  <c r="K44" i="102"/>
  <c r="K47" i="102"/>
  <c r="K50" i="102"/>
  <c r="K28" i="102"/>
  <c r="K52" i="102"/>
  <c r="K33" i="102"/>
  <c r="K72" i="102"/>
  <c r="K67" i="102"/>
  <c r="K45" i="102"/>
  <c r="K36" i="102"/>
  <c r="K38" i="102"/>
  <c r="K21" i="102"/>
  <c r="K78" i="102"/>
  <c r="K24" i="102"/>
  <c r="K60" i="102"/>
  <c r="K65" i="102"/>
  <c r="K59" i="102"/>
  <c r="K18" i="102"/>
  <c r="K22" i="102"/>
  <c r="K39" i="102"/>
  <c r="K49" i="102"/>
  <c r="K57" i="102"/>
  <c r="K70" i="102"/>
  <c r="K11" i="102"/>
  <c r="K76" i="102"/>
  <c r="K17" i="102"/>
  <c r="I25" i="104"/>
  <c r="K25" i="104" s="1"/>
  <c r="K12" i="102"/>
  <c r="I32" i="104"/>
  <c r="K32" i="104" s="1"/>
  <c r="K73" i="102"/>
  <c r="K66" i="102"/>
  <c r="K37" i="102"/>
  <c r="K31" i="102"/>
  <c r="K10" i="102"/>
  <c r="K48" i="102"/>
  <c r="K16" i="102"/>
  <c r="K41" i="102"/>
  <c r="K63" i="102"/>
  <c r="K71" i="102"/>
  <c r="K46" i="102"/>
  <c r="K23" i="102"/>
  <c r="K25" i="102"/>
  <c r="K35" i="102"/>
  <c r="K29" i="102"/>
  <c r="K40" i="102"/>
  <c r="K32" i="102"/>
  <c r="K13" i="102"/>
  <c r="K53" i="102"/>
  <c r="K15" i="102"/>
  <c r="K68" i="102"/>
  <c r="K51" i="102"/>
  <c r="K34" i="102"/>
  <c r="K43" i="102"/>
  <c r="K30" i="102"/>
  <c r="K69" i="102"/>
  <c r="K20" i="102"/>
  <c r="K14" i="102"/>
  <c r="K27" i="102"/>
  <c r="K42" i="102"/>
  <c r="K55" i="102"/>
  <c r="K19" i="102"/>
  <c r="K79" i="102"/>
  <c r="K77" i="102"/>
  <c r="J94" i="102"/>
  <c r="J86" i="102"/>
  <c r="E52" i="71"/>
  <c r="E184" i="73"/>
  <c r="C53" i="71"/>
  <c r="E53" i="71" s="1"/>
  <c r="C69" i="71"/>
  <c r="C93" i="71" s="1"/>
  <c r="D80" i="101"/>
  <c r="E130" i="122"/>
  <c r="O19" i="64"/>
  <c r="G97" i="103"/>
  <c r="G108" i="103"/>
  <c r="O9" i="64"/>
  <c r="G61" i="100"/>
  <c r="N14" i="64"/>
  <c r="N19" i="64"/>
  <c r="N9" i="64"/>
  <c r="E131" i="73"/>
  <c r="E131" i="70"/>
  <c r="C159" i="70"/>
  <c r="E130" i="70"/>
  <c r="C142" i="70"/>
  <c r="D11" i="104"/>
  <c r="G10" i="104"/>
  <c r="F184" i="73"/>
  <c r="F181" i="122"/>
  <c r="N6" i="64"/>
  <c r="N7" i="64"/>
  <c r="N8" i="64"/>
  <c r="D62" i="100"/>
  <c r="F87" i="102"/>
  <c r="N18" i="102"/>
  <c r="N89" i="102" s="1"/>
  <c r="L89" i="102"/>
  <c r="F128" i="133"/>
  <c r="F130" i="133" s="1"/>
  <c r="F131" i="133" s="1"/>
  <c r="C52" i="64"/>
  <c r="N20" i="64" s="1"/>
  <c r="H53" i="73"/>
  <c r="H53" i="122" s="1"/>
  <c r="J57" i="100"/>
  <c r="I53" i="122"/>
  <c r="G185" i="73"/>
  <c r="G201" i="73"/>
  <c r="G200" i="122" s="1"/>
  <c r="G183" i="122"/>
  <c r="E78" i="24"/>
  <c r="E79" i="24" s="1"/>
  <c r="D92" i="157"/>
  <c r="D93" i="157" s="1"/>
  <c r="D9" i="104"/>
  <c r="G9" i="104" s="1"/>
  <c r="D33" i="104"/>
  <c r="G33" i="104" s="1"/>
  <c r="F38" i="101"/>
  <c r="F84" i="101" s="1"/>
  <c r="D8" i="104"/>
  <c r="G8" i="104" s="1"/>
  <c r="B84" i="101"/>
  <c r="D58" i="100"/>
  <c r="I54" i="73"/>
  <c r="E54" i="122"/>
  <c r="L87" i="102"/>
  <c r="D52" i="69"/>
  <c r="E83" i="138"/>
  <c r="H83" i="138" s="1"/>
  <c r="D143" i="64"/>
  <c r="F87" i="64"/>
  <c r="O7" i="64"/>
  <c r="L185" i="73"/>
  <c r="L201" i="73"/>
  <c r="L200" i="122" s="1"/>
  <c r="L183" i="122"/>
  <c r="E106" i="138"/>
  <c r="H106" i="138" s="1"/>
  <c r="I110" i="64"/>
  <c r="O45" i="67"/>
  <c r="H38" i="67"/>
  <c r="H45" i="67" s="1"/>
  <c r="H43" i="67"/>
  <c r="H44" i="67"/>
  <c r="C109" i="103"/>
  <c r="D66" i="103"/>
  <c r="E66" i="103" s="1"/>
  <c r="F17" i="102"/>
  <c r="G17" i="102" s="1"/>
  <c r="L17" i="102"/>
  <c r="M17" i="102" s="1"/>
  <c r="B88" i="102"/>
  <c r="D153" i="64"/>
  <c r="F110" i="64"/>
  <c r="F61" i="100"/>
  <c r="C75" i="66"/>
  <c r="C76" i="66"/>
  <c r="E60" i="66"/>
  <c r="D71" i="43"/>
  <c r="D76" i="43" s="1"/>
  <c r="G93" i="69" s="1"/>
  <c r="E61" i="66"/>
  <c r="G27" i="43"/>
  <c r="H27" i="43" s="1"/>
  <c r="H61" i="66"/>
  <c r="I61" i="66"/>
  <c r="K61" i="66" s="1"/>
  <c r="Z12" i="67"/>
  <c r="G46" i="67"/>
  <c r="C100" i="64"/>
  <c r="H101" i="73"/>
  <c r="H101" i="122" s="1"/>
  <c r="J51" i="101"/>
  <c r="I101" i="122"/>
  <c r="B45" i="67"/>
  <c r="I87" i="64"/>
  <c r="C143" i="64"/>
  <c r="E87" i="64"/>
  <c r="E51" i="138"/>
  <c r="H51" i="138" s="1"/>
  <c r="D139" i="64"/>
  <c r="F52" i="64"/>
  <c r="D40" i="65"/>
  <c r="D86" i="65" s="1"/>
  <c r="M172" i="73"/>
  <c r="M171" i="122" s="1"/>
  <c r="N171" i="122"/>
  <c r="B44" i="102"/>
  <c r="F61" i="101"/>
  <c r="G61" i="101" s="1"/>
  <c r="L61" i="101"/>
  <c r="M61" i="101" s="1"/>
  <c r="E56" i="67"/>
  <c r="J130" i="122"/>
  <c r="B44" i="67"/>
  <c r="D80" i="65"/>
  <c r="F12" i="65"/>
  <c r="E133" i="138"/>
  <c r="H133" i="138" s="1"/>
  <c r="H12" i="65"/>
  <c r="J35" i="104"/>
  <c r="D108" i="103"/>
  <c r="L200" i="133"/>
  <c r="N200" i="133" s="1"/>
  <c r="M200" i="133" s="1"/>
  <c r="N183" i="133"/>
  <c r="M183" i="133" s="1"/>
  <c r="L184" i="133"/>
  <c r="I56" i="67"/>
  <c r="J131" i="73"/>
  <c r="F130" i="70"/>
  <c r="D142" i="70"/>
  <c r="D159" i="70"/>
  <c r="F131" i="70"/>
  <c r="H48" i="67"/>
  <c r="J34" i="104"/>
  <c r="G184" i="133"/>
  <c r="G200" i="133"/>
  <c r="I200" i="133" s="1"/>
  <c r="H200" i="133" s="1"/>
  <c r="I183" i="133"/>
  <c r="H183" i="133" s="1"/>
  <c r="L38" i="101"/>
  <c r="M38" i="101" s="1"/>
  <c r="M84" i="101" s="1"/>
  <c r="I33" i="104"/>
  <c r="I9" i="104"/>
  <c r="I8" i="104"/>
  <c r="I17" i="104"/>
  <c r="J84" i="101"/>
  <c r="B110" i="103"/>
  <c r="B109" i="103"/>
  <c r="H85" i="69"/>
  <c r="D76" i="66"/>
  <c r="D75" i="66"/>
  <c r="F61" i="66"/>
  <c r="E71" i="43"/>
  <c r="E62" i="66"/>
  <c r="F60" i="66"/>
  <c r="E239" i="138"/>
  <c r="H239" i="138" s="1"/>
  <c r="H240" i="138" s="1"/>
  <c r="F9" i="139" s="1"/>
  <c r="E9" i="139" s="1"/>
  <c r="E100" i="69" a="1"/>
  <c r="K184" i="73"/>
  <c r="K181" i="122"/>
  <c r="N182" i="73"/>
  <c r="D43" i="67"/>
  <c r="D38" i="67"/>
  <c r="D45" i="67" s="1"/>
  <c r="D44" i="67"/>
  <c r="N50" i="101" l="1"/>
  <c r="N85" i="101" s="1"/>
  <c r="D49" i="69"/>
  <c r="N15" i="102"/>
  <c r="N48" i="102"/>
  <c r="H15" i="102"/>
  <c r="H48" i="102"/>
  <c r="I16" i="104"/>
  <c r="K16" i="104" s="1"/>
  <c r="D13" i="104"/>
  <c r="D16" i="104" s="1"/>
  <c r="G16" i="104" s="1"/>
  <c r="J12" i="104"/>
  <c r="G12" i="104"/>
  <c r="N50" i="102"/>
  <c r="N93" i="102" s="1"/>
  <c r="I64" i="103"/>
  <c r="I108" i="103" s="1"/>
  <c r="E108" i="103"/>
  <c r="H108" i="103"/>
  <c r="N11" i="102"/>
  <c r="N43" i="102"/>
  <c r="H11" i="102"/>
  <c r="H43" i="102"/>
  <c r="E100" i="69"/>
  <c r="L86" i="102"/>
  <c r="K11" i="104"/>
  <c r="D89" i="71"/>
  <c r="J185" i="73"/>
  <c r="J184" i="122" s="1"/>
  <c r="D70" i="71"/>
  <c r="F53" i="71"/>
  <c r="F69" i="71"/>
  <c r="J201" i="73"/>
  <c r="J200" i="122" s="1"/>
  <c r="D93" i="71"/>
  <c r="E32" i="69"/>
  <c r="D32" i="69" s="1"/>
  <c r="F57" i="100"/>
  <c r="G57" i="100" s="1"/>
  <c r="G62" i="100" s="1"/>
  <c r="J11" i="104"/>
  <c r="L61" i="100"/>
  <c r="B58" i="100"/>
  <c r="E31" i="69"/>
  <c r="D31" i="69" s="1"/>
  <c r="I52" i="64"/>
  <c r="J14" i="104"/>
  <c r="G10" i="102"/>
  <c r="G86" i="102" s="1"/>
  <c r="D53" i="64"/>
  <c r="O10" i="64" s="1"/>
  <c r="N54" i="122"/>
  <c r="F51" i="101"/>
  <c r="G51" i="101" s="1"/>
  <c r="F6" i="137"/>
  <c r="I100" i="69" s="1"/>
  <c r="H10" i="102"/>
  <c r="H100" i="69"/>
  <c r="C87" i="102"/>
  <c r="C92" i="102"/>
  <c r="F86" i="102"/>
  <c r="C89" i="102"/>
  <c r="E40" i="65"/>
  <c r="C91" i="102"/>
  <c r="C93" i="102"/>
  <c r="C86" i="102"/>
  <c r="N28" i="102"/>
  <c r="N35" i="102"/>
  <c r="N55" i="102"/>
  <c r="N33" i="102"/>
  <c r="N45" i="102"/>
  <c r="N37" i="102"/>
  <c r="N30" i="102"/>
  <c r="N90" i="102" s="1"/>
  <c r="N10" i="102"/>
  <c r="C90" i="102"/>
  <c r="K87" i="102"/>
  <c r="H12" i="102"/>
  <c r="H37" i="102"/>
  <c r="H28" i="102"/>
  <c r="H35" i="102"/>
  <c r="H55" i="102"/>
  <c r="H30" i="102"/>
  <c r="H90" i="102" s="1"/>
  <c r="H45" i="102"/>
  <c r="H33" i="102"/>
  <c r="E69" i="71"/>
  <c r="C88" i="102"/>
  <c r="J25" i="104"/>
  <c r="B94" i="102"/>
  <c r="C44" i="102"/>
  <c r="N12" i="102"/>
  <c r="M10" i="102"/>
  <c r="M86" i="102" s="1"/>
  <c r="K91" i="102"/>
  <c r="K86" i="102"/>
  <c r="K92" i="102"/>
  <c r="K93" i="102"/>
  <c r="E41" i="100"/>
  <c r="E54" i="100"/>
  <c r="E40" i="100"/>
  <c r="E42" i="100"/>
  <c r="E44" i="100"/>
  <c r="E35" i="100"/>
  <c r="E24" i="100"/>
  <c r="F100" i="64"/>
  <c r="G38" i="101"/>
  <c r="G84" i="101" s="1"/>
  <c r="E57" i="100"/>
  <c r="E32" i="100"/>
  <c r="E11" i="100"/>
  <c r="E110" i="103" s="1"/>
  <c r="D149" i="64"/>
  <c r="D72" i="69"/>
  <c r="F201" i="73"/>
  <c r="F200" i="122" s="1"/>
  <c r="F183" i="122"/>
  <c r="F185" i="73"/>
  <c r="J31" i="104"/>
  <c r="J32" i="104"/>
  <c r="E183" i="122"/>
  <c r="D56" i="102"/>
  <c r="F27" i="104" s="1"/>
  <c r="H27" i="104" s="1"/>
  <c r="I184" i="73"/>
  <c r="G11" i="104"/>
  <c r="F20" i="104"/>
  <c r="H20" i="104" s="1"/>
  <c r="F19" i="104"/>
  <c r="H19" i="104" s="1"/>
  <c r="K90" i="102"/>
  <c r="J54" i="102"/>
  <c r="K54" i="102" s="1"/>
  <c r="K95" i="102" s="1"/>
  <c r="H182" i="73"/>
  <c r="H181" i="122" s="1"/>
  <c r="I181" i="122"/>
  <c r="C50" i="65"/>
  <c r="C70" i="71"/>
  <c r="E202" i="73" s="1"/>
  <c r="E185" i="73"/>
  <c r="K88" i="102"/>
  <c r="H56" i="67"/>
  <c r="D81" i="101"/>
  <c r="D59" i="100" s="1"/>
  <c r="E131" i="122"/>
  <c r="C89" i="71"/>
  <c r="E201" i="73"/>
  <c r="K89" i="102"/>
  <c r="K94" i="102"/>
  <c r="G110" i="103"/>
  <c r="G109" i="103"/>
  <c r="F21" i="104"/>
  <c r="H21" i="104" s="1"/>
  <c r="D96" i="102"/>
  <c r="F29" i="104"/>
  <c r="H29" i="104" s="1"/>
  <c r="J58" i="100"/>
  <c r="H54" i="73"/>
  <c r="H54" i="122" s="1"/>
  <c r="C53" i="64"/>
  <c r="I54" i="122"/>
  <c r="E58" i="100"/>
  <c r="D63" i="100"/>
  <c r="F28" i="104"/>
  <c r="H28" i="104" s="1"/>
  <c r="G184" i="122"/>
  <c r="G127" i="73"/>
  <c r="G127" i="122" s="1"/>
  <c r="G202" i="73"/>
  <c r="C139" i="64"/>
  <c r="E52" i="64"/>
  <c r="L184" i="122"/>
  <c r="L127" i="73"/>
  <c r="L127" i="122" s="1"/>
  <c r="L202" i="73"/>
  <c r="J62" i="100"/>
  <c r="L57" i="100"/>
  <c r="M57" i="100" s="1"/>
  <c r="M62" i="100" s="1"/>
  <c r="K8" i="104"/>
  <c r="J8" i="104"/>
  <c r="L201" i="133"/>
  <c r="N184" i="133"/>
  <c r="M184" i="133" s="1"/>
  <c r="L127" i="133"/>
  <c r="N127" i="133" s="1"/>
  <c r="M127" i="133" s="1"/>
  <c r="E158" i="138"/>
  <c r="H158" i="138" s="1"/>
  <c r="H40" i="65"/>
  <c r="K185" i="73"/>
  <c r="K201" i="73"/>
  <c r="K183" i="122"/>
  <c r="N184" i="73"/>
  <c r="K9" i="104"/>
  <c r="J9" i="104"/>
  <c r="J131" i="122"/>
  <c r="H109" i="103"/>
  <c r="K33" i="104"/>
  <c r="J33" i="104"/>
  <c r="G201" i="133"/>
  <c r="I184" i="133"/>
  <c r="H184" i="133" s="1"/>
  <c r="G127" i="133"/>
  <c r="I127" i="133" s="1"/>
  <c r="H127" i="133" s="1"/>
  <c r="J86" i="101"/>
  <c r="L51" i="101"/>
  <c r="Z49" i="67"/>
  <c r="Z38" i="67"/>
  <c r="Z56" i="67" s="1"/>
  <c r="F9" i="69" a="1"/>
  <c r="F9" i="69" s="1"/>
  <c r="H17" i="102"/>
  <c r="F88" i="102"/>
  <c r="D110" i="103"/>
  <c r="D109" i="103"/>
  <c r="C149" i="64"/>
  <c r="E100" i="64"/>
  <c r="I100" i="64"/>
  <c r="E9" i="69" a="1"/>
  <c r="E9" i="69" s="1"/>
  <c r="M88" i="102"/>
  <c r="F44" i="102"/>
  <c r="F94" i="102" s="1"/>
  <c r="L44" i="102"/>
  <c r="L94" i="102" s="1"/>
  <c r="N17" i="102"/>
  <c r="L88" i="102"/>
  <c r="D56" i="67"/>
  <c r="I110" i="103"/>
  <c r="M182" i="73"/>
  <c r="M181" i="122" s="1"/>
  <c r="D50" i="65"/>
  <c r="D87" i="65" s="1"/>
  <c r="N181" i="122"/>
  <c r="B54" i="102"/>
  <c r="E76" i="43"/>
  <c r="E1207" i="138"/>
  <c r="H1207" i="138" s="1"/>
  <c r="E109" i="103"/>
  <c r="K17" i="104"/>
  <c r="J17" i="104"/>
  <c r="L84" i="101"/>
  <c r="F40" i="65"/>
  <c r="G88" i="102"/>
  <c r="H91" i="102" l="1"/>
  <c r="N92" i="102"/>
  <c r="I109" i="103"/>
  <c r="H92" i="102"/>
  <c r="K31" i="100"/>
  <c r="K17" i="100"/>
  <c r="C41" i="100"/>
  <c r="C17" i="100"/>
  <c r="G13" i="104"/>
  <c r="J13" i="104"/>
  <c r="C40" i="100"/>
  <c r="C54" i="100"/>
  <c r="N87" i="102"/>
  <c r="N86" i="102"/>
  <c r="H87" i="102"/>
  <c r="H86" i="102"/>
  <c r="J202" i="73"/>
  <c r="J201" i="122" s="1"/>
  <c r="F70" i="71"/>
  <c r="D94" i="71"/>
  <c r="F62" i="100"/>
  <c r="N27" i="101"/>
  <c r="N23" i="101"/>
  <c r="C24" i="100"/>
  <c r="D15" i="104"/>
  <c r="C57" i="100"/>
  <c r="B63" i="100"/>
  <c r="C35" i="100"/>
  <c r="C53" i="100"/>
  <c r="F58" i="100"/>
  <c r="F15" i="104"/>
  <c r="H15" i="104" s="1"/>
  <c r="C32" i="100"/>
  <c r="C42" i="100"/>
  <c r="C31" i="100"/>
  <c r="C58" i="100"/>
  <c r="F26" i="104"/>
  <c r="H26" i="104" s="1"/>
  <c r="C11" i="100"/>
  <c r="C110" i="103" s="1"/>
  <c r="C44" i="100"/>
  <c r="D100" i="69"/>
  <c r="F86" i="101"/>
  <c r="E52" i="138"/>
  <c r="H52" i="138" s="1"/>
  <c r="H53" i="138" s="1"/>
  <c r="F7" i="139" s="1"/>
  <c r="O21" i="64"/>
  <c r="F53" i="64"/>
  <c r="D141" i="64"/>
  <c r="N91" i="102"/>
  <c r="I201" i="73"/>
  <c r="I200" i="122" s="1"/>
  <c r="C94" i="71"/>
  <c r="B95" i="102"/>
  <c r="C54" i="102"/>
  <c r="C95" i="102" s="1"/>
  <c r="G44" i="102"/>
  <c r="G94" i="102" s="1"/>
  <c r="M44" i="102"/>
  <c r="M94" i="102" s="1"/>
  <c r="C94" i="102"/>
  <c r="E70" i="71"/>
  <c r="K41" i="100"/>
  <c r="K54" i="100"/>
  <c r="E62" i="100"/>
  <c r="K40" i="100"/>
  <c r="K42" i="100"/>
  <c r="K44" i="100"/>
  <c r="K57" i="100"/>
  <c r="K35" i="100"/>
  <c r="K24" i="100"/>
  <c r="N26" i="101"/>
  <c r="N30" i="101"/>
  <c r="N38" i="101"/>
  <c r="G86" i="101"/>
  <c r="N22" i="101"/>
  <c r="M51" i="101"/>
  <c r="M86" i="101" s="1"/>
  <c r="H40" i="100"/>
  <c r="E63" i="100"/>
  <c r="L58" i="100"/>
  <c r="N17" i="100" s="1"/>
  <c r="K11" i="100"/>
  <c r="K32" i="100"/>
  <c r="E61" i="100"/>
  <c r="J16" i="104"/>
  <c r="E184" i="122"/>
  <c r="D58" i="102"/>
  <c r="D97" i="102" s="1"/>
  <c r="I185" i="73"/>
  <c r="C52" i="65"/>
  <c r="M6" i="66" s="1"/>
  <c r="J56" i="102"/>
  <c r="H184" i="73"/>
  <c r="H183" i="122" s="1"/>
  <c r="I183" i="122"/>
  <c r="F127" i="73"/>
  <c r="F202" i="73"/>
  <c r="I202" i="73" s="1"/>
  <c r="I201" i="122" s="1"/>
  <c r="F184" i="122"/>
  <c r="N21" i="64"/>
  <c r="D74" i="102"/>
  <c r="E200" i="122"/>
  <c r="E63" i="101"/>
  <c r="E60" i="101"/>
  <c r="E19" i="101"/>
  <c r="E80" i="101"/>
  <c r="E58" i="101"/>
  <c r="E15" i="101"/>
  <c r="E49" i="101"/>
  <c r="E59" i="101"/>
  <c r="E23" i="101"/>
  <c r="E16" i="101"/>
  <c r="E35" i="101"/>
  <c r="E66" i="101"/>
  <c r="E76" i="101"/>
  <c r="E30" i="101"/>
  <c r="E28" i="101"/>
  <c r="E48" i="101"/>
  <c r="F18" i="104"/>
  <c r="H18" i="104" s="1"/>
  <c r="E37" i="101"/>
  <c r="E51" i="101"/>
  <c r="E62" i="101"/>
  <c r="E54" i="101"/>
  <c r="E72" i="101"/>
  <c r="E67" i="101"/>
  <c r="E73" i="101"/>
  <c r="E38" i="101"/>
  <c r="E44" i="101"/>
  <c r="E47" i="101"/>
  <c r="E36" i="101"/>
  <c r="E81" i="101"/>
  <c r="E45" i="101"/>
  <c r="E74" i="101"/>
  <c r="E17" i="101"/>
  <c r="E68" i="101"/>
  <c r="E20" i="101"/>
  <c r="E32" i="101"/>
  <c r="E14" i="101"/>
  <c r="E56" i="101"/>
  <c r="E61" i="101"/>
  <c r="E12" i="101"/>
  <c r="E24" i="101"/>
  <c r="E55" i="101"/>
  <c r="E43" i="101"/>
  <c r="D82" i="101"/>
  <c r="E33" i="101"/>
  <c r="E22" i="101"/>
  <c r="E25" i="101"/>
  <c r="E78" i="101"/>
  <c r="E21" i="101"/>
  <c r="E77" i="101"/>
  <c r="E71" i="101"/>
  <c r="E70" i="101"/>
  <c r="E41" i="101"/>
  <c r="E11" i="101"/>
  <c r="E29" i="101"/>
  <c r="E39" i="101"/>
  <c r="E65" i="101"/>
  <c r="E57" i="101"/>
  <c r="E42" i="101"/>
  <c r="E79" i="101"/>
  <c r="E18" i="101"/>
  <c r="E69" i="101"/>
  <c r="E40" i="101"/>
  <c r="E27" i="101"/>
  <c r="E52" i="101"/>
  <c r="D88" i="101"/>
  <c r="E50" i="101"/>
  <c r="E53" i="101"/>
  <c r="E34" i="101"/>
  <c r="E26" i="101"/>
  <c r="E13" i="101"/>
  <c r="E64" i="101"/>
  <c r="E75" i="101"/>
  <c r="E31" i="101"/>
  <c r="E46" i="101"/>
  <c r="E201" i="122"/>
  <c r="D75" i="102"/>
  <c r="J95" i="102"/>
  <c r="I21" i="104"/>
  <c r="K21" i="104" s="1"/>
  <c r="N10" i="64"/>
  <c r="E50" i="65"/>
  <c r="I4" i="65"/>
  <c r="I50" i="65" s="1"/>
  <c r="K50" i="65" s="1"/>
  <c r="C87" i="65"/>
  <c r="D16" i="46"/>
  <c r="J4" i="64"/>
  <c r="C141" i="64"/>
  <c r="E53" i="64"/>
  <c r="I53" i="64"/>
  <c r="G201" i="122"/>
  <c r="G117" i="73"/>
  <c r="D9" i="69" a="1"/>
  <c r="D9" i="69" s="1"/>
  <c r="L62" i="100"/>
  <c r="L117" i="73"/>
  <c r="L201" i="122"/>
  <c r="K58" i="100"/>
  <c r="I15" i="104"/>
  <c r="J63" i="100"/>
  <c r="I28" i="104"/>
  <c r="K28" i="104" s="1"/>
  <c r="H93" i="69"/>
  <c r="E1212" i="138"/>
  <c r="H1212" i="138" s="1"/>
  <c r="H1217" i="138" s="1"/>
  <c r="H82" i="139" s="1"/>
  <c r="D28" i="104"/>
  <c r="D21" i="104"/>
  <c r="F54" i="102"/>
  <c r="F95" i="102" s="1"/>
  <c r="L54" i="102"/>
  <c r="L95" i="102" s="1"/>
  <c r="Z45" i="67"/>
  <c r="M7" i="67"/>
  <c r="K200" i="122"/>
  <c r="N201" i="73"/>
  <c r="N201" i="133"/>
  <c r="M201" i="133" s="1"/>
  <c r="L117" i="133"/>
  <c r="N88" i="102"/>
  <c r="H88" i="102"/>
  <c r="I201" i="133"/>
  <c r="H201" i="133" s="1"/>
  <c r="G117" i="133"/>
  <c r="K127" i="73"/>
  <c r="K202" i="73"/>
  <c r="K184" i="122"/>
  <c r="N185" i="73"/>
  <c r="E16" i="46"/>
  <c r="E17" i="46" s="1"/>
  <c r="E168" i="138"/>
  <c r="H168" i="138" s="1"/>
  <c r="H50" i="65"/>
  <c r="N44" i="102"/>
  <c r="H44" i="102"/>
  <c r="N51" i="101"/>
  <c r="L86" i="101"/>
  <c r="D52" i="65"/>
  <c r="N6" i="66" s="1"/>
  <c r="M184" i="73"/>
  <c r="M183" i="122" s="1"/>
  <c r="B56" i="102"/>
  <c r="N183" i="122"/>
  <c r="F50" i="65"/>
  <c r="D17" i="46" l="1"/>
  <c r="D26" i="46" s="1"/>
  <c r="D28" i="46" s="1"/>
  <c r="E26" i="46"/>
  <c r="E28" i="46" s="1"/>
  <c r="H84" i="69" s="1"/>
  <c r="J96" i="102"/>
  <c r="K56" i="102"/>
  <c r="I24" i="104"/>
  <c r="K24" i="104" s="1"/>
  <c r="H57" i="100"/>
  <c r="H17" i="100"/>
  <c r="H31" i="100"/>
  <c r="H54" i="100"/>
  <c r="G15" i="104"/>
  <c r="H44" i="100"/>
  <c r="F63" i="100"/>
  <c r="H53" i="100"/>
  <c r="C62" i="100"/>
  <c r="C63" i="100"/>
  <c r="H58" i="100"/>
  <c r="G58" i="100"/>
  <c r="G63" i="100" s="1"/>
  <c r="H41" i="100"/>
  <c r="H32" i="100"/>
  <c r="H35" i="100"/>
  <c r="H42" i="100"/>
  <c r="H11" i="100"/>
  <c r="H110" i="103" s="1"/>
  <c r="H24" i="100"/>
  <c r="C61" i="100"/>
  <c r="H201" i="73"/>
  <c r="H200" i="122" s="1"/>
  <c r="J74" i="102"/>
  <c r="N54" i="100"/>
  <c r="N31" i="100"/>
  <c r="C69" i="65"/>
  <c r="E69" i="65" s="1"/>
  <c r="I26" i="104"/>
  <c r="K26" i="104" s="1"/>
  <c r="M54" i="102"/>
  <c r="M95" i="102" s="1"/>
  <c r="D24" i="104"/>
  <c r="C56" i="102"/>
  <c r="D26" i="104"/>
  <c r="G26" i="104" s="1"/>
  <c r="G54" i="102"/>
  <c r="G95" i="102" s="1"/>
  <c r="N86" i="101"/>
  <c r="E88" i="101"/>
  <c r="N84" i="101"/>
  <c r="K62" i="100"/>
  <c r="N57" i="100"/>
  <c r="N41" i="100"/>
  <c r="N53" i="100"/>
  <c r="N58" i="100"/>
  <c r="N40" i="100"/>
  <c r="N42" i="100"/>
  <c r="N44" i="100"/>
  <c r="L63" i="100"/>
  <c r="N35" i="100"/>
  <c r="K63" i="100"/>
  <c r="M58" i="100"/>
  <c r="M63" i="100" s="1"/>
  <c r="N24" i="100"/>
  <c r="K61" i="100"/>
  <c r="N11" i="100"/>
  <c r="N32" i="100"/>
  <c r="H202" i="73"/>
  <c r="H201" i="122" s="1"/>
  <c r="F127" i="122"/>
  <c r="I127" i="73"/>
  <c r="E52" i="65"/>
  <c r="M10" i="65"/>
  <c r="M15" i="65" s="1"/>
  <c r="M8" i="65"/>
  <c r="M7" i="65"/>
  <c r="C88" i="65"/>
  <c r="G5" i="43"/>
  <c r="D5" i="43"/>
  <c r="N10" i="65"/>
  <c r="N15" i="65" s="1"/>
  <c r="N8" i="65"/>
  <c r="N7" i="65"/>
  <c r="C70" i="65"/>
  <c r="E84" i="101"/>
  <c r="J58" i="102"/>
  <c r="C53" i="65"/>
  <c r="C89" i="65" s="1"/>
  <c r="H185" i="73"/>
  <c r="H184" i="122" s="1"/>
  <c r="I184" i="122"/>
  <c r="J75" i="102"/>
  <c r="K75" i="102" s="1"/>
  <c r="I12" i="65"/>
  <c r="K12" i="65" s="1"/>
  <c r="I64" i="65"/>
  <c r="K64" i="65" s="1"/>
  <c r="I73" i="65"/>
  <c r="K73" i="65" s="1"/>
  <c r="I30" i="65"/>
  <c r="K30" i="65" s="1"/>
  <c r="I13" i="65"/>
  <c r="K13" i="65" s="1"/>
  <c r="I14" i="65"/>
  <c r="K14" i="65" s="1"/>
  <c r="I44" i="65"/>
  <c r="K44" i="65" s="1"/>
  <c r="I74" i="65"/>
  <c r="K74" i="65" s="1"/>
  <c r="I23" i="65"/>
  <c r="K23" i="65" s="1"/>
  <c r="I58" i="65"/>
  <c r="K58" i="65" s="1"/>
  <c r="I67" i="65"/>
  <c r="K67" i="65" s="1"/>
  <c r="I61" i="65"/>
  <c r="K61" i="65" s="1"/>
  <c r="I35" i="65"/>
  <c r="K35" i="65" s="1"/>
  <c r="I59" i="65"/>
  <c r="K59" i="65" s="1"/>
  <c r="I25" i="65"/>
  <c r="K25" i="65" s="1"/>
  <c r="I63" i="65"/>
  <c r="K63" i="65" s="1"/>
  <c r="I71" i="65"/>
  <c r="I28" i="65"/>
  <c r="K28" i="65" s="1"/>
  <c r="I39" i="65"/>
  <c r="K39" i="65" s="1"/>
  <c r="I16" i="65"/>
  <c r="K16" i="65" s="1"/>
  <c r="I29" i="65"/>
  <c r="K29" i="65" s="1"/>
  <c r="I36" i="65"/>
  <c r="K36" i="65" s="1"/>
  <c r="I33" i="65"/>
  <c r="K33" i="65" s="1"/>
  <c r="I20" i="65"/>
  <c r="K20" i="65" s="1"/>
  <c r="I17" i="65"/>
  <c r="K17" i="65" s="1"/>
  <c r="I45" i="65"/>
  <c r="K45" i="65" s="1"/>
  <c r="I49" i="65"/>
  <c r="K49" i="65" s="1"/>
  <c r="I43" i="65"/>
  <c r="K43" i="65" s="1"/>
  <c r="I60" i="65"/>
  <c r="K60" i="65" s="1"/>
  <c r="I54" i="65"/>
  <c r="K54" i="65" s="1"/>
  <c r="I62" i="65"/>
  <c r="K62" i="65" s="1"/>
  <c r="I72" i="65"/>
  <c r="K72" i="65" s="1"/>
  <c r="I10" i="65"/>
  <c r="K10" i="65" s="1"/>
  <c r="I24" i="65"/>
  <c r="K24" i="65" s="1"/>
  <c r="I9" i="65"/>
  <c r="K9" i="65" s="1"/>
  <c r="I15" i="65"/>
  <c r="K15" i="65" s="1"/>
  <c r="I65" i="65"/>
  <c r="K65" i="65" s="1"/>
  <c r="I31" i="65"/>
  <c r="K31" i="65" s="1"/>
  <c r="I34" i="65"/>
  <c r="K34" i="65" s="1"/>
  <c r="I32" i="65"/>
  <c r="K32" i="65" s="1"/>
  <c r="I48" i="65"/>
  <c r="K48" i="65" s="1"/>
  <c r="I19" i="65"/>
  <c r="K19" i="65" s="1"/>
  <c r="I18" i="65"/>
  <c r="K18" i="65" s="1"/>
  <c r="I42" i="65"/>
  <c r="K42" i="65" s="1"/>
  <c r="I11" i="65"/>
  <c r="K11" i="65" s="1"/>
  <c r="I8" i="65"/>
  <c r="K8" i="65" s="1"/>
  <c r="I51" i="65"/>
  <c r="K51" i="65" s="1"/>
  <c r="I22" i="65"/>
  <c r="K22" i="65" s="1"/>
  <c r="I47" i="65"/>
  <c r="K47" i="65" s="1"/>
  <c r="I66" i="65"/>
  <c r="K66" i="65" s="1"/>
  <c r="I41" i="65"/>
  <c r="K41" i="65" s="1"/>
  <c r="I6" i="65"/>
  <c r="K6" i="65" s="1"/>
  <c r="I68" i="65"/>
  <c r="K68" i="65" s="1"/>
  <c r="I40" i="65"/>
  <c r="K40" i="65" s="1"/>
  <c r="I26" i="65"/>
  <c r="K26" i="65" s="1"/>
  <c r="I21" i="65"/>
  <c r="K21" i="65" s="1"/>
  <c r="I7" i="65"/>
  <c r="K7" i="65" s="1"/>
  <c r="I57" i="65"/>
  <c r="K57" i="65" s="1"/>
  <c r="I5" i="65"/>
  <c r="K5" i="65" s="1"/>
  <c r="I46" i="65"/>
  <c r="K46" i="65" s="1"/>
  <c r="E85" i="101"/>
  <c r="E87" i="101"/>
  <c r="E86" i="101"/>
  <c r="D98" i="102"/>
  <c r="D99" i="102"/>
  <c r="F201" i="122"/>
  <c r="F117" i="73"/>
  <c r="K15" i="104"/>
  <c r="J15" i="104"/>
  <c r="L117" i="122"/>
  <c r="L128" i="73"/>
  <c r="G128" i="73"/>
  <c r="G117" i="122"/>
  <c r="J87" i="64"/>
  <c r="J66" i="64"/>
  <c r="L66" i="64" s="1"/>
  <c r="J6" i="64"/>
  <c r="L6" i="64" s="1"/>
  <c r="J78" i="64"/>
  <c r="L78" i="64" s="1"/>
  <c r="J13" i="64"/>
  <c r="L13" i="64" s="1"/>
  <c r="J11" i="64"/>
  <c r="L11" i="64" s="1"/>
  <c r="J109" i="64"/>
  <c r="L109" i="64" s="1"/>
  <c r="J125" i="64"/>
  <c r="L125" i="64" s="1"/>
  <c r="J74" i="64"/>
  <c r="L74" i="64" s="1"/>
  <c r="J120" i="64"/>
  <c r="L120" i="64" s="1"/>
  <c r="J15" i="64"/>
  <c r="L15" i="64" s="1"/>
  <c r="J34" i="64"/>
  <c r="L34" i="64" s="1"/>
  <c r="J47" i="64"/>
  <c r="L47" i="64" s="1"/>
  <c r="J62" i="64"/>
  <c r="L62" i="64" s="1"/>
  <c r="J89" i="64"/>
  <c r="L89" i="64" s="1"/>
  <c r="J32" i="64"/>
  <c r="L32" i="64" s="1"/>
  <c r="J123" i="64"/>
  <c r="L123" i="64" s="1"/>
  <c r="J35" i="64"/>
  <c r="L35" i="64" s="1"/>
  <c r="J70" i="64"/>
  <c r="L70" i="64" s="1"/>
  <c r="J17" i="64"/>
  <c r="L17" i="64" s="1"/>
  <c r="J48" i="64"/>
  <c r="L48" i="64" s="1"/>
  <c r="J69" i="64"/>
  <c r="L69" i="64" s="1"/>
  <c r="J95" i="64"/>
  <c r="L95" i="64" s="1"/>
  <c r="J91" i="64"/>
  <c r="L91" i="64" s="1"/>
  <c r="J111" i="64"/>
  <c r="L111" i="64" s="1"/>
  <c r="J84" i="64"/>
  <c r="L84" i="64" s="1"/>
  <c r="J117" i="64"/>
  <c r="L117" i="64" s="1"/>
  <c r="J39" i="64"/>
  <c r="L39" i="64" s="1"/>
  <c r="J100" i="64"/>
  <c r="J22" i="64"/>
  <c r="L22" i="64" s="1"/>
  <c r="J107" i="64"/>
  <c r="L107" i="64" s="1"/>
  <c r="J121" i="64"/>
  <c r="L121" i="64" s="1"/>
  <c r="J88" i="64"/>
  <c r="J38" i="64"/>
  <c r="L38" i="64" s="1"/>
  <c r="J97" i="64"/>
  <c r="L97" i="64" s="1"/>
  <c r="J18" i="64"/>
  <c r="L18" i="64" s="1"/>
  <c r="J101" i="64"/>
  <c r="J68" i="64"/>
  <c r="L68" i="64" s="1"/>
  <c r="J49" i="64"/>
  <c r="L49" i="64" s="1"/>
  <c r="J8" i="64"/>
  <c r="L8" i="64" s="1"/>
  <c r="J77" i="64"/>
  <c r="L77" i="64" s="1"/>
  <c r="J29" i="64"/>
  <c r="L29" i="64" s="1"/>
  <c r="J60" i="64"/>
  <c r="L60" i="64" s="1"/>
  <c r="J61" i="64"/>
  <c r="L61" i="64" s="1"/>
  <c r="J7" i="64"/>
  <c r="L7" i="64" s="1"/>
  <c r="J26" i="64"/>
  <c r="L26" i="64" s="1"/>
  <c r="J43" i="64"/>
  <c r="L43" i="64" s="1"/>
  <c r="J24" i="64"/>
  <c r="L24" i="64" s="1"/>
  <c r="J63" i="64"/>
  <c r="L63" i="64" s="1"/>
  <c r="J14" i="64"/>
  <c r="L14" i="64" s="1"/>
  <c r="J25" i="64"/>
  <c r="L25" i="64" s="1"/>
  <c r="J46" i="64"/>
  <c r="L46" i="64" s="1"/>
  <c r="J75" i="64"/>
  <c r="L75" i="64" s="1"/>
  <c r="J9" i="64"/>
  <c r="L9" i="64" s="1"/>
  <c r="J99" i="64"/>
  <c r="J52" i="64"/>
  <c r="J110" i="64"/>
  <c r="L110" i="64" s="1"/>
  <c r="J53" i="64"/>
  <c r="J93" i="64"/>
  <c r="L93" i="64" s="1"/>
  <c r="J86" i="64"/>
  <c r="L86" i="64" s="1"/>
  <c r="J72" i="64"/>
  <c r="L72" i="64" s="1"/>
  <c r="J30" i="64"/>
  <c r="L30" i="64" s="1"/>
  <c r="J73" i="64"/>
  <c r="L73" i="64" s="1"/>
  <c r="J16" i="64"/>
  <c r="L16" i="64" s="1"/>
  <c r="J44" i="64"/>
  <c r="L44" i="64" s="1"/>
  <c r="J12" i="64"/>
  <c r="L12" i="64" s="1"/>
  <c r="J92" i="64"/>
  <c r="L92" i="64" s="1"/>
  <c r="J83" i="64"/>
  <c r="L83" i="64" s="1"/>
  <c r="J71" i="64"/>
  <c r="L71" i="64" s="1"/>
  <c r="J102" i="64"/>
  <c r="L102" i="64" s="1"/>
  <c r="J31" i="64"/>
  <c r="L31" i="64" s="1"/>
  <c r="J76" i="64"/>
  <c r="L76" i="64" s="1"/>
  <c r="J105" i="64"/>
  <c r="L105" i="64" s="1"/>
  <c r="J28" i="64"/>
  <c r="L28" i="64" s="1"/>
  <c r="J106" i="64"/>
  <c r="L106" i="64" s="1"/>
  <c r="J118" i="64"/>
  <c r="L118" i="64" s="1"/>
  <c r="J114" i="64"/>
  <c r="L114" i="64" s="1"/>
  <c r="J108" i="64"/>
  <c r="L108" i="64" s="1"/>
  <c r="J128" i="64"/>
  <c r="L128" i="64" s="1"/>
  <c r="J67" i="64"/>
  <c r="L67" i="64" s="1"/>
  <c r="J33" i="64"/>
  <c r="L33" i="64" s="1"/>
  <c r="J104" i="64"/>
  <c r="L104" i="64" s="1"/>
  <c r="J98" i="64"/>
  <c r="L98" i="64" s="1"/>
  <c r="J23" i="64"/>
  <c r="L23" i="64" s="1"/>
  <c r="J20" i="64"/>
  <c r="L20" i="64" s="1"/>
  <c r="J19" i="64"/>
  <c r="L19" i="64" s="1"/>
  <c r="J80" i="64"/>
  <c r="L80" i="64" s="1"/>
  <c r="J51" i="64"/>
  <c r="L51" i="64" s="1"/>
  <c r="J96" i="64"/>
  <c r="L96" i="64" s="1"/>
  <c r="J36" i="64"/>
  <c r="L36" i="64" s="1"/>
  <c r="J45" i="64"/>
  <c r="L45" i="64" s="1"/>
  <c r="J82" i="64"/>
  <c r="L82" i="64" s="1"/>
  <c r="J85" i="64"/>
  <c r="L85" i="64" s="1"/>
  <c r="J10" i="64"/>
  <c r="L10" i="64" s="1"/>
  <c r="J37" i="64"/>
  <c r="L37" i="64" s="1"/>
  <c r="J94" i="64"/>
  <c r="L94" i="64" s="1"/>
  <c r="J27" i="64"/>
  <c r="L27" i="64" s="1"/>
  <c r="J119" i="64"/>
  <c r="L119" i="64" s="1"/>
  <c r="J113" i="64"/>
  <c r="L113" i="64" s="1"/>
  <c r="J41" i="64"/>
  <c r="L41" i="64" s="1"/>
  <c r="J115" i="64"/>
  <c r="L115" i="64" s="1"/>
  <c r="J122" i="64"/>
  <c r="L122" i="64" s="1"/>
  <c r="J50" i="64"/>
  <c r="L50" i="64" s="1"/>
  <c r="J124" i="64"/>
  <c r="L124" i="64" s="1"/>
  <c r="J79" i="64"/>
  <c r="L79" i="64" s="1"/>
  <c r="J21" i="64"/>
  <c r="L21" i="64" s="1"/>
  <c r="J112" i="64"/>
  <c r="L112" i="64" s="1"/>
  <c r="J40" i="64"/>
  <c r="L40" i="64" s="1"/>
  <c r="J81" i="64"/>
  <c r="L81" i="64" s="1"/>
  <c r="J42" i="64"/>
  <c r="L42" i="64" s="1"/>
  <c r="J90" i="64"/>
  <c r="L90" i="64" s="1"/>
  <c r="J64" i="64"/>
  <c r="L64" i="64" s="1"/>
  <c r="J65" i="64"/>
  <c r="L65" i="64" s="1"/>
  <c r="J103" i="64"/>
  <c r="L103" i="64" s="1"/>
  <c r="E5" i="43"/>
  <c r="E170" i="138"/>
  <c r="H170" i="138" s="1"/>
  <c r="I52" i="65"/>
  <c r="K52" i="65" s="1"/>
  <c r="H52" i="65"/>
  <c r="D88" i="65"/>
  <c r="M185" i="73"/>
  <c r="M184" i="122" s="1"/>
  <c r="D53" i="65"/>
  <c r="D89" i="65" s="1"/>
  <c r="B58" i="102"/>
  <c r="N184" i="122"/>
  <c r="H54" i="102"/>
  <c r="H95" i="102" s="1"/>
  <c r="G28" i="104"/>
  <c r="J28" i="104"/>
  <c r="F56" i="102"/>
  <c r="G56" i="102" s="1"/>
  <c r="L56" i="102"/>
  <c r="L96" i="102" s="1"/>
  <c r="F52" i="65"/>
  <c r="N94" i="102"/>
  <c r="M201" i="73"/>
  <c r="M200" i="122" s="1"/>
  <c r="D69" i="65"/>
  <c r="D93" i="65" s="1"/>
  <c r="N200" i="122"/>
  <c r="B74" i="102"/>
  <c r="C74" i="102" s="1"/>
  <c r="N54" i="102"/>
  <c r="I117" i="133"/>
  <c r="H117" i="133" s="1"/>
  <c r="G128" i="133"/>
  <c r="K117" i="73"/>
  <c r="K201" i="122"/>
  <c r="N202" i="73"/>
  <c r="H94" i="102"/>
  <c r="M11" i="67"/>
  <c r="M48" i="67" s="1"/>
  <c r="Z42" i="67"/>
  <c r="B96" i="102"/>
  <c r="G21" i="104"/>
  <c r="J21" i="104"/>
  <c r="K127" i="122"/>
  <c r="N127" i="73"/>
  <c r="N117" i="133"/>
  <c r="M117" i="133" s="1"/>
  <c r="L128" i="133"/>
  <c r="G84" i="69" l="1"/>
  <c r="D10" i="46"/>
  <c r="E84" i="69" s="1"/>
  <c r="E10" i="46"/>
  <c r="F84" i="69" s="1"/>
  <c r="J97" i="102"/>
  <c r="K58" i="102"/>
  <c r="K97" i="102" s="1"/>
  <c r="K96" i="102"/>
  <c r="J98" i="102"/>
  <c r="K74" i="102"/>
  <c r="H62" i="100"/>
  <c r="H63" i="100"/>
  <c r="J26" i="104"/>
  <c r="H61" i="100"/>
  <c r="E70" i="65"/>
  <c r="J99" i="102"/>
  <c r="C93" i="65"/>
  <c r="F8" i="69" s="1" a="1"/>
  <c r="G96" i="102"/>
  <c r="J24" i="104"/>
  <c r="G24" i="104"/>
  <c r="B97" i="102"/>
  <c r="C58" i="102"/>
  <c r="C97" i="102" s="1"/>
  <c r="C96" i="102"/>
  <c r="C98" i="102"/>
  <c r="M56" i="102"/>
  <c r="M96" i="102" s="1"/>
  <c r="N62" i="100"/>
  <c r="N61" i="100"/>
  <c r="N63" i="100"/>
  <c r="N11" i="65"/>
  <c r="D21" i="43"/>
  <c r="H5" i="43"/>
  <c r="J77" i="101"/>
  <c r="I127" i="122"/>
  <c r="C126" i="64"/>
  <c r="H127" i="73"/>
  <c r="H127" i="122" s="1"/>
  <c r="E53" i="65"/>
  <c r="J13" i="67"/>
  <c r="D5" i="54"/>
  <c r="I117" i="73"/>
  <c r="F128" i="73"/>
  <c r="F117" i="122"/>
  <c r="F13" i="67"/>
  <c r="F12" i="67" s="1"/>
  <c r="M11" i="65"/>
  <c r="L128" i="122"/>
  <c r="L130" i="73"/>
  <c r="F53" i="65"/>
  <c r="G130" i="73"/>
  <c r="G128" i="122"/>
  <c r="D126" i="64"/>
  <c r="M127" i="73"/>
  <c r="M127" i="122" s="1"/>
  <c r="B77" i="101"/>
  <c r="N127" i="122"/>
  <c r="L130" i="133"/>
  <c r="N128" i="133"/>
  <c r="M128" i="133" s="1"/>
  <c r="M44" i="67"/>
  <c r="M43" i="67"/>
  <c r="M38" i="67"/>
  <c r="M45" i="67" s="1"/>
  <c r="H56" i="102"/>
  <c r="D70" i="65"/>
  <c r="F70" i="65" s="1"/>
  <c r="M202" i="73"/>
  <c r="M201" i="122" s="1"/>
  <c r="B75" i="102"/>
  <c r="C75" i="102" s="1"/>
  <c r="C99" i="102" s="1"/>
  <c r="N201" i="122"/>
  <c r="B98" i="102"/>
  <c r="F74" i="102"/>
  <c r="G74" i="102" s="1"/>
  <c r="L74" i="102"/>
  <c r="M74" i="102" s="1"/>
  <c r="F58" i="102"/>
  <c r="H58" i="102" s="1"/>
  <c r="L58" i="102"/>
  <c r="N58" i="102" s="1"/>
  <c r="G130" i="133"/>
  <c r="I128" i="133"/>
  <c r="H128" i="133" s="1"/>
  <c r="N95" i="102"/>
  <c r="E5" i="54"/>
  <c r="W13" i="67"/>
  <c r="E171" i="138"/>
  <c r="H171" i="138" s="1"/>
  <c r="H53" i="65"/>
  <c r="I53" i="65"/>
  <c r="K53" i="65" s="1"/>
  <c r="K117" i="122"/>
  <c r="K128" i="73"/>
  <c r="N117" i="73"/>
  <c r="E177" i="138"/>
  <c r="H177" i="138" s="1"/>
  <c r="I69" i="65"/>
  <c r="K69" i="65" s="1"/>
  <c r="H69" i="65"/>
  <c r="N56" i="102"/>
  <c r="F96" i="102"/>
  <c r="F69" i="65"/>
  <c r="E21" i="43"/>
  <c r="E1163" i="138"/>
  <c r="H1163" i="138" s="1"/>
  <c r="D84" i="69" l="1"/>
  <c r="K99" i="102"/>
  <c r="K98" i="102"/>
  <c r="E16" i="54"/>
  <c r="D134" i="64"/>
  <c r="F8" i="69"/>
  <c r="L13" i="67"/>
  <c r="AB13" i="67" s="1"/>
  <c r="G58" i="102"/>
  <c r="G97" i="102" s="1"/>
  <c r="M58" i="102"/>
  <c r="M97" i="102" s="1"/>
  <c r="L97" i="102"/>
  <c r="B46" i="67"/>
  <c r="J12" i="67"/>
  <c r="J49" i="67" s="1"/>
  <c r="H97" i="102"/>
  <c r="F130" i="73"/>
  <c r="F128" i="122"/>
  <c r="I128" i="73"/>
  <c r="E8" i="69" a="1"/>
  <c r="E8" i="69" s="1"/>
  <c r="I117" i="122"/>
  <c r="C116" i="64"/>
  <c r="J67" i="101"/>
  <c r="H117" i="73"/>
  <c r="H117" i="122" s="1"/>
  <c r="D4" i="54"/>
  <c r="F120" i="93"/>
  <c r="G120" i="93" s="1"/>
  <c r="D35" i="43"/>
  <c r="G19" i="43"/>
  <c r="H21" i="43"/>
  <c r="E93" i="69" s="1"/>
  <c r="M56" i="67"/>
  <c r="L131" i="73"/>
  <c r="L131" i="122" s="1"/>
  <c r="L130" i="122"/>
  <c r="G130" i="122"/>
  <c r="G131" i="73"/>
  <c r="G131" i="122" s="1"/>
  <c r="L98" i="102"/>
  <c r="N74" i="102"/>
  <c r="F75" i="102"/>
  <c r="H75" i="102" s="1"/>
  <c r="L75" i="102"/>
  <c r="N75" i="102" s="1"/>
  <c r="N97" i="102"/>
  <c r="E4" i="54"/>
  <c r="E974" i="138"/>
  <c r="H974" i="138" s="1"/>
  <c r="F98" i="102"/>
  <c r="H74" i="102"/>
  <c r="B99" i="102"/>
  <c r="F77" i="101"/>
  <c r="G77" i="101" s="1"/>
  <c r="L77" i="101"/>
  <c r="M77" i="101" s="1"/>
  <c r="D116" i="64"/>
  <c r="M117" i="73"/>
  <c r="M117" i="122" s="1"/>
  <c r="N117" i="122"/>
  <c r="B67" i="101"/>
  <c r="H96" i="102"/>
  <c r="N96" i="102"/>
  <c r="S13" i="67"/>
  <c r="E178" i="138"/>
  <c r="H178" i="138" s="1"/>
  <c r="H180" i="138" s="1"/>
  <c r="F8" i="139" s="1"/>
  <c r="E8" i="139" s="1"/>
  <c r="H70" i="65"/>
  <c r="I70" i="65"/>
  <c r="K70" i="65" s="1"/>
  <c r="F49" i="67"/>
  <c r="E35" i="43"/>
  <c r="E1179" i="138"/>
  <c r="H1179" i="138" s="1"/>
  <c r="W12" i="67"/>
  <c r="E46" i="67"/>
  <c r="M98" i="102"/>
  <c r="K130" i="73"/>
  <c r="K128" i="122"/>
  <c r="N128" i="73"/>
  <c r="G131" i="133"/>
  <c r="I131" i="133" s="1"/>
  <c r="H131" i="133" s="1"/>
  <c r="I130" i="133"/>
  <c r="H130" i="133" s="1"/>
  <c r="G98" i="102"/>
  <c r="F97" i="102"/>
  <c r="N130" i="133"/>
  <c r="M130" i="133" s="1"/>
  <c r="L131" i="133"/>
  <c r="N131" i="133" s="1"/>
  <c r="M131" i="133" s="1"/>
  <c r="D16" i="54"/>
  <c r="E117" i="138"/>
  <c r="H117" i="138" s="1"/>
  <c r="I126" i="64"/>
  <c r="J126" i="64"/>
  <c r="L126" i="64" s="1"/>
  <c r="I46" i="67" l="1"/>
  <c r="D8" i="69"/>
  <c r="L12" i="67"/>
  <c r="AB12" i="67" s="1"/>
  <c r="N13" i="67"/>
  <c r="AC13" i="67" s="1"/>
  <c r="G75" i="102"/>
  <c r="G99" i="102" s="1"/>
  <c r="M75" i="102"/>
  <c r="M99" i="102" s="1"/>
  <c r="H128" i="73"/>
  <c r="H128" i="122" s="1"/>
  <c r="C127" i="64"/>
  <c r="J78" i="101"/>
  <c r="J87" i="101" s="1"/>
  <c r="I128" i="122"/>
  <c r="F130" i="122"/>
  <c r="I130" i="73"/>
  <c r="F131" i="73"/>
  <c r="C155" i="64"/>
  <c r="D58" i="44"/>
  <c r="D59" i="44" s="1"/>
  <c r="L99" i="102"/>
  <c r="F99" i="102"/>
  <c r="H98" i="102"/>
  <c r="H99" i="102"/>
  <c r="W49" i="67"/>
  <c r="W38" i="67"/>
  <c r="K131" i="73"/>
  <c r="K130" i="122"/>
  <c r="N130" i="73"/>
  <c r="S12" i="67"/>
  <c r="Y13" i="67"/>
  <c r="AA13" i="67" s="1"/>
  <c r="AE13" i="67" s="1"/>
  <c r="D155" i="64"/>
  <c r="E58" i="44"/>
  <c r="E59" i="44" s="1"/>
  <c r="I116" i="64"/>
  <c r="J116" i="64"/>
  <c r="L116" i="64" s="1"/>
  <c r="N98" i="102"/>
  <c r="N99" i="102"/>
  <c r="D127" i="64"/>
  <c r="D157" i="64" s="1"/>
  <c r="M128" i="73"/>
  <c r="M128" i="122" s="1"/>
  <c r="B78" i="101"/>
  <c r="N128" i="122"/>
  <c r="E13" i="54"/>
  <c r="E973" i="138"/>
  <c r="H973" i="138" s="1"/>
  <c r="E1193" i="138"/>
  <c r="H1193" i="138" s="1"/>
  <c r="H1194" i="138" s="1"/>
  <c r="F82" i="139" s="1"/>
  <c r="E82" i="139" s="1"/>
  <c r="F93" i="69"/>
  <c r="D93" i="69" s="1"/>
  <c r="F67" i="101"/>
  <c r="G67" i="101"/>
  <c r="M67" i="101"/>
  <c r="L67" i="101"/>
  <c r="N67" i="101" s="1"/>
  <c r="L49" i="67" l="1"/>
  <c r="N85" i="69"/>
  <c r="D85" i="69" s="1"/>
  <c r="N12" i="67"/>
  <c r="N49" i="67" s="1"/>
  <c r="AD13" i="67"/>
  <c r="I131" i="73"/>
  <c r="F131" i="122"/>
  <c r="H130" i="73"/>
  <c r="H130" i="122" s="1"/>
  <c r="C129" i="64"/>
  <c r="I130" i="122"/>
  <c r="J80" i="101"/>
  <c r="C157" i="64"/>
  <c r="H47" i="144"/>
  <c r="H48" i="144" s="1"/>
  <c r="E127" i="64"/>
  <c r="G106" i="93"/>
  <c r="B87" i="101"/>
  <c r="F78" i="101"/>
  <c r="F87" i="101" s="1"/>
  <c r="L78" i="101"/>
  <c r="M78" i="101" s="1"/>
  <c r="M87" i="101" s="1"/>
  <c r="K131" i="122"/>
  <c r="N131" i="73"/>
  <c r="D3" i="54"/>
  <c r="D13" i="54" s="1"/>
  <c r="E17" i="54" s="1"/>
  <c r="D17" i="54"/>
  <c r="E982" i="138"/>
  <c r="H982" i="138" s="1"/>
  <c r="H983" i="138" s="1"/>
  <c r="F61" i="139" s="1"/>
  <c r="E61" i="139" s="1"/>
  <c r="F127" i="64"/>
  <c r="I47" i="144"/>
  <c r="I48" i="144" s="1"/>
  <c r="E119" i="138"/>
  <c r="H119" i="138" s="1"/>
  <c r="G105" i="93"/>
  <c r="G107" i="93" s="1"/>
  <c r="J127" i="64"/>
  <c r="I127" i="64"/>
  <c r="D129" i="64"/>
  <c r="M130" i="73"/>
  <c r="M130" i="122" s="1"/>
  <c r="N130" i="122"/>
  <c r="B80" i="101"/>
  <c r="S49" i="67"/>
  <c r="S38" i="67"/>
  <c r="S56" i="67" s="1"/>
  <c r="Y12" i="67"/>
  <c r="AD12" i="67" s="1"/>
  <c r="W45" i="67"/>
  <c r="J7" i="67"/>
  <c r="W56" i="67"/>
  <c r="G59" i="69" l="1"/>
  <c r="D59" i="69" s="1"/>
  <c r="AC12" i="67"/>
  <c r="G78" i="101"/>
  <c r="G87" i="101" s="1"/>
  <c r="G108" i="93"/>
  <c r="F135" i="93"/>
  <c r="G135" i="93" s="1"/>
  <c r="I20" i="104"/>
  <c r="K20" i="104" s="1"/>
  <c r="I29" i="104"/>
  <c r="K29" i="104" s="1"/>
  <c r="I27" i="104"/>
  <c r="K27" i="104" s="1"/>
  <c r="I19" i="104"/>
  <c r="K19" i="104" s="1"/>
  <c r="O13" i="64"/>
  <c r="O11" i="64"/>
  <c r="O12" i="64"/>
  <c r="O15" i="64"/>
  <c r="N9" i="65"/>
  <c r="N12" i="65"/>
  <c r="N13" i="65"/>
  <c r="I131" i="122"/>
  <c r="J81" i="101"/>
  <c r="C130" i="64"/>
  <c r="C142" i="64" s="1"/>
  <c r="H131" i="73"/>
  <c r="H131" i="122" s="1"/>
  <c r="N13" i="64"/>
  <c r="N12" i="64"/>
  <c r="N15" i="64"/>
  <c r="N11" i="64"/>
  <c r="M9" i="65"/>
  <c r="M12" i="65"/>
  <c r="M13" i="65"/>
  <c r="E129" i="64"/>
  <c r="C158" i="64"/>
  <c r="F129" i="64"/>
  <c r="E121" i="138"/>
  <c r="H121" i="138" s="1"/>
  <c r="J129" i="64"/>
  <c r="I129" i="64"/>
  <c r="D20" i="104"/>
  <c r="D19" i="104"/>
  <c r="D27" i="104"/>
  <c r="F80" i="101"/>
  <c r="G80" i="101" s="1"/>
  <c r="D29" i="104"/>
  <c r="L80" i="101"/>
  <c r="N71" i="101" s="1"/>
  <c r="Y38" i="67"/>
  <c r="Y45" i="67" s="1"/>
  <c r="Y49" i="67"/>
  <c r="AA12" i="67"/>
  <c r="W42" i="67"/>
  <c r="J11" i="67"/>
  <c r="J48" i="67" s="1"/>
  <c r="F7" i="67"/>
  <c r="S45" i="67"/>
  <c r="D158" i="64"/>
  <c r="E71" i="69"/>
  <c r="D71" i="69" s="1"/>
  <c r="D130" i="64"/>
  <c r="M131" i="73"/>
  <c r="M131" i="122" s="1"/>
  <c r="B81" i="101"/>
  <c r="N131" i="122"/>
  <c r="L87" i="101"/>
  <c r="AD38" i="67" l="1"/>
  <c r="N78" i="101"/>
  <c r="N70" i="101"/>
  <c r="N77" i="101"/>
  <c r="N80" i="101"/>
  <c r="N57" i="101"/>
  <c r="N53" i="101"/>
  <c r="N61" i="101"/>
  <c r="M80" i="101"/>
  <c r="Y56" i="67"/>
  <c r="K68" i="101"/>
  <c r="K37" i="101"/>
  <c r="K18" i="101"/>
  <c r="K35" i="101"/>
  <c r="K47" i="101"/>
  <c r="K50" i="101"/>
  <c r="K25" i="101"/>
  <c r="K73" i="101"/>
  <c r="K24" i="101"/>
  <c r="K28" i="101"/>
  <c r="K49" i="101"/>
  <c r="K39" i="101"/>
  <c r="K66" i="101"/>
  <c r="K12" i="101"/>
  <c r="K16" i="101"/>
  <c r="K54" i="101"/>
  <c r="K55" i="101"/>
  <c r="K78" i="101"/>
  <c r="K72" i="101"/>
  <c r="K43" i="101"/>
  <c r="K71" i="101"/>
  <c r="K15" i="101"/>
  <c r="K19" i="101"/>
  <c r="K67" i="101"/>
  <c r="K30" i="101"/>
  <c r="K65" i="101"/>
  <c r="K42" i="101"/>
  <c r="K27" i="101"/>
  <c r="K21" i="101"/>
  <c r="K23" i="101"/>
  <c r="K81" i="101"/>
  <c r="K74" i="101"/>
  <c r="K80" i="101"/>
  <c r="K57" i="101"/>
  <c r="K63" i="101"/>
  <c r="K64" i="101"/>
  <c r="K32" i="101"/>
  <c r="K69" i="101"/>
  <c r="K75" i="101"/>
  <c r="K44" i="101"/>
  <c r="K26" i="101"/>
  <c r="K33" i="101"/>
  <c r="K77" i="101"/>
  <c r="I18" i="104"/>
  <c r="K18" i="104" s="1"/>
  <c r="K79" i="101"/>
  <c r="K61" i="101"/>
  <c r="K60" i="101"/>
  <c r="K48" i="101"/>
  <c r="K34" i="101"/>
  <c r="K38" i="101"/>
  <c r="K11" i="101"/>
  <c r="K51" i="101"/>
  <c r="K52" i="101"/>
  <c r="K76" i="101"/>
  <c r="K59" i="101"/>
  <c r="K62" i="101"/>
  <c r="K40" i="101"/>
  <c r="K29" i="101"/>
  <c r="K14" i="101"/>
  <c r="K36" i="101"/>
  <c r="K58" i="101"/>
  <c r="K17" i="101"/>
  <c r="K13" i="101"/>
  <c r="K56" i="101"/>
  <c r="K45" i="101"/>
  <c r="K70" i="101"/>
  <c r="K31" i="101"/>
  <c r="K41" i="101"/>
  <c r="K53" i="101"/>
  <c r="K22" i="101"/>
  <c r="K46" i="101"/>
  <c r="J88" i="101"/>
  <c r="K20" i="101"/>
  <c r="E131" i="64"/>
  <c r="E130" i="64"/>
  <c r="C159" i="64"/>
  <c r="F130" i="64"/>
  <c r="D159" i="64"/>
  <c r="F131" i="64"/>
  <c r="E122" i="138"/>
  <c r="H122" i="138" s="1"/>
  <c r="H123" i="138" s="1"/>
  <c r="G7" i="139" s="1"/>
  <c r="E7" i="139" s="1"/>
  <c r="D142" i="64"/>
  <c r="J130" i="64"/>
  <c r="I130" i="64"/>
  <c r="G20" i="104"/>
  <c r="J20" i="104"/>
  <c r="AA49" i="67"/>
  <c r="AA38" i="67"/>
  <c r="AA56" i="67" s="1"/>
  <c r="AE12" i="67"/>
  <c r="G27" i="104"/>
  <c r="J27" i="104"/>
  <c r="F11" i="67"/>
  <c r="F48" i="67" s="1"/>
  <c r="S42" i="67"/>
  <c r="L7" i="67"/>
  <c r="AB7" i="67" s="1"/>
  <c r="G29" i="104"/>
  <c r="J29" i="104"/>
  <c r="G19" i="104"/>
  <c r="J19" i="104"/>
  <c r="C35" i="101"/>
  <c r="C67" i="101"/>
  <c r="C79" i="101"/>
  <c r="C19" i="101"/>
  <c r="C38" i="101"/>
  <c r="C71" i="101"/>
  <c r="B82" i="101"/>
  <c r="C34" i="101"/>
  <c r="C22" i="101"/>
  <c r="C66" i="101"/>
  <c r="C32" i="101"/>
  <c r="C65" i="101"/>
  <c r="C18" i="101"/>
  <c r="C56" i="101"/>
  <c r="C49" i="101"/>
  <c r="C41" i="101"/>
  <c r="C31" i="101"/>
  <c r="C47" i="101"/>
  <c r="C73" i="101"/>
  <c r="C53" i="101"/>
  <c r="C61" i="101"/>
  <c r="C63" i="101"/>
  <c r="C43" i="101"/>
  <c r="C24" i="101"/>
  <c r="C45" i="101"/>
  <c r="B88" i="101"/>
  <c r="C14" i="101"/>
  <c r="C80" i="101"/>
  <c r="C36" i="101"/>
  <c r="C40" i="101"/>
  <c r="C25" i="101"/>
  <c r="D18" i="104"/>
  <c r="C72" i="101"/>
  <c r="C75" i="101"/>
  <c r="C76" i="101"/>
  <c r="C26" i="101"/>
  <c r="C50" i="101"/>
  <c r="C29" i="101"/>
  <c r="C11" i="101"/>
  <c r="C46" i="101"/>
  <c r="C68" i="101"/>
  <c r="C55" i="101"/>
  <c r="C17" i="101"/>
  <c r="C13" i="101"/>
  <c r="C12" i="101"/>
  <c r="C60" i="101"/>
  <c r="C28" i="101"/>
  <c r="C39" i="101"/>
  <c r="C62" i="101"/>
  <c r="C64" i="101"/>
  <c r="C16" i="101"/>
  <c r="C70" i="101"/>
  <c r="C33" i="101"/>
  <c r="C74" i="101"/>
  <c r="C23" i="101"/>
  <c r="C44" i="101"/>
  <c r="C81" i="101"/>
  <c r="C58" i="101"/>
  <c r="C27" i="101"/>
  <c r="C42" i="101"/>
  <c r="C54" i="101"/>
  <c r="C78" i="101"/>
  <c r="C37" i="101"/>
  <c r="C57" i="101"/>
  <c r="C30" i="101"/>
  <c r="C77" i="101"/>
  <c r="C21" i="101"/>
  <c r="C15" i="101"/>
  <c r="C20" i="101"/>
  <c r="C59" i="101"/>
  <c r="C48" i="101"/>
  <c r="C52" i="101"/>
  <c r="C69" i="101"/>
  <c r="C51" i="101"/>
  <c r="F81" i="101"/>
  <c r="F88" i="101" s="1"/>
  <c r="L81" i="101"/>
  <c r="M81" i="101" s="1"/>
  <c r="J43" i="67"/>
  <c r="J38" i="67"/>
  <c r="J45" i="67" s="1"/>
  <c r="J44" i="67"/>
  <c r="E7" i="69" l="1" a="1"/>
  <c r="E7" i="69" s="1"/>
  <c r="N87" i="101"/>
  <c r="K86" i="101"/>
  <c r="M88" i="101"/>
  <c r="G81" i="101"/>
  <c r="G88" i="101" s="1"/>
  <c r="C86" i="101"/>
  <c r="F7" i="69" a="1"/>
  <c r="F7" i="69" s="1"/>
  <c r="K88" i="101"/>
  <c r="K84" i="101"/>
  <c r="K87" i="101"/>
  <c r="K85" i="101"/>
  <c r="J56" i="67"/>
  <c r="G18" i="104"/>
  <c r="J18" i="104"/>
  <c r="N7" i="67"/>
  <c r="Y42" i="67"/>
  <c r="F43" i="67"/>
  <c r="F44" i="67"/>
  <c r="F38" i="67"/>
  <c r="F56" i="67" s="1"/>
  <c r="L11" i="67"/>
  <c r="AB11" i="67" s="1"/>
  <c r="AA45" i="67"/>
  <c r="AE38" i="67"/>
  <c r="C84" i="101"/>
  <c r="C87" i="101"/>
  <c r="H43" i="101"/>
  <c r="H61" i="101"/>
  <c r="H36" i="101"/>
  <c r="H17" i="101"/>
  <c r="H45" i="101"/>
  <c r="H59" i="101"/>
  <c r="H63" i="101"/>
  <c r="H67" i="101"/>
  <c r="H27" i="101"/>
  <c r="H21" i="101"/>
  <c r="H79" i="101"/>
  <c r="H37" i="101"/>
  <c r="H68" i="101"/>
  <c r="H57" i="101"/>
  <c r="H48" i="101"/>
  <c r="H32" i="101"/>
  <c r="H29" i="101"/>
  <c r="H24" i="101"/>
  <c r="H73" i="101"/>
  <c r="H60" i="101"/>
  <c r="H77" i="101"/>
  <c r="H56" i="101"/>
  <c r="H55" i="101"/>
  <c r="H47" i="101"/>
  <c r="H23" i="101"/>
  <c r="H13" i="101"/>
  <c r="H19" i="101"/>
  <c r="H64" i="101"/>
  <c r="H80" i="101"/>
  <c r="L88" i="101"/>
  <c r="H50" i="101"/>
  <c r="H46" i="101"/>
  <c r="H31" i="101"/>
  <c r="H72" i="101"/>
  <c r="H71" i="101"/>
  <c r="H26" i="101"/>
  <c r="H34" i="101"/>
  <c r="H22" i="101"/>
  <c r="H69" i="101"/>
  <c r="H33" i="101"/>
  <c r="H42" i="101"/>
  <c r="H62" i="101"/>
  <c r="H75" i="101"/>
  <c r="H49" i="101"/>
  <c r="H51" i="101"/>
  <c r="H28" i="101"/>
  <c r="H35" i="101"/>
  <c r="H38" i="101"/>
  <c r="H74" i="101"/>
  <c r="H40" i="101"/>
  <c r="H66" i="101"/>
  <c r="H53" i="101"/>
  <c r="H76" i="101"/>
  <c r="H12" i="101"/>
  <c r="H30" i="101"/>
  <c r="H16" i="101"/>
  <c r="H18" i="101"/>
  <c r="H70" i="101"/>
  <c r="H14" i="101"/>
  <c r="H20" i="101"/>
  <c r="H25" i="101"/>
  <c r="H52" i="101"/>
  <c r="N81" i="101"/>
  <c r="N88" i="101" s="1"/>
  <c r="H54" i="101"/>
  <c r="H78" i="101"/>
  <c r="H58" i="101"/>
  <c r="H15" i="101"/>
  <c r="H11" i="101"/>
  <c r="H65" i="101"/>
  <c r="H41" i="101"/>
  <c r="H39" i="101"/>
  <c r="H44" i="101"/>
  <c r="H81" i="101"/>
  <c r="C88" i="101"/>
  <c r="C85" i="101"/>
  <c r="H88" i="101" l="1"/>
  <c r="D7" i="69"/>
  <c r="N11" i="67"/>
  <c r="N48" i="67" s="1"/>
  <c r="L43" i="67"/>
  <c r="L44" i="67"/>
  <c r="L38" i="67"/>
  <c r="L45" i="67" s="1"/>
  <c r="H85" i="101"/>
  <c r="AA42" i="67"/>
  <c r="AC7" i="67"/>
  <c r="H87" i="101"/>
  <c r="H86" i="101"/>
  <c r="H84" i="101"/>
  <c r="L48" i="67"/>
  <c r="F45" i="67"/>
  <c r="AB38" i="67" l="1"/>
  <c r="L56" i="67"/>
  <c r="N43" i="67"/>
  <c r="N44" i="67"/>
  <c r="AC11" i="67"/>
  <c r="N38" i="67"/>
  <c r="N56" i="67" s="1"/>
  <c r="I10" i="69" s="1" a="1"/>
  <c r="I10" i="69" s="1"/>
  <c r="AC38" i="67" l="1"/>
  <c r="E10" i="69" s="1" a="1"/>
  <c r="N45" i="67"/>
  <c r="F10" i="69" s="1" a="1"/>
  <c r="F10" i="69" l="1"/>
  <c r="E10" i="69"/>
  <c r="D10" i="6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王妍(五部)</author>
  </authors>
  <commentList>
    <comment ref="F6" authorId="0" shapeId="0" xr:uid="{00000000-0006-0000-0400-000001000000}">
      <text>
        <r>
          <rPr>
            <b/>
            <sz val="9"/>
            <color indexed="81"/>
            <rFont val="宋体"/>
            <family val="3"/>
            <charset val="134"/>
          </rPr>
          <t>王妍(五部):</t>
        </r>
        <r>
          <rPr>
            <sz val="9"/>
            <color indexed="81"/>
            <rFont val="宋体"/>
            <family val="3"/>
            <charset val="134"/>
          </rPr>
          <t xml:space="preserve">
上年本年数链接为金属制品母公司，各单位核对时，请将链接改为相关单位调整系统名称</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A9" authorId="0" shapeId="0" xr:uid="{00000000-0006-0000-0500-000001000000}">
      <text>
        <r>
          <rPr>
            <b/>
            <sz val="9"/>
            <color indexed="81"/>
            <rFont val="宋体"/>
            <family val="3"/>
            <charset val="134"/>
          </rPr>
          <t>admin:</t>
        </r>
        <r>
          <rPr>
            <sz val="9"/>
            <color indexed="81"/>
            <rFont val="宋体"/>
            <family val="3"/>
            <charset val="134"/>
          </rPr>
          <t xml:space="preserve">
14年新增科目
</t>
        </r>
      </text>
    </comment>
    <comment ref="A10" authorId="0" shapeId="0" xr:uid="{00000000-0006-0000-0500-000002000000}">
      <text>
        <r>
          <rPr>
            <b/>
            <sz val="9"/>
            <color indexed="81"/>
            <rFont val="宋体"/>
            <family val="3"/>
            <charset val="134"/>
          </rPr>
          <t>admin:</t>
        </r>
        <r>
          <rPr>
            <sz val="9"/>
            <color indexed="81"/>
            <rFont val="宋体"/>
            <family val="3"/>
            <charset val="134"/>
          </rPr>
          <t xml:space="preserve">
14年新增科目
</t>
        </r>
      </text>
    </comment>
    <comment ref="A15" authorId="0" shapeId="0" xr:uid="{00000000-0006-0000-0500-000003000000}">
      <text>
        <r>
          <rPr>
            <b/>
            <sz val="9"/>
            <color indexed="81"/>
            <rFont val="宋体"/>
            <family val="3"/>
            <charset val="134"/>
          </rPr>
          <t>admin:</t>
        </r>
        <r>
          <rPr>
            <sz val="9"/>
            <color indexed="81"/>
            <rFont val="宋体"/>
            <family val="3"/>
            <charset val="134"/>
          </rPr>
          <t xml:space="preserve">
14年新增科目
</t>
        </r>
      </text>
    </comment>
    <comment ref="A16" authorId="0" shapeId="0" xr:uid="{00000000-0006-0000-0500-000004000000}">
      <text>
        <r>
          <rPr>
            <b/>
            <sz val="9"/>
            <color indexed="81"/>
            <rFont val="宋体"/>
            <family val="3"/>
            <charset val="134"/>
          </rPr>
          <t>admin:</t>
        </r>
        <r>
          <rPr>
            <sz val="9"/>
            <color indexed="81"/>
            <rFont val="宋体"/>
            <family val="3"/>
            <charset val="134"/>
          </rPr>
          <t xml:space="preserve">
14年新增科目</t>
        </r>
      </text>
    </comment>
    <comment ref="A24" authorId="0" shapeId="0" xr:uid="{00000000-0006-0000-0500-000005000000}">
      <text>
        <r>
          <rPr>
            <b/>
            <sz val="9"/>
            <color indexed="81"/>
            <rFont val="宋体"/>
            <family val="3"/>
            <charset val="134"/>
          </rPr>
          <t>admin:</t>
        </r>
        <r>
          <rPr>
            <sz val="9"/>
            <color indexed="81"/>
            <rFont val="宋体"/>
            <family val="3"/>
            <charset val="134"/>
          </rPr>
          <t xml:space="preserve">
17年新增科目</t>
        </r>
      </text>
    </comment>
    <comment ref="A64" authorId="0" shapeId="0" xr:uid="{00000000-0006-0000-0500-000006000000}">
      <text>
        <r>
          <rPr>
            <b/>
            <sz val="9"/>
            <color indexed="81"/>
            <rFont val="宋体"/>
            <family val="3"/>
            <charset val="134"/>
          </rPr>
          <t>admin:</t>
        </r>
        <r>
          <rPr>
            <sz val="9"/>
            <color indexed="81"/>
            <rFont val="宋体"/>
            <family val="3"/>
            <charset val="134"/>
          </rPr>
          <t xml:space="preserve">
14年新增科目</t>
        </r>
      </text>
    </comment>
    <comment ref="A65" authorId="0" shapeId="0" xr:uid="{00000000-0006-0000-0500-000007000000}">
      <text>
        <r>
          <rPr>
            <b/>
            <sz val="9"/>
            <color indexed="81"/>
            <rFont val="宋体"/>
            <family val="3"/>
            <charset val="134"/>
          </rPr>
          <t>admin:</t>
        </r>
        <r>
          <rPr>
            <sz val="9"/>
            <color indexed="81"/>
            <rFont val="宋体"/>
            <family val="3"/>
            <charset val="134"/>
          </rPr>
          <t xml:space="preserve">
14年新增科目
</t>
        </r>
      </text>
    </comment>
    <comment ref="A84" authorId="0" shapeId="0" xr:uid="{00000000-0006-0000-0500-000008000000}">
      <text>
        <r>
          <rPr>
            <b/>
            <sz val="9"/>
            <color indexed="81"/>
            <rFont val="宋体"/>
            <family val="3"/>
            <charset val="134"/>
          </rPr>
          <t>admin:</t>
        </r>
        <r>
          <rPr>
            <sz val="9"/>
            <color indexed="81"/>
            <rFont val="宋体"/>
            <family val="3"/>
            <charset val="134"/>
          </rPr>
          <t xml:space="preserve">
14年新增科目</t>
        </r>
      </text>
    </comment>
    <comment ref="A92" authorId="0" shapeId="0" xr:uid="{00000000-0006-0000-0500-000009000000}">
      <text>
        <r>
          <rPr>
            <b/>
            <sz val="9"/>
            <color indexed="81"/>
            <rFont val="宋体"/>
            <family val="3"/>
            <charset val="134"/>
          </rPr>
          <t>admin:</t>
        </r>
        <r>
          <rPr>
            <sz val="9"/>
            <color indexed="81"/>
            <rFont val="宋体"/>
            <family val="3"/>
            <charset val="134"/>
          </rPr>
          <t xml:space="preserve">
14年新增科目</t>
        </r>
      </text>
    </comment>
    <comment ref="A95" authorId="0" shapeId="0" xr:uid="{00000000-0006-0000-0500-00000A000000}">
      <text>
        <r>
          <rPr>
            <b/>
            <sz val="9"/>
            <color indexed="81"/>
            <rFont val="宋体"/>
            <family val="3"/>
            <charset val="134"/>
          </rPr>
          <t>admin:</t>
        </r>
        <r>
          <rPr>
            <sz val="9"/>
            <color indexed="81"/>
            <rFont val="宋体"/>
            <family val="3"/>
            <charset val="134"/>
          </rPr>
          <t xml:space="preserve">
14年新增科目</t>
        </r>
      </text>
    </comment>
    <comment ref="A111" authorId="0" shapeId="0" xr:uid="{00000000-0006-0000-0500-00000B000000}">
      <text>
        <r>
          <rPr>
            <b/>
            <sz val="9"/>
            <color indexed="81"/>
            <rFont val="宋体"/>
            <family val="3"/>
            <charset val="134"/>
          </rPr>
          <t>admin:</t>
        </r>
        <r>
          <rPr>
            <sz val="9"/>
            <color indexed="81"/>
            <rFont val="宋体"/>
            <family val="3"/>
            <charset val="134"/>
          </rPr>
          <t xml:space="preserve">
14年新增科目</t>
        </r>
      </text>
    </comment>
    <comment ref="A116" authorId="0" shapeId="0" xr:uid="{00000000-0006-0000-0500-00000C000000}">
      <text>
        <r>
          <rPr>
            <b/>
            <sz val="9"/>
            <color indexed="81"/>
            <rFont val="宋体"/>
            <family val="3"/>
            <charset val="134"/>
          </rPr>
          <t>admin:</t>
        </r>
        <r>
          <rPr>
            <sz val="9"/>
            <color indexed="81"/>
            <rFont val="宋体"/>
            <family val="3"/>
            <charset val="134"/>
          </rPr>
          <t xml:space="preserve">
14年新增科目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B13" authorId="0" shapeId="0" xr:uid="{00000000-0006-0000-0700-000001000000}">
      <text>
        <r>
          <rPr>
            <b/>
            <sz val="9"/>
            <color indexed="81"/>
            <rFont val="宋体"/>
            <family val="3"/>
            <charset val="134"/>
          </rPr>
          <t>admin:</t>
        </r>
        <r>
          <rPr>
            <sz val="9"/>
            <color indexed="81"/>
            <rFont val="宋体"/>
            <family val="3"/>
            <charset val="134"/>
          </rPr>
          <t xml:space="preserve">
2014年新增</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E00-000001000000}">
      <text>
        <r>
          <rPr>
            <b/>
            <sz val="9"/>
            <color indexed="81"/>
            <rFont val="宋体"/>
            <family val="3"/>
            <charset val="134"/>
          </rPr>
          <t>admin:</t>
        </r>
        <r>
          <rPr>
            <sz val="9"/>
            <color indexed="81"/>
            <rFont val="宋体"/>
            <family val="3"/>
            <charset val="134"/>
          </rPr>
          <t xml:space="preserve">
2014年新增</t>
        </r>
      </text>
    </comment>
    <comment ref="F6" authorId="0" shapeId="0" xr:uid="{00000000-0006-0000-0E00-000002000000}">
      <text>
        <r>
          <rPr>
            <b/>
            <sz val="9"/>
            <color indexed="81"/>
            <rFont val="宋体"/>
            <family val="3"/>
            <charset val="134"/>
          </rPr>
          <t>admin:</t>
        </r>
        <r>
          <rPr>
            <sz val="9"/>
            <color indexed="81"/>
            <rFont val="宋体"/>
            <family val="3"/>
            <charset val="134"/>
          </rPr>
          <t xml:space="preserve">
204年新增</t>
        </r>
      </text>
    </comment>
    <comment ref="P6" authorId="0" shapeId="0" xr:uid="{00000000-0006-0000-0E00-000003000000}">
      <text>
        <r>
          <rPr>
            <b/>
            <sz val="9"/>
            <color indexed="81"/>
            <rFont val="宋体"/>
            <family val="3"/>
            <charset val="134"/>
          </rPr>
          <t>admin:</t>
        </r>
        <r>
          <rPr>
            <sz val="9"/>
            <color indexed="81"/>
            <rFont val="宋体"/>
            <family val="3"/>
            <charset val="134"/>
          </rPr>
          <t xml:space="preserve">
2014年新增</t>
        </r>
      </text>
    </comment>
    <comment ref="S6" authorId="0" shapeId="0" xr:uid="{00000000-0006-0000-0E00-000004000000}">
      <text>
        <r>
          <rPr>
            <b/>
            <sz val="9"/>
            <color indexed="81"/>
            <rFont val="宋体"/>
            <family val="3"/>
            <charset val="134"/>
          </rPr>
          <t>admin:</t>
        </r>
        <r>
          <rPr>
            <sz val="9"/>
            <color indexed="81"/>
            <rFont val="宋体"/>
            <family val="3"/>
            <charset val="134"/>
          </rPr>
          <t xml:space="preserve">
2014年新增</t>
        </r>
      </text>
    </comment>
    <comment ref="A10" authorId="0" shapeId="0" xr:uid="{00000000-0006-0000-0E00-000005000000}">
      <text>
        <r>
          <rPr>
            <b/>
            <sz val="9"/>
            <color indexed="81"/>
            <rFont val="宋体"/>
            <family val="3"/>
            <charset val="134"/>
          </rPr>
          <t>admin:</t>
        </r>
        <r>
          <rPr>
            <sz val="9"/>
            <color indexed="81"/>
            <rFont val="宋体"/>
            <family val="3"/>
            <charset val="134"/>
          </rPr>
          <t xml:space="preserve">
2014年新增</t>
        </r>
      </text>
    </comment>
    <comment ref="A13" authorId="0" shapeId="0" xr:uid="{00000000-0006-0000-0E00-000006000000}">
      <text>
        <r>
          <rPr>
            <b/>
            <sz val="9"/>
            <color indexed="81"/>
            <rFont val="宋体"/>
            <family val="3"/>
            <charset val="134"/>
          </rPr>
          <t>admin:</t>
        </r>
        <r>
          <rPr>
            <sz val="9"/>
            <color indexed="81"/>
            <rFont val="宋体"/>
            <family val="3"/>
            <charset val="134"/>
          </rPr>
          <t xml:space="preserve">
2014年新增</t>
        </r>
      </text>
    </comment>
    <comment ref="A15" authorId="0" shapeId="0" xr:uid="{00000000-0006-0000-0E00-000007000000}">
      <text>
        <r>
          <rPr>
            <b/>
            <sz val="9"/>
            <color indexed="81"/>
            <rFont val="宋体"/>
            <family val="3"/>
            <charset val="134"/>
          </rPr>
          <t>admin:</t>
        </r>
        <r>
          <rPr>
            <sz val="9"/>
            <color indexed="81"/>
            <rFont val="宋体"/>
            <family val="3"/>
            <charset val="134"/>
          </rPr>
          <t xml:space="preserve">
2014年新增</t>
        </r>
      </text>
    </comment>
    <comment ref="A16" authorId="0" shapeId="0" xr:uid="{00000000-0006-0000-0E00-000008000000}">
      <text>
        <r>
          <rPr>
            <b/>
            <sz val="9"/>
            <color indexed="81"/>
            <rFont val="宋体"/>
            <family val="3"/>
            <charset val="134"/>
          </rPr>
          <t>admin:</t>
        </r>
        <r>
          <rPr>
            <sz val="9"/>
            <color indexed="81"/>
            <rFont val="宋体"/>
            <family val="3"/>
            <charset val="134"/>
          </rPr>
          <t xml:space="preserve">
2014年新增</t>
        </r>
      </text>
    </comment>
    <comment ref="A36" authorId="0" shapeId="0" xr:uid="{00000000-0006-0000-0E00-000009000000}">
      <text>
        <r>
          <rPr>
            <b/>
            <sz val="9"/>
            <color indexed="81"/>
            <rFont val="宋体"/>
            <family val="3"/>
            <charset val="134"/>
          </rPr>
          <t>admin:</t>
        </r>
        <r>
          <rPr>
            <sz val="9"/>
            <color indexed="81"/>
            <rFont val="宋体"/>
            <family val="3"/>
            <charset val="134"/>
          </rPr>
          <t xml:space="preserve">
2014年新增</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作者</author>
    <author>cwl</author>
    <author>zjm</author>
  </authors>
  <commentList>
    <comment ref="E11" authorId="0" shapeId="0" xr:uid="{00000000-0006-0000-1000-000001000000}">
      <text>
        <r>
          <rPr>
            <sz val="9"/>
            <rFont val="宋体"/>
            <family val="3"/>
            <charset val="134"/>
          </rPr>
          <t>作者:
取企业的主营业务收入明细账的数据</t>
        </r>
      </text>
    </comment>
    <comment ref="E12" authorId="0" shapeId="0" xr:uid="{00000000-0006-0000-1000-000002000000}">
      <text>
        <r>
          <rPr>
            <sz val="9"/>
            <rFont val="宋体"/>
            <family val="3"/>
            <charset val="134"/>
          </rPr>
          <t>作者:
销售的其他存货原材料、包装物等，提供的劳务收入</t>
        </r>
      </text>
    </comment>
    <comment ref="E13" authorId="0" shapeId="0" xr:uid="{00000000-0006-0000-1000-000003000000}">
      <text>
        <r>
          <rPr>
            <sz val="9"/>
            <rFont val="宋体"/>
            <family val="3"/>
            <charset val="134"/>
          </rPr>
          <t>作者:
应了解企业适用的增值税税率，此数为主营业务收入与其他业务收入中销售材料的收入之和乘以增值税税率</t>
        </r>
      </text>
    </comment>
    <comment ref="E14" authorId="1" shapeId="0" xr:uid="{00000000-0006-0000-1000-000004000000}">
      <text>
        <r>
          <rPr>
            <sz val="9"/>
            <rFont val="宋体"/>
            <family val="3"/>
            <charset val="134"/>
          </rPr>
          <t>cwl:
直接从资产负债表年初年末差取数</t>
        </r>
      </text>
    </comment>
    <comment ref="E15" authorId="1" shapeId="0" xr:uid="{00000000-0006-0000-1000-000005000000}">
      <text>
        <r>
          <rPr>
            <sz val="9"/>
            <rFont val="宋体"/>
            <family val="3"/>
            <charset val="134"/>
          </rPr>
          <t>cwl:
直接从资产负债表年初年末差取数</t>
        </r>
      </text>
    </comment>
    <comment ref="E16" authorId="1" shapeId="0" xr:uid="{00000000-0006-0000-1000-000006000000}">
      <text>
        <r>
          <rPr>
            <sz val="9"/>
            <rFont val="宋体"/>
            <family val="3"/>
            <charset val="134"/>
          </rPr>
          <t>cwl:
直接从资产负债表年初年末差取数</t>
        </r>
      </text>
    </comment>
    <comment ref="E18" authorId="1" shapeId="0" xr:uid="{00000000-0006-0000-1000-000007000000}">
      <text>
        <r>
          <rPr>
            <sz val="9"/>
            <rFont val="宋体"/>
            <family val="3"/>
            <charset val="134"/>
          </rPr>
          <t>cwl:
1、指银行承兑汇票贴现的利息；
2、期初存在本期贴现的情况才考虑</t>
        </r>
      </text>
    </comment>
    <comment ref="E25" authorId="0" shapeId="0" xr:uid="{00000000-0006-0000-1000-000008000000}">
      <text>
        <r>
          <rPr>
            <sz val="9"/>
            <rFont val="宋体"/>
            <family val="3"/>
            <charset val="134"/>
          </rPr>
          <t>作者:
例如1、本期销售的固定资产等长期资产未完全收回货款挂账；2、本期收回的上期销售的固定资产等长期资产的挂账款；3、应收票据中商业承兑汇票本期贴现。</t>
        </r>
      </text>
    </comment>
    <comment ref="E48" authorId="1" shapeId="0" xr:uid="{00000000-0006-0000-1000-000009000000}">
      <text>
        <r>
          <rPr>
            <sz val="9"/>
            <rFont val="宋体"/>
            <family val="3"/>
            <charset val="134"/>
          </rPr>
          <t>cwl:
上市公司</t>
        </r>
      </text>
    </comment>
    <comment ref="E63" authorId="1" shapeId="0" xr:uid="{00000000-0006-0000-1000-00000A000000}">
      <text>
        <r>
          <rPr>
            <sz val="9"/>
            <rFont val="宋体"/>
            <family val="3"/>
            <charset val="134"/>
          </rPr>
          <t>cwl:
销售原材料等材料的成本</t>
        </r>
      </text>
    </comment>
    <comment ref="E89" authorId="1" shapeId="0" xr:uid="{00000000-0006-0000-1000-00000B000000}">
      <text>
        <r>
          <rPr>
            <sz val="9"/>
            <rFont val="宋体"/>
            <family val="3"/>
            <charset val="134"/>
          </rPr>
          <t>cwl:
作者:
注：不包括在建工程人员的工资及相关支出，——在投资性现金流量的“购建固定资产、无形资产和其他长期资产所支付的现金”项目反映；
不包括离退休人员的工资及相关支出，——在经营性现金流量的“支付的其他与经营活动有关的现金”反映。</t>
        </r>
      </text>
    </comment>
    <comment ref="E115" authorId="2" shapeId="0" xr:uid="{00000000-0006-0000-1000-00000C000000}">
      <text>
        <r>
          <rPr>
            <sz val="9"/>
            <rFont val="宋体"/>
            <family val="3"/>
            <charset val="134"/>
          </rPr>
          <t xml:space="preserve">zjm:个人所得税.支付职工的工资.
</t>
        </r>
      </text>
    </comment>
    <comment ref="E181" authorId="1" shapeId="0" xr:uid="{00000000-0006-0000-1000-00000D000000}">
      <text>
        <r>
          <rPr>
            <sz val="9"/>
            <rFont val="宋体"/>
            <family val="3"/>
            <charset val="134"/>
          </rPr>
          <t>cwl:
在投资收回时收到多少就填多少</t>
        </r>
      </text>
    </comment>
    <comment ref="E182" authorId="1" shapeId="0" xr:uid="{00000000-0006-0000-1000-00000E000000}">
      <text>
        <r>
          <rPr>
            <sz val="9"/>
            <rFont val="宋体"/>
            <family val="3"/>
            <charset val="134"/>
          </rPr>
          <t>cwl:
在投资收回时收到多少就填多少</t>
        </r>
      </text>
    </comment>
    <comment ref="E183" authorId="1" shapeId="0" xr:uid="{00000000-0006-0000-1000-00000F000000}">
      <text>
        <r>
          <rPr>
            <sz val="9"/>
            <rFont val="宋体"/>
            <family val="3"/>
            <charset val="134"/>
          </rPr>
          <t>cwl:
在投资收回时收到多少就填多少</t>
        </r>
      </text>
    </comment>
    <comment ref="E184" authorId="1" shapeId="0" xr:uid="{00000000-0006-0000-1000-000010000000}">
      <text>
        <r>
          <rPr>
            <sz val="9"/>
            <rFont val="宋体"/>
            <family val="3"/>
            <charset val="134"/>
          </rPr>
          <t>cwl:
收回只能填本金，利息不能填在此处，利息应填入“取得投资收益所收到的现金”项目中。</t>
        </r>
      </text>
    </comment>
    <comment ref="E185" authorId="1" shapeId="0" xr:uid="{00000000-0006-0000-1000-000011000000}">
      <text>
        <r>
          <rPr>
            <sz val="9"/>
            <rFont val="宋体"/>
            <family val="3"/>
            <charset val="134"/>
          </rPr>
          <t>cwl:
在投资收回时收到多少就填多少</t>
        </r>
      </text>
    </comment>
    <comment ref="G207" authorId="1" shapeId="0" xr:uid="{00000000-0006-0000-1000-000012000000}">
      <text>
        <r>
          <rPr>
            <sz val="9"/>
            <rFont val="宋体"/>
            <family val="3"/>
            <charset val="134"/>
          </rPr>
          <t>cwl:
此数如为负数应填列到支付的其他与投资活动有关的现金项目</t>
        </r>
      </text>
    </comment>
    <comment ref="G216" authorId="1" shapeId="0" xr:uid="{00000000-0006-0000-1000-000013000000}">
      <text>
        <r>
          <rPr>
            <sz val="9"/>
            <rFont val="宋体"/>
            <family val="3"/>
            <charset val="134"/>
          </rPr>
          <t>cwl:
此数如为负数应填列到支付的其他与投资活动有关的现金项目</t>
        </r>
      </text>
    </comment>
    <comment ref="E357" authorId="0" shapeId="0" xr:uid="{00000000-0006-0000-1000-000014000000}">
      <text>
        <r>
          <rPr>
            <sz val="9"/>
            <rFont val="宋体"/>
            <family val="3"/>
            <charset val="134"/>
          </rPr>
          <t>作者:
注：是“经营性”而非“投资”或“筹资”性</t>
        </r>
      </text>
    </comment>
    <comment ref="E359" authorId="1" shapeId="0" xr:uid="{00000000-0006-0000-1000-000015000000}">
      <text>
        <r>
          <rPr>
            <sz val="9"/>
            <rFont val="宋体"/>
            <family val="3"/>
            <charset val="134"/>
          </rPr>
          <t>cwl:
直接从资产负债表年初年末差取数</t>
        </r>
      </text>
    </comment>
    <comment ref="E360" authorId="1" shapeId="0" xr:uid="{00000000-0006-0000-1000-000016000000}">
      <text>
        <r>
          <rPr>
            <sz val="9"/>
            <rFont val="宋体"/>
            <family val="3"/>
            <charset val="134"/>
          </rPr>
          <t>cwl:
直接从资产负债表年初年末差取数</t>
        </r>
      </text>
    </comment>
    <comment ref="E361" authorId="1" shapeId="0" xr:uid="{00000000-0006-0000-1000-000017000000}">
      <text>
        <r>
          <rPr>
            <sz val="9"/>
            <rFont val="宋体"/>
            <family val="3"/>
            <charset val="134"/>
          </rPr>
          <t>cwl:
直接从资产负债表年初年末差取数</t>
        </r>
      </text>
    </comment>
    <comment ref="E362" authorId="1" shapeId="0" xr:uid="{00000000-0006-0000-1000-000018000000}">
      <text>
        <r>
          <rPr>
            <sz val="9"/>
            <rFont val="宋体"/>
            <family val="3"/>
            <charset val="134"/>
          </rPr>
          <t>cwl:
直接从资产负债表年初年末差取数</t>
        </r>
      </text>
    </comment>
    <comment ref="E367" authorId="0" shapeId="0" xr:uid="{00000000-0006-0000-1000-000019000000}">
      <text>
        <r>
          <rPr>
            <sz val="9"/>
            <rFont val="宋体"/>
            <family val="3"/>
            <charset val="134"/>
          </rPr>
          <t>作者:
例如1、销售固定资产等长期资产应收项的减少；2、应收票据中商业承兑汇票本期贴现导致的应收款的减少。</t>
        </r>
      </text>
    </comment>
    <comment ref="E372" authorId="0" shapeId="0" xr:uid="{00000000-0006-0000-1000-00001A000000}">
      <text>
        <r>
          <rPr>
            <sz val="9"/>
            <rFont val="宋体"/>
            <family val="3"/>
            <charset val="134"/>
          </rPr>
          <t>作者:
注：是“经营性”而非“投资”或“筹资”性</t>
        </r>
      </text>
    </comment>
    <comment ref="E382" authorId="1" shapeId="0" xr:uid="{00000000-0006-0000-1000-00001B000000}">
      <text>
        <r>
          <rPr>
            <sz val="9"/>
            <rFont val="宋体"/>
            <family val="3"/>
            <charset val="134"/>
          </rPr>
          <t>cwl:
出售固定资产等长期资产税费及应由在建工程负担的税费年末年初的变化数。</t>
        </r>
      </text>
    </comment>
    <comment ref="E383" authorId="1" shapeId="0" xr:uid="{00000000-0006-0000-1000-00001C000000}">
      <text>
        <r>
          <rPr>
            <sz val="9"/>
            <rFont val="宋体"/>
            <family val="3"/>
            <charset val="134"/>
          </rPr>
          <t>cwl:
本期债转股用负数表示</t>
        </r>
      </text>
    </comment>
    <comment ref="E391" authorId="0" shapeId="0" xr:uid="{00000000-0006-0000-1000-00001D000000}">
      <text>
        <r>
          <rPr>
            <sz val="9"/>
            <rFont val="宋体"/>
            <family val="3"/>
            <charset val="134"/>
          </rPr>
          <t>作者:
注：是“经营性”而非“投资”或“筹资”性</t>
        </r>
      </text>
    </comment>
    <comment ref="E421" authorId="1" shapeId="0" xr:uid="{00000000-0006-0000-1000-00001E000000}">
      <text>
        <r>
          <rPr>
            <sz val="9"/>
            <rFont val="宋体"/>
            <family val="3"/>
            <charset val="134"/>
          </rPr>
          <t>cwl:
作者:
注：不包括在建工程人员的工资及相关支出，——在投资性现金流量的“购建固定资产、无形资产和其他长期资产所支付的现金”项目反映；
不包括离退休人员的工资及相关支出，——在经营性现金流量的“支付的其他与经营活动有关的现金”反映。</t>
        </r>
      </text>
    </comment>
    <comment ref="E422" authorId="1" shapeId="0" xr:uid="{00000000-0006-0000-1000-00001F000000}">
      <text>
        <r>
          <rPr>
            <sz val="9"/>
            <rFont val="宋体"/>
            <family val="3"/>
            <charset val="134"/>
          </rPr>
          <t>cwl:
作者:
注：不包括在建工程人员的工资及相关支出，——在投资性现金流量的“购建固定资产、无形资产和其他长期资产所支付的现金”项目反映；
不包括离退休人员的工资及相关支出，——在经营性现金流量的“支付的其他与经营活动有关的现金”反映。</t>
        </r>
      </text>
    </comment>
    <comment ref="E450" authorId="0" shapeId="0" xr:uid="{00000000-0006-0000-1000-000020000000}">
      <text>
        <r>
          <rPr>
            <sz val="9"/>
            <rFont val="宋体"/>
            <family val="3"/>
            <charset val="134"/>
          </rPr>
          <t>作者:
注：是“经营性”而非“投资”或“筹资”性</t>
        </r>
      </text>
    </comment>
    <comment ref="E451" authorId="0" shapeId="0" xr:uid="{00000000-0006-0000-1000-000021000000}">
      <text>
        <r>
          <rPr>
            <sz val="9"/>
            <rFont val="宋体"/>
            <family val="3"/>
            <charset val="134"/>
          </rPr>
          <t>作者:
注：是“经营性”而非“投资”或“筹资”性</t>
        </r>
      </text>
    </comment>
    <comment ref="E452" authorId="0" shapeId="0" xr:uid="{00000000-0006-0000-1000-000022000000}">
      <text>
        <r>
          <rPr>
            <sz val="9"/>
            <rFont val="宋体"/>
            <family val="3"/>
            <charset val="134"/>
          </rPr>
          <t>作者:
注：是“经营性”而非“投资”或“筹资”性</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28" authorId="0" shapeId="0" xr:uid="{00000000-0006-0000-1600-000001000000}">
      <text>
        <r>
          <rPr>
            <b/>
            <sz val="9"/>
            <color indexed="81"/>
            <rFont val="宋体"/>
            <family val="3"/>
            <charset val="134"/>
          </rPr>
          <t>admin:</t>
        </r>
        <r>
          <rPr>
            <sz val="9"/>
            <color indexed="81"/>
            <rFont val="宋体"/>
            <family val="3"/>
            <charset val="134"/>
          </rPr>
          <t xml:space="preserve">
一般企业只需披露以贴现未到期的附追索权的商业承兑汇票情况</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郭勇</author>
  </authors>
  <commentList>
    <comment ref="U32" authorId="0" shapeId="0" xr:uid="{00000000-0006-0000-1700-000001000000}">
      <text>
        <r>
          <rPr>
            <b/>
            <sz val="9"/>
            <color indexed="81"/>
            <rFont val="宋体"/>
            <family val="3"/>
            <charset val="134"/>
          </rPr>
          <t>郭勇</t>
        </r>
        <r>
          <rPr>
            <b/>
            <sz val="9"/>
            <color indexed="81"/>
            <rFont val="Tahoma"/>
            <family val="2"/>
          </rPr>
          <t>:</t>
        </r>
        <r>
          <rPr>
            <sz val="9"/>
            <color indexed="81"/>
            <rFont val="Tahoma"/>
            <family val="2"/>
          </rPr>
          <t xml:space="preserve">
</t>
        </r>
        <r>
          <rPr>
            <sz val="9"/>
            <color indexed="81"/>
            <rFont val="宋体"/>
            <family val="3"/>
            <charset val="134"/>
          </rPr>
          <t>集团与股份可能不统一，请注意修改。</t>
        </r>
      </text>
    </comment>
    <comment ref="U47" authorId="0" shapeId="0" xr:uid="{00000000-0006-0000-1700-000002000000}">
      <text>
        <r>
          <rPr>
            <b/>
            <sz val="9"/>
            <color indexed="81"/>
            <rFont val="宋体"/>
            <family val="3"/>
            <charset val="134"/>
          </rPr>
          <t>郭勇</t>
        </r>
        <r>
          <rPr>
            <b/>
            <sz val="9"/>
            <color indexed="81"/>
            <rFont val="Tahoma"/>
            <family val="2"/>
          </rPr>
          <t>:</t>
        </r>
        <r>
          <rPr>
            <sz val="9"/>
            <color indexed="81"/>
            <rFont val="Tahoma"/>
            <family val="2"/>
          </rPr>
          <t xml:space="preserve">
</t>
        </r>
        <r>
          <rPr>
            <sz val="9"/>
            <color indexed="81"/>
            <rFont val="宋体"/>
            <family val="3"/>
            <charset val="134"/>
          </rPr>
          <t>集团与股份可能不统一，请注意修改。</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郭勇</author>
  </authors>
  <commentList>
    <comment ref="U32" authorId="0" shapeId="0" xr:uid="{00000000-0006-0000-1B00-000001000000}">
      <text>
        <r>
          <rPr>
            <b/>
            <sz val="9"/>
            <color indexed="81"/>
            <rFont val="宋体"/>
            <family val="3"/>
            <charset val="134"/>
          </rPr>
          <t>郭勇</t>
        </r>
        <r>
          <rPr>
            <b/>
            <sz val="9"/>
            <color indexed="81"/>
            <rFont val="Tahoma"/>
            <family val="2"/>
          </rPr>
          <t>:</t>
        </r>
        <r>
          <rPr>
            <sz val="9"/>
            <color indexed="81"/>
            <rFont val="Tahoma"/>
            <family val="2"/>
          </rPr>
          <t xml:space="preserve">
</t>
        </r>
        <r>
          <rPr>
            <sz val="9"/>
            <color indexed="81"/>
            <rFont val="宋体"/>
            <family val="3"/>
            <charset val="134"/>
          </rPr>
          <t>集团与股份可能不统一，请注意修改。</t>
        </r>
      </text>
    </comment>
    <comment ref="U47" authorId="0" shapeId="0" xr:uid="{00000000-0006-0000-1B00-000002000000}">
      <text>
        <r>
          <rPr>
            <b/>
            <sz val="9"/>
            <color indexed="81"/>
            <rFont val="宋体"/>
            <family val="3"/>
            <charset val="134"/>
          </rPr>
          <t>郭勇</t>
        </r>
        <r>
          <rPr>
            <b/>
            <sz val="9"/>
            <color indexed="81"/>
            <rFont val="Tahoma"/>
            <family val="2"/>
          </rPr>
          <t>:</t>
        </r>
        <r>
          <rPr>
            <sz val="9"/>
            <color indexed="81"/>
            <rFont val="Tahoma"/>
            <family val="2"/>
          </rPr>
          <t xml:space="preserve">
</t>
        </r>
        <r>
          <rPr>
            <sz val="9"/>
            <color indexed="81"/>
            <rFont val="宋体"/>
            <family val="3"/>
            <charset val="134"/>
          </rPr>
          <t>集团与股份可能不统一，请注意修改。</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G3" authorId="0" shapeId="0" xr:uid="{00000000-0006-0000-2800-000001000000}">
      <text>
        <r>
          <rPr>
            <b/>
            <sz val="9"/>
            <color indexed="81"/>
            <rFont val="宋体"/>
            <family val="3"/>
            <charset val="134"/>
          </rPr>
          <t>admin:</t>
        </r>
        <r>
          <rPr>
            <sz val="9"/>
            <color indexed="81"/>
            <rFont val="宋体"/>
            <family val="3"/>
            <charset val="134"/>
          </rPr>
          <t xml:space="preserve">
根据实际项目填列，合并需将子公司工程项目汇总。</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ad</author>
  </authors>
  <commentList>
    <comment ref="C1" authorId="0" shapeId="0" xr:uid="{00000000-0006-0000-5300-000001000000}">
      <text>
        <r>
          <rPr>
            <b/>
            <sz val="10"/>
            <color indexed="10"/>
            <rFont val="宋体"/>
            <family val="3"/>
            <charset val="134"/>
          </rPr>
          <t>本科目2014年需在国企附注中进行披露，另填列本表可以核对利润表与现金流量表的关系，所以请填写完整。</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D157" authorId="0" shapeId="0" xr:uid="{00000000-0006-0000-6A00-000001000000}">
      <text>
        <r>
          <rPr>
            <b/>
            <sz val="9"/>
            <color indexed="81"/>
            <rFont val="宋体"/>
            <family val="3"/>
            <charset val="134"/>
          </rPr>
          <t>admin:</t>
        </r>
        <r>
          <rPr>
            <sz val="9"/>
            <color indexed="81"/>
            <rFont val="宋体"/>
            <family val="3"/>
            <charset val="134"/>
          </rPr>
          <t xml:space="preserve">
根据实际情况填列</t>
        </r>
      </text>
    </comment>
  </commentList>
</comments>
</file>

<file path=xl/sharedStrings.xml><?xml version="1.0" encoding="utf-8"?>
<sst xmlns="http://schemas.openxmlformats.org/spreadsheetml/2006/main" count="12208" uniqueCount="5313">
  <si>
    <t>审计调整分录</t>
    <phoneticPr fontId="5" type="noConversion"/>
  </si>
  <si>
    <t>科目</t>
    <phoneticPr fontId="5" type="noConversion"/>
  </si>
  <si>
    <t>说明：请选择报表项目</t>
    <phoneticPr fontId="5" type="noConversion"/>
  </si>
  <si>
    <t>报表项目</t>
    <phoneticPr fontId="5" type="noConversion"/>
  </si>
  <si>
    <t>期初余额</t>
    <phoneticPr fontId="5" type="noConversion"/>
  </si>
  <si>
    <t>期末余额</t>
    <phoneticPr fontId="5" type="noConversion"/>
  </si>
  <si>
    <t>变动比例</t>
    <phoneticPr fontId="5" type="noConversion"/>
  </si>
  <si>
    <t>索引号</t>
    <phoneticPr fontId="5" type="noConversion"/>
  </si>
  <si>
    <t>调整前</t>
    <phoneticPr fontId="5" type="noConversion"/>
  </si>
  <si>
    <t>审计调整</t>
    <phoneticPr fontId="5" type="noConversion"/>
  </si>
  <si>
    <t>调整后</t>
    <phoneticPr fontId="5" type="noConversion"/>
  </si>
  <si>
    <t>该项目明细见附表</t>
    <phoneticPr fontId="5" type="noConversion"/>
  </si>
  <si>
    <t>合计</t>
    <phoneticPr fontId="5" type="noConversion"/>
  </si>
  <si>
    <t>审计说明:</t>
    <phoneticPr fontId="5" type="noConversion"/>
  </si>
  <si>
    <t xml:space="preserve">     1、经审计，该项目未发现重大异常</t>
    <phoneticPr fontId="5" type="noConversion"/>
  </si>
  <si>
    <t xml:space="preserve">     2、经审计调整后，该项目未发现重大异常</t>
    <phoneticPr fontId="5" type="noConversion"/>
  </si>
  <si>
    <t xml:space="preserve">     3、因                 原因，该项目余额不能确认</t>
    <phoneticPr fontId="5" type="noConversion"/>
  </si>
  <si>
    <t>编制说明：</t>
    <phoneticPr fontId="5" type="noConversion"/>
  </si>
  <si>
    <t>1、表中“项目”按照按明细科目列示。</t>
    <phoneticPr fontId="5" type="noConversion"/>
  </si>
  <si>
    <t>2、“审计说明”至少需要说明该科目核算内容、增减变动的主要原因、所做的审计工作等内容。</t>
    <phoneticPr fontId="5" type="noConversion"/>
  </si>
  <si>
    <t>索引号：</t>
    <phoneticPr fontId="5" type="noConversion"/>
  </si>
  <si>
    <t>页次：</t>
    <phoneticPr fontId="5" type="noConversion"/>
  </si>
  <si>
    <r>
      <t>财务报表截止日</t>
    </r>
    <r>
      <rPr>
        <b/>
        <sz val="10"/>
        <rFont val="Arial Narrow"/>
        <family val="2"/>
      </rPr>
      <t>/</t>
    </r>
    <r>
      <rPr>
        <b/>
        <sz val="10"/>
        <rFont val="楷体_GB2312"/>
        <family val="3"/>
        <charset val="134"/>
      </rPr>
      <t>期间：</t>
    </r>
  </si>
  <si>
    <t>复核人：</t>
    <phoneticPr fontId="5" type="noConversion"/>
  </si>
  <si>
    <t>人民币</t>
    <phoneticPr fontId="5" type="noConversion"/>
  </si>
  <si>
    <t>期初</t>
    <phoneticPr fontId="5" type="noConversion"/>
  </si>
  <si>
    <t>期末</t>
    <phoneticPr fontId="5" type="noConversion"/>
  </si>
  <si>
    <t>与报表核对</t>
    <phoneticPr fontId="5" type="noConversion"/>
  </si>
  <si>
    <t>期初</t>
    <phoneticPr fontId="5" type="noConversion"/>
  </si>
  <si>
    <t>期末</t>
    <phoneticPr fontId="5" type="noConversion"/>
  </si>
  <si>
    <t>报表数</t>
    <phoneticPr fontId="5" type="noConversion"/>
  </si>
  <si>
    <t>与报表核对</t>
    <phoneticPr fontId="5" type="noConversion"/>
  </si>
  <si>
    <r>
      <t>合</t>
    </r>
    <r>
      <rPr>
        <sz val="9"/>
        <rFont val="Arial"/>
        <family val="2"/>
      </rPr>
      <t xml:space="preserve">  </t>
    </r>
    <r>
      <rPr>
        <sz val="9"/>
        <rFont val="宋体"/>
        <family val="3"/>
        <charset val="134"/>
      </rPr>
      <t>计</t>
    </r>
  </si>
  <si>
    <r>
      <t>3</t>
    </r>
    <r>
      <rPr>
        <sz val="9"/>
        <rFont val="宋体"/>
        <family val="3"/>
        <charset val="134"/>
      </rPr>
      <t>年以上</t>
    </r>
  </si>
  <si>
    <r>
      <t>其中：错误核对</t>
    </r>
    <r>
      <rPr>
        <b/>
        <sz val="9"/>
        <rFont val="Arial"/>
        <family val="2"/>
      </rPr>
      <t>1</t>
    </r>
    <phoneticPr fontId="5" type="noConversion"/>
  </si>
  <si>
    <r>
      <t>其中：错误核对</t>
    </r>
    <r>
      <rPr>
        <b/>
        <sz val="9"/>
        <rFont val="Arial"/>
        <family val="2"/>
      </rPr>
      <t>3</t>
    </r>
    <phoneticPr fontId="5" type="noConversion"/>
  </si>
  <si>
    <r>
      <t>其中：错误核对</t>
    </r>
    <r>
      <rPr>
        <b/>
        <sz val="9"/>
        <rFont val="Arial"/>
        <family val="2"/>
      </rPr>
      <t>4</t>
    </r>
    <phoneticPr fontId="5" type="noConversion"/>
  </si>
  <si>
    <t>报表数</t>
    <phoneticPr fontId="5" type="noConversion"/>
  </si>
  <si>
    <t>与报表核对</t>
    <phoneticPr fontId="5" type="noConversion"/>
  </si>
  <si>
    <t>期初</t>
    <phoneticPr fontId="5" type="noConversion"/>
  </si>
  <si>
    <t>期末</t>
    <phoneticPr fontId="5" type="noConversion"/>
  </si>
  <si>
    <r>
      <t>项</t>
    </r>
    <r>
      <rPr>
        <sz val="9"/>
        <rFont val="Arial"/>
        <family val="2"/>
      </rPr>
      <t xml:space="preserve">  </t>
    </r>
    <r>
      <rPr>
        <sz val="9"/>
        <rFont val="宋体"/>
        <family val="3"/>
        <charset val="134"/>
      </rPr>
      <t>目</t>
    </r>
  </si>
  <si>
    <t>人民币金额</t>
    <phoneticPr fontId="5" type="noConversion"/>
  </si>
  <si>
    <t>筹资活动现金流出小计</t>
  </si>
  <si>
    <t>五、现金及现金等价物净增加额</t>
  </si>
  <si>
    <t>编制人：</t>
  </si>
  <si>
    <t>日期：</t>
  </si>
  <si>
    <t>审计结论:</t>
  </si>
  <si>
    <t>营业外收入</t>
    <phoneticPr fontId="5" type="noConversion"/>
  </si>
  <si>
    <t>营业外支出</t>
    <phoneticPr fontId="5" type="noConversion"/>
  </si>
  <si>
    <t>分部报告</t>
  </si>
  <si>
    <t>财务专项说明</t>
  </si>
  <si>
    <t>营业收入营业成本</t>
  </si>
  <si>
    <t>货币资金</t>
  </si>
  <si>
    <t>应收票据</t>
  </si>
  <si>
    <t>应收账款</t>
  </si>
  <si>
    <t>应收利息</t>
  </si>
  <si>
    <t>应收股利</t>
  </si>
  <si>
    <t>其他应收款</t>
  </si>
  <si>
    <t>一年内到期的非流动资产</t>
  </si>
  <si>
    <t>其他流动资产</t>
  </si>
  <si>
    <t>长期应收款</t>
  </si>
  <si>
    <t>长期股权投资</t>
  </si>
  <si>
    <t>投资性房地产</t>
  </si>
  <si>
    <t>在建工程</t>
  </si>
  <si>
    <t>工程物资</t>
  </si>
  <si>
    <t>固定资产清理</t>
  </si>
  <si>
    <t>无形资产</t>
  </si>
  <si>
    <t>商誉</t>
  </si>
  <si>
    <t>长期待摊费用</t>
  </si>
  <si>
    <t>短期借款</t>
  </si>
  <si>
    <t>应付利息</t>
  </si>
  <si>
    <t>应付股利</t>
  </si>
  <si>
    <t>一年内到期的非流动负债</t>
  </si>
  <si>
    <t>其他流动负债</t>
  </si>
  <si>
    <t>长期借款</t>
  </si>
  <si>
    <t>应付债券</t>
  </si>
  <si>
    <t>长期应付款</t>
  </si>
  <si>
    <t>专项应付款</t>
  </si>
  <si>
    <t>预计负债</t>
  </si>
  <si>
    <t>资本公积</t>
  </si>
  <si>
    <t>专项储备</t>
  </si>
  <si>
    <t>销售费用</t>
  </si>
  <si>
    <t>资产减值损失</t>
  </si>
  <si>
    <t>公允价值变动收益</t>
  </si>
  <si>
    <t>所得税费用</t>
  </si>
  <si>
    <t>年初数</t>
    <phoneticPr fontId="5" type="noConversion"/>
  </si>
  <si>
    <t>财务费用</t>
    <phoneticPr fontId="5" type="noConversion"/>
  </si>
  <si>
    <t>债务重组</t>
    <phoneticPr fontId="5" type="noConversion"/>
  </si>
  <si>
    <t>借款费用</t>
    <phoneticPr fontId="5" type="noConversion"/>
  </si>
  <si>
    <t>终止经营</t>
    <phoneticPr fontId="5" type="noConversion"/>
  </si>
  <si>
    <t>2500</t>
  </si>
  <si>
    <t>5=3-1</t>
  </si>
  <si>
    <t>6=5÷1</t>
  </si>
  <si>
    <t>10=8-1</t>
  </si>
  <si>
    <t>11=10÷1</t>
  </si>
  <si>
    <t>2320</t>
  </si>
  <si>
    <t>2330</t>
  </si>
  <si>
    <t>4=3-1</t>
  </si>
  <si>
    <t>5=4÷1</t>
  </si>
  <si>
    <t>7=6-3</t>
  </si>
  <si>
    <t>8=7÷3</t>
  </si>
  <si>
    <t>7=6-4</t>
  </si>
  <si>
    <t>10=9-4</t>
  </si>
  <si>
    <t>11=9-5</t>
  </si>
  <si>
    <r>
      <rPr>
        <sz val="10"/>
        <rFont val="宋体"/>
        <family val="3"/>
        <charset val="134"/>
      </rPr>
      <t>流动资产</t>
    </r>
  </si>
  <si>
    <r>
      <t xml:space="preserve">    </t>
    </r>
    <r>
      <rPr>
        <sz val="10"/>
        <rFont val="宋体"/>
        <family val="3"/>
        <charset val="134"/>
      </rPr>
      <t>预付款项</t>
    </r>
  </si>
  <si>
    <r>
      <t xml:space="preserve">    </t>
    </r>
    <r>
      <rPr>
        <sz val="10"/>
        <rFont val="宋体"/>
        <family val="3"/>
        <charset val="134"/>
      </rPr>
      <t>应收分保账款</t>
    </r>
  </si>
  <si>
    <r>
      <t xml:space="preserve">    </t>
    </r>
    <r>
      <rPr>
        <sz val="10"/>
        <rFont val="宋体"/>
        <family val="3"/>
        <charset val="134"/>
      </rPr>
      <t>应收股利</t>
    </r>
  </si>
  <si>
    <r>
      <rPr>
        <sz val="10"/>
        <rFont val="宋体"/>
        <family val="3"/>
        <charset val="134"/>
      </rPr>
      <t>流动资产合计</t>
    </r>
  </si>
  <si>
    <r>
      <rPr>
        <sz val="10"/>
        <rFont val="宋体"/>
        <family val="3"/>
        <charset val="134"/>
      </rPr>
      <t>非流动资产</t>
    </r>
  </si>
  <si>
    <r>
      <t xml:space="preserve">    </t>
    </r>
    <r>
      <rPr>
        <sz val="10"/>
        <rFont val="宋体"/>
        <family val="3"/>
        <charset val="134"/>
      </rPr>
      <t>发放贷款及垫款</t>
    </r>
  </si>
  <si>
    <r>
      <rPr>
        <sz val="10"/>
        <rFont val="宋体"/>
        <family val="3"/>
        <charset val="134"/>
      </rPr>
      <t>非流动资产合计</t>
    </r>
  </si>
  <si>
    <r>
      <rPr>
        <sz val="10"/>
        <rFont val="宋体"/>
        <family val="3"/>
        <charset val="134"/>
      </rPr>
      <t>资产总计</t>
    </r>
  </si>
  <si>
    <r>
      <rPr>
        <sz val="10"/>
        <rFont val="宋体"/>
        <family val="3"/>
        <charset val="134"/>
      </rPr>
      <t>流动负债</t>
    </r>
  </si>
  <si>
    <r>
      <t xml:space="preserve">    </t>
    </r>
    <r>
      <rPr>
        <sz val="10"/>
        <rFont val="宋体"/>
        <family val="3"/>
        <charset val="134"/>
      </rPr>
      <t>短期借款</t>
    </r>
  </si>
  <si>
    <r>
      <t xml:space="preserve">    </t>
    </r>
    <r>
      <rPr>
        <sz val="10"/>
        <rFont val="宋体"/>
        <family val="3"/>
        <charset val="134"/>
      </rPr>
      <t>应付股利</t>
    </r>
  </si>
  <si>
    <r>
      <t xml:space="preserve">    </t>
    </r>
    <r>
      <rPr>
        <sz val="10"/>
        <rFont val="宋体"/>
        <family val="3"/>
        <charset val="134"/>
      </rPr>
      <t>应付分保账款</t>
    </r>
  </si>
  <si>
    <r>
      <t xml:space="preserve">    </t>
    </r>
    <r>
      <rPr>
        <sz val="10"/>
        <rFont val="宋体"/>
        <family val="3"/>
        <charset val="134"/>
      </rPr>
      <t>保险合同准备金</t>
    </r>
  </si>
  <si>
    <r>
      <rPr>
        <sz val="10"/>
        <rFont val="宋体"/>
        <family val="3"/>
        <charset val="134"/>
      </rPr>
      <t>流动负债合计</t>
    </r>
  </si>
  <si>
    <r>
      <rPr>
        <sz val="10"/>
        <rFont val="宋体"/>
        <family val="3"/>
        <charset val="134"/>
      </rPr>
      <t>非流动负债</t>
    </r>
  </si>
  <si>
    <r>
      <rPr>
        <sz val="10"/>
        <rFont val="宋体"/>
        <family val="3"/>
        <charset val="134"/>
      </rPr>
      <t>非流动负债合计</t>
    </r>
  </si>
  <si>
    <r>
      <rPr>
        <sz val="10"/>
        <rFont val="宋体"/>
        <family val="3"/>
        <charset val="134"/>
      </rPr>
      <t>负债合计</t>
    </r>
  </si>
  <si>
    <r>
      <rPr>
        <sz val="10"/>
        <rFont val="宋体"/>
        <family val="3"/>
        <charset val="134"/>
      </rPr>
      <t>股东权益</t>
    </r>
  </si>
  <si>
    <r>
      <t xml:space="preserve">    </t>
    </r>
    <r>
      <rPr>
        <sz val="10"/>
        <rFont val="宋体"/>
        <family val="3"/>
        <charset val="134"/>
      </rPr>
      <t>专项储备</t>
    </r>
  </si>
  <si>
    <r>
      <rPr>
        <sz val="10"/>
        <rFont val="宋体"/>
        <family val="3"/>
        <charset val="134"/>
      </rPr>
      <t>归属于母公司所有者权益合计</t>
    </r>
  </si>
  <si>
    <r>
      <t xml:space="preserve">    </t>
    </r>
    <r>
      <rPr>
        <sz val="10"/>
        <rFont val="宋体"/>
        <family val="3"/>
        <charset val="134"/>
      </rPr>
      <t>少数股东权益</t>
    </r>
  </si>
  <si>
    <r>
      <rPr>
        <sz val="10"/>
        <rFont val="宋体"/>
        <family val="3"/>
        <charset val="134"/>
      </rPr>
      <t>股东权益合计</t>
    </r>
  </si>
  <si>
    <r>
      <rPr>
        <sz val="10"/>
        <rFont val="宋体"/>
        <family val="3"/>
        <charset val="134"/>
      </rPr>
      <t>负债和股东权益合计</t>
    </r>
  </si>
  <si>
    <r>
      <t xml:space="preserve">             </t>
    </r>
    <r>
      <rPr>
        <sz val="10"/>
        <rFont val="宋体"/>
        <family val="3"/>
        <charset val="134"/>
      </rPr>
      <t>利息收入</t>
    </r>
  </si>
  <si>
    <r>
      <t xml:space="preserve">             </t>
    </r>
    <r>
      <rPr>
        <sz val="10"/>
        <rFont val="宋体"/>
        <family val="3"/>
        <charset val="134"/>
      </rPr>
      <t>已赚保费</t>
    </r>
  </si>
  <si>
    <r>
      <t xml:space="preserve">             </t>
    </r>
    <r>
      <rPr>
        <sz val="10"/>
        <rFont val="宋体"/>
        <family val="3"/>
        <charset val="134"/>
      </rPr>
      <t>手续费及佣金收入</t>
    </r>
  </si>
  <si>
    <r>
      <t xml:space="preserve">               </t>
    </r>
    <r>
      <rPr>
        <sz val="10"/>
        <rFont val="宋体"/>
        <family val="3"/>
        <charset val="134"/>
      </rPr>
      <t>其中：对联营企业和合营企业的投资收益</t>
    </r>
  </si>
  <si>
    <r>
      <t xml:space="preserve">        </t>
    </r>
    <r>
      <rPr>
        <sz val="10"/>
        <rFont val="宋体"/>
        <family val="3"/>
        <charset val="134"/>
      </rPr>
      <t>归属于母公司所有者的净利润</t>
    </r>
  </si>
  <si>
    <r>
      <t xml:space="preserve">        </t>
    </r>
    <r>
      <rPr>
        <sz val="10"/>
        <rFont val="宋体"/>
        <family val="3"/>
        <charset val="134"/>
      </rPr>
      <t>少数股东损益</t>
    </r>
  </si>
  <si>
    <t xml:space="preserve">        其中：子公司吸收少数股东投资收到的现金</t>
  </si>
  <si>
    <t xml:space="preserve">        其中：子公司支付给少数股东的股利、利润</t>
  </si>
  <si>
    <t xml:space="preserve">    加：期初现金及现金等价物余额</t>
  </si>
  <si>
    <t>营业总收入</t>
    <phoneticPr fontId="5" type="noConversion"/>
  </si>
  <si>
    <t>营业收入</t>
    <phoneticPr fontId="5" type="noConversion"/>
  </si>
  <si>
    <t>营业总成本</t>
    <phoneticPr fontId="5" type="noConversion"/>
  </si>
  <si>
    <t>营业成本</t>
    <phoneticPr fontId="5" type="noConversion"/>
  </si>
  <si>
    <t>管理费用</t>
    <phoneticPr fontId="5" type="noConversion"/>
  </si>
  <si>
    <t>营业利润</t>
    <phoneticPr fontId="5" type="noConversion"/>
  </si>
  <si>
    <t>利润总额</t>
    <phoneticPr fontId="5" type="noConversion"/>
  </si>
  <si>
    <t>净利润</t>
    <phoneticPr fontId="5" type="noConversion"/>
  </si>
  <si>
    <t>归属于母公司净利润</t>
    <phoneticPr fontId="5" type="noConversion"/>
  </si>
  <si>
    <t>综合收益</t>
    <phoneticPr fontId="5" type="noConversion"/>
  </si>
  <si>
    <t>归属于母公司综合收益</t>
    <phoneticPr fontId="5" type="noConversion"/>
  </si>
  <si>
    <t>资产分析</t>
    <phoneticPr fontId="5" type="noConversion"/>
  </si>
  <si>
    <t>负债分析</t>
  </si>
  <si>
    <t>利润表分析</t>
  </si>
  <si>
    <t>现金分析</t>
  </si>
  <si>
    <t>财务比率分析</t>
  </si>
  <si>
    <t>递延所得税资产</t>
    <phoneticPr fontId="5" type="noConversion"/>
  </si>
  <si>
    <t>递延所得税负债</t>
    <phoneticPr fontId="5" type="noConversion"/>
  </si>
  <si>
    <t>使用说明</t>
  </si>
  <si>
    <r>
      <t>其中：错误核对</t>
    </r>
    <r>
      <rPr>
        <b/>
        <sz val="9"/>
        <rFont val="Arial"/>
        <family val="2"/>
      </rPr>
      <t>5</t>
    </r>
    <r>
      <rPr>
        <sz val="12"/>
        <rFont val="宋体"/>
        <family val="3"/>
        <charset val="134"/>
      </rPr>
      <t/>
    </r>
  </si>
  <si>
    <r>
      <t>其中：错误核对</t>
    </r>
    <r>
      <rPr>
        <b/>
        <sz val="9"/>
        <rFont val="Arial"/>
        <family val="2"/>
      </rPr>
      <t>6</t>
    </r>
    <r>
      <rPr>
        <sz val="12"/>
        <rFont val="宋体"/>
        <family val="3"/>
        <charset val="134"/>
      </rPr>
      <t/>
    </r>
  </si>
  <si>
    <r>
      <t>其中：错误核对</t>
    </r>
    <r>
      <rPr>
        <b/>
        <sz val="9"/>
        <rFont val="Arial"/>
        <family val="2"/>
      </rPr>
      <t>7</t>
    </r>
    <r>
      <rPr>
        <sz val="12"/>
        <rFont val="宋体"/>
        <family val="3"/>
        <charset val="134"/>
      </rPr>
      <t/>
    </r>
  </si>
  <si>
    <r>
      <t>其中：错误核对</t>
    </r>
    <r>
      <rPr>
        <b/>
        <sz val="9"/>
        <rFont val="Arial"/>
        <family val="2"/>
      </rPr>
      <t>9</t>
    </r>
    <r>
      <rPr>
        <sz val="12"/>
        <rFont val="宋体"/>
        <family val="3"/>
        <charset val="134"/>
      </rPr>
      <t/>
    </r>
  </si>
  <si>
    <r>
      <t>其中：错误核对</t>
    </r>
    <r>
      <rPr>
        <b/>
        <sz val="9"/>
        <rFont val="Arial"/>
        <family val="2"/>
      </rPr>
      <t>10</t>
    </r>
    <r>
      <rPr>
        <sz val="12"/>
        <rFont val="宋体"/>
        <family val="3"/>
        <charset val="134"/>
      </rPr>
      <t/>
    </r>
  </si>
  <si>
    <t>投资收益</t>
  </si>
  <si>
    <t>未分配利润</t>
  </si>
  <si>
    <r>
      <t xml:space="preserve">       </t>
    </r>
    <r>
      <rPr>
        <sz val="10"/>
        <rFont val="宋体"/>
        <family val="3"/>
        <charset val="134"/>
      </rPr>
      <t>△利息支出</t>
    </r>
  </si>
  <si>
    <r>
      <t xml:space="preserve">       </t>
    </r>
    <r>
      <rPr>
        <sz val="10"/>
        <rFont val="宋体"/>
        <family val="3"/>
        <charset val="134"/>
      </rPr>
      <t>△手续费及佣金支出</t>
    </r>
  </si>
  <si>
    <r>
      <t xml:space="preserve">       </t>
    </r>
    <r>
      <rPr>
        <sz val="10"/>
        <rFont val="宋体"/>
        <family val="3"/>
        <charset val="134"/>
      </rPr>
      <t>△退保金</t>
    </r>
  </si>
  <si>
    <r>
      <t xml:space="preserve">       </t>
    </r>
    <r>
      <rPr>
        <sz val="10"/>
        <rFont val="宋体"/>
        <family val="3"/>
        <charset val="134"/>
      </rPr>
      <t>△赔付支出净额</t>
    </r>
  </si>
  <si>
    <r>
      <t xml:space="preserve">       </t>
    </r>
    <r>
      <rPr>
        <sz val="10"/>
        <rFont val="宋体"/>
        <family val="3"/>
        <charset val="134"/>
      </rPr>
      <t>△提取保险合同准备金净额</t>
    </r>
  </si>
  <si>
    <r>
      <t xml:space="preserve">       </t>
    </r>
    <r>
      <rPr>
        <sz val="10"/>
        <rFont val="宋体"/>
        <family val="3"/>
        <charset val="134"/>
      </rPr>
      <t>△保单红利支出</t>
    </r>
  </si>
  <si>
    <r>
      <t xml:space="preserve">       </t>
    </r>
    <r>
      <rPr>
        <sz val="10"/>
        <rFont val="宋体"/>
        <family val="3"/>
        <charset val="134"/>
      </rPr>
      <t>△分保费用</t>
    </r>
  </si>
  <si>
    <t>投资活动产生的现金流量净额</t>
  </si>
  <si>
    <t>筹资活动现金流入小计</t>
  </si>
  <si>
    <t>筹资活动产生的现金流量净额</t>
  </si>
  <si>
    <t>经营活动产生的现金流量净额</t>
  </si>
  <si>
    <t>六、期末现金及现金等价物余额</t>
  </si>
  <si>
    <t/>
  </si>
  <si>
    <t>——</t>
  </si>
  <si>
    <t>存货</t>
  </si>
  <si>
    <t>其他非流动资产</t>
  </si>
  <si>
    <t>应付职工薪酬</t>
  </si>
  <si>
    <t>应交税费</t>
  </si>
  <si>
    <t>其他非流动负债</t>
  </si>
  <si>
    <t>实收资本</t>
  </si>
  <si>
    <t>盈余公积</t>
  </si>
  <si>
    <t>管理费用</t>
  </si>
  <si>
    <t>财务费用</t>
  </si>
  <si>
    <t>营业外收入</t>
  </si>
  <si>
    <t>营业外支出</t>
  </si>
  <si>
    <t>审定资产负债表</t>
  </si>
  <si>
    <t>审定利润表</t>
  </si>
  <si>
    <t>审定现金流量表</t>
  </si>
  <si>
    <t>审定所有者权益变动表</t>
  </si>
  <si>
    <t>审定资产减值准备情况表</t>
  </si>
  <si>
    <t>预付账款</t>
  </si>
  <si>
    <t>固定资产</t>
  </si>
  <si>
    <t>现金流量表补充资料</t>
  </si>
  <si>
    <t>关联方交易</t>
  </si>
  <si>
    <t>关联方应收应付款项</t>
  </si>
  <si>
    <t>人民币</t>
  </si>
  <si>
    <t>美元</t>
  </si>
  <si>
    <t>港元</t>
  </si>
  <si>
    <t>日元</t>
  </si>
  <si>
    <t>欧元</t>
  </si>
  <si>
    <t>英镑</t>
  </si>
  <si>
    <t>瑞士法郎</t>
  </si>
  <si>
    <t>加拿大元</t>
  </si>
  <si>
    <t>澳大利亚元</t>
  </si>
  <si>
    <t>新加坡元</t>
  </si>
  <si>
    <t>丹麦克朗</t>
  </si>
  <si>
    <t>挪威克朗</t>
  </si>
  <si>
    <t>澳门元</t>
  </si>
  <si>
    <t>新西兰元</t>
  </si>
  <si>
    <t>韩元</t>
  </si>
  <si>
    <t>年末数</t>
  </si>
  <si>
    <t>年初数</t>
  </si>
  <si>
    <t>库存现金：</t>
  </si>
  <si>
    <t>—</t>
  </si>
  <si>
    <t>银行存款：</t>
  </si>
  <si>
    <t>年初公允价值</t>
  </si>
  <si>
    <t>银行承兑汇票</t>
  </si>
  <si>
    <t>商业承兑汇票</t>
  </si>
  <si>
    <t>合计</t>
  </si>
  <si>
    <t>……</t>
  </si>
  <si>
    <t>可供出售金融资产</t>
  </si>
  <si>
    <t>持有至到期投资</t>
  </si>
  <si>
    <t>备注</t>
  </si>
  <si>
    <t>可抵扣亏损</t>
  </si>
  <si>
    <t>其他综合收益</t>
  </si>
  <si>
    <t>交易性金融资产</t>
  </si>
  <si>
    <t>交易性金融负债</t>
  </si>
  <si>
    <t>应付账款</t>
  </si>
  <si>
    <t>应付票据</t>
  </si>
  <si>
    <t>预收款项</t>
  </si>
  <si>
    <t>其他应付款</t>
  </si>
  <si>
    <t>主营业务税金及附加</t>
  </si>
  <si>
    <t>递延所得税资产与递延所得税负债</t>
  </si>
  <si>
    <t>所有权或使用权受限制的资产</t>
  </si>
  <si>
    <t>非货币性资产交换</t>
  </si>
  <si>
    <t>经营活动现金流入小计</t>
  </si>
  <si>
    <t>经营活动现金流出小计</t>
  </si>
  <si>
    <t>投资活动现金流入小计</t>
  </si>
  <si>
    <t>投资活动现金流出小计</t>
  </si>
  <si>
    <t>返回目录</t>
  </si>
  <si>
    <t>关联方关系</t>
    <phoneticPr fontId="5" type="noConversion"/>
  </si>
  <si>
    <t>增长率</t>
    <phoneticPr fontId="5" type="noConversion"/>
  </si>
  <si>
    <t>增长额</t>
    <phoneticPr fontId="5" type="noConversion"/>
  </si>
  <si>
    <t>原因</t>
    <phoneticPr fontId="5" type="noConversion"/>
  </si>
  <si>
    <t>自动生产说明</t>
    <phoneticPr fontId="5" type="noConversion"/>
  </si>
  <si>
    <t>填列原因</t>
    <phoneticPr fontId="5" type="noConversion"/>
  </si>
  <si>
    <t>第纳尔</t>
  </si>
  <si>
    <t>西郎</t>
  </si>
  <si>
    <t xml:space="preserve">瑞典克朗 </t>
    <phoneticPr fontId="5" type="noConversion"/>
  </si>
  <si>
    <t>坚戈</t>
  </si>
  <si>
    <t>索姆</t>
  </si>
  <si>
    <t>里拉</t>
  </si>
  <si>
    <t>其他1</t>
    <phoneticPr fontId="5" type="noConversion"/>
  </si>
  <si>
    <t>其他2</t>
    <phoneticPr fontId="5" type="noConversion"/>
  </si>
  <si>
    <t>坏账准备余额与附注核对</t>
    <phoneticPr fontId="5" type="noConversion"/>
  </si>
  <si>
    <t>存货跌价准备余额与附注核对</t>
    <phoneticPr fontId="5" type="noConversion"/>
  </si>
  <si>
    <t>审定资产负债表</t>
    <phoneticPr fontId="5" type="noConversion"/>
  </si>
  <si>
    <t>xxxxx</t>
    <phoneticPr fontId="5" type="noConversion"/>
  </si>
  <si>
    <t>其他-2</t>
  </si>
  <si>
    <t>其他-3</t>
  </si>
  <si>
    <t>可抵扣暂时性差异—减值准备</t>
    <phoneticPr fontId="5" type="noConversion"/>
  </si>
  <si>
    <t>--</t>
  </si>
  <si>
    <t>上年</t>
    <phoneticPr fontId="5" type="noConversion"/>
  </si>
  <si>
    <t>长期股权投资余额与附注核对</t>
    <phoneticPr fontId="5" type="noConversion"/>
  </si>
  <si>
    <t>固定资产减值准备与附注核对</t>
    <phoneticPr fontId="5" type="noConversion"/>
  </si>
  <si>
    <t>在建工程减值准备</t>
    <phoneticPr fontId="5" type="noConversion"/>
  </si>
  <si>
    <t>商誉减值准备</t>
    <phoneticPr fontId="5" type="noConversion"/>
  </si>
  <si>
    <r>
      <rPr>
        <sz val="9"/>
        <rFont val="宋体"/>
        <family val="3"/>
        <charset val="134"/>
      </rPr>
      <t>项目</t>
    </r>
  </si>
  <si>
    <r>
      <rPr>
        <sz val="9"/>
        <rFont val="宋体"/>
        <family val="3"/>
        <charset val="134"/>
      </rPr>
      <t>其他</t>
    </r>
  </si>
  <si>
    <r>
      <rPr>
        <sz val="9"/>
        <rFont val="宋体"/>
        <family val="3"/>
        <charset val="134"/>
      </rPr>
      <t>项</t>
    </r>
    <r>
      <rPr>
        <sz val="9"/>
        <rFont val="Arial Narrow"/>
        <family val="2"/>
      </rPr>
      <t xml:space="preserve">    </t>
    </r>
    <r>
      <rPr>
        <sz val="9"/>
        <rFont val="宋体"/>
        <family val="3"/>
        <charset val="134"/>
      </rPr>
      <t>目</t>
    </r>
  </si>
  <si>
    <r>
      <rPr>
        <sz val="9"/>
        <rFont val="宋体"/>
        <family val="3"/>
        <charset val="134"/>
      </rPr>
      <t>项</t>
    </r>
    <r>
      <rPr>
        <sz val="9"/>
        <rFont val="Arial Narrow"/>
        <family val="2"/>
      </rPr>
      <t xml:space="preserve">  </t>
    </r>
    <r>
      <rPr>
        <sz val="9"/>
        <rFont val="宋体"/>
        <family val="3"/>
        <charset val="134"/>
      </rPr>
      <t>目</t>
    </r>
  </si>
  <si>
    <r>
      <rPr>
        <sz val="9"/>
        <rFont val="宋体"/>
        <family val="3"/>
        <charset val="134"/>
      </rPr>
      <t>年初余额</t>
    </r>
  </si>
  <si>
    <r>
      <rPr>
        <sz val="9"/>
        <rFont val="宋体"/>
        <family val="3"/>
        <charset val="134"/>
      </rPr>
      <t>年末余额</t>
    </r>
  </si>
  <si>
    <r>
      <rPr>
        <sz val="9"/>
        <rFont val="宋体"/>
        <family val="3"/>
        <charset val="134"/>
      </rPr>
      <t>减值准备</t>
    </r>
  </si>
  <si>
    <r>
      <rPr>
        <sz val="9"/>
        <rFont val="宋体"/>
        <family val="3"/>
        <charset val="134"/>
      </rPr>
      <t>合</t>
    </r>
    <r>
      <rPr>
        <sz val="9"/>
        <rFont val="Arial Narrow"/>
        <family val="2"/>
      </rPr>
      <t xml:space="preserve">  </t>
    </r>
    <r>
      <rPr>
        <sz val="9"/>
        <rFont val="宋体"/>
        <family val="3"/>
        <charset val="134"/>
      </rPr>
      <t>计</t>
    </r>
  </si>
  <si>
    <r>
      <rPr>
        <sz val="9"/>
        <rFont val="宋体"/>
        <family val="3"/>
        <charset val="134"/>
      </rPr>
      <t>账面余额</t>
    </r>
  </si>
  <si>
    <r>
      <rPr>
        <sz val="9"/>
        <rFont val="宋体"/>
        <family val="3"/>
        <charset val="134"/>
      </rPr>
      <t>跌价准备</t>
    </r>
  </si>
  <si>
    <r>
      <rPr>
        <sz val="9"/>
        <rFont val="宋体"/>
        <family val="3"/>
        <charset val="134"/>
      </rPr>
      <t>账面价值</t>
    </r>
  </si>
  <si>
    <r>
      <rPr>
        <sz val="9"/>
        <rFont val="宋体"/>
        <family val="3"/>
        <charset val="134"/>
      </rPr>
      <t>项</t>
    </r>
    <r>
      <rPr>
        <sz val="9"/>
        <rFont val="Arial Narrow"/>
        <family val="2"/>
      </rPr>
      <t xml:space="preserve">   </t>
    </r>
    <r>
      <rPr>
        <sz val="9"/>
        <rFont val="宋体"/>
        <family val="3"/>
        <charset val="134"/>
      </rPr>
      <t>目</t>
    </r>
  </si>
  <si>
    <t>固定资产减值准备与主表勾稽</t>
    <phoneticPr fontId="5" type="noConversion"/>
  </si>
  <si>
    <t>资产减值损失与主表勾稽</t>
    <phoneticPr fontId="5" type="noConversion"/>
  </si>
  <si>
    <t>其他-4</t>
  </si>
  <si>
    <t>外币折算</t>
    <phoneticPr fontId="5" type="noConversion"/>
  </si>
  <si>
    <t>年末数</t>
    <phoneticPr fontId="5" type="noConversion"/>
  </si>
  <si>
    <t>年末公允价值</t>
    <phoneticPr fontId="5" type="noConversion"/>
  </si>
  <si>
    <t>非流动负债</t>
  </si>
  <si>
    <t>所有者权益</t>
  </si>
  <si>
    <r>
      <t xml:space="preserve">          </t>
    </r>
    <r>
      <rPr>
        <sz val="10"/>
        <rFont val="宋体"/>
        <family val="3"/>
        <charset val="134"/>
      </rPr>
      <t>其他</t>
    </r>
  </si>
  <si>
    <r>
      <t xml:space="preserve">    </t>
    </r>
    <r>
      <rPr>
        <sz val="10"/>
        <rFont val="宋体"/>
        <family val="3"/>
        <charset val="134"/>
      </rPr>
      <t>加：营业外收入</t>
    </r>
  </si>
  <si>
    <r>
      <t xml:space="preserve">    </t>
    </r>
    <r>
      <rPr>
        <sz val="10"/>
        <rFont val="宋体"/>
        <family val="3"/>
        <charset val="134"/>
      </rPr>
      <t>减：营业外支出</t>
    </r>
  </si>
  <si>
    <r>
      <t xml:space="preserve">    </t>
    </r>
    <r>
      <rPr>
        <sz val="10"/>
        <rFont val="宋体"/>
        <family val="3"/>
        <charset val="134"/>
      </rPr>
      <t>减：所得税费用</t>
    </r>
  </si>
  <si>
    <r>
      <t xml:space="preserve">    </t>
    </r>
    <r>
      <rPr>
        <sz val="10"/>
        <rFont val="宋体"/>
        <family val="3"/>
        <charset val="134"/>
      </rPr>
      <t>销售商品、提供劳务收到的现金</t>
    </r>
  </si>
  <si>
    <r>
      <t xml:space="preserve">    </t>
    </r>
    <r>
      <rPr>
        <sz val="10"/>
        <rFont val="宋体"/>
        <family val="3"/>
        <charset val="134"/>
      </rPr>
      <t>收到的税费返还</t>
    </r>
  </si>
  <si>
    <r>
      <t xml:space="preserve">    </t>
    </r>
    <r>
      <rPr>
        <sz val="10"/>
        <rFont val="宋体"/>
        <family val="3"/>
        <charset val="134"/>
      </rPr>
      <t>收到其他与经营活动有关的现金</t>
    </r>
  </si>
  <si>
    <r>
      <t xml:space="preserve">        </t>
    </r>
    <r>
      <rPr>
        <sz val="10"/>
        <rFont val="宋体"/>
        <family val="3"/>
        <charset val="134"/>
      </rPr>
      <t>其中：子公司吸收少数股东投资收到的现金</t>
    </r>
  </si>
  <si>
    <r>
      <t xml:space="preserve">        </t>
    </r>
    <r>
      <rPr>
        <sz val="10"/>
        <rFont val="宋体"/>
        <family val="3"/>
        <charset val="134"/>
      </rPr>
      <t>其中：子公司支付给少数股东的股利、利润</t>
    </r>
  </si>
  <si>
    <r>
      <t xml:space="preserve">    </t>
    </r>
    <r>
      <rPr>
        <sz val="10"/>
        <rFont val="宋体"/>
        <family val="3"/>
        <charset val="134"/>
      </rPr>
      <t>支付给职工以及为职工支付的现金</t>
    </r>
  </si>
  <si>
    <r>
      <t xml:space="preserve">    </t>
    </r>
    <r>
      <rPr>
        <sz val="10"/>
        <rFont val="宋体"/>
        <family val="3"/>
        <charset val="134"/>
      </rPr>
      <t>支付的各项税费</t>
    </r>
  </si>
  <si>
    <r>
      <t xml:space="preserve">    </t>
    </r>
    <r>
      <rPr>
        <sz val="10"/>
        <rFont val="宋体"/>
        <family val="3"/>
        <charset val="134"/>
      </rPr>
      <t>支付其他与经营活动有关的现金</t>
    </r>
  </si>
  <si>
    <r>
      <t xml:space="preserve">    </t>
    </r>
    <r>
      <rPr>
        <sz val="10"/>
        <rFont val="宋体"/>
        <family val="3"/>
        <charset val="134"/>
      </rPr>
      <t>加：期初现金及现金等价物余额</t>
    </r>
  </si>
  <si>
    <t>到间接法</t>
    <phoneticPr fontId="5" type="noConversion"/>
  </si>
  <si>
    <t>总行号</t>
    <phoneticPr fontId="5" type="noConversion"/>
  </si>
  <si>
    <t>流动负债</t>
  </si>
  <si>
    <t>分类</t>
    <phoneticPr fontId="5" type="noConversion"/>
  </si>
  <si>
    <t>流动资产</t>
  </si>
  <si>
    <t>非流动资产</t>
  </si>
  <si>
    <t>负债合计</t>
    <phoneticPr fontId="5" type="noConversion"/>
  </si>
  <si>
    <t>资产总计</t>
    <phoneticPr fontId="5" type="noConversion"/>
  </si>
  <si>
    <t>是否显示</t>
    <phoneticPr fontId="5" type="noConversion"/>
  </si>
  <si>
    <t>损益—收入类</t>
    <phoneticPr fontId="5" type="noConversion"/>
  </si>
  <si>
    <t>损益—成本费用类</t>
    <phoneticPr fontId="5" type="noConversion"/>
  </si>
  <si>
    <t>序号</t>
    <phoneticPr fontId="5" type="noConversion"/>
  </si>
  <si>
    <t>现金流量表项目注释</t>
  </si>
  <si>
    <t>资产减值准备表金额</t>
    <phoneticPr fontId="5" type="noConversion"/>
  </si>
  <si>
    <t>二表核对差异</t>
    <phoneticPr fontId="5" type="noConversion"/>
  </si>
  <si>
    <t>已确认和未确认的准备与资产减值准备表期初期末核对</t>
    <phoneticPr fontId="5" type="noConversion"/>
  </si>
  <si>
    <t>已确认和未确认的资产减值准备余额合计</t>
    <phoneticPr fontId="5" type="noConversion"/>
  </si>
  <si>
    <t>8、</t>
  </si>
  <si>
    <t>9、</t>
  </si>
  <si>
    <t>2、</t>
  </si>
  <si>
    <t>3、</t>
  </si>
  <si>
    <t>4、</t>
  </si>
  <si>
    <t>5、</t>
  </si>
  <si>
    <t>6、</t>
  </si>
  <si>
    <t>7、</t>
  </si>
  <si>
    <t>10、</t>
  </si>
  <si>
    <t>使用说明</t>
    <phoneticPr fontId="5" type="noConversion"/>
  </si>
  <si>
    <t>合计</t>
    <phoneticPr fontId="5" type="noConversion"/>
  </si>
  <si>
    <t xml:space="preserve">瑞华会计师事务所      </t>
    <phoneticPr fontId="5" type="noConversion"/>
  </si>
  <si>
    <r>
      <t>其中：错误核对</t>
    </r>
    <r>
      <rPr>
        <b/>
        <sz val="9"/>
        <rFont val="Arial"/>
        <family val="2"/>
      </rPr>
      <t>8</t>
    </r>
    <r>
      <rPr>
        <sz val="12"/>
        <rFont val="宋体"/>
        <family val="3"/>
        <charset val="134"/>
      </rPr>
      <t/>
    </r>
    <phoneticPr fontId="5" type="noConversion"/>
  </si>
  <si>
    <t xml:space="preserve">         (2)</t>
    <phoneticPr fontId="5" type="noConversion"/>
  </si>
  <si>
    <t xml:space="preserve">         (3)</t>
    <phoneticPr fontId="5" type="noConversion"/>
  </si>
  <si>
    <t xml:space="preserve">         (4)</t>
    <phoneticPr fontId="5" type="noConversion"/>
  </si>
  <si>
    <t>…………</t>
    <phoneticPr fontId="5" type="noConversion"/>
  </si>
  <si>
    <t>银行存款：</t>
    <phoneticPr fontId="5" type="noConversion"/>
  </si>
  <si>
    <t>年末数</t>
    <phoneticPr fontId="5" type="noConversion"/>
  </si>
  <si>
    <t>年初数</t>
    <phoneticPr fontId="5" type="noConversion"/>
  </si>
  <si>
    <t>使用有限制的货币资金情况</t>
    <phoneticPr fontId="5" type="noConversion"/>
  </si>
  <si>
    <t>其他-1</t>
    <phoneticPr fontId="5" type="noConversion"/>
  </si>
  <si>
    <t>其他-2</t>
    <phoneticPr fontId="5" type="noConversion"/>
  </si>
  <si>
    <t>其他-3</t>
    <phoneticPr fontId="5" type="noConversion"/>
  </si>
  <si>
    <t>现金：</t>
    <phoneticPr fontId="5" type="noConversion"/>
  </si>
  <si>
    <t>合计</t>
    <phoneticPr fontId="5" type="noConversion"/>
  </si>
  <si>
    <t>总数核对</t>
    <phoneticPr fontId="5" type="noConversion"/>
  </si>
  <si>
    <t>已贴现未到期的应收票据</t>
    <phoneticPr fontId="5" type="noConversion"/>
  </si>
  <si>
    <t>已向银行贴现未到期银行承兑汇票</t>
    <phoneticPr fontId="5" type="noConversion"/>
  </si>
  <si>
    <t>已向银行贴现未到期商业承兑汇票</t>
    <phoneticPr fontId="5" type="noConversion"/>
  </si>
  <si>
    <t>返回资产减值准备表</t>
    <phoneticPr fontId="5" type="noConversion"/>
  </si>
  <si>
    <r>
      <t>5</t>
    </r>
    <r>
      <rPr>
        <sz val="10"/>
        <rFont val="宋体"/>
        <family val="3"/>
        <charset val="134"/>
      </rPr>
      <t>年以上</t>
    </r>
  </si>
  <si>
    <r>
      <rPr>
        <sz val="10"/>
        <rFont val="宋体"/>
        <family val="3"/>
        <charset val="134"/>
      </rPr>
      <t>应收账款</t>
    </r>
  </si>
  <si>
    <r>
      <rPr>
        <sz val="10"/>
        <rFont val="宋体"/>
        <family val="3"/>
        <charset val="134"/>
      </rPr>
      <t>核对</t>
    </r>
    <phoneticPr fontId="5" type="noConversion"/>
  </si>
  <si>
    <r>
      <t>1</t>
    </r>
    <r>
      <rPr>
        <sz val="10"/>
        <rFont val="宋体"/>
        <family val="3"/>
        <charset val="134"/>
      </rPr>
      <t>年以内</t>
    </r>
    <r>
      <rPr>
        <sz val="10"/>
        <rFont val="Arial Narrow"/>
        <family val="2"/>
      </rPr>
      <t>(</t>
    </r>
    <r>
      <rPr>
        <sz val="10"/>
        <rFont val="宋体"/>
        <family val="3"/>
        <charset val="134"/>
      </rPr>
      <t>含</t>
    </r>
    <r>
      <rPr>
        <sz val="10"/>
        <rFont val="Arial Narrow"/>
        <family val="2"/>
      </rPr>
      <t>1</t>
    </r>
    <r>
      <rPr>
        <sz val="10"/>
        <rFont val="宋体"/>
        <family val="3"/>
        <charset val="134"/>
      </rPr>
      <t>年</t>
    </r>
    <r>
      <rPr>
        <sz val="10"/>
        <rFont val="Arial Narrow"/>
        <family val="2"/>
      </rPr>
      <t>)</t>
    </r>
  </si>
  <si>
    <r>
      <t>1-2</t>
    </r>
    <r>
      <rPr>
        <sz val="10"/>
        <rFont val="宋体"/>
        <family val="3"/>
        <charset val="134"/>
      </rPr>
      <t>年</t>
    </r>
    <r>
      <rPr>
        <sz val="10"/>
        <rFont val="Arial Narrow"/>
        <family val="2"/>
      </rPr>
      <t>(</t>
    </r>
    <r>
      <rPr>
        <sz val="10"/>
        <rFont val="宋体"/>
        <family val="3"/>
        <charset val="134"/>
      </rPr>
      <t>含</t>
    </r>
    <r>
      <rPr>
        <sz val="10"/>
        <rFont val="Arial Narrow"/>
        <family val="2"/>
      </rPr>
      <t>2</t>
    </r>
    <r>
      <rPr>
        <sz val="10"/>
        <rFont val="宋体"/>
        <family val="3"/>
        <charset val="134"/>
      </rPr>
      <t>年</t>
    </r>
    <r>
      <rPr>
        <sz val="10"/>
        <rFont val="Arial Narrow"/>
        <family val="2"/>
      </rPr>
      <t>)</t>
    </r>
  </si>
  <si>
    <r>
      <t>2-3</t>
    </r>
    <r>
      <rPr>
        <sz val="10"/>
        <rFont val="宋体"/>
        <family val="3"/>
        <charset val="134"/>
      </rPr>
      <t>年</t>
    </r>
    <r>
      <rPr>
        <sz val="10"/>
        <rFont val="Arial Narrow"/>
        <family val="2"/>
      </rPr>
      <t>(</t>
    </r>
    <r>
      <rPr>
        <sz val="10"/>
        <rFont val="宋体"/>
        <family val="3"/>
        <charset val="134"/>
      </rPr>
      <t>含</t>
    </r>
    <r>
      <rPr>
        <sz val="10"/>
        <rFont val="Arial Narrow"/>
        <family val="2"/>
      </rPr>
      <t>3</t>
    </r>
    <r>
      <rPr>
        <sz val="10"/>
        <rFont val="宋体"/>
        <family val="3"/>
        <charset val="134"/>
      </rPr>
      <t>年</t>
    </r>
    <r>
      <rPr>
        <sz val="10"/>
        <rFont val="Arial Narrow"/>
        <family val="2"/>
      </rPr>
      <t>)</t>
    </r>
  </si>
  <si>
    <r>
      <t>3-4</t>
    </r>
    <r>
      <rPr>
        <sz val="10"/>
        <rFont val="宋体"/>
        <family val="3"/>
        <charset val="134"/>
      </rPr>
      <t>年</t>
    </r>
    <r>
      <rPr>
        <sz val="10"/>
        <rFont val="Arial Narrow"/>
        <family val="2"/>
      </rPr>
      <t>(</t>
    </r>
    <r>
      <rPr>
        <sz val="10"/>
        <rFont val="宋体"/>
        <family val="3"/>
        <charset val="134"/>
      </rPr>
      <t>含</t>
    </r>
    <r>
      <rPr>
        <sz val="10"/>
        <rFont val="Arial Narrow"/>
        <family val="2"/>
      </rPr>
      <t>4</t>
    </r>
    <r>
      <rPr>
        <sz val="10"/>
        <rFont val="宋体"/>
        <family val="3"/>
        <charset val="134"/>
      </rPr>
      <t>年</t>
    </r>
    <r>
      <rPr>
        <sz val="10"/>
        <rFont val="Arial Narrow"/>
        <family val="2"/>
      </rPr>
      <t>)</t>
    </r>
  </si>
  <si>
    <r>
      <t>4-5</t>
    </r>
    <r>
      <rPr>
        <sz val="10"/>
        <rFont val="宋体"/>
        <family val="3"/>
        <charset val="134"/>
      </rPr>
      <t>年</t>
    </r>
    <r>
      <rPr>
        <sz val="10"/>
        <rFont val="Arial Narrow"/>
        <family val="2"/>
      </rPr>
      <t>(</t>
    </r>
    <r>
      <rPr>
        <sz val="10"/>
        <rFont val="宋体"/>
        <family val="3"/>
        <charset val="134"/>
      </rPr>
      <t>含</t>
    </r>
    <r>
      <rPr>
        <sz val="10"/>
        <rFont val="Arial Narrow"/>
        <family val="2"/>
      </rPr>
      <t>5</t>
    </r>
    <r>
      <rPr>
        <sz val="10"/>
        <rFont val="宋体"/>
        <family val="3"/>
        <charset val="134"/>
      </rPr>
      <t>年</t>
    </r>
    <r>
      <rPr>
        <sz val="10"/>
        <rFont val="Arial Narrow"/>
        <family val="2"/>
      </rPr>
      <t>)</t>
    </r>
  </si>
  <si>
    <r>
      <rPr>
        <sz val="10"/>
        <rFont val="宋体"/>
        <family val="3"/>
        <charset val="134"/>
      </rPr>
      <t>其他应收款</t>
    </r>
  </si>
  <si>
    <t>往来科目补充资料</t>
  </si>
  <si>
    <t>8300-2</t>
  </si>
  <si>
    <r>
      <rPr>
        <b/>
        <sz val="10"/>
        <rFont val="宋体"/>
        <family val="3"/>
        <charset val="134"/>
      </rPr>
      <t>页次：</t>
    </r>
  </si>
  <si>
    <r>
      <rPr>
        <b/>
        <sz val="10"/>
        <rFont val="宋体"/>
        <family val="3"/>
        <charset val="134"/>
      </rPr>
      <t>项目：现金流量表项目测试表</t>
    </r>
  </si>
  <si>
    <r>
      <rPr>
        <b/>
        <sz val="10"/>
        <rFont val="宋体"/>
        <family val="3"/>
        <charset val="134"/>
      </rPr>
      <t>日期：</t>
    </r>
  </si>
  <si>
    <r>
      <rPr>
        <sz val="10"/>
        <rFont val="宋体"/>
        <family val="3"/>
        <charset val="134"/>
      </rPr>
      <t>项目</t>
    </r>
  </si>
  <si>
    <r>
      <rPr>
        <sz val="10"/>
        <rFont val="宋体"/>
        <family val="3"/>
        <charset val="134"/>
      </rPr>
      <t>序号</t>
    </r>
  </si>
  <si>
    <r>
      <rPr>
        <sz val="10"/>
        <rFont val="宋体"/>
        <family val="3"/>
        <charset val="134"/>
      </rPr>
      <t>本年数</t>
    </r>
  </si>
  <si>
    <r>
      <rPr>
        <sz val="10"/>
        <rFont val="宋体"/>
        <family val="3"/>
        <charset val="134"/>
      </rPr>
      <t>上年数</t>
    </r>
  </si>
  <si>
    <r>
      <rPr>
        <sz val="10"/>
        <rFont val="宋体"/>
        <family val="3"/>
        <charset val="134"/>
      </rPr>
      <t>主营业务收入</t>
    </r>
  </si>
  <si>
    <r>
      <rPr>
        <sz val="10"/>
        <rFont val="宋体"/>
        <family val="3"/>
        <charset val="134"/>
      </rPr>
      <t>其他业务收入</t>
    </r>
  </si>
  <si>
    <r>
      <rPr>
        <sz val="10"/>
        <rFont val="宋体"/>
        <family val="3"/>
        <charset val="134"/>
      </rPr>
      <t>销项税</t>
    </r>
  </si>
  <si>
    <r>
      <t xml:space="preserve">    </t>
    </r>
    <r>
      <rPr>
        <sz val="10"/>
        <rFont val="宋体"/>
        <family val="3"/>
        <charset val="134"/>
      </rPr>
      <t>当期收回前期核销的坏账</t>
    </r>
  </si>
  <si>
    <r>
      <rPr>
        <sz val="10"/>
        <rFont val="宋体"/>
        <family val="3"/>
        <charset val="134"/>
      </rPr>
      <t>减：票据贴现的利息</t>
    </r>
  </si>
  <si>
    <r>
      <t xml:space="preserve">    </t>
    </r>
    <r>
      <rPr>
        <sz val="10"/>
        <rFont val="宋体"/>
        <family val="3"/>
        <charset val="134"/>
      </rPr>
      <t>本期计提的坏账准备</t>
    </r>
  </si>
  <si>
    <r>
      <t xml:space="preserve">    </t>
    </r>
    <r>
      <rPr>
        <sz val="10"/>
        <rFont val="宋体"/>
        <family val="3"/>
        <charset val="134"/>
      </rPr>
      <t>应收票据的减少中背书转让的金额</t>
    </r>
  </si>
  <si>
    <r>
      <t xml:space="preserve">    </t>
    </r>
    <r>
      <rPr>
        <sz val="10"/>
        <rFont val="宋体"/>
        <family val="3"/>
        <charset val="134"/>
      </rPr>
      <t>应收账款的减少中的债务重组金额收到非现金资产抵应收款</t>
    </r>
  </si>
  <si>
    <r>
      <t xml:space="preserve">    </t>
    </r>
    <r>
      <rPr>
        <sz val="10"/>
        <rFont val="宋体"/>
        <family val="3"/>
        <charset val="134"/>
      </rPr>
      <t>应收账款减少中的与应付款对冲金额</t>
    </r>
  </si>
  <si>
    <r>
      <t xml:space="preserve">    </t>
    </r>
    <r>
      <rPr>
        <sz val="10"/>
        <rFont val="宋体"/>
        <family val="3"/>
        <charset val="134"/>
      </rPr>
      <t>应收账款核销</t>
    </r>
  </si>
  <si>
    <r>
      <t xml:space="preserve">    </t>
    </r>
    <r>
      <rPr>
        <sz val="10"/>
        <rFont val="宋体"/>
        <family val="3"/>
        <charset val="134"/>
      </rPr>
      <t>其他非经营活动项目剔除额</t>
    </r>
  </si>
  <si>
    <r>
      <rPr>
        <sz val="10"/>
        <rFont val="宋体"/>
        <family val="3"/>
        <charset val="134"/>
      </rPr>
      <t>测试结果：</t>
    </r>
  </si>
  <si>
    <t>=(1)+(3)+…+(7)-(8)-(9)-…-(15)…</t>
  </si>
  <si>
    <r>
      <rPr>
        <sz val="10"/>
        <rFont val="宋体"/>
        <family val="3"/>
        <charset val="134"/>
      </rPr>
      <t>报表金额：</t>
    </r>
  </si>
  <si>
    <r>
      <rPr>
        <sz val="10"/>
        <rFont val="宋体"/>
        <family val="3"/>
        <charset val="134"/>
      </rPr>
      <t>测试差异：</t>
    </r>
  </si>
  <si>
    <r>
      <rPr>
        <sz val="10"/>
        <rFont val="宋体"/>
        <family val="3"/>
        <charset val="134"/>
      </rPr>
      <t>差异原因：</t>
    </r>
  </si>
  <si>
    <r>
      <rPr>
        <sz val="10"/>
        <rFont val="宋体"/>
        <family val="3"/>
        <charset val="134"/>
      </rPr>
      <t>增值税</t>
    </r>
  </si>
  <si>
    <r>
      <rPr>
        <sz val="10"/>
        <rFont val="宋体"/>
        <family val="3"/>
        <charset val="134"/>
      </rPr>
      <t>营业税</t>
    </r>
  </si>
  <si>
    <r>
      <rPr>
        <sz val="10"/>
        <rFont val="宋体"/>
        <family val="3"/>
        <charset val="134"/>
      </rPr>
      <t>所得税</t>
    </r>
  </si>
  <si>
    <r>
      <rPr>
        <sz val="10"/>
        <rFont val="宋体"/>
        <family val="3"/>
        <charset val="134"/>
      </rPr>
      <t>消费税</t>
    </r>
  </si>
  <si>
    <r>
      <rPr>
        <sz val="10"/>
        <rFont val="宋体"/>
        <family val="3"/>
        <charset val="134"/>
      </rPr>
      <t>教育费附加返还</t>
    </r>
  </si>
  <si>
    <r>
      <rPr>
        <sz val="10"/>
        <rFont val="宋体"/>
        <family val="3"/>
        <charset val="134"/>
      </rPr>
      <t>其他</t>
    </r>
  </si>
  <si>
    <t>=(1)+……+(6)</t>
  </si>
  <si>
    <r>
      <rPr>
        <sz val="10"/>
        <rFont val="宋体"/>
        <family val="3"/>
        <charset val="134"/>
      </rPr>
      <t>违约金收入</t>
    </r>
  </si>
  <si>
    <r>
      <rPr>
        <sz val="10"/>
        <rFont val="宋体"/>
        <family val="3"/>
        <charset val="134"/>
      </rPr>
      <t>罚款收入</t>
    </r>
  </si>
  <si>
    <r>
      <rPr>
        <sz val="10"/>
        <rFont val="宋体"/>
        <family val="3"/>
        <charset val="134"/>
      </rPr>
      <t>实际收到的赔偿收入</t>
    </r>
  </si>
  <si>
    <r>
      <rPr>
        <sz val="10"/>
        <rFont val="宋体"/>
        <family val="3"/>
        <charset val="134"/>
      </rPr>
      <t>经营租赁固定资产收到的现金</t>
    </r>
  </si>
  <si>
    <r>
      <rPr>
        <sz val="10"/>
        <rFont val="宋体"/>
        <family val="3"/>
        <charset val="134"/>
      </rPr>
      <t>除税费返还外的其他政府补助收入</t>
    </r>
  </si>
  <si>
    <t>=(1)+…+(7)…</t>
  </si>
  <si>
    <r>
      <rPr>
        <sz val="10"/>
        <rFont val="宋体"/>
        <family val="3"/>
        <charset val="134"/>
      </rPr>
      <t>主营业务成本</t>
    </r>
  </si>
  <si>
    <r>
      <rPr>
        <sz val="10"/>
        <rFont val="宋体"/>
        <family val="3"/>
        <charset val="134"/>
      </rPr>
      <t>其他业务支出</t>
    </r>
  </si>
  <si>
    <r>
      <rPr>
        <sz val="10"/>
        <rFont val="宋体"/>
        <family val="3"/>
        <charset val="134"/>
      </rPr>
      <t>购买商品接受劳务对应的进项税支出</t>
    </r>
  </si>
  <si>
    <r>
      <rPr>
        <sz val="10"/>
        <rFont val="宋体"/>
        <family val="3"/>
        <charset val="134"/>
      </rPr>
      <t>加：工程项目领用、投资、盘亏、报废、捐赠等影响存货的减少数</t>
    </r>
  </si>
  <si>
    <r>
      <rPr>
        <sz val="10"/>
        <rFont val="宋体"/>
        <family val="3"/>
        <charset val="134"/>
      </rPr>
      <t>减：列入生产成本及制造费用中的职工薪酬</t>
    </r>
  </si>
  <si>
    <r>
      <rPr>
        <sz val="10"/>
        <rFont val="宋体"/>
        <family val="3"/>
        <charset val="134"/>
      </rPr>
      <t>减：列入生产成本及制造费用中的未付现部分（折旧费）</t>
    </r>
  </si>
  <si>
    <r>
      <rPr>
        <sz val="10"/>
        <rFont val="宋体"/>
        <family val="3"/>
        <charset val="134"/>
      </rPr>
      <t>本期需要付现的存货的增加额</t>
    </r>
  </si>
  <si>
    <r>
      <rPr>
        <sz val="10"/>
        <rFont val="宋体"/>
        <family val="3"/>
        <charset val="134"/>
      </rPr>
      <t>减：非经营活动部份</t>
    </r>
  </si>
  <si>
    <r>
      <t xml:space="preserve">    </t>
    </r>
    <r>
      <rPr>
        <sz val="10"/>
        <rFont val="宋体"/>
        <family val="3"/>
        <charset val="134"/>
      </rPr>
      <t>其他非经营性应付项目的调减项</t>
    </r>
  </si>
  <si>
    <t>=(10)+(11)+(12)+(13)-(14)-(15)-……-(17)-(18)+(22)</t>
  </si>
  <si>
    <r>
      <rPr>
        <sz val="10"/>
        <rFont val="宋体"/>
        <family val="3"/>
        <charset val="134"/>
      </rPr>
      <t>列示在生产成本、制造费用、管理费用、销售费用的职工薪酬</t>
    </r>
  </si>
  <si>
    <r>
      <rPr>
        <sz val="10"/>
        <rFont val="宋体"/>
        <family val="3"/>
        <charset val="134"/>
      </rPr>
      <t>减：列示在当期成本费用中的非货币性职工薪酬</t>
    </r>
  </si>
  <si>
    <t>=(1)+(2)-(3)-(4)+(5)</t>
  </si>
  <si>
    <r>
      <rPr>
        <sz val="10"/>
        <rFont val="宋体"/>
        <family val="3"/>
        <charset val="134"/>
      </rPr>
      <t>增值税的实际缴纳额</t>
    </r>
  </si>
  <si>
    <t>=(1)+(2)+(3)-(4)-(5)...</t>
  </si>
  <si>
    <r>
      <t xml:space="preserve">              </t>
    </r>
    <r>
      <rPr>
        <sz val="10"/>
        <rFont val="宋体"/>
        <family val="3"/>
        <charset val="134"/>
      </rPr>
      <t>差旅费</t>
    </r>
  </si>
  <si>
    <r>
      <t xml:space="preserve">              </t>
    </r>
    <r>
      <rPr>
        <sz val="10"/>
        <rFont val="宋体"/>
        <family val="3"/>
        <charset val="134"/>
      </rPr>
      <t>办公费</t>
    </r>
  </si>
  <si>
    <r>
      <t xml:space="preserve">              </t>
    </r>
    <r>
      <rPr>
        <sz val="10"/>
        <rFont val="宋体"/>
        <family val="3"/>
        <charset val="134"/>
      </rPr>
      <t>交通费（运输费）</t>
    </r>
  </si>
  <si>
    <r>
      <t xml:space="preserve">              </t>
    </r>
    <r>
      <rPr>
        <sz val="10"/>
        <rFont val="宋体"/>
        <family val="3"/>
        <charset val="134"/>
      </rPr>
      <t>会议费</t>
    </r>
  </si>
  <si>
    <r>
      <t xml:space="preserve">              </t>
    </r>
    <r>
      <rPr>
        <sz val="10"/>
        <rFont val="宋体"/>
        <family val="3"/>
        <charset val="134"/>
      </rPr>
      <t>通讯费</t>
    </r>
  </si>
  <si>
    <r>
      <t xml:space="preserve">              </t>
    </r>
    <r>
      <rPr>
        <sz val="10"/>
        <rFont val="宋体"/>
        <family val="3"/>
        <charset val="134"/>
      </rPr>
      <t>维修费</t>
    </r>
  </si>
  <si>
    <r>
      <t xml:space="preserve">              </t>
    </r>
    <r>
      <rPr>
        <sz val="10"/>
        <rFont val="宋体"/>
        <family val="3"/>
        <charset val="134"/>
      </rPr>
      <t>审计费</t>
    </r>
  </si>
  <si>
    <r>
      <t xml:space="preserve">              </t>
    </r>
    <r>
      <rPr>
        <sz val="10"/>
        <rFont val="宋体"/>
        <family val="3"/>
        <charset val="134"/>
      </rPr>
      <t>水电费</t>
    </r>
  </si>
  <si>
    <r>
      <t xml:space="preserve">              </t>
    </r>
    <r>
      <rPr>
        <sz val="10"/>
        <rFont val="宋体"/>
        <family val="3"/>
        <charset val="134"/>
      </rPr>
      <t>物业费</t>
    </r>
  </si>
  <si>
    <r>
      <t xml:space="preserve">            </t>
    </r>
    <r>
      <rPr>
        <sz val="10"/>
        <rFont val="宋体"/>
        <family val="3"/>
        <charset val="134"/>
      </rPr>
      <t>低值易耗品</t>
    </r>
  </si>
  <si>
    <r>
      <t xml:space="preserve">              </t>
    </r>
    <r>
      <rPr>
        <sz val="10"/>
        <rFont val="宋体"/>
        <family val="3"/>
        <charset val="134"/>
      </rPr>
      <t>劳务费</t>
    </r>
  </si>
  <si>
    <r>
      <t xml:space="preserve">              </t>
    </r>
    <r>
      <rPr>
        <sz val="10"/>
        <rFont val="宋体"/>
        <family val="3"/>
        <charset val="134"/>
      </rPr>
      <t>保险费</t>
    </r>
  </si>
  <si>
    <r>
      <t xml:space="preserve">              </t>
    </r>
    <r>
      <rPr>
        <sz val="10"/>
        <rFont val="宋体"/>
        <family val="3"/>
        <charset val="134"/>
      </rPr>
      <t>退休人员工资</t>
    </r>
  </si>
  <si>
    <r>
      <t xml:space="preserve">              </t>
    </r>
    <r>
      <rPr>
        <sz val="10"/>
        <rFont val="宋体"/>
        <family val="3"/>
        <charset val="134"/>
      </rPr>
      <t>其他</t>
    </r>
  </si>
  <si>
    <r>
      <rPr>
        <sz val="10"/>
        <rFont val="宋体"/>
        <family val="3"/>
        <charset val="134"/>
      </rPr>
      <t>收回交易性金融资产的现金额</t>
    </r>
  </si>
  <si>
    <r>
      <rPr>
        <sz val="10"/>
        <rFont val="宋体"/>
        <family val="3"/>
        <charset val="134"/>
      </rPr>
      <t>收回可供出售金融资产的现金额</t>
    </r>
  </si>
  <si>
    <r>
      <rPr>
        <sz val="10"/>
        <rFont val="宋体"/>
        <family val="3"/>
        <charset val="134"/>
      </rPr>
      <t>收回长期股权投资收回的现金额</t>
    </r>
  </si>
  <si>
    <r>
      <rPr>
        <sz val="10"/>
        <rFont val="宋体"/>
        <family val="3"/>
        <charset val="134"/>
      </rPr>
      <t>收回持有至到期投资本金收回的现金额</t>
    </r>
  </si>
  <si>
    <r>
      <rPr>
        <sz val="10"/>
        <rFont val="宋体"/>
        <family val="3"/>
        <charset val="134"/>
      </rPr>
      <t>出售投资性房地产而收到的现金</t>
    </r>
  </si>
  <si>
    <t>=(1)+(2)+…...+(5)…</t>
  </si>
  <si>
    <r>
      <rPr>
        <sz val="10"/>
        <rFont val="宋体"/>
        <family val="3"/>
        <charset val="134"/>
      </rPr>
      <t>股权投资分得的现金股利</t>
    </r>
  </si>
  <si>
    <r>
      <rPr>
        <sz val="10"/>
        <rFont val="宋体"/>
        <family val="3"/>
        <charset val="134"/>
      </rPr>
      <t>子公司、联营企业、合营企业分回的利润</t>
    </r>
  </si>
  <si>
    <r>
      <rPr>
        <sz val="10"/>
        <rFont val="宋体"/>
        <family val="3"/>
        <charset val="134"/>
      </rPr>
      <t>持有至到期投资的现金利息收入</t>
    </r>
  </si>
  <si>
    <t>=(1)+(2)+(3)</t>
  </si>
  <si>
    <r>
      <rPr>
        <sz val="10"/>
        <rFont val="宋体"/>
        <family val="3"/>
        <charset val="134"/>
      </rPr>
      <t>出售固定资产、无形资产和其他资产取得的现金</t>
    </r>
  </si>
  <si>
    <r>
      <rPr>
        <sz val="10"/>
        <rFont val="宋体"/>
        <family val="3"/>
        <charset val="134"/>
      </rPr>
      <t>处置上述资产发生的税费支付的现金</t>
    </r>
  </si>
  <si>
    <r>
      <rPr>
        <sz val="10"/>
        <rFont val="宋体"/>
        <family val="3"/>
        <charset val="134"/>
      </rPr>
      <t>由于自然灾害等原因所造成的固定资产的长期资产报废、毁损而收到的保险赔偿款</t>
    </r>
  </si>
  <si>
    <t>=(1)-(2)+(3)</t>
  </si>
  <si>
    <r>
      <rPr>
        <sz val="10"/>
        <rFont val="宋体"/>
        <family val="3"/>
        <charset val="134"/>
      </rPr>
      <t>处置子公司及其他营业单位收到的现金</t>
    </r>
  </si>
  <si>
    <r>
      <rPr>
        <sz val="10"/>
        <rFont val="宋体"/>
        <family val="3"/>
        <charset val="134"/>
      </rPr>
      <t>相关的处置费用</t>
    </r>
  </si>
  <si>
    <r>
      <rPr>
        <sz val="10"/>
        <rFont val="宋体"/>
        <family val="3"/>
        <charset val="134"/>
      </rPr>
      <t>子公司及其他营业单位所持有的现金及现金等价物</t>
    </r>
  </si>
  <si>
    <t>=(1)-(2)-(3)</t>
  </si>
  <si>
    <r>
      <rPr>
        <sz val="10"/>
        <rFont val="宋体"/>
        <family val="3"/>
        <charset val="134"/>
      </rPr>
      <t>收到购买股票或债券所支付的款项中所包含的已到期尚未收到的股利或已到期尚未领取的利息</t>
    </r>
  </si>
  <si>
    <r>
      <rPr>
        <sz val="10"/>
        <rFont val="宋体"/>
        <family val="3"/>
        <charset val="134"/>
      </rPr>
      <t>取得子公司及其他营业单位支付的现金净额为负数时</t>
    </r>
  </si>
  <si>
    <r>
      <rPr>
        <sz val="10"/>
        <rFont val="宋体"/>
        <family val="3"/>
        <charset val="134"/>
      </rPr>
      <t>固定资产、无形资产、和其他长期资产的增加额</t>
    </r>
  </si>
  <si>
    <r>
      <rPr>
        <sz val="10"/>
        <rFont val="宋体"/>
        <family val="3"/>
        <charset val="134"/>
      </rPr>
      <t>购买固定资产允许抵扣的进项税</t>
    </r>
  </si>
  <si>
    <r>
      <rPr>
        <sz val="10"/>
        <rFont val="宋体"/>
        <family val="3"/>
        <charset val="134"/>
      </rPr>
      <t>应付职工薪酬</t>
    </r>
  </si>
  <si>
    <r>
      <rPr>
        <sz val="10"/>
        <rFont val="宋体"/>
        <family val="3"/>
        <charset val="134"/>
      </rPr>
      <t>减：购建固定资产、无形资产、长期资产发生的借款利息资本化部分</t>
    </r>
  </si>
  <si>
    <r>
      <rPr>
        <sz val="10"/>
        <rFont val="宋体"/>
        <family val="3"/>
        <charset val="134"/>
      </rPr>
      <t>减：投资投入、非货币性交换、债务重组等非购入增加固定资产、无形资产和其他长期资产的增加额</t>
    </r>
  </si>
  <si>
    <r>
      <rPr>
        <sz val="10"/>
        <rFont val="宋体"/>
        <family val="3"/>
        <charset val="134"/>
      </rPr>
      <t>其他因素</t>
    </r>
  </si>
  <si>
    <r>
      <rPr>
        <sz val="10"/>
        <rFont val="宋体"/>
        <family val="3"/>
        <charset val="134"/>
      </rPr>
      <t>取得除现金等价物以外的交易性金融资产、持有至到期投资、可供出售金融资产而支付的现金以及支付的佣金、手续费等交易费用</t>
    </r>
  </si>
  <si>
    <r>
      <rPr>
        <sz val="10"/>
        <rFont val="宋体"/>
        <family val="3"/>
        <charset val="134"/>
      </rPr>
      <t>除对子公司投资之外的长期股权投资支付的现金</t>
    </r>
  </si>
  <si>
    <r>
      <rPr>
        <sz val="10"/>
        <rFont val="宋体"/>
        <family val="3"/>
        <charset val="134"/>
      </rPr>
      <t>取得投资性房地产所支付的现金</t>
    </r>
  </si>
  <si>
    <r>
      <rPr>
        <sz val="10"/>
        <rFont val="宋体"/>
        <family val="3"/>
        <charset val="134"/>
      </rPr>
      <t>取得子公司及其他营业单位支付的现金</t>
    </r>
  </si>
  <si>
    <t>=(1)-(2)</t>
  </si>
  <si>
    <r>
      <rPr>
        <sz val="10"/>
        <rFont val="宋体"/>
        <family val="3"/>
        <charset val="134"/>
      </rPr>
      <t>购买股票或债券所支付的款项中所包含的已到期尚未收到的股利或已到期尚未领取的利息</t>
    </r>
  </si>
  <si>
    <r>
      <rPr>
        <sz val="10"/>
        <rFont val="宋体"/>
        <family val="3"/>
        <charset val="134"/>
      </rPr>
      <t>处置子公司及其他营业单位收到的现金净额为负数时</t>
    </r>
  </si>
  <si>
    <r>
      <rPr>
        <sz val="10"/>
        <rFont val="宋体"/>
        <family val="3"/>
        <charset val="134"/>
      </rPr>
      <t>处置固定资产、无形资产和其他资产收回的现金净额为负数时</t>
    </r>
  </si>
  <si>
    <r>
      <rPr>
        <sz val="10"/>
        <rFont val="宋体"/>
        <family val="3"/>
        <charset val="134"/>
      </rPr>
      <t>发行股票收到的现金净额</t>
    </r>
  </si>
  <si>
    <r>
      <rPr>
        <sz val="10"/>
        <rFont val="宋体"/>
        <family val="3"/>
        <charset val="134"/>
      </rPr>
      <t>发行债券收到的现金净额</t>
    </r>
  </si>
  <si>
    <t>=(1)+(2)</t>
  </si>
  <si>
    <r>
      <rPr>
        <sz val="10"/>
        <rFont val="宋体"/>
        <family val="3"/>
        <charset val="134"/>
      </rPr>
      <t>长期借款收到的现金</t>
    </r>
  </si>
  <si>
    <r>
      <rPr>
        <sz val="10"/>
        <rFont val="宋体"/>
        <family val="3"/>
        <charset val="134"/>
      </rPr>
      <t>短期借款收到的现金</t>
    </r>
  </si>
  <si>
    <r>
      <rPr>
        <sz val="10"/>
        <rFont val="宋体"/>
        <family val="3"/>
        <charset val="134"/>
      </rPr>
      <t>接受现金捐赠</t>
    </r>
  </si>
  <si>
    <r>
      <rPr>
        <sz val="10"/>
        <rFont val="宋体"/>
        <family val="3"/>
        <charset val="134"/>
      </rPr>
      <t>其他筹资收现</t>
    </r>
  </si>
  <si>
    <r>
      <rPr>
        <sz val="10"/>
        <rFont val="宋体"/>
        <family val="3"/>
        <charset val="134"/>
      </rPr>
      <t>偿还短期借款本金付现额</t>
    </r>
  </si>
  <si>
    <r>
      <rPr>
        <sz val="10"/>
        <rFont val="宋体"/>
        <family val="3"/>
        <charset val="134"/>
      </rPr>
      <t>偿还长期借款本金付现额</t>
    </r>
  </si>
  <si>
    <r>
      <rPr>
        <sz val="10"/>
        <rFont val="宋体"/>
        <family val="3"/>
        <charset val="134"/>
      </rPr>
      <t>偿付到期债券本金付现额</t>
    </r>
  </si>
  <si>
    <r>
      <rPr>
        <sz val="10"/>
        <rFont val="宋体"/>
        <family val="3"/>
        <charset val="134"/>
      </rPr>
      <t>支付的现金股利</t>
    </r>
  </si>
  <si>
    <r>
      <rPr>
        <sz val="10"/>
        <rFont val="宋体"/>
        <family val="3"/>
        <charset val="134"/>
      </rPr>
      <t>支付给其他投资单位的现金利润</t>
    </r>
  </si>
  <si>
    <r>
      <rPr>
        <sz val="10"/>
        <rFont val="宋体"/>
        <family val="3"/>
        <charset val="134"/>
      </rPr>
      <t>支付的长短期借款利息</t>
    </r>
  </si>
  <si>
    <r>
      <rPr>
        <sz val="10"/>
        <rFont val="宋体"/>
        <family val="3"/>
        <charset val="134"/>
      </rPr>
      <t>支付的债券利息</t>
    </r>
  </si>
  <si>
    <t>=(1)+(2)+(3)+(4)</t>
  </si>
  <si>
    <r>
      <rPr>
        <sz val="10"/>
        <rFont val="宋体"/>
        <family val="3"/>
        <charset val="134"/>
      </rPr>
      <t>融资租入固定资产所支付的租赁费</t>
    </r>
  </si>
  <si>
    <r>
      <rPr>
        <sz val="10"/>
        <rFont val="宋体"/>
        <family val="3"/>
        <charset val="134"/>
      </rPr>
      <t>发行股票债券直接支付的手续费、宣传费、咨询费等费用</t>
    </r>
  </si>
  <si>
    <r>
      <rPr>
        <sz val="10"/>
        <rFont val="宋体"/>
        <family val="3"/>
        <charset val="134"/>
      </rPr>
      <t>现金捐赠支出</t>
    </r>
  </si>
  <si>
    <r>
      <rPr>
        <sz val="10"/>
        <rFont val="宋体"/>
        <family val="3"/>
        <charset val="134"/>
      </rPr>
      <t>商业承况汇票贴现息</t>
    </r>
  </si>
  <si>
    <r>
      <rPr>
        <sz val="10"/>
        <rFont val="宋体"/>
        <family val="3"/>
        <charset val="134"/>
      </rPr>
      <t>长短期借款利息</t>
    </r>
  </si>
  <si>
    <r>
      <rPr>
        <sz val="10"/>
        <rFont val="宋体"/>
        <family val="3"/>
        <charset val="134"/>
      </rPr>
      <t>债券利息</t>
    </r>
  </si>
  <si>
    <r>
      <rPr>
        <sz val="10"/>
        <rFont val="宋体"/>
        <family val="3"/>
        <charset val="134"/>
      </rPr>
      <t>其他非经营活动的财务费用</t>
    </r>
  </si>
  <si>
    <r>
      <rPr>
        <sz val="10"/>
        <rFont val="宋体"/>
        <family val="3"/>
        <charset val="134"/>
      </rPr>
      <t>存货的减少（期初－期末）</t>
    </r>
  </si>
  <si>
    <r>
      <rPr>
        <sz val="10"/>
        <rFont val="宋体"/>
        <family val="3"/>
        <charset val="134"/>
      </rPr>
      <t>减：应收票据的减少中背书转让的金额</t>
    </r>
  </si>
  <si>
    <r>
      <t xml:space="preserve">    </t>
    </r>
    <r>
      <rPr>
        <sz val="10"/>
        <rFont val="宋体"/>
        <family val="3"/>
        <charset val="134"/>
      </rPr>
      <t>应收账款的减少中的债务重组金额及收到非现金资产金额</t>
    </r>
  </si>
  <si>
    <t>=(1)+…+(4)-(5)-(6)-…-(9)</t>
  </si>
  <si>
    <r>
      <rPr>
        <sz val="10"/>
        <rFont val="宋体"/>
        <family val="3"/>
        <charset val="134"/>
      </rPr>
      <t>减：其他非经营部分应付项目的增加</t>
    </r>
  </si>
  <si>
    <t>=(1)+…+(6)-(7)-…(10)+(11)+(12)</t>
  </si>
  <si>
    <t>现金流量表项目测试表</t>
  </si>
  <si>
    <t>=(1)+…+(14)</t>
    <phoneticPr fontId="5" type="noConversion"/>
  </si>
  <si>
    <t>=(1)+(2)+(3)</t>
    <phoneticPr fontId="5" type="noConversion"/>
  </si>
  <si>
    <t>=A+B+C+D</t>
    <phoneticPr fontId="5" type="noConversion"/>
  </si>
  <si>
    <t>D</t>
    <phoneticPr fontId="5" type="noConversion"/>
  </si>
  <si>
    <t>C</t>
    <phoneticPr fontId="5" type="noConversion"/>
  </si>
  <si>
    <t>B</t>
    <phoneticPr fontId="5" type="noConversion"/>
  </si>
  <si>
    <t>A</t>
    <phoneticPr fontId="5" type="noConversion"/>
  </si>
  <si>
    <r>
      <rPr>
        <sz val="10"/>
        <rFont val="宋体"/>
        <family val="3"/>
        <charset val="134"/>
      </rPr>
      <t>一、财务费用</t>
    </r>
  </si>
  <si>
    <r>
      <rPr>
        <sz val="10"/>
        <rFont val="宋体"/>
        <family val="3"/>
        <charset val="134"/>
      </rPr>
      <t>五、计提的减值准备</t>
    </r>
  </si>
  <si>
    <t>=(1)-(2)</t>
    <phoneticPr fontId="5" type="noConversion"/>
  </si>
  <si>
    <t xml:space="preserve">    其中：中方从业人员人工成本总额</t>
  </si>
  <si>
    <t xml:space="preserve">                 其中：中方职工人工成本总额</t>
  </si>
  <si>
    <t>1、</t>
    <phoneticPr fontId="5" type="noConversion"/>
  </si>
  <si>
    <t>2、</t>
    <phoneticPr fontId="5" type="noConversion"/>
  </si>
  <si>
    <t>重新复核了以前错误的一些核对公式，并重设了部份核对公式。</t>
    <phoneticPr fontId="5" type="noConversion"/>
  </si>
  <si>
    <t>在每个工作表中增加了返回目录，方便无法使用宏的同事，同时增加一些链接公式，方便查看相关表格</t>
    <phoneticPr fontId="5" type="noConversion"/>
  </si>
  <si>
    <t>11、</t>
  </si>
  <si>
    <t>如果无法使用,请将宏的安全性设置为最低；</t>
    <phoneticPr fontId="5" type="noConversion"/>
  </si>
  <si>
    <t>为了方便合并报表及批量数据审核，请不要删除或插入任何工作表的任何单元格，也不要更改任何工作表的名称；</t>
    <phoneticPr fontId="5" type="noConversion"/>
  </si>
  <si>
    <t>在填写封面“是否合并”时，如果是合并报告则在此填“合并”，单户报告不填列；</t>
    <phoneticPr fontId="5" type="noConversion"/>
  </si>
  <si>
    <t>点“返回目录”或使用其他宏，可以回到附注填写封面，以方便选择下一个工作表；点置顶可回本表第一行；</t>
    <phoneticPr fontId="5" type="noConversion"/>
  </si>
  <si>
    <t>填列的数字请保留二位小数,以避免出现尾差；</t>
    <phoneticPr fontId="5" type="noConversion"/>
  </si>
  <si>
    <t>1、</t>
    <phoneticPr fontId="5" type="noConversion"/>
  </si>
  <si>
    <t>往来科目中补充各类别的账龄并补充了久其软件中的部份表格，已方便填列久其软件时取数和核对。</t>
    <phoneticPr fontId="5" type="noConversion"/>
  </si>
  <si>
    <t>增加——现金流量表项目测试表：本复核表系根据所里现金流量工作底稿修改，以前该底稿多数项目组未做，或到归档时才做（质量也不行）。现将现金流量表的复核提前，有些数据直接链接调整系统主表或附注数据，同时在审计各科目时可将相关数据直接填列本表，以便提前发现现金流量表的异常并减少后期归档时现金流量工作底稿的工作量，所以请认真填列。</t>
    <phoneticPr fontId="5" type="noConversion"/>
  </si>
  <si>
    <t>增加——往来科目补充资料：审计人员在审计各往来科目及填列关联方应收应付款项时，同时按账龄明细填列在往来科目补充资料中，本表主要填列六个往来科目涉及关联方的账龄以及应收账款、其他应收款外部无风险组合的明细账龄。以便核对相关数据时可以方便查找明细，不用频繁查找审计工作底稿</t>
    <phoneticPr fontId="5" type="noConversion"/>
  </si>
  <si>
    <t>增加——未调整不符事项之分录和未调整不符事项之报表影响：以直接作为所里底稿（9500管理层声明书之附件）使用，方便统计，如果要查找下属子公司未调整不符事项对合并报表的影响时可以不要再找交换意见。本表放在调整系统最后。</t>
    <phoneticPr fontId="5" type="noConversion"/>
  </si>
  <si>
    <t>增加——“与2013年久其核对”和“与2012年久其核对”：增加五张主表与久其软件的核对，将久其软件中五张主表的数据粘贴到“与2013年久其核对”和“与2012年久其核对”中，以便出具审计报告时最终复核审计报告的报表数据与久其软件是否存在差异。本表放在调整系统最后。</t>
    <phoneticPr fontId="5" type="noConversion"/>
  </si>
  <si>
    <t>货币资金——增加使用有限制的货币资金情况</t>
    <phoneticPr fontId="5" type="noConversion"/>
  </si>
  <si>
    <t>应收票据——增加已贴现未到期的应收票据金额</t>
    <phoneticPr fontId="5" type="noConversion"/>
  </si>
  <si>
    <t>财务费用——增加贴现支出等明细，建议国企单位也填列，以方便复核现金流量表</t>
    <phoneticPr fontId="5" type="noConversion"/>
  </si>
  <si>
    <t>对本调整系统的各科目附注表格增加页眉，可以不再填写所里审计底稿模板里的披露表，直接打印定稿的调整系统各科目附注作为归档时披露表底稿。对于被审计单位、编制人、复核人、日期等的修改可以使用页面设置-自定义页眉，也可以使用安装的--EXCEL必备工具箱之“--处理工具--更多--底稿标题”实现一次性成批修改。</t>
    <phoneticPr fontId="5" type="noConversion"/>
  </si>
  <si>
    <r>
      <rPr>
        <u/>
        <sz val="10"/>
        <color indexed="12"/>
        <rFont val="宋体"/>
        <family val="3"/>
        <charset val="134"/>
      </rPr>
      <t>返回目录</t>
    </r>
  </si>
  <si>
    <r>
      <rPr>
        <sz val="10"/>
        <rFont val="宋体"/>
        <family val="3"/>
        <charset val="134"/>
      </rPr>
      <t>差额</t>
    </r>
    <phoneticPr fontId="5" type="noConversion"/>
  </si>
  <si>
    <r>
      <rPr>
        <sz val="10"/>
        <rFont val="宋体"/>
        <family val="3"/>
        <charset val="134"/>
      </rPr>
      <t>差额</t>
    </r>
    <phoneticPr fontId="5" type="noConversion"/>
  </si>
  <si>
    <r>
      <rPr>
        <sz val="10"/>
        <rFont val="宋体"/>
        <family val="3"/>
        <charset val="134"/>
      </rPr>
      <t>年初余额</t>
    </r>
  </si>
  <si>
    <r>
      <rPr>
        <sz val="10"/>
        <rFont val="宋体"/>
        <family val="3"/>
        <charset val="134"/>
      </rPr>
      <t>年末余额</t>
    </r>
  </si>
  <si>
    <r>
      <rPr>
        <sz val="10"/>
        <rFont val="宋体"/>
        <family val="3"/>
        <charset val="134"/>
      </rPr>
      <t>序号</t>
    </r>
    <phoneticPr fontId="5" type="noConversion"/>
  </si>
  <si>
    <r>
      <rPr>
        <b/>
        <sz val="10"/>
        <rFont val="楷体_GB2312"/>
        <family val="3"/>
        <charset val="134"/>
      </rPr>
      <t>项</t>
    </r>
    <r>
      <rPr>
        <b/>
        <sz val="10"/>
        <rFont val="Arial Narrow"/>
        <family val="2"/>
      </rPr>
      <t xml:space="preserve">        </t>
    </r>
    <r>
      <rPr>
        <b/>
        <sz val="10"/>
        <rFont val="楷体_GB2312"/>
        <family val="3"/>
        <charset val="134"/>
      </rPr>
      <t>目</t>
    </r>
    <phoneticPr fontId="5" type="noConversion"/>
  </si>
  <si>
    <r>
      <rPr>
        <b/>
        <sz val="10"/>
        <rFont val="楷体_GB2312"/>
        <family val="3"/>
        <charset val="134"/>
      </rPr>
      <t>项</t>
    </r>
    <r>
      <rPr>
        <b/>
        <sz val="10"/>
        <rFont val="Arial Narrow"/>
        <family val="2"/>
      </rPr>
      <t xml:space="preserve">        </t>
    </r>
    <r>
      <rPr>
        <b/>
        <sz val="10"/>
        <rFont val="楷体_GB2312"/>
        <family val="3"/>
        <charset val="134"/>
      </rPr>
      <t>目</t>
    </r>
    <phoneticPr fontId="5" type="noConversion"/>
  </si>
  <si>
    <r>
      <rPr>
        <sz val="10"/>
        <rFont val="宋体"/>
        <family val="3"/>
        <charset val="134"/>
      </rPr>
      <t>差额</t>
    </r>
    <phoneticPr fontId="5" type="noConversion"/>
  </si>
  <si>
    <r>
      <rPr>
        <b/>
        <sz val="10"/>
        <rFont val="楷体_GB2312"/>
        <family val="3"/>
        <charset val="134"/>
      </rPr>
      <t>流动资产：</t>
    </r>
  </si>
  <si>
    <r>
      <t xml:space="preserve">    </t>
    </r>
    <r>
      <rPr>
        <sz val="10"/>
        <rFont val="楷体_GB2312"/>
        <family val="3"/>
        <charset val="134"/>
      </rPr>
      <t>货币资金</t>
    </r>
    <phoneticPr fontId="5" type="noConversion"/>
  </si>
  <si>
    <r>
      <t xml:space="preserve">    </t>
    </r>
    <r>
      <rPr>
        <sz val="10"/>
        <rFont val="楷体_GB2312"/>
        <family val="3"/>
        <charset val="134"/>
      </rPr>
      <t>结算备付金</t>
    </r>
    <phoneticPr fontId="5" type="noConversion"/>
  </si>
  <si>
    <r>
      <t xml:space="preserve">    </t>
    </r>
    <r>
      <rPr>
        <sz val="10"/>
        <rFont val="楷体_GB2312"/>
        <family val="3"/>
        <charset val="134"/>
      </rPr>
      <t>拆出资金</t>
    </r>
    <phoneticPr fontId="5" type="noConversion"/>
  </si>
  <si>
    <r>
      <t xml:space="preserve">    </t>
    </r>
    <r>
      <rPr>
        <sz val="10"/>
        <rFont val="楷体_GB2312"/>
        <family val="3"/>
        <charset val="134"/>
      </rPr>
      <t>应收票据</t>
    </r>
    <phoneticPr fontId="5" type="noConversion"/>
  </si>
  <si>
    <r>
      <t xml:space="preserve">    </t>
    </r>
    <r>
      <rPr>
        <sz val="10"/>
        <rFont val="楷体_GB2312"/>
        <family val="3"/>
        <charset val="134"/>
      </rPr>
      <t>应收账款</t>
    </r>
    <phoneticPr fontId="5" type="noConversion"/>
  </si>
  <si>
    <r>
      <t xml:space="preserve">    </t>
    </r>
    <r>
      <rPr>
        <sz val="10"/>
        <rFont val="楷体_GB2312"/>
        <family val="3"/>
        <charset val="134"/>
      </rPr>
      <t>预付款项</t>
    </r>
    <phoneticPr fontId="5" type="noConversion"/>
  </si>
  <si>
    <r>
      <t xml:space="preserve">    </t>
    </r>
    <r>
      <rPr>
        <sz val="10"/>
        <rFont val="楷体_GB2312"/>
        <family val="3"/>
        <charset val="134"/>
      </rPr>
      <t>应收保费</t>
    </r>
    <phoneticPr fontId="5" type="noConversion"/>
  </si>
  <si>
    <r>
      <t xml:space="preserve">    </t>
    </r>
    <r>
      <rPr>
        <sz val="10"/>
        <rFont val="楷体_GB2312"/>
        <family val="3"/>
        <charset val="134"/>
      </rPr>
      <t>应收分保账款</t>
    </r>
    <phoneticPr fontId="5" type="noConversion"/>
  </si>
  <si>
    <r>
      <t xml:space="preserve">    </t>
    </r>
    <r>
      <rPr>
        <sz val="10"/>
        <rFont val="楷体_GB2312"/>
        <family val="3"/>
        <charset val="134"/>
      </rPr>
      <t>应收利息</t>
    </r>
    <phoneticPr fontId="5" type="noConversion"/>
  </si>
  <si>
    <r>
      <t xml:space="preserve">   </t>
    </r>
    <r>
      <rPr>
        <sz val="10"/>
        <rFont val="楷体_GB2312"/>
        <family val="3"/>
        <charset val="134"/>
      </rPr>
      <t>应收股利</t>
    </r>
    <phoneticPr fontId="5" type="noConversion"/>
  </si>
  <si>
    <r>
      <t xml:space="preserve">    </t>
    </r>
    <r>
      <rPr>
        <sz val="10"/>
        <rFont val="楷体_GB2312"/>
        <family val="3"/>
        <charset val="134"/>
      </rPr>
      <t>其他应收款</t>
    </r>
    <phoneticPr fontId="5" type="noConversion"/>
  </si>
  <si>
    <r>
      <t xml:space="preserve">    </t>
    </r>
    <r>
      <rPr>
        <sz val="10"/>
        <rFont val="楷体_GB2312"/>
        <family val="3"/>
        <charset val="134"/>
      </rPr>
      <t>买入返售金融资产</t>
    </r>
    <phoneticPr fontId="5" type="noConversion"/>
  </si>
  <si>
    <r>
      <t xml:space="preserve">    </t>
    </r>
    <r>
      <rPr>
        <sz val="10"/>
        <rFont val="楷体_GB2312"/>
        <family val="3"/>
        <charset val="134"/>
      </rPr>
      <t>存货</t>
    </r>
    <phoneticPr fontId="5" type="noConversion"/>
  </si>
  <si>
    <r>
      <t xml:space="preserve">            </t>
    </r>
    <r>
      <rPr>
        <sz val="10"/>
        <rFont val="楷体_GB2312"/>
        <family val="3"/>
        <charset val="134"/>
      </rPr>
      <t>其中：原材料</t>
    </r>
    <phoneticPr fontId="5" type="noConversion"/>
  </si>
  <si>
    <r>
      <t xml:space="preserve">                  </t>
    </r>
    <r>
      <rPr>
        <sz val="10"/>
        <rFont val="楷体_GB2312"/>
        <family val="3"/>
        <charset val="134"/>
      </rPr>
      <t>库存商品</t>
    </r>
    <r>
      <rPr>
        <sz val="10"/>
        <rFont val="Arial Narrow"/>
        <family val="2"/>
      </rPr>
      <t>(</t>
    </r>
    <r>
      <rPr>
        <sz val="10"/>
        <rFont val="楷体_GB2312"/>
        <family val="3"/>
        <charset val="134"/>
      </rPr>
      <t>产成品</t>
    </r>
    <r>
      <rPr>
        <sz val="10"/>
        <rFont val="Arial Narrow"/>
        <family val="2"/>
      </rPr>
      <t>)</t>
    </r>
    <phoneticPr fontId="5" type="noConversion"/>
  </si>
  <si>
    <r>
      <t xml:space="preserve">    </t>
    </r>
    <r>
      <rPr>
        <sz val="10"/>
        <rFont val="楷体_GB2312"/>
        <family val="3"/>
        <charset val="134"/>
      </rPr>
      <t>一年内到期的非流动资产</t>
    </r>
    <phoneticPr fontId="5" type="noConversion"/>
  </si>
  <si>
    <r>
      <t xml:space="preserve">    </t>
    </r>
    <r>
      <rPr>
        <sz val="10"/>
        <rFont val="楷体_GB2312"/>
        <family val="3"/>
        <charset val="134"/>
      </rPr>
      <t>其他流动资产</t>
    </r>
    <phoneticPr fontId="5" type="noConversion"/>
  </si>
  <si>
    <r>
      <rPr>
        <b/>
        <sz val="10"/>
        <rFont val="楷体_GB2312"/>
        <family val="3"/>
        <charset val="134"/>
      </rPr>
      <t>流动资产合计</t>
    </r>
  </si>
  <si>
    <r>
      <rPr>
        <b/>
        <sz val="10"/>
        <rFont val="楷体_GB2312"/>
        <family val="3"/>
        <charset val="134"/>
      </rPr>
      <t>非流动资产：</t>
    </r>
  </si>
  <si>
    <r>
      <t xml:space="preserve">    </t>
    </r>
    <r>
      <rPr>
        <sz val="10"/>
        <rFont val="楷体_GB2312"/>
        <family val="3"/>
        <charset val="134"/>
      </rPr>
      <t>发放贷款及垫款</t>
    </r>
    <phoneticPr fontId="5" type="noConversion"/>
  </si>
  <si>
    <r>
      <t xml:space="preserve">    </t>
    </r>
    <r>
      <rPr>
        <sz val="10"/>
        <rFont val="楷体_GB2312"/>
        <family val="3"/>
        <charset val="134"/>
      </rPr>
      <t>可供出售金融资产</t>
    </r>
    <phoneticPr fontId="5" type="noConversion"/>
  </si>
  <si>
    <r>
      <t xml:space="preserve">    </t>
    </r>
    <r>
      <rPr>
        <sz val="10"/>
        <rFont val="楷体_GB2312"/>
        <family val="3"/>
        <charset val="134"/>
      </rPr>
      <t>持有至到期投资</t>
    </r>
    <phoneticPr fontId="5" type="noConversion"/>
  </si>
  <si>
    <r>
      <t xml:space="preserve">    </t>
    </r>
    <r>
      <rPr>
        <sz val="10"/>
        <rFont val="楷体_GB2312"/>
        <family val="3"/>
        <charset val="134"/>
      </rPr>
      <t>长期应收款</t>
    </r>
    <phoneticPr fontId="5" type="noConversion"/>
  </si>
  <si>
    <r>
      <t xml:space="preserve">    </t>
    </r>
    <r>
      <rPr>
        <sz val="10"/>
        <rFont val="楷体_GB2312"/>
        <family val="3"/>
        <charset val="134"/>
      </rPr>
      <t>长期股权投资</t>
    </r>
    <phoneticPr fontId="5" type="noConversion"/>
  </si>
  <si>
    <r>
      <t xml:space="preserve">    </t>
    </r>
    <r>
      <rPr>
        <sz val="10"/>
        <rFont val="楷体_GB2312"/>
        <family val="3"/>
        <charset val="134"/>
      </rPr>
      <t>投资性房地产</t>
    </r>
    <phoneticPr fontId="5" type="noConversion"/>
  </si>
  <si>
    <r>
      <t xml:space="preserve">    </t>
    </r>
    <r>
      <rPr>
        <sz val="10"/>
        <rFont val="楷体_GB2312"/>
        <family val="3"/>
        <charset val="134"/>
      </rPr>
      <t>固定资产原价</t>
    </r>
    <phoneticPr fontId="5" type="noConversion"/>
  </si>
  <si>
    <r>
      <t xml:space="preserve">            </t>
    </r>
    <r>
      <rPr>
        <sz val="10"/>
        <rFont val="楷体_GB2312"/>
        <family val="3"/>
        <charset val="134"/>
      </rPr>
      <t>减：累计折旧</t>
    </r>
    <phoneticPr fontId="5" type="noConversion"/>
  </si>
  <si>
    <r>
      <t xml:space="preserve">    </t>
    </r>
    <r>
      <rPr>
        <sz val="10"/>
        <rFont val="楷体_GB2312"/>
        <family val="3"/>
        <charset val="134"/>
      </rPr>
      <t>固定资产净值</t>
    </r>
    <phoneticPr fontId="5" type="noConversion"/>
  </si>
  <si>
    <r>
      <t xml:space="preserve">            </t>
    </r>
    <r>
      <rPr>
        <sz val="10"/>
        <rFont val="楷体_GB2312"/>
        <family val="3"/>
        <charset val="134"/>
      </rPr>
      <t>减：固定资产减值准备</t>
    </r>
    <phoneticPr fontId="5" type="noConversion"/>
  </si>
  <si>
    <r>
      <t xml:space="preserve">    </t>
    </r>
    <r>
      <rPr>
        <sz val="10"/>
        <rFont val="楷体_GB2312"/>
        <family val="3"/>
        <charset val="134"/>
      </rPr>
      <t>固定资产净额</t>
    </r>
    <phoneticPr fontId="5" type="noConversion"/>
  </si>
  <si>
    <r>
      <t xml:space="preserve">    </t>
    </r>
    <r>
      <rPr>
        <sz val="10"/>
        <rFont val="楷体_GB2312"/>
        <family val="3"/>
        <charset val="134"/>
      </rPr>
      <t>在建工程</t>
    </r>
    <phoneticPr fontId="5" type="noConversion"/>
  </si>
  <si>
    <r>
      <t xml:space="preserve">    </t>
    </r>
    <r>
      <rPr>
        <sz val="10"/>
        <rFont val="楷体_GB2312"/>
        <family val="3"/>
        <charset val="134"/>
      </rPr>
      <t>工程物资</t>
    </r>
    <phoneticPr fontId="5" type="noConversion"/>
  </si>
  <si>
    <r>
      <t xml:space="preserve">    </t>
    </r>
    <r>
      <rPr>
        <sz val="10"/>
        <rFont val="楷体_GB2312"/>
        <family val="3"/>
        <charset val="134"/>
      </rPr>
      <t>固定资产清理</t>
    </r>
    <phoneticPr fontId="5" type="noConversion"/>
  </si>
  <si>
    <r>
      <t xml:space="preserve">    </t>
    </r>
    <r>
      <rPr>
        <sz val="10"/>
        <rFont val="楷体_GB2312"/>
        <family val="3"/>
        <charset val="134"/>
      </rPr>
      <t>生产性生物资产</t>
    </r>
    <phoneticPr fontId="5" type="noConversion"/>
  </si>
  <si>
    <r>
      <t xml:space="preserve">    </t>
    </r>
    <r>
      <rPr>
        <sz val="10"/>
        <rFont val="楷体_GB2312"/>
        <family val="3"/>
        <charset val="134"/>
      </rPr>
      <t>油气资产</t>
    </r>
    <phoneticPr fontId="5" type="noConversion"/>
  </si>
  <si>
    <r>
      <t xml:space="preserve">    </t>
    </r>
    <r>
      <rPr>
        <sz val="10"/>
        <rFont val="楷体_GB2312"/>
        <family val="3"/>
        <charset val="134"/>
      </rPr>
      <t>无形资产</t>
    </r>
    <phoneticPr fontId="5" type="noConversion"/>
  </si>
  <si>
    <r>
      <t xml:space="preserve">    </t>
    </r>
    <r>
      <rPr>
        <sz val="10"/>
        <rFont val="楷体_GB2312"/>
        <family val="3"/>
        <charset val="134"/>
      </rPr>
      <t>开发支出</t>
    </r>
    <phoneticPr fontId="5" type="noConversion"/>
  </si>
  <si>
    <r>
      <t xml:space="preserve">    </t>
    </r>
    <r>
      <rPr>
        <sz val="10"/>
        <rFont val="楷体_GB2312"/>
        <family val="3"/>
        <charset val="134"/>
      </rPr>
      <t>商誉</t>
    </r>
    <phoneticPr fontId="5" type="noConversion"/>
  </si>
  <si>
    <r>
      <t xml:space="preserve">    </t>
    </r>
    <r>
      <rPr>
        <sz val="10"/>
        <rFont val="楷体_GB2312"/>
        <family val="3"/>
        <charset val="134"/>
      </rPr>
      <t>长期待摊费用</t>
    </r>
    <phoneticPr fontId="5" type="noConversion"/>
  </si>
  <si>
    <r>
      <t xml:space="preserve">    </t>
    </r>
    <r>
      <rPr>
        <sz val="10"/>
        <rFont val="楷体_GB2312"/>
        <family val="3"/>
        <charset val="134"/>
      </rPr>
      <t>递延所得税资产</t>
    </r>
    <phoneticPr fontId="5" type="noConversion"/>
  </si>
  <si>
    <r>
      <t xml:space="preserve">    </t>
    </r>
    <r>
      <rPr>
        <sz val="10"/>
        <rFont val="楷体_GB2312"/>
        <family val="3"/>
        <charset val="134"/>
      </rPr>
      <t>其他非流动资产</t>
    </r>
    <phoneticPr fontId="5" type="noConversion"/>
  </si>
  <si>
    <r>
      <t xml:space="preserve">            </t>
    </r>
    <r>
      <rPr>
        <sz val="10"/>
        <rFont val="楷体_GB2312"/>
        <family val="3"/>
        <charset val="134"/>
      </rPr>
      <t>其中：特准储备物资</t>
    </r>
    <phoneticPr fontId="5" type="noConversion"/>
  </si>
  <si>
    <r>
      <rPr>
        <b/>
        <sz val="10"/>
        <rFont val="楷体_GB2312"/>
        <family val="3"/>
        <charset val="134"/>
      </rPr>
      <t>非流动资产合计</t>
    </r>
    <phoneticPr fontId="5" type="noConversion"/>
  </si>
  <si>
    <r>
      <rPr>
        <b/>
        <sz val="10"/>
        <rFont val="楷体_GB2312"/>
        <family val="3"/>
        <charset val="134"/>
      </rPr>
      <t>资</t>
    </r>
    <r>
      <rPr>
        <b/>
        <sz val="10"/>
        <rFont val="Arial Narrow"/>
        <family val="2"/>
      </rPr>
      <t xml:space="preserve"> </t>
    </r>
    <r>
      <rPr>
        <b/>
        <sz val="10"/>
        <rFont val="楷体_GB2312"/>
        <family val="3"/>
        <charset val="134"/>
      </rPr>
      <t>产</t>
    </r>
    <r>
      <rPr>
        <b/>
        <sz val="10"/>
        <rFont val="Arial Narrow"/>
        <family val="2"/>
      </rPr>
      <t xml:space="preserve"> </t>
    </r>
    <r>
      <rPr>
        <b/>
        <sz val="10"/>
        <rFont val="楷体_GB2312"/>
        <family val="3"/>
        <charset val="134"/>
      </rPr>
      <t>总</t>
    </r>
    <r>
      <rPr>
        <b/>
        <sz val="10"/>
        <rFont val="Arial Narrow"/>
        <family val="2"/>
      </rPr>
      <t xml:space="preserve"> </t>
    </r>
    <r>
      <rPr>
        <b/>
        <sz val="10"/>
        <rFont val="楷体_GB2312"/>
        <family val="3"/>
        <charset val="134"/>
      </rPr>
      <t>计</t>
    </r>
    <phoneticPr fontId="5" type="noConversion"/>
  </si>
  <si>
    <r>
      <rPr>
        <b/>
        <sz val="10"/>
        <rFont val="楷体_GB2312"/>
        <family val="3"/>
        <charset val="134"/>
      </rPr>
      <t>项</t>
    </r>
    <r>
      <rPr>
        <b/>
        <sz val="10"/>
        <rFont val="Arial Narrow"/>
        <family val="2"/>
      </rPr>
      <t xml:space="preserve">        </t>
    </r>
    <r>
      <rPr>
        <b/>
        <sz val="10"/>
        <rFont val="楷体_GB2312"/>
        <family val="3"/>
        <charset val="134"/>
      </rPr>
      <t>目</t>
    </r>
    <phoneticPr fontId="5" type="noConversion"/>
  </si>
  <si>
    <r>
      <rPr>
        <b/>
        <sz val="10"/>
        <rFont val="楷体_GB2312"/>
        <family val="3"/>
        <charset val="134"/>
      </rPr>
      <t>流动负债：</t>
    </r>
  </si>
  <si>
    <r>
      <t xml:space="preserve">    </t>
    </r>
    <r>
      <rPr>
        <sz val="10"/>
        <rFont val="楷体_GB2312"/>
        <family val="3"/>
        <charset val="134"/>
      </rPr>
      <t>短期借款</t>
    </r>
    <phoneticPr fontId="5" type="noConversion"/>
  </si>
  <si>
    <r>
      <t xml:space="preserve">    </t>
    </r>
    <r>
      <rPr>
        <sz val="10"/>
        <rFont val="楷体_GB2312"/>
        <family val="3"/>
        <charset val="134"/>
      </rPr>
      <t>向中央银行借款</t>
    </r>
    <phoneticPr fontId="5" type="noConversion"/>
  </si>
  <si>
    <r>
      <t xml:space="preserve">    </t>
    </r>
    <r>
      <rPr>
        <sz val="10"/>
        <rFont val="楷体_GB2312"/>
        <family val="3"/>
        <charset val="134"/>
      </rPr>
      <t>吸收存款及同业存放</t>
    </r>
    <phoneticPr fontId="5" type="noConversion"/>
  </si>
  <si>
    <r>
      <t xml:space="preserve">    </t>
    </r>
    <r>
      <rPr>
        <sz val="10"/>
        <rFont val="楷体_GB2312"/>
        <family val="3"/>
        <charset val="134"/>
      </rPr>
      <t>拆入资金</t>
    </r>
    <phoneticPr fontId="5" type="noConversion"/>
  </si>
  <si>
    <r>
      <t xml:space="preserve">    </t>
    </r>
    <r>
      <rPr>
        <sz val="10"/>
        <rFont val="楷体_GB2312"/>
        <family val="3"/>
        <charset val="134"/>
      </rPr>
      <t>应付票据</t>
    </r>
    <phoneticPr fontId="5" type="noConversion"/>
  </si>
  <si>
    <r>
      <t xml:space="preserve">    </t>
    </r>
    <r>
      <rPr>
        <sz val="10"/>
        <rFont val="楷体_GB2312"/>
        <family val="3"/>
        <charset val="134"/>
      </rPr>
      <t>应付账款</t>
    </r>
    <phoneticPr fontId="5" type="noConversion"/>
  </si>
  <si>
    <r>
      <t xml:space="preserve">    </t>
    </r>
    <r>
      <rPr>
        <sz val="10"/>
        <rFont val="楷体_GB2312"/>
        <family val="3"/>
        <charset val="134"/>
      </rPr>
      <t>预收款项</t>
    </r>
    <phoneticPr fontId="5" type="noConversion"/>
  </si>
  <si>
    <r>
      <t xml:space="preserve">    </t>
    </r>
    <r>
      <rPr>
        <sz val="10"/>
        <rFont val="楷体_GB2312"/>
        <family val="3"/>
        <charset val="134"/>
      </rPr>
      <t>卖出回购金融资产款</t>
    </r>
    <phoneticPr fontId="5" type="noConversion"/>
  </si>
  <si>
    <r>
      <t xml:space="preserve">    </t>
    </r>
    <r>
      <rPr>
        <sz val="10"/>
        <rFont val="楷体_GB2312"/>
        <family val="3"/>
        <charset val="134"/>
      </rPr>
      <t>应付手续费及佣金</t>
    </r>
    <phoneticPr fontId="5" type="noConversion"/>
  </si>
  <si>
    <r>
      <t xml:space="preserve">    </t>
    </r>
    <r>
      <rPr>
        <sz val="10"/>
        <rFont val="楷体_GB2312"/>
        <family val="3"/>
        <charset val="134"/>
      </rPr>
      <t>应付职工薪酬</t>
    </r>
    <phoneticPr fontId="5" type="noConversion"/>
  </si>
  <si>
    <r>
      <t xml:space="preserve">             </t>
    </r>
    <r>
      <rPr>
        <sz val="10"/>
        <rFont val="楷体_GB2312"/>
        <family val="3"/>
        <charset val="134"/>
      </rPr>
      <t>其中：应付工资</t>
    </r>
    <phoneticPr fontId="5" type="noConversion"/>
  </si>
  <si>
    <r>
      <t xml:space="preserve">                   </t>
    </r>
    <r>
      <rPr>
        <sz val="10"/>
        <rFont val="楷体_GB2312"/>
        <family val="3"/>
        <charset val="134"/>
      </rPr>
      <t>应付福利费</t>
    </r>
    <phoneticPr fontId="5" type="noConversion"/>
  </si>
  <si>
    <r>
      <t xml:space="preserve">                       </t>
    </r>
    <r>
      <rPr>
        <sz val="10"/>
        <rFont val="楷体_GB2312"/>
        <family val="3"/>
        <charset val="134"/>
      </rPr>
      <t>其中：职工奖励及福利基金</t>
    </r>
    <phoneticPr fontId="5" type="noConversion"/>
  </si>
  <si>
    <r>
      <t xml:space="preserve">    </t>
    </r>
    <r>
      <rPr>
        <sz val="10"/>
        <rFont val="楷体_GB2312"/>
        <family val="3"/>
        <charset val="134"/>
      </rPr>
      <t>应交税费</t>
    </r>
    <phoneticPr fontId="5" type="noConversion"/>
  </si>
  <si>
    <r>
      <t xml:space="preserve">             </t>
    </r>
    <r>
      <rPr>
        <sz val="10"/>
        <rFont val="楷体_GB2312"/>
        <family val="3"/>
        <charset val="134"/>
      </rPr>
      <t>其中：应交税金</t>
    </r>
    <phoneticPr fontId="5" type="noConversion"/>
  </si>
  <si>
    <r>
      <t xml:space="preserve">    </t>
    </r>
    <r>
      <rPr>
        <sz val="10"/>
        <rFont val="楷体_GB2312"/>
        <family val="3"/>
        <charset val="134"/>
      </rPr>
      <t>应付利息</t>
    </r>
    <phoneticPr fontId="5" type="noConversion"/>
  </si>
  <si>
    <r>
      <t xml:space="preserve">    </t>
    </r>
    <r>
      <rPr>
        <sz val="10"/>
        <rFont val="楷体_GB2312"/>
        <family val="3"/>
        <charset val="134"/>
      </rPr>
      <t>应付股利</t>
    </r>
    <phoneticPr fontId="5" type="noConversion"/>
  </si>
  <si>
    <r>
      <t xml:space="preserve">    </t>
    </r>
    <r>
      <rPr>
        <sz val="10"/>
        <rFont val="楷体_GB2312"/>
        <family val="3"/>
        <charset val="134"/>
      </rPr>
      <t>其他应付款</t>
    </r>
    <phoneticPr fontId="5" type="noConversion"/>
  </si>
  <si>
    <r>
      <t xml:space="preserve">    </t>
    </r>
    <r>
      <rPr>
        <sz val="10"/>
        <rFont val="楷体_GB2312"/>
        <family val="3"/>
        <charset val="134"/>
      </rPr>
      <t>应付分保账款</t>
    </r>
    <phoneticPr fontId="5" type="noConversion"/>
  </si>
  <si>
    <r>
      <t xml:space="preserve">    </t>
    </r>
    <r>
      <rPr>
        <sz val="10"/>
        <rFont val="楷体_GB2312"/>
        <family val="3"/>
        <charset val="134"/>
      </rPr>
      <t>保险合同准备金</t>
    </r>
    <phoneticPr fontId="5" type="noConversion"/>
  </si>
  <si>
    <r>
      <t xml:space="preserve">    </t>
    </r>
    <r>
      <rPr>
        <sz val="10"/>
        <rFont val="楷体_GB2312"/>
        <family val="3"/>
        <charset val="134"/>
      </rPr>
      <t>代理买卖证券款</t>
    </r>
    <phoneticPr fontId="5" type="noConversion"/>
  </si>
  <si>
    <r>
      <t xml:space="preserve">    </t>
    </r>
    <r>
      <rPr>
        <sz val="10"/>
        <rFont val="楷体_GB2312"/>
        <family val="3"/>
        <charset val="134"/>
      </rPr>
      <t>代理承销证券款</t>
    </r>
    <phoneticPr fontId="5" type="noConversion"/>
  </si>
  <si>
    <r>
      <t xml:space="preserve">    </t>
    </r>
    <r>
      <rPr>
        <sz val="10"/>
        <rFont val="楷体_GB2312"/>
        <family val="3"/>
        <charset val="134"/>
      </rPr>
      <t>一年内到期的非流动负债</t>
    </r>
    <phoneticPr fontId="5" type="noConversion"/>
  </si>
  <si>
    <r>
      <t xml:space="preserve">    </t>
    </r>
    <r>
      <rPr>
        <sz val="10"/>
        <rFont val="楷体_GB2312"/>
        <family val="3"/>
        <charset val="134"/>
      </rPr>
      <t>其他流动负债</t>
    </r>
    <phoneticPr fontId="5" type="noConversion"/>
  </si>
  <si>
    <r>
      <rPr>
        <b/>
        <sz val="10"/>
        <rFont val="楷体_GB2312"/>
        <family val="3"/>
        <charset val="134"/>
      </rPr>
      <t>流动负债合计</t>
    </r>
  </si>
  <si>
    <r>
      <rPr>
        <b/>
        <sz val="10"/>
        <rFont val="楷体_GB2312"/>
        <family val="3"/>
        <charset val="134"/>
      </rPr>
      <t>非流动负债：</t>
    </r>
  </si>
  <si>
    <r>
      <t xml:space="preserve">    </t>
    </r>
    <r>
      <rPr>
        <sz val="10"/>
        <rFont val="楷体_GB2312"/>
        <family val="3"/>
        <charset val="134"/>
      </rPr>
      <t>长期借款</t>
    </r>
    <phoneticPr fontId="5" type="noConversion"/>
  </si>
  <si>
    <r>
      <t xml:space="preserve">    </t>
    </r>
    <r>
      <rPr>
        <sz val="10"/>
        <rFont val="楷体_GB2312"/>
        <family val="3"/>
        <charset val="134"/>
      </rPr>
      <t>应付债券</t>
    </r>
    <phoneticPr fontId="5" type="noConversion"/>
  </si>
  <si>
    <r>
      <t xml:space="preserve">    </t>
    </r>
    <r>
      <rPr>
        <sz val="10"/>
        <rFont val="楷体_GB2312"/>
        <family val="3"/>
        <charset val="134"/>
      </rPr>
      <t>长期应付款</t>
    </r>
    <phoneticPr fontId="5" type="noConversion"/>
  </si>
  <si>
    <r>
      <t xml:space="preserve">    </t>
    </r>
    <r>
      <rPr>
        <sz val="10"/>
        <rFont val="楷体_GB2312"/>
        <family val="3"/>
        <charset val="134"/>
      </rPr>
      <t>专项应付款</t>
    </r>
    <phoneticPr fontId="5" type="noConversion"/>
  </si>
  <si>
    <r>
      <t xml:space="preserve">    </t>
    </r>
    <r>
      <rPr>
        <sz val="10"/>
        <rFont val="楷体_GB2312"/>
        <family val="3"/>
        <charset val="134"/>
      </rPr>
      <t>预计负债</t>
    </r>
    <phoneticPr fontId="5" type="noConversion"/>
  </si>
  <si>
    <r>
      <t xml:space="preserve">    </t>
    </r>
    <r>
      <rPr>
        <sz val="10"/>
        <rFont val="楷体_GB2312"/>
        <family val="3"/>
        <charset val="134"/>
      </rPr>
      <t>递延所得税负债</t>
    </r>
    <phoneticPr fontId="5" type="noConversion"/>
  </si>
  <si>
    <r>
      <t xml:space="preserve">    </t>
    </r>
    <r>
      <rPr>
        <sz val="10"/>
        <rFont val="楷体_GB2312"/>
        <family val="3"/>
        <charset val="134"/>
      </rPr>
      <t>其他非流动负债</t>
    </r>
    <phoneticPr fontId="5" type="noConversion"/>
  </si>
  <si>
    <r>
      <t xml:space="preserve">             </t>
    </r>
    <r>
      <rPr>
        <sz val="10"/>
        <rFont val="楷体_GB2312"/>
        <family val="3"/>
        <charset val="134"/>
      </rPr>
      <t>其中：特准储备基金</t>
    </r>
    <phoneticPr fontId="5" type="noConversion"/>
  </si>
  <si>
    <r>
      <rPr>
        <b/>
        <sz val="10"/>
        <rFont val="楷体_GB2312"/>
        <family val="3"/>
        <charset val="134"/>
      </rPr>
      <t>非流动负债合计</t>
    </r>
  </si>
  <si>
    <r>
      <rPr>
        <b/>
        <sz val="10"/>
        <rFont val="楷体_GB2312"/>
        <family val="3"/>
        <charset val="134"/>
      </rPr>
      <t>负</t>
    </r>
    <r>
      <rPr>
        <b/>
        <sz val="10"/>
        <rFont val="Arial Narrow"/>
        <family val="2"/>
      </rPr>
      <t xml:space="preserve"> </t>
    </r>
    <r>
      <rPr>
        <b/>
        <sz val="10"/>
        <rFont val="楷体_GB2312"/>
        <family val="3"/>
        <charset val="134"/>
      </rPr>
      <t>债</t>
    </r>
    <r>
      <rPr>
        <b/>
        <sz val="10"/>
        <rFont val="Arial Narrow"/>
        <family val="2"/>
      </rPr>
      <t xml:space="preserve"> </t>
    </r>
    <r>
      <rPr>
        <b/>
        <sz val="10"/>
        <rFont val="楷体_GB2312"/>
        <family val="3"/>
        <charset val="134"/>
      </rPr>
      <t>合</t>
    </r>
    <r>
      <rPr>
        <b/>
        <sz val="10"/>
        <rFont val="Arial Narrow"/>
        <family val="2"/>
      </rPr>
      <t xml:space="preserve"> </t>
    </r>
    <r>
      <rPr>
        <b/>
        <sz val="10"/>
        <rFont val="楷体_GB2312"/>
        <family val="3"/>
        <charset val="134"/>
      </rPr>
      <t>计</t>
    </r>
    <phoneticPr fontId="5" type="noConversion"/>
  </si>
  <si>
    <r>
      <rPr>
        <b/>
        <sz val="10"/>
        <rFont val="楷体_GB2312"/>
        <family val="3"/>
        <charset val="134"/>
      </rPr>
      <t>所有者权益：</t>
    </r>
    <phoneticPr fontId="5" type="noConversion"/>
  </si>
  <si>
    <r>
      <t xml:space="preserve">    </t>
    </r>
    <r>
      <rPr>
        <sz val="10"/>
        <rFont val="楷体_GB2312"/>
        <family val="3"/>
        <charset val="134"/>
      </rPr>
      <t>实收资本</t>
    </r>
    <phoneticPr fontId="5" type="noConversion"/>
  </si>
  <si>
    <r>
      <t xml:space="preserve">         </t>
    </r>
    <r>
      <rPr>
        <sz val="10"/>
        <rFont val="楷体_GB2312"/>
        <family val="3"/>
        <charset val="134"/>
      </rPr>
      <t>国有资本</t>
    </r>
    <phoneticPr fontId="5" type="noConversion"/>
  </si>
  <si>
    <r>
      <t xml:space="preserve">             </t>
    </r>
    <r>
      <rPr>
        <sz val="10"/>
        <rFont val="楷体_GB2312"/>
        <family val="3"/>
        <charset val="134"/>
      </rPr>
      <t>其中：国有法人资本</t>
    </r>
    <phoneticPr fontId="5" type="noConversion"/>
  </si>
  <si>
    <r>
      <t xml:space="preserve">         </t>
    </r>
    <r>
      <rPr>
        <sz val="10"/>
        <rFont val="楷体_GB2312"/>
        <family val="3"/>
        <charset val="134"/>
      </rPr>
      <t>集体资本</t>
    </r>
    <phoneticPr fontId="5" type="noConversion"/>
  </si>
  <si>
    <r>
      <t xml:space="preserve">         </t>
    </r>
    <r>
      <rPr>
        <sz val="10"/>
        <rFont val="楷体_GB2312"/>
        <family val="3"/>
        <charset val="134"/>
      </rPr>
      <t>民营资本</t>
    </r>
    <phoneticPr fontId="5" type="noConversion"/>
  </si>
  <si>
    <r>
      <t xml:space="preserve">             </t>
    </r>
    <r>
      <rPr>
        <sz val="10"/>
        <rFont val="楷体_GB2312"/>
        <family val="3"/>
        <charset val="134"/>
      </rPr>
      <t>其中：</t>
    </r>
    <r>
      <rPr>
        <sz val="10"/>
        <rFont val="Arial Narrow"/>
        <family val="2"/>
      </rPr>
      <t xml:space="preserve"> </t>
    </r>
    <r>
      <rPr>
        <sz val="10"/>
        <rFont val="楷体_GB2312"/>
        <family val="3"/>
        <charset val="134"/>
      </rPr>
      <t>个人资本</t>
    </r>
    <phoneticPr fontId="5" type="noConversion"/>
  </si>
  <si>
    <r>
      <t xml:space="preserve">        </t>
    </r>
    <r>
      <rPr>
        <sz val="10"/>
        <rFont val="楷体_GB2312"/>
        <family val="3"/>
        <charset val="134"/>
      </rPr>
      <t>外商资本</t>
    </r>
    <phoneticPr fontId="5" type="noConversion"/>
  </si>
  <si>
    <r>
      <t xml:space="preserve">    </t>
    </r>
    <r>
      <rPr>
        <sz val="10"/>
        <rFont val="楷体_GB2312"/>
        <family val="3"/>
        <charset val="134"/>
      </rPr>
      <t>减：已归还投资</t>
    </r>
    <phoneticPr fontId="5" type="noConversion"/>
  </si>
  <si>
    <r>
      <t xml:space="preserve">    </t>
    </r>
    <r>
      <rPr>
        <sz val="10"/>
        <rFont val="楷体_GB2312"/>
        <family val="3"/>
        <charset val="134"/>
      </rPr>
      <t>实收资本净额</t>
    </r>
    <phoneticPr fontId="5" type="noConversion"/>
  </si>
  <si>
    <r>
      <t xml:space="preserve">    </t>
    </r>
    <r>
      <rPr>
        <sz val="10"/>
        <rFont val="楷体_GB2312"/>
        <family val="3"/>
        <charset val="134"/>
      </rPr>
      <t>资本公积</t>
    </r>
    <phoneticPr fontId="5" type="noConversion"/>
  </si>
  <si>
    <r>
      <t xml:space="preserve">    </t>
    </r>
    <r>
      <rPr>
        <sz val="10"/>
        <rFont val="楷体_GB2312"/>
        <family val="3"/>
        <charset val="134"/>
      </rPr>
      <t>减：库存股</t>
    </r>
    <phoneticPr fontId="5" type="noConversion"/>
  </si>
  <si>
    <r>
      <t xml:space="preserve">    </t>
    </r>
    <r>
      <rPr>
        <sz val="10"/>
        <rFont val="楷体_GB2312"/>
        <family val="3"/>
        <charset val="134"/>
      </rPr>
      <t>专项储备</t>
    </r>
    <r>
      <rPr>
        <sz val="10"/>
        <rFont val="Arial Narrow"/>
        <family val="2"/>
      </rPr>
      <t xml:space="preserve"> </t>
    </r>
    <phoneticPr fontId="5" type="noConversion"/>
  </si>
  <si>
    <r>
      <t xml:space="preserve">    </t>
    </r>
    <r>
      <rPr>
        <sz val="10"/>
        <rFont val="楷体_GB2312"/>
        <family val="3"/>
        <charset val="134"/>
      </rPr>
      <t>盈余公积</t>
    </r>
    <phoneticPr fontId="5" type="noConversion"/>
  </si>
  <si>
    <r>
      <t xml:space="preserve">      </t>
    </r>
    <r>
      <rPr>
        <sz val="10"/>
        <rFont val="楷体_GB2312"/>
        <family val="3"/>
        <charset val="134"/>
      </rPr>
      <t>其中：法定公积金</t>
    </r>
    <phoneticPr fontId="5" type="noConversion"/>
  </si>
  <si>
    <r>
      <t xml:space="preserve">            </t>
    </r>
    <r>
      <rPr>
        <sz val="10"/>
        <rFont val="楷体_GB2312"/>
        <family val="3"/>
        <charset val="134"/>
      </rPr>
      <t>任意公积金</t>
    </r>
    <phoneticPr fontId="5" type="noConversion"/>
  </si>
  <si>
    <r>
      <t xml:space="preserve">            </t>
    </r>
    <r>
      <rPr>
        <sz val="10"/>
        <rFont val="楷体_GB2312"/>
        <family val="3"/>
        <charset val="134"/>
      </rPr>
      <t>储备基金</t>
    </r>
    <phoneticPr fontId="5" type="noConversion"/>
  </si>
  <si>
    <r>
      <t xml:space="preserve">            </t>
    </r>
    <r>
      <rPr>
        <sz val="10"/>
        <rFont val="楷体_GB2312"/>
        <family val="3"/>
        <charset val="134"/>
      </rPr>
      <t>企业发展基金</t>
    </r>
    <phoneticPr fontId="5" type="noConversion"/>
  </si>
  <si>
    <r>
      <t xml:space="preserve">            </t>
    </r>
    <r>
      <rPr>
        <sz val="10"/>
        <rFont val="楷体_GB2312"/>
        <family val="3"/>
        <charset val="134"/>
      </rPr>
      <t>利润归还投资</t>
    </r>
    <phoneticPr fontId="5" type="noConversion"/>
  </si>
  <si>
    <r>
      <t xml:space="preserve">    </t>
    </r>
    <r>
      <rPr>
        <sz val="10"/>
        <rFont val="楷体_GB2312"/>
        <family val="3"/>
        <charset val="134"/>
      </rPr>
      <t>一般风险准备</t>
    </r>
    <phoneticPr fontId="5" type="noConversion"/>
  </si>
  <si>
    <r>
      <t xml:space="preserve">    </t>
    </r>
    <r>
      <rPr>
        <sz val="10"/>
        <rFont val="楷体_GB2312"/>
        <family val="3"/>
        <charset val="134"/>
      </rPr>
      <t>未分配利润</t>
    </r>
    <phoneticPr fontId="5" type="noConversion"/>
  </si>
  <si>
    <r>
      <t xml:space="preserve">    </t>
    </r>
    <r>
      <rPr>
        <sz val="10"/>
        <rFont val="楷体_GB2312"/>
        <family val="3"/>
        <charset val="134"/>
      </rPr>
      <t>外币报表折算差额</t>
    </r>
    <phoneticPr fontId="5" type="noConversion"/>
  </si>
  <si>
    <r>
      <rPr>
        <b/>
        <sz val="10"/>
        <rFont val="楷体_GB2312"/>
        <family val="3"/>
        <charset val="134"/>
      </rPr>
      <t>归属于母公司所有者权益合计</t>
    </r>
    <phoneticPr fontId="5" type="noConversion"/>
  </si>
  <si>
    <r>
      <t xml:space="preserve">    </t>
    </r>
    <r>
      <rPr>
        <sz val="10"/>
        <rFont val="楷体_GB2312"/>
        <family val="3"/>
        <charset val="134"/>
      </rPr>
      <t>少数股东权益</t>
    </r>
    <phoneticPr fontId="5" type="noConversion"/>
  </si>
  <si>
    <r>
      <rPr>
        <b/>
        <sz val="10"/>
        <rFont val="楷体_GB2312"/>
        <family val="3"/>
        <charset val="134"/>
      </rPr>
      <t>所有者权益合计</t>
    </r>
    <phoneticPr fontId="5" type="noConversion"/>
  </si>
  <si>
    <r>
      <rPr>
        <b/>
        <sz val="10"/>
        <rFont val="楷体_GB2312"/>
        <family val="3"/>
        <charset val="134"/>
      </rPr>
      <t>负债和所有者权益总计</t>
    </r>
    <phoneticPr fontId="5" type="noConversion"/>
  </si>
  <si>
    <r>
      <rPr>
        <b/>
        <sz val="10"/>
        <rFont val="楷体_GB2312"/>
        <family val="3"/>
        <charset val="134"/>
      </rPr>
      <t>项</t>
    </r>
    <r>
      <rPr>
        <b/>
        <sz val="10"/>
        <rFont val="Arial Narrow"/>
        <family val="2"/>
      </rPr>
      <t xml:space="preserve">        </t>
    </r>
    <r>
      <rPr>
        <b/>
        <sz val="10"/>
        <rFont val="楷体_GB2312"/>
        <family val="3"/>
        <charset val="134"/>
      </rPr>
      <t>目</t>
    </r>
    <phoneticPr fontId="5" type="noConversion"/>
  </si>
  <si>
    <r>
      <rPr>
        <sz val="10"/>
        <rFont val="宋体"/>
        <family val="3"/>
        <charset val="134"/>
      </rPr>
      <t>上年</t>
    </r>
    <phoneticPr fontId="5" type="noConversion"/>
  </si>
  <si>
    <r>
      <rPr>
        <sz val="10"/>
        <rFont val="宋体"/>
        <family val="3"/>
        <charset val="134"/>
      </rPr>
      <t>上年</t>
    </r>
    <phoneticPr fontId="5" type="noConversion"/>
  </si>
  <si>
    <r>
      <rPr>
        <b/>
        <sz val="10"/>
        <rFont val="楷体_GB2312"/>
        <family val="3"/>
        <charset val="134"/>
      </rPr>
      <t>一、营业总收入</t>
    </r>
  </si>
  <si>
    <r>
      <t xml:space="preserve">         </t>
    </r>
    <r>
      <rPr>
        <sz val="10"/>
        <rFont val="楷体_GB2312"/>
        <family val="3"/>
        <charset val="134"/>
      </rPr>
      <t>其中：营业收入</t>
    </r>
    <phoneticPr fontId="5" type="noConversion"/>
  </si>
  <si>
    <r>
      <t xml:space="preserve">             </t>
    </r>
    <r>
      <rPr>
        <sz val="10"/>
        <rFont val="楷体_GB2312"/>
        <family val="3"/>
        <charset val="134"/>
      </rPr>
      <t>其中：主营业务收入</t>
    </r>
    <phoneticPr fontId="5" type="noConversion"/>
  </si>
  <si>
    <r>
      <t xml:space="preserve">                   </t>
    </r>
    <r>
      <rPr>
        <sz val="10"/>
        <rFont val="楷体_GB2312"/>
        <family val="3"/>
        <charset val="134"/>
      </rPr>
      <t>其他业务收入</t>
    </r>
    <phoneticPr fontId="5" type="noConversion"/>
  </si>
  <si>
    <r>
      <t xml:space="preserve">            </t>
    </r>
    <r>
      <rPr>
        <sz val="10"/>
        <rFont val="楷体_GB2312"/>
        <family val="3"/>
        <charset val="134"/>
      </rPr>
      <t>利息收入</t>
    </r>
    <phoneticPr fontId="5" type="noConversion"/>
  </si>
  <si>
    <r>
      <t xml:space="preserve">            </t>
    </r>
    <r>
      <rPr>
        <sz val="10"/>
        <rFont val="楷体_GB2312"/>
        <family val="3"/>
        <charset val="134"/>
      </rPr>
      <t>已赚保费</t>
    </r>
    <phoneticPr fontId="5" type="noConversion"/>
  </si>
  <si>
    <r>
      <t xml:space="preserve">            </t>
    </r>
    <r>
      <rPr>
        <sz val="10"/>
        <rFont val="楷体_GB2312"/>
        <family val="3"/>
        <charset val="134"/>
      </rPr>
      <t>手续费及佣金收入</t>
    </r>
    <phoneticPr fontId="5" type="noConversion"/>
  </si>
  <si>
    <r>
      <rPr>
        <b/>
        <sz val="10"/>
        <rFont val="楷体_GB2312"/>
        <family val="3"/>
        <charset val="134"/>
      </rPr>
      <t>二、营业总成本</t>
    </r>
    <phoneticPr fontId="5" type="noConversion"/>
  </si>
  <si>
    <r>
      <t xml:space="preserve">         </t>
    </r>
    <r>
      <rPr>
        <sz val="10"/>
        <rFont val="楷体_GB2312"/>
        <family val="3"/>
        <charset val="134"/>
      </rPr>
      <t>其中：营业成本</t>
    </r>
    <phoneticPr fontId="5" type="noConversion"/>
  </si>
  <si>
    <r>
      <t xml:space="preserve">                </t>
    </r>
    <r>
      <rPr>
        <sz val="10"/>
        <rFont val="楷体_GB2312"/>
        <family val="3"/>
        <charset val="134"/>
      </rPr>
      <t>其中：主营业务成本</t>
    </r>
    <phoneticPr fontId="5" type="noConversion"/>
  </si>
  <si>
    <r>
      <t xml:space="preserve">                      </t>
    </r>
    <r>
      <rPr>
        <sz val="10"/>
        <rFont val="楷体_GB2312"/>
        <family val="3"/>
        <charset val="134"/>
      </rPr>
      <t>其他业务成本</t>
    </r>
    <phoneticPr fontId="5" type="noConversion"/>
  </si>
  <si>
    <r>
      <t xml:space="preserve">            </t>
    </r>
    <r>
      <rPr>
        <sz val="10"/>
        <rFont val="楷体_GB2312"/>
        <family val="3"/>
        <charset val="134"/>
      </rPr>
      <t>利息支出</t>
    </r>
    <phoneticPr fontId="5" type="noConversion"/>
  </si>
  <si>
    <r>
      <t xml:space="preserve">            </t>
    </r>
    <r>
      <rPr>
        <sz val="10"/>
        <rFont val="楷体_GB2312"/>
        <family val="3"/>
        <charset val="134"/>
      </rPr>
      <t>手续费及佣金支出</t>
    </r>
    <phoneticPr fontId="5" type="noConversion"/>
  </si>
  <si>
    <r>
      <t xml:space="preserve">            </t>
    </r>
    <r>
      <rPr>
        <sz val="10"/>
        <rFont val="楷体_GB2312"/>
        <family val="3"/>
        <charset val="134"/>
      </rPr>
      <t>退保金</t>
    </r>
    <phoneticPr fontId="5" type="noConversion"/>
  </si>
  <si>
    <r>
      <t xml:space="preserve">            </t>
    </r>
    <r>
      <rPr>
        <sz val="10"/>
        <rFont val="楷体_GB2312"/>
        <family val="3"/>
        <charset val="134"/>
      </rPr>
      <t>赔付支出净额</t>
    </r>
    <phoneticPr fontId="5" type="noConversion"/>
  </si>
  <si>
    <r>
      <t xml:space="preserve">            </t>
    </r>
    <r>
      <rPr>
        <sz val="10"/>
        <rFont val="楷体_GB2312"/>
        <family val="3"/>
        <charset val="134"/>
      </rPr>
      <t>提取保险合同准备金净额</t>
    </r>
    <phoneticPr fontId="5" type="noConversion"/>
  </si>
  <si>
    <r>
      <t xml:space="preserve">            </t>
    </r>
    <r>
      <rPr>
        <sz val="10"/>
        <rFont val="楷体_GB2312"/>
        <family val="3"/>
        <charset val="134"/>
      </rPr>
      <t>保单红利支出</t>
    </r>
    <phoneticPr fontId="5" type="noConversion"/>
  </si>
  <si>
    <r>
      <t xml:space="preserve">            </t>
    </r>
    <r>
      <rPr>
        <sz val="10"/>
        <rFont val="楷体_GB2312"/>
        <family val="3"/>
        <charset val="134"/>
      </rPr>
      <t>分保费用</t>
    </r>
    <phoneticPr fontId="5" type="noConversion"/>
  </si>
  <si>
    <r>
      <t xml:space="preserve">            </t>
    </r>
    <r>
      <rPr>
        <sz val="10"/>
        <rFont val="楷体_GB2312"/>
        <family val="3"/>
        <charset val="134"/>
      </rPr>
      <t>营业税金及附加</t>
    </r>
    <phoneticPr fontId="5" type="noConversion"/>
  </si>
  <si>
    <r>
      <t xml:space="preserve">            </t>
    </r>
    <r>
      <rPr>
        <sz val="10"/>
        <rFont val="楷体_GB2312"/>
        <family val="3"/>
        <charset val="134"/>
      </rPr>
      <t>销售费用</t>
    </r>
    <phoneticPr fontId="5" type="noConversion"/>
  </si>
  <si>
    <r>
      <t xml:space="preserve">            </t>
    </r>
    <r>
      <rPr>
        <sz val="10"/>
        <rFont val="楷体_GB2312"/>
        <family val="3"/>
        <charset val="134"/>
      </rPr>
      <t>管理费用</t>
    </r>
    <phoneticPr fontId="5" type="noConversion"/>
  </si>
  <si>
    <r>
      <t xml:space="preserve">                 </t>
    </r>
    <r>
      <rPr>
        <sz val="10"/>
        <rFont val="楷体_GB2312"/>
        <family val="3"/>
        <charset val="134"/>
      </rPr>
      <t>其中：研究与开发费</t>
    </r>
    <phoneticPr fontId="5" type="noConversion"/>
  </si>
  <si>
    <r>
      <t xml:space="preserve">            </t>
    </r>
    <r>
      <rPr>
        <sz val="10"/>
        <rFont val="楷体_GB2312"/>
        <family val="3"/>
        <charset val="134"/>
      </rPr>
      <t>财务费用</t>
    </r>
    <phoneticPr fontId="5" type="noConversion"/>
  </si>
  <si>
    <r>
      <t xml:space="preserve">                 </t>
    </r>
    <r>
      <rPr>
        <sz val="10"/>
        <rFont val="楷体_GB2312"/>
        <family val="3"/>
        <charset val="134"/>
      </rPr>
      <t>其中：利息支出</t>
    </r>
    <phoneticPr fontId="5" type="noConversion"/>
  </si>
  <si>
    <r>
      <t xml:space="preserve">                       </t>
    </r>
    <r>
      <rPr>
        <sz val="10"/>
        <rFont val="楷体_GB2312"/>
        <family val="3"/>
        <charset val="134"/>
      </rPr>
      <t>利息收入</t>
    </r>
    <phoneticPr fontId="5" type="noConversion"/>
  </si>
  <si>
    <r>
      <t xml:space="preserve">                       </t>
    </r>
    <r>
      <rPr>
        <sz val="10"/>
        <rFont val="楷体_GB2312"/>
        <family val="3"/>
        <charset val="134"/>
      </rPr>
      <t>汇兑净损失（净收益以</t>
    </r>
    <r>
      <rPr>
        <sz val="10"/>
        <rFont val="Arial Narrow"/>
        <family val="2"/>
      </rPr>
      <t>“-”</t>
    </r>
    <r>
      <rPr>
        <sz val="10"/>
        <rFont val="楷体_GB2312"/>
        <family val="3"/>
        <charset val="134"/>
      </rPr>
      <t>号填列）</t>
    </r>
    <phoneticPr fontId="5" type="noConversion"/>
  </si>
  <si>
    <r>
      <t xml:space="preserve">          </t>
    </r>
    <r>
      <rPr>
        <sz val="10"/>
        <rFont val="楷体_GB2312"/>
        <family val="3"/>
        <charset val="134"/>
      </rPr>
      <t>资产减值损失</t>
    </r>
    <phoneticPr fontId="5" type="noConversion"/>
  </si>
  <si>
    <r>
      <t xml:space="preserve">          </t>
    </r>
    <r>
      <rPr>
        <sz val="10"/>
        <rFont val="楷体_GB2312"/>
        <family val="3"/>
        <charset val="134"/>
      </rPr>
      <t>其他</t>
    </r>
  </si>
  <si>
    <r>
      <t xml:space="preserve">           </t>
    </r>
    <r>
      <rPr>
        <sz val="10"/>
        <rFont val="楷体_GB2312"/>
        <family val="3"/>
        <charset val="134"/>
      </rPr>
      <t>加：公允价值变动收益（损失以</t>
    </r>
    <r>
      <rPr>
        <sz val="10"/>
        <rFont val="Arial Narrow"/>
        <family val="2"/>
      </rPr>
      <t>“-”</t>
    </r>
    <r>
      <rPr>
        <sz val="10"/>
        <rFont val="楷体_GB2312"/>
        <family val="3"/>
        <charset val="134"/>
      </rPr>
      <t>号填列）</t>
    </r>
    <phoneticPr fontId="5" type="noConversion"/>
  </si>
  <si>
    <r>
      <t xml:space="preserve">               </t>
    </r>
    <r>
      <rPr>
        <sz val="10"/>
        <rFont val="楷体_GB2312"/>
        <family val="3"/>
        <charset val="134"/>
      </rPr>
      <t>投资收益（损失以</t>
    </r>
    <r>
      <rPr>
        <sz val="10"/>
        <rFont val="Arial Narrow"/>
        <family val="2"/>
      </rPr>
      <t>“-”</t>
    </r>
    <r>
      <rPr>
        <sz val="10"/>
        <rFont val="楷体_GB2312"/>
        <family val="3"/>
        <charset val="134"/>
      </rPr>
      <t>号填列）</t>
    </r>
    <phoneticPr fontId="5" type="noConversion"/>
  </si>
  <si>
    <r>
      <t xml:space="preserve">                </t>
    </r>
    <r>
      <rPr>
        <sz val="10"/>
        <rFont val="楷体_GB2312"/>
        <family val="3"/>
        <charset val="134"/>
      </rPr>
      <t>其中：对联营企业和合营企业的投资收益</t>
    </r>
    <phoneticPr fontId="5" type="noConversion"/>
  </si>
  <si>
    <r>
      <t xml:space="preserve">               </t>
    </r>
    <r>
      <rPr>
        <sz val="10"/>
        <rFont val="楷体_GB2312"/>
        <family val="3"/>
        <charset val="134"/>
      </rPr>
      <t>汇兑收益（损失以</t>
    </r>
    <r>
      <rPr>
        <sz val="10"/>
        <rFont val="Arial Narrow"/>
        <family val="2"/>
      </rPr>
      <t>“-”</t>
    </r>
    <r>
      <rPr>
        <sz val="10"/>
        <rFont val="楷体_GB2312"/>
        <family val="3"/>
        <charset val="134"/>
      </rPr>
      <t>号填列）</t>
    </r>
    <phoneticPr fontId="5" type="noConversion"/>
  </si>
  <si>
    <r>
      <rPr>
        <b/>
        <sz val="10"/>
        <rFont val="楷体_GB2312"/>
        <family val="3"/>
        <charset val="134"/>
      </rPr>
      <t>三、营业利润（亏损以</t>
    </r>
    <r>
      <rPr>
        <b/>
        <sz val="10"/>
        <rFont val="Arial Narrow"/>
        <family val="2"/>
      </rPr>
      <t>“</t>
    </r>
    <r>
      <rPr>
        <b/>
        <sz val="10"/>
        <rFont val="楷体_GB2312"/>
        <family val="3"/>
        <charset val="134"/>
      </rPr>
      <t>－</t>
    </r>
    <r>
      <rPr>
        <b/>
        <sz val="10"/>
        <rFont val="Arial Narrow"/>
        <family val="2"/>
      </rPr>
      <t>”</t>
    </r>
    <r>
      <rPr>
        <b/>
        <sz val="10"/>
        <rFont val="楷体_GB2312"/>
        <family val="3"/>
        <charset val="134"/>
      </rPr>
      <t>号填列）</t>
    </r>
  </si>
  <si>
    <r>
      <t xml:space="preserve">    </t>
    </r>
    <r>
      <rPr>
        <sz val="10"/>
        <rFont val="楷体_GB2312"/>
        <family val="3"/>
        <charset val="134"/>
      </rPr>
      <t>加：营业外收入</t>
    </r>
  </si>
  <si>
    <r>
      <t xml:space="preserve">                </t>
    </r>
    <r>
      <rPr>
        <sz val="10"/>
        <rFont val="楷体_GB2312"/>
        <family val="3"/>
        <charset val="134"/>
      </rPr>
      <t>其中：非流动资产处置利得</t>
    </r>
    <phoneticPr fontId="5" type="noConversion"/>
  </si>
  <si>
    <r>
      <t xml:space="preserve">             </t>
    </r>
    <r>
      <rPr>
        <sz val="10"/>
        <rFont val="楷体_GB2312"/>
        <family val="3"/>
        <charset val="134"/>
      </rPr>
      <t>非货币性资产交换利得</t>
    </r>
    <phoneticPr fontId="5" type="noConversion"/>
  </si>
  <si>
    <r>
      <t xml:space="preserve">             </t>
    </r>
    <r>
      <rPr>
        <sz val="10"/>
        <rFont val="楷体_GB2312"/>
        <family val="3"/>
        <charset val="134"/>
      </rPr>
      <t>政府补助</t>
    </r>
    <phoneticPr fontId="5" type="noConversion"/>
  </si>
  <si>
    <r>
      <t xml:space="preserve">             </t>
    </r>
    <r>
      <rPr>
        <sz val="10"/>
        <rFont val="楷体_GB2312"/>
        <family val="3"/>
        <charset val="134"/>
      </rPr>
      <t>债务重组利得</t>
    </r>
    <phoneticPr fontId="5" type="noConversion"/>
  </si>
  <si>
    <r>
      <t xml:space="preserve">    </t>
    </r>
    <r>
      <rPr>
        <sz val="10"/>
        <rFont val="楷体_GB2312"/>
        <family val="3"/>
        <charset val="134"/>
      </rPr>
      <t>减：营业外支出</t>
    </r>
    <phoneticPr fontId="5" type="noConversion"/>
  </si>
  <si>
    <r>
      <t xml:space="preserve">                </t>
    </r>
    <r>
      <rPr>
        <sz val="10"/>
        <rFont val="楷体_GB2312"/>
        <family val="3"/>
        <charset val="134"/>
      </rPr>
      <t>其中：非流动资产处置损失</t>
    </r>
    <phoneticPr fontId="5" type="noConversion"/>
  </si>
  <si>
    <r>
      <t xml:space="preserve">             </t>
    </r>
    <r>
      <rPr>
        <sz val="10"/>
        <rFont val="楷体_GB2312"/>
        <family val="3"/>
        <charset val="134"/>
      </rPr>
      <t>非货币性资产交换损失</t>
    </r>
    <phoneticPr fontId="5" type="noConversion"/>
  </si>
  <si>
    <r>
      <t xml:space="preserve">             </t>
    </r>
    <r>
      <rPr>
        <sz val="10"/>
        <rFont val="楷体_GB2312"/>
        <family val="3"/>
        <charset val="134"/>
      </rPr>
      <t>债务重组损失</t>
    </r>
    <phoneticPr fontId="5" type="noConversion"/>
  </si>
  <si>
    <r>
      <rPr>
        <b/>
        <sz val="10"/>
        <rFont val="楷体_GB2312"/>
        <family val="3"/>
        <charset val="134"/>
      </rPr>
      <t>四、利润总额（亏损总额以</t>
    </r>
    <r>
      <rPr>
        <b/>
        <sz val="10"/>
        <rFont val="Arial Narrow"/>
        <family val="2"/>
      </rPr>
      <t>“</t>
    </r>
    <r>
      <rPr>
        <b/>
        <sz val="10"/>
        <rFont val="楷体_GB2312"/>
        <family val="3"/>
        <charset val="134"/>
      </rPr>
      <t>－</t>
    </r>
    <r>
      <rPr>
        <b/>
        <sz val="10"/>
        <rFont val="Arial Narrow"/>
        <family val="2"/>
      </rPr>
      <t>”</t>
    </r>
    <r>
      <rPr>
        <b/>
        <sz val="10"/>
        <rFont val="楷体_GB2312"/>
        <family val="3"/>
        <charset val="134"/>
      </rPr>
      <t>号填列）</t>
    </r>
  </si>
  <si>
    <r>
      <t xml:space="preserve">    </t>
    </r>
    <r>
      <rPr>
        <sz val="10"/>
        <rFont val="楷体_GB2312"/>
        <family val="3"/>
        <charset val="134"/>
      </rPr>
      <t>减：所得税费用</t>
    </r>
  </si>
  <si>
    <r>
      <rPr>
        <b/>
        <sz val="10"/>
        <rFont val="楷体_GB2312"/>
        <family val="3"/>
        <charset val="134"/>
      </rPr>
      <t>五、净利润（净亏损以</t>
    </r>
    <r>
      <rPr>
        <b/>
        <sz val="10"/>
        <rFont val="Arial Narrow"/>
        <family val="2"/>
      </rPr>
      <t>“</t>
    </r>
    <r>
      <rPr>
        <b/>
        <sz val="10"/>
        <rFont val="楷体_GB2312"/>
        <family val="3"/>
        <charset val="134"/>
      </rPr>
      <t>－</t>
    </r>
    <r>
      <rPr>
        <b/>
        <sz val="10"/>
        <rFont val="Arial Narrow"/>
        <family val="2"/>
      </rPr>
      <t>”</t>
    </r>
    <r>
      <rPr>
        <b/>
        <sz val="10"/>
        <rFont val="楷体_GB2312"/>
        <family val="3"/>
        <charset val="134"/>
      </rPr>
      <t>号填列）</t>
    </r>
    <phoneticPr fontId="5" type="noConversion"/>
  </si>
  <si>
    <r>
      <rPr>
        <sz val="10"/>
        <rFont val="楷体_GB2312"/>
        <family val="3"/>
        <charset val="134"/>
      </rPr>
      <t>归属于母公司所有者的净利润</t>
    </r>
    <phoneticPr fontId="5" type="noConversion"/>
  </si>
  <si>
    <r>
      <rPr>
        <sz val="10"/>
        <rFont val="楷体_GB2312"/>
        <family val="3"/>
        <charset val="134"/>
      </rPr>
      <t>少数股东损益</t>
    </r>
    <phoneticPr fontId="5" type="noConversion"/>
  </si>
  <si>
    <r>
      <rPr>
        <b/>
        <sz val="10"/>
        <rFont val="楷体_GB2312"/>
        <family val="3"/>
        <charset val="134"/>
      </rPr>
      <t>六、每股收益：</t>
    </r>
    <phoneticPr fontId="5" type="noConversion"/>
  </si>
  <si>
    <r>
      <rPr>
        <sz val="10"/>
        <rFont val="楷体_GB2312"/>
        <family val="3"/>
        <charset val="134"/>
      </rPr>
      <t>基本每股收益</t>
    </r>
    <phoneticPr fontId="5" type="noConversion"/>
  </si>
  <si>
    <r>
      <rPr>
        <sz val="10"/>
        <rFont val="楷体_GB2312"/>
        <family val="3"/>
        <charset val="134"/>
      </rPr>
      <t>稀释每股收益</t>
    </r>
    <phoneticPr fontId="5" type="noConversion"/>
  </si>
  <si>
    <r>
      <rPr>
        <b/>
        <sz val="10"/>
        <rFont val="楷体_GB2312"/>
        <family val="3"/>
        <charset val="134"/>
      </rPr>
      <t>七、其他综合收益</t>
    </r>
    <phoneticPr fontId="5" type="noConversion"/>
  </si>
  <si>
    <r>
      <rPr>
        <b/>
        <sz val="10"/>
        <rFont val="楷体_GB2312"/>
        <family val="3"/>
        <charset val="134"/>
      </rPr>
      <t>八、综合收益总额</t>
    </r>
    <phoneticPr fontId="5" type="noConversion"/>
  </si>
  <si>
    <r>
      <rPr>
        <sz val="10"/>
        <rFont val="楷体_GB2312"/>
        <family val="3"/>
        <charset val="134"/>
      </rPr>
      <t>归属于母公司所有者的综合收益总额</t>
    </r>
    <phoneticPr fontId="5" type="noConversion"/>
  </si>
  <si>
    <r>
      <rPr>
        <sz val="10"/>
        <rFont val="楷体_GB2312"/>
        <family val="3"/>
        <charset val="134"/>
      </rPr>
      <t>归属于少数股东的综合收益总额</t>
    </r>
    <phoneticPr fontId="5" type="noConversion"/>
  </si>
  <si>
    <r>
      <rPr>
        <b/>
        <sz val="10"/>
        <rFont val="楷体_GB2312"/>
        <family val="3"/>
        <charset val="134"/>
      </rPr>
      <t>一、经营活动产生的现金流量：</t>
    </r>
  </si>
  <si>
    <r>
      <t xml:space="preserve">    </t>
    </r>
    <r>
      <rPr>
        <sz val="10"/>
        <rFont val="楷体_GB2312"/>
        <family val="3"/>
        <charset val="134"/>
      </rPr>
      <t>销售商品、提供劳务收到的现金</t>
    </r>
  </si>
  <si>
    <r>
      <t xml:space="preserve">    </t>
    </r>
    <r>
      <rPr>
        <sz val="10"/>
        <rFont val="楷体_GB2312"/>
        <family val="3"/>
        <charset val="134"/>
      </rPr>
      <t>客户存款和同业存放款项净增加额</t>
    </r>
    <phoneticPr fontId="5" type="noConversion"/>
  </si>
  <si>
    <r>
      <t xml:space="preserve">    </t>
    </r>
    <r>
      <rPr>
        <sz val="10"/>
        <rFont val="楷体_GB2312"/>
        <family val="3"/>
        <charset val="134"/>
      </rPr>
      <t>向中央银行借款净增加额</t>
    </r>
    <phoneticPr fontId="5" type="noConversion"/>
  </si>
  <si>
    <r>
      <t xml:space="preserve">    </t>
    </r>
    <r>
      <rPr>
        <sz val="10"/>
        <rFont val="楷体_GB2312"/>
        <family val="3"/>
        <charset val="134"/>
      </rPr>
      <t>向其他金融机构拆入资金净增加额</t>
    </r>
    <phoneticPr fontId="5" type="noConversion"/>
  </si>
  <si>
    <r>
      <t xml:space="preserve">    </t>
    </r>
    <r>
      <rPr>
        <sz val="10"/>
        <rFont val="楷体_GB2312"/>
        <family val="3"/>
        <charset val="134"/>
      </rPr>
      <t>收到原保险合同保费取得的现金</t>
    </r>
    <phoneticPr fontId="5" type="noConversion"/>
  </si>
  <si>
    <r>
      <t xml:space="preserve">    </t>
    </r>
    <r>
      <rPr>
        <sz val="10"/>
        <rFont val="楷体_GB2312"/>
        <family val="3"/>
        <charset val="134"/>
      </rPr>
      <t>收到再保险业务现金净额</t>
    </r>
    <phoneticPr fontId="5" type="noConversion"/>
  </si>
  <si>
    <r>
      <t xml:space="preserve">    </t>
    </r>
    <r>
      <rPr>
        <sz val="10"/>
        <rFont val="楷体_GB2312"/>
        <family val="3"/>
        <charset val="134"/>
      </rPr>
      <t>保户储金及投资款净增加额</t>
    </r>
    <phoneticPr fontId="5" type="noConversion"/>
  </si>
  <si>
    <r>
      <t xml:space="preserve">    </t>
    </r>
    <r>
      <rPr>
        <sz val="10"/>
        <rFont val="楷体_GB2312"/>
        <family val="3"/>
        <charset val="134"/>
      </rPr>
      <t>处置交易性金融资产净增加额</t>
    </r>
    <phoneticPr fontId="5" type="noConversion"/>
  </si>
  <si>
    <r>
      <t xml:space="preserve">    </t>
    </r>
    <r>
      <rPr>
        <sz val="10"/>
        <rFont val="楷体_GB2312"/>
        <family val="3"/>
        <charset val="134"/>
      </rPr>
      <t>收取利息、手续费及佣金的现金</t>
    </r>
    <phoneticPr fontId="5" type="noConversion"/>
  </si>
  <si>
    <r>
      <t xml:space="preserve">    </t>
    </r>
    <r>
      <rPr>
        <sz val="10"/>
        <rFont val="楷体_GB2312"/>
        <family val="3"/>
        <charset val="134"/>
      </rPr>
      <t>拆入资金净增加额</t>
    </r>
    <phoneticPr fontId="5" type="noConversion"/>
  </si>
  <si>
    <r>
      <t xml:space="preserve">    </t>
    </r>
    <r>
      <rPr>
        <sz val="10"/>
        <rFont val="楷体_GB2312"/>
        <family val="3"/>
        <charset val="134"/>
      </rPr>
      <t>回购业务资金净增加额</t>
    </r>
    <phoneticPr fontId="5" type="noConversion"/>
  </si>
  <si>
    <r>
      <t xml:space="preserve">    </t>
    </r>
    <r>
      <rPr>
        <sz val="10"/>
        <rFont val="楷体_GB2312"/>
        <family val="3"/>
        <charset val="134"/>
      </rPr>
      <t>收到的税费返还</t>
    </r>
  </si>
  <si>
    <r>
      <t xml:space="preserve">    </t>
    </r>
    <r>
      <rPr>
        <sz val="10"/>
        <rFont val="楷体_GB2312"/>
        <family val="3"/>
        <charset val="134"/>
      </rPr>
      <t>收到的其他与经营活动有关的现金</t>
    </r>
  </si>
  <si>
    <r>
      <rPr>
        <b/>
        <sz val="10"/>
        <rFont val="楷体_GB2312"/>
        <family val="3"/>
        <charset val="134"/>
      </rPr>
      <t>经营活动现金流入小计</t>
    </r>
  </si>
  <si>
    <r>
      <t xml:space="preserve">    </t>
    </r>
    <r>
      <rPr>
        <sz val="10"/>
        <rFont val="楷体_GB2312"/>
        <family val="3"/>
        <charset val="134"/>
      </rPr>
      <t>购买商品、接受劳务支付的现金</t>
    </r>
  </si>
  <si>
    <r>
      <t xml:space="preserve">    </t>
    </r>
    <r>
      <rPr>
        <sz val="10"/>
        <rFont val="楷体_GB2312"/>
        <family val="3"/>
        <charset val="134"/>
      </rPr>
      <t>客户贷款及垫款净增加额</t>
    </r>
    <phoneticPr fontId="5" type="noConversion"/>
  </si>
  <si>
    <r>
      <t xml:space="preserve">    </t>
    </r>
    <r>
      <rPr>
        <sz val="10"/>
        <rFont val="楷体_GB2312"/>
        <family val="3"/>
        <charset val="134"/>
      </rPr>
      <t>存放中央银行和同业款项净增加额</t>
    </r>
    <phoneticPr fontId="5" type="noConversion"/>
  </si>
  <si>
    <r>
      <t xml:space="preserve">    </t>
    </r>
    <r>
      <rPr>
        <sz val="10"/>
        <rFont val="楷体_GB2312"/>
        <family val="3"/>
        <charset val="134"/>
      </rPr>
      <t>支付原保险合同赔付款项的现金</t>
    </r>
    <phoneticPr fontId="5" type="noConversion"/>
  </si>
  <si>
    <r>
      <t xml:space="preserve">    </t>
    </r>
    <r>
      <rPr>
        <sz val="10"/>
        <rFont val="楷体_GB2312"/>
        <family val="3"/>
        <charset val="134"/>
      </rPr>
      <t>支付利息、手续费及佣金的现金</t>
    </r>
    <phoneticPr fontId="5" type="noConversion"/>
  </si>
  <si>
    <r>
      <t xml:space="preserve">    </t>
    </r>
    <r>
      <rPr>
        <sz val="10"/>
        <rFont val="楷体_GB2312"/>
        <family val="3"/>
        <charset val="134"/>
      </rPr>
      <t>支付保单红利的现金</t>
    </r>
    <phoneticPr fontId="5" type="noConversion"/>
  </si>
  <si>
    <r>
      <t xml:space="preserve">    </t>
    </r>
    <r>
      <rPr>
        <sz val="10"/>
        <rFont val="楷体_GB2312"/>
        <family val="3"/>
        <charset val="134"/>
      </rPr>
      <t>支付给职工以及为职工支付的现金</t>
    </r>
  </si>
  <si>
    <r>
      <t xml:space="preserve">    </t>
    </r>
    <r>
      <rPr>
        <sz val="10"/>
        <rFont val="楷体_GB2312"/>
        <family val="3"/>
        <charset val="134"/>
      </rPr>
      <t>支付的各项税费</t>
    </r>
  </si>
  <si>
    <r>
      <t xml:space="preserve">    </t>
    </r>
    <r>
      <rPr>
        <sz val="10"/>
        <rFont val="楷体_GB2312"/>
        <family val="3"/>
        <charset val="134"/>
      </rPr>
      <t>支付的其他与经营活动有关的现金</t>
    </r>
  </si>
  <si>
    <r>
      <rPr>
        <b/>
        <sz val="10"/>
        <rFont val="楷体_GB2312"/>
        <family val="3"/>
        <charset val="134"/>
      </rPr>
      <t>经营活动现金流出小计</t>
    </r>
  </si>
  <si>
    <r>
      <t xml:space="preserve">    </t>
    </r>
    <r>
      <rPr>
        <b/>
        <sz val="10"/>
        <rFont val="楷体_GB2312"/>
        <family val="3"/>
        <charset val="134"/>
      </rPr>
      <t>经营活动产生的现金流量净额</t>
    </r>
  </si>
  <si>
    <r>
      <rPr>
        <b/>
        <sz val="10"/>
        <rFont val="楷体_GB2312"/>
        <family val="3"/>
        <charset val="134"/>
      </rPr>
      <t>二、投资活动产生的现金流量</t>
    </r>
    <r>
      <rPr>
        <b/>
        <sz val="10"/>
        <rFont val="Arial Narrow"/>
        <family val="2"/>
      </rPr>
      <t>:</t>
    </r>
    <phoneticPr fontId="5" type="noConversion"/>
  </si>
  <si>
    <r>
      <t xml:space="preserve">    </t>
    </r>
    <r>
      <rPr>
        <sz val="10"/>
        <rFont val="楷体_GB2312"/>
        <family val="3"/>
        <charset val="134"/>
      </rPr>
      <t>收回投资收到的现金</t>
    </r>
    <phoneticPr fontId="5" type="noConversion"/>
  </si>
  <si>
    <r>
      <t xml:space="preserve">    </t>
    </r>
    <r>
      <rPr>
        <sz val="10"/>
        <rFont val="楷体_GB2312"/>
        <family val="3"/>
        <charset val="134"/>
      </rPr>
      <t>取得投资收益收到的现金</t>
    </r>
    <phoneticPr fontId="5" type="noConversion"/>
  </si>
  <si>
    <r>
      <t xml:space="preserve">    </t>
    </r>
    <r>
      <rPr>
        <sz val="10"/>
        <rFont val="楷体_GB2312"/>
        <family val="3"/>
        <charset val="134"/>
      </rPr>
      <t>处置固定资产、无形资产和其他长期资产而收回的现金净额</t>
    </r>
  </si>
  <si>
    <r>
      <t xml:space="preserve">    </t>
    </r>
    <r>
      <rPr>
        <sz val="10"/>
        <rFont val="楷体_GB2312"/>
        <family val="3"/>
        <charset val="134"/>
      </rPr>
      <t>处置子公司及其他营业单位收回的现金净额</t>
    </r>
    <phoneticPr fontId="5" type="noConversion"/>
  </si>
  <si>
    <r>
      <t xml:space="preserve">    </t>
    </r>
    <r>
      <rPr>
        <sz val="10"/>
        <rFont val="楷体_GB2312"/>
        <family val="3"/>
        <charset val="134"/>
      </rPr>
      <t>收到的其他与投资活动有关的现金</t>
    </r>
  </si>
  <si>
    <r>
      <rPr>
        <b/>
        <sz val="10"/>
        <rFont val="楷体_GB2312"/>
        <family val="3"/>
        <charset val="134"/>
      </rPr>
      <t>投资活动现金流入小计</t>
    </r>
  </si>
  <si>
    <r>
      <t xml:space="preserve">    </t>
    </r>
    <r>
      <rPr>
        <sz val="10"/>
        <rFont val="楷体_GB2312"/>
        <family val="3"/>
        <charset val="134"/>
      </rPr>
      <t>购建固定资产、无形资产和其他长期资产支付的现金</t>
    </r>
    <phoneticPr fontId="5" type="noConversion"/>
  </si>
  <si>
    <r>
      <t xml:space="preserve">    </t>
    </r>
    <r>
      <rPr>
        <sz val="10"/>
        <rFont val="楷体_GB2312"/>
        <family val="3"/>
        <charset val="134"/>
      </rPr>
      <t>投资支付的现金</t>
    </r>
    <phoneticPr fontId="5" type="noConversion"/>
  </si>
  <si>
    <r>
      <t xml:space="preserve">    </t>
    </r>
    <r>
      <rPr>
        <sz val="10"/>
        <rFont val="楷体_GB2312"/>
        <family val="3"/>
        <charset val="134"/>
      </rPr>
      <t>质押贷款净增加额</t>
    </r>
    <phoneticPr fontId="5" type="noConversion"/>
  </si>
  <si>
    <r>
      <t xml:space="preserve">    </t>
    </r>
    <r>
      <rPr>
        <sz val="10"/>
        <rFont val="楷体_GB2312"/>
        <family val="3"/>
        <charset val="134"/>
      </rPr>
      <t>取得子公司及其他营业单位支付的现金净额</t>
    </r>
    <phoneticPr fontId="5" type="noConversion"/>
  </si>
  <si>
    <r>
      <t xml:space="preserve">    </t>
    </r>
    <r>
      <rPr>
        <sz val="10"/>
        <rFont val="楷体_GB2312"/>
        <family val="3"/>
        <charset val="134"/>
      </rPr>
      <t>支付的其他与投资活动有关的现金</t>
    </r>
    <phoneticPr fontId="5" type="noConversion"/>
  </si>
  <si>
    <r>
      <rPr>
        <b/>
        <sz val="10"/>
        <rFont val="楷体_GB2312"/>
        <family val="3"/>
        <charset val="134"/>
      </rPr>
      <t>投资活动现金流出小计</t>
    </r>
  </si>
  <si>
    <r>
      <t xml:space="preserve">    </t>
    </r>
    <r>
      <rPr>
        <b/>
        <sz val="10"/>
        <rFont val="楷体_GB2312"/>
        <family val="3"/>
        <charset val="134"/>
      </rPr>
      <t>投资活动产生的现金流量净额</t>
    </r>
    <phoneticPr fontId="5" type="noConversion"/>
  </si>
  <si>
    <r>
      <rPr>
        <b/>
        <sz val="10"/>
        <rFont val="楷体_GB2312"/>
        <family val="3"/>
        <charset val="134"/>
      </rPr>
      <t>三、筹资活动产生的现金流量</t>
    </r>
    <r>
      <rPr>
        <b/>
        <sz val="10"/>
        <rFont val="Arial Narrow"/>
        <family val="2"/>
      </rPr>
      <t>:</t>
    </r>
    <phoneticPr fontId="5" type="noConversion"/>
  </si>
  <si>
    <r>
      <t xml:space="preserve">    </t>
    </r>
    <r>
      <rPr>
        <sz val="10"/>
        <rFont val="楷体_GB2312"/>
        <family val="3"/>
        <charset val="134"/>
      </rPr>
      <t>吸收投资收到的现金</t>
    </r>
    <phoneticPr fontId="5" type="noConversion"/>
  </si>
  <si>
    <r>
      <t xml:space="preserve">              </t>
    </r>
    <r>
      <rPr>
        <sz val="10"/>
        <rFont val="楷体_GB2312"/>
        <family val="3"/>
        <charset val="134"/>
      </rPr>
      <t>其中：子公司吸收少数股东投资收到的现金</t>
    </r>
    <phoneticPr fontId="5" type="noConversion"/>
  </si>
  <si>
    <r>
      <t xml:space="preserve">    </t>
    </r>
    <r>
      <rPr>
        <sz val="10"/>
        <rFont val="楷体_GB2312"/>
        <family val="3"/>
        <charset val="134"/>
      </rPr>
      <t>取得借款收到的现金</t>
    </r>
    <phoneticPr fontId="5" type="noConversion"/>
  </si>
  <si>
    <r>
      <t xml:space="preserve">    </t>
    </r>
    <r>
      <rPr>
        <sz val="10"/>
        <rFont val="楷体_GB2312"/>
        <family val="3"/>
        <charset val="134"/>
      </rPr>
      <t>发行债券收到的现金</t>
    </r>
    <phoneticPr fontId="5" type="noConversion"/>
  </si>
  <si>
    <r>
      <t xml:space="preserve">    </t>
    </r>
    <r>
      <rPr>
        <sz val="10"/>
        <rFont val="楷体_GB2312"/>
        <family val="3"/>
        <charset val="134"/>
      </rPr>
      <t>收到其他与筹资活动有关的现金</t>
    </r>
    <phoneticPr fontId="5" type="noConversion"/>
  </si>
  <si>
    <r>
      <rPr>
        <b/>
        <sz val="10"/>
        <rFont val="楷体_GB2312"/>
        <family val="3"/>
        <charset val="134"/>
      </rPr>
      <t>筹资活动现金流入小计</t>
    </r>
    <phoneticPr fontId="5" type="noConversion"/>
  </si>
  <si>
    <r>
      <t xml:space="preserve">    </t>
    </r>
    <r>
      <rPr>
        <sz val="10"/>
        <rFont val="楷体_GB2312"/>
        <family val="3"/>
        <charset val="134"/>
      </rPr>
      <t>偿还债务支付的现金</t>
    </r>
    <phoneticPr fontId="5" type="noConversion"/>
  </si>
  <si>
    <r>
      <t xml:space="preserve">    </t>
    </r>
    <r>
      <rPr>
        <sz val="10"/>
        <rFont val="楷体_GB2312"/>
        <family val="3"/>
        <charset val="134"/>
      </rPr>
      <t>分配股利、利润或偿付利息支付的现金</t>
    </r>
    <phoneticPr fontId="5" type="noConversion"/>
  </si>
  <si>
    <r>
      <t xml:space="preserve">             </t>
    </r>
    <r>
      <rPr>
        <sz val="10"/>
        <rFont val="楷体_GB2312"/>
        <family val="3"/>
        <charset val="134"/>
      </rPr>
      <t>其中：子公司支付给少数股东的股利、利润</t>
    </r>
    <phoneticPr fontId="5" type="noConversion"/>
  </si>
  <si>
    <r>
      <t xml:space="preserve">    </t>
    </r>
    <r>
      <rPr>
        <sz val="10"/>
        <rFont val="楷体_GB2312"/>
        <family val="3"/>
        <charset val="134"/>
      </rPr>
      <t>支付的其他与筹资活动有关的现金</t>
    </r>
    <phoneticPr fontId="5" type="noConversion"/>
  </si>
  <si>
    <r>
      <rPr>
        <b/>
        <sz val="10"/>
        <rFont val="楷体_GB2312"/>
        <family val="3"/>
        <charset val="134"/>
      </rPr>
      <t>筹资活动现金流出小计</t>
    </r>
  </si>
  <si>
    <r>
      <t xml:space="preserve">    </t>
    </r>
    <r>
      <rPr>
        <b/>
        <sz val="10"/>
        <rFont val="楷体_GB2312"/>
        <family val="3"/>
        <charset val="134"/>
      </rPr>
      <t>筹资活动产生的现金流量净额</t>
    </r>
  </si>
  <si>
    <r>
      <rPr>
        <b/>
        <sz val="10"/>
        <rFont val="楷体_GB2312"/>
        <family val="3"/>
        <charset val="134"/>
      </rPr>
      <t>四、汇率变动对现金及现金等价物的影响</t>
    </r>
  </si>
  <si>
    <r>
      <rPr>
        <b/>
        <sz val="10"/>
        <rFont val="楷体_GB2312"/>
        <family val="3"/>
        <charset val="134"/>
      </rPr>
      <t>五、现金及现金等价物净增加额</t>
    </r>
  </si>
  <si>
    <r>
      <t xml:space="preserve">    </t>
    </r>
    <r>
      <rPr>
        <sz val="10"/>
        <rFont val="楷体_GB2312"/>
        <family val="3"/>
        <charset val="134"/>
      </rPr>
      <t>加：期初现金及现金等价物余额</t>
    </r>
    <phoneticPr fontId="5" type="noConversion"/>
  </si>
  <si>
    <r>
      <rPr>
        <b/>
        <sz val="10"/>
        <rFont val="楷体_GB2312"/>
        <family val="3"/>
        <charset val="134"/>
      </rPr>
      <t>六、期末现金及现金等价物余额</t>
    </r>
    <phoneticPr fontId="5" type="noConversion"/>
  </si>
  <si>
    <r>
      <rPr>
        <b/>
        <sz val="10"/>
        <rFont val="楷体_GB2312"/>
        <family val="3"/>
        <charset val="134"/>
      </rPr>
      <t>项</t>
    </r>
    <r>
      <rPr>
        <b/>
        <sz val="10"/>
        <rFont val="Arial Narrow"/>
        <family val="2"/>
      </rPr>
      <t xml:space="preserve">        </t>
    </r>
    <r>
      <rPr>
        <b/>
        <sz val="10"/>
        <rFont val="楷体_GB2312"/>
        <family val="3"/>
        <charset val="134"/>
      </rPr>
      <t>目</t>
    </r>
    <phoneticPr fontId="5" type="noConversion"/>
  </si>
  <si>
    <r>
      <rPr>
        <b/>
        <sz val="10"/>
        <rFont val="楷体_GB2312"/>
        <family val="3"/>
        <charset val="134"/>
      </rPr>
      <t>年初账面余额</t>
    </r>
    <phoneticPr fontId="5" type="noConversion"/>
  </si>
  <si>
    <r>
      <rPr>
        <sz val="10"/>
        <rFont val="楷体_GB2312"/>
        <family val="3"/>
        <charset val="134"/>
      </rPr>
      <t>一、坏账准备</t>
    </r>
    <phoneticPr fontId="5" type="noConversion"/>
  </si>
  <si>
    <r>
      <rPr>
        <sz val="10"/>
        <rFont val="楷体_GB2312"/>
        <family val="3"/>
        <charset val="134"/>
      </rPr>
      <t>二、存货跌价准备</t>
    </r>
  </si>
  <si>
    <r>
      <rPr>
        <sz val="10"/>
        <rFont val="楷体_GB2312"/>
        <family val="3"/>
        <charset val="134"/>
      </rPr>
      <t>三、可供出售金融资产减值准备</t>
    </r>
  </si>
  <si>
    <r>
      <rPr>
        <sz val="10"/>
        <rFont val="楷体_GB2312"/>
        <family val="3"/>
        <charset val="134"/>
      </rPr>
      <t>四、持有至到期投资减值准备</t>
    </r>
  </si>
  <si>
    <r>
      <rPr>
        <sz val="10"/>
        <rFont val="楷体_GB2312"/>
        <family val="3"/>
        <charset val="134"/>
      </rPr>
      <t>五、长期股权投资减值准备</t>
    </r>
  </si>
  <si>
    <r>
      <rPr>
        <sz val="10"/>
        <rFont val="楷体_GB2312"/>
        <family val="3"/>
        <charset val="134"/>
      </rPr>
      <t>六、投资性房地产减值准备</t>
    </r>
  </si>
  <si>
    <r>
      <rPr>
        <sz val="10"/>
        <rFont val="楷体_GB2312"/>
        <family val="3"/>
        <charset val="134"/>
      </rPr>
      <t>七、固定资产减值准备</t>
    </r>
  </si>
  <si>
    <r>
      <rPr>
        <sz val="10"/>
        <rFont val="楷体_GB2312"/>
        <family val="3"/>
        <charset val="134"/>
      </rPr>
      <t>八、工程物资减值准备</t>
    </r>
  </si>
  <si>
    <r>
      <rPr>
        <sz val="10"/>
        <rFont val="楷体_GB2312"/>
        <family val="3"/>
        <charset val="134"/>
      </rPr>
      <t>九、在建工程减值准备</t>
    </r>
    <phoneticPr fontId="5" type="noConversion"/>
  </si>
  <si>
    <r>
      <rPr>
        <sz val="10"/>
        <rFont val="楷体_GB2312"/>
        <family val="3"/>
        <charset val="134"/>
      </rPr>
      <t>十、生产性生物资产减值准备</t>
    </r>
  </si>
  <si>
    <r>
      <rPr>
        <sz val="10"/>
        <rFont val="楷体_GB2312"/>
        <family val="3"/>
        <charset val="134"/>
      </rPr>
      <t>十一、油气资产减值准备</t>
    </r>
  </si>
  <si>
    <r>
      <rPr>
        <sz val="10"/>
        <rFont val="楷体_GB2312"/>
        <family val="3"/>
        <charset val="134"/>
      </rPr>
      <t>十二、无形资产减值准备</t>
    </r>
  </si>
  <si>
    <r>
      <rPr>
        <sz val="10"/>
        <rFont val="楷体_GB2312"/>
        <family val="3"/>
        <charset val="134"/>
      </rPr>
      <t>十三、商誉减值准备</t>
    </r>
    <phoneticPr fontId="5" type="noConversion"/>
  </si>
  <si>
    <r>
      <rPr>
        <sz val="10"/>
        <rFont val="楷体_GB2312"/>
        <family val="3"/>
        <charset val="134"/>
      </rPr>
      <t>十四、其他减值准备</t>
    </r>
  </si>
  <si>
    <r>
      <rPr>
        <b/>
        <sz val="10"/>
        <rFont val="楷体_GB2312"/>
        <family val="3"/>
        <charset val="134"/>
      </rPr>
      <t>合</t>
    </r>
    <r>
      <rPr>
        <b/>
        <sz val="10"/>
        <rFont val="Arial Narrow"/>
        <family val="2"/>
      </rPr>
      <t xml:space="preserve">     </t>
    </r>
    <r>
      <rPr>
        <b/>
        <sz val="10"/>
        <rFont val="楷体_GB2312"/>
        <family val="3"/>
        <charset val="134"/>
      </rPr>
      <t>计</t>
    </r>
    <phoneticPr fontId="5" type="noConversion"/>
  </si>
  <si>
    <r>
      <rPr>
        <sz val="10"/>
        <color indexed="12"/>
        <rFont val="楷体"/>
        <family val="3"/>
        <charset val="134"/>
      </rPr>
      <t>货币资金</t>
    </r>
    <phoneticPr fontId="5" type="noConversion"/>
  </si>
  <si>
    <r>
      <t xml:space="preserve">  </t>
    </r>
    <r>
      <rPr>
        <sz val="10"/>
        <rFont val="宋体"/>
        <family val="3"/>
        <charset val="134"/>
      </rPr>
      <t>项</t>
    </r>
    <r>
      <rPr>
        <sz val="10"/>
        <rFont val="Arial Narrow"/>
        <family val="2"/>
      </rPr>
      <t xml:space="preserve">    </t>
    </r>
    <r>
      <rPr>
        <sz val="10"/>
        <rFont val="宋体"/>
        <family val="3"/>
        <charset val="134"/>
      </rPr>
      <t>目</t>
    </r>
  </si>
  <si>
    <r>
      <rPr>
        <sz val="10"/>
        <rFont val="宋体"/>
        <family val="3"/>
        <charset val="134"/>
      </rPr>
      <t>年初数</t>
    </r>
  </si>
  <si>
    <r>
      <rPr>
        <sz val="10"/>
        <rFont val="宋体"/>
        <family val="3"/>
        <charset val="134"/>
      </rPr>
      <t>差额</t>
    </r>
  </si>
  <si>
    <r>
      <t xml:space="preserve"> </t>
    </r>
    <r>
      <rPr>
        <sz val="10"/>
        <rFont val="宋体"/>
        <family val="3"/>
        <charset val="134"/>
      </rPr>
      <t>外币金额</t>
    </r>
    <r>
      <rPr>
        <sz val="10"/>
        <rFont val="Arial Narrow"/>
        <family val="2"/>
      </rPr>
      <t xml:space="preserve"> </t>
    </r>
  </si>
  <si>
    <r>
      <rPr>
        <sz val="10"/>
        <rFont val="宋体"/>
        <family val="3"/>
        <charset val="134"/>
      </rPr>
      <t>折算率</t>
    </r>
    <r>
      <rPr>
        <sz val="10"/>
        <rFont val="Arial Narrow"/>
        <family val="2"/>
      </rPr>
      <t xml:space="preserve"> </t>
    </r>
  </si>
  <si>
    <r>
      <rPr>
        <sz val="10"/>
        <rFont val="宋体"/>
        <family val="3"/>
        <charset val="134"/>
      </rPr>
      <t>人民币金额</t>
    </r>
    <phoneticPr fontId="5" type="noConversion"/>
  </si>
  <si>
    <r>
      <rPr>
        <sz val="10"/>
        <rFont val="宋体"/>
        <family val="3"/>
        <charset val="134"/>
      </rPr>
      <t>库存现金：</t>
    </r>
  </si>
  <si>
    <r>
      <rPr>
        <sz val="10"/>
        <rFont val="宋体"/>
        <family val="3"/>
        <charset val="134"/>
      </rPr>
      <t>人民币</t>
    </r>
  </si>
  <si>
    <r>
      <rPr>
        <sz val="10"/>
        <rFont val="宋体"/>
        <family val="3"/>
        <charset val="134"/>
      </rPr>
      <t>美元</t>
    </r>
  </si>
  <si>
    <r>
      <rPr>
        <sz val="10"/>
        <rFont val="宋体"/>
        <family val="3"/>
        <charset val="134"/>
      </rPr>
      <t>港元</t>
    </r>
  </si>
  <si>
    <r>
      <rPr>
        <sz val="10"/>
        <rFont val="宋体"/>
        <family val="3"/>
        <charset val="134"/>
      </rPr>
      <t>日元</t>
    </r>
  </si>
  <si>
    <r>
      <rPr>
        <sz val="10"/>
        <rFont val="宋体"/>
        <family val="3"/>
        <charset val="134"/>
      </rPr>
      <t>欧元</t>
    </r>
  </si>
  <si>
    <r>
      <rPr>
        <sz val="10"/>
        <rFont val="宋体"/>
        <family val="3"/>
        <charset val="134"/>
      </rPr>
      <t>英镑</t>
    </r>
  </si>
  <si>
    <r>
      <rPr>
        <sz val="10"/>
        <rFont val="宋体"/>
        <family val="3"/>
        <charset val="134"/>
      </rPr>
      <t>瑞士法郎</t>
    </r>
  </si>
  <si>
    <r>
      <rPr>
        <sz val="10"/>
        <rFont val="宋体"/>
        <family val="3"/>
        <charset val="134"/>
      </rPr>
      <t>加拿大元</t>
    </r>
  </si>
  <si>
    <r>
      <rPr>
        <sz val="10"/>
        <rFont val="宋体"/>
        <family val="3"/>
        <charset val="134"/>
      </rPr>
      <t>澳大利亚元</t>
    </r>
  </si>
  <si>
    <r>
      <rPr>
        <sz val="10"/>
        <rFont val="宋体"/>
        <family val="3"/>
        <charset val="134"/>
      </rPr>
      <t>新加坡元</t>
    </r>
  </si>
  <si>
    <r>
      <rPr>
        <sz val="10"/>
        <rFont val="宋体"/>
        <family val="3"/>
        <charset val="134"/>
      </rPr>
      <t>丹麦克朗</t>
    </r>
  </si>
  <si>
    <r>
      <rPr>
        <sz val="10"/>
        <rFont val="宋体"/>
        <family val="3"/>
        <charset val="134"/>
      </rPr>
      <t>挪威克朗</t>
    </r>
  </si>
  <si>
    <r>
      <rPr>
        <sz val="10"/>
        <rFont val="宋体"/>
        <family val="3"/>
        <charset val="134"/>
      </rPr>
      <t>瑞典克朗</t>
    </r>
    <r>
      <rPr>
        <sz val="10"/>
        <rFont val="Arial Narrow"/>
        <family val="2"/>
      </rPr>
      <t xml:space="preserve"> </t>
    </r>
    <phoneticPr fontId="5" type="noConversion"/>
  </si>
  <si>
    <r>
      <rPr>
        <sz val="10"/>
        <rFont val="宋体"/>
        <family val="3"/>
        <charset val="134"/>
      </rPr>
      <t>瑞典克朗</t>
    </r>
    <r>
      <rPr>
        <sz val="10"/>
        <rFont val="Arial Narrow"/>
        <family val="2"/>
      </rPr>
      <t xml:space="preserve"> </t>
    </r>
    <phoneticPr fontId="5" type="noConversion"/>
  </si>
  <si>
    <r>
      <rPr>
        <sz val="10"/>
        <rFont val="宋体"/>
        <family val="3"/>
        <charset val="134"/>
      </rPr>
      <t>澳门元</t>
    </r>
  </si>
  <si>
    <r>
      <rPr>
        <sz val="10"/>
        <rFont val="宋体"/>
        <family val="3"/>
        <charset val="134"/>
      </rPr>
      <t>新西兰元</t>
    </r>
  </si>
  <si>
    <r>
      <rPr>
        <sz val="10"/>
        <rFont val="宋体"/>
        <family val="3"/>
        <charset val="134"/>
      </rPr>
      <t>韩元</t>
    </r>
  </si>
  <si>
    <r>
      <rPr>
        <sz val="10"/>
        <rFont val="宋体"/>
        <family val="3"/>
        <charset val="134"/>
      </rPr>
      <t>第纳尔</t>
    </r>
  </si>
  <si>
    <r>
      <rPr>
        <sz val="10"/>
        <rFont val="宋体"/>
        <family val="3"/>
        <charset val="134"/>
      </rPr>
      <t>西郎</t>
    </r>
  </si>
  <si>
    <r>
      <rPr>
        <sz val="10"/>
        <rFont val="宋体"/>
        <family val="3"/>
        <charset val="134"/>
      </rPr>
      <t>坚戈</t>
    </r>
  </si>
  <si>
    <r>
      <rPr>
        <sz val="10"/>
        <rFont val="宋体"/>
        <family val="3"/>
        <charset val="134"/>
      </rPr>
      <t>索姆</t>
    </r>
  </si>
  <si>
    <r>
      <rPr>
        <sz val="10"/>
        <rFont val="宋体"/>
        <family val="3"/>
        <charset val="134"/>
      </rPr>
      <t>里拉</t>
    </r>
  </si>
  <si>
    <r>
      <rPr>
        <sz val="10"/>
        <rFont val="宋体"/>
        <family val="3"/>
        <charset val="134"/>
      </rPr>
      <t>其他</t>
    </r>
    <r>
      <rPr>
        <sz val="10"/>
        <rFont val="Arial Narrow"/>
        <family val="2"/>
      </rPr>
      <t>1</t>
    </r>
    <phoneticPr fontId="5" type="noConversion"/>
  </si>
  <si>
    <r>
      <rPr>
        <sz val="10"/>
        <rFont val="宋体"/>
        <family val="3"/>
        <charset val="134"/>
      </rPr>
      <t>其他</t>
    </r>
    <r>
      <rPr>
        <sz val="10"/>
        <rFont val="Arial Narrow"/>
        <family val="2"/>
      </rPr>
      <t>1</t>
    </r>
    <phoneticPr fontId="5" type="noConversion"/>
  </si>
  <si>
    <r>
      <rPr>
        <sz val="10"/>
        <rFont val="宋体"/>
        <family val="3"/>
        <charset val="134"/>
      </rPr>
      <t>其他</t>
    </r>
    <r>
      <rPr>
        <sz val="10"/>
        <rFont val="Arial Narrow"/>
        <family val="2"/>
      </rPr>
      <t>2</t>
    </r>
    <phoneticPr fontId="5" type="noConversion"/>
  </si>
  <si>
    <r>
      <rPr>
        <sz val="10"/>
        <rFont val="宋体"/>
        <family val="3"/>
        <charset val="134"/>
      </rPr>
      <t>其他</t>
    </r>
    <r>
      <rPr>
        <sz val="10"/>
        <rFont val="Arial Narrow"/>
        <family val="2"/>
      </rPr>
      <t>2</t>
    </r>
    <phoneticPr fontId="5" type="noConversion"/>
  </si>
  <si>
    <r>
      <rPr>
        <sz val="10"/>
        <rFont val="宋体"/>
        <family val="3"/>
        <charset val="134"/>
      </rPr>
      <t>银行存款：</t>
    </r>
  </si>
  <si>
    <r>
      <rPr>
        <sz val="10"/>
        <rFont val="宋体"/>
        <family val="3"/>
        <charset val="134"/>
      </rPr>
      <t>其他货币资金：</t>
    </r>
    <r>
      <rPr>
        <sz val="10"/>
        <rFont val="Arial Narrow"/>
        <family val="2"/>
      </rPr>
      <t xml:space="preserve"> </t>
    </r>
    <phoneticPr fontId="5" type="noConversion"/>
  </si>
  <si>
    <r>
      <rPr>
        <sz val="10"/>
        <rFont val="宋体"/>
        <family val="3"/>
        <charset val="134"/>
      </rPr>
      <t>人民币</t>
    </r>
    <phoneticPr fontId="5" type="noConversion"/>
  </si>
  <si>
    <r>
      <t xml:space="preserve"> </t>
    </r>
    <r>
      <rPr>
        <sz val="10"/>
        <rFont val="宋体"/>
        <family val="3"/>
        <charset val="134"/>
      </rPr>
      <t>合</t>
    </r>
    <r>
      <rPr>
        <sz val="10"/>
        <rFont val="Arial Narrow"/>
        <family val="2"/>
      </rPr>
      <t xml:space="preserve">  </t>
    </r>
    <r>
      <rPr>
        <sz val="10"/>
        <rFont val="宋体"/>
        <family val="3"/>
        <charset val="134"/>
      </rPr>
      <t>计</t>
    </r>
    <r>
      <rPr>
        <sz val="10"/>
        <rFont val="Arial Narrow"/>
        <family val="2"/>
      </rPr>
      <t xml:space="preserve"> </t>
    </r>
  </si>
  <si>
    <r>
      <rPr>
        <sz val="10"/>
        <color indexed="12"/>
        <rFont val="楷体"/>
        <family val="3"/>
        <charset val="134"/>
      </rPr>
      <t>交易性金融资产</t>
    </r>
    <phoneticPr fontId="5" type="noConversion"/>
  </si>
  <si>
    <r>
      <rPr>
        <sz val="10"/>
        <rFont val="宋体"/>
        <family val="3"/>
        <charset val="134"/>
      </rPr>
      <t>项</t>
    </r>
    <r>
      <rPr>
        <sz val="10"/>
        <rFont val="Arial Narrow"/>
        <family val="2"/>
      </rPr>
      <t xml:space="preserve">    </t>
    </r>
    <r>
      <rPr>
        <sz val="10"/>
        <rFont val="宋体"/>
        <family val="3"/>
        <charset val="134"/>
      </rPr>
      <t>目</t>
    </r>
  </si>
  <si>
    <r>
      <rPr>
        <sz val="10"/>
        <rFont val="宋体"/>
        <family val="3"/>
        <charset val="134"/>
      </rPr>
      <t>交易性债券投资</t>
    </r>
  </si>
  <si>
    <r>
      <rPr>
        <sz val="10"/>
        <rFont val="宋体"/>
        <family val="3"/>
        <charset val="134"/>
      </rPr>
      <t>交易性权益工具投资</t>
    </r>
  </si>
  <si>
    <r>
      <rPr>
        <sz val="10"/>
        <rFont val="宋体"/>
        <family val="3"/>
        <charset val="134"/>
      </rPr>
      <t>指定为以公允价值计量且其变动计入当期损益的金融资产</t>
    </r>
  </si>
  <si>
    <r>
      <rPr>
        <sz val="10"/>
        <rFont val="宋体"/>
        <family val="3"/>
        <charset val="134"/>
      </rPr>
      <t>衍生金融资产</t>
    </r>
  </si>
  <si>
    <r>
      <rPr>
        <sz val="10"/>
        <rFont val="宋体"/>
        <family val="3"/>
        <charset val="134"/>
      </rPr>
      <t>套期工具</t>
    </r>
  </si>
  <si>
    <r>
      <rPr>
        <sz val="10"/>
        <rFont val="宋体"/>
        <family val="3"/>
        <charset val="134"/>
      </rPr>
      <t>合</t>
    </r>
    <r>
      <rPr>
        <sz val="10"/>
        <rFont val="Arial Narrow"/>
        <family val="2"/>
      </rPr>
      <t xml:space="preserve">      </t>
    </r>
    <r>
      <rPr>
        <sz val="10"/>
        <rFont val="宋体"/>
        <family val="3"/>
        <charset val="134"/>
      </rPr>
      <t>计</t>
    </r>
  </si>
  <si>
    <r>
      <rPr>
        <sz val="10"/>
        <color indexed="12"/>
        <rFont val="楷体"/>
        <family val="3"/>
        <charset val="134"/>
      </rPr>
      <t>应收票据</t>
    </r>
    <phoneticPr fontId="5" type="noConversion"/>
  </si>
  <si>
    <r>
      <rPr>
        <sz val="10"/>
        <rFont val="宋体"/>
        <family val="3"/>
        <charset val="134"/>
      </rPr>
      <t>种</t>
    </r>
    <r>
      <rPr>
        <sz val="10"/>
        <rFont val="Arial Narrow"/>
        <family val="2"/>
      </rPr>
      <t xml:space="preserve">  </t>
    </r>
    <r>
      <rPr>
        <sz val="10"/>
        <rFont val="宋体"/>
        <family val="3"/>
        <charset val="134"/>
      </rPr>
      <t>类</t>
    </r>
  </si>
  <si>
    <r>
      <rPr>
        <sz val="10"/>
        <rFont val="Arial"/>
        <family val="2"/>
      </rPr>
      <t>差额</t>
    </r>
    <phoneticPr fontId="5" type="noConversion"/>
  </si>
  <si>
    <r>
      <rPr>
        <sz val="10"/>
        <rFont val="宋体"/>
        <family val="3"/>
        <charset val="134"/>
      </rPr>
      <t>银行承兑汇票</t>
    </r>
  </si>
  <si>
    <r>
      <rPr>
        <sz val="10"/>
        <rFont val="宋体"/>
        <family val="3"/>
        <charset val="134"/>
      </rPr>
      <t>商业承兑汇票</t>
    </r>
  </si>
  <si>
    <r>
      <rPr>
        <sz val="10"/>
        <rFont val="宋体"/>
        <family val="3"/>
        <charset val="134"/>
      </rPr>
      <t>合</t>
    </r>
    <r>
      <rPr>
        <sz val="10"/>
        <rFont val="Arial Narrow"/>
        <family val="2"/>
      </rPr>
      <t xml:space="preserve">  </t>
    </r>
    <r>
      <rPr>
        <sz val="10"/>
        <rFont val="宋体"/>
        <family val="3"/>
        <charset val="134"/>
      </rPr>
      <t>计</t>
    </r>
  </si>
  <si>
    <r>
      <rPr>
        <sz val="10"/>
        <rFont val="宋体"/>
        <family val="3"/>
        <charset val="134"/>
      </rPr>
      <t>年初数</t>
    </r>
    <phoneticPr fontId="5" type="noConversion"/>
  </si>
  <si>
    <r>
      <rPr>
        <sz val="10"/>
        <rFont val="宋体"/>
        <family val="3"/>
        <charset val="134"/>
      </rPr>
      <t>差异</t>
    </r>
    <phoneticPr fontId="5" type="noConversion"/>
  </si>
  <si>
    <r>
      <rPr>
        <sz val="10"/>
        <rFont val="宋体"/>
        <family val="3"/>
        <charset val="134"/>
      </rPr>
      <t>账面余额</t>
    </r>
  </si>
  <si>
    <r>
      <rPr>
        <sz val="10"/>
        <rFont val="宋体"/>
        <family val="3"/>
        <charset val="134"/>
      </rPr>
      <t>坏账准备</t>
    </r>
  </si>
  <si>
    <r>
      <rPr>
        <sz val="10"/>
        <rFont val="宋体"/>
        <family val="3"/>
        <charset val="134"/>
      </rPr>
      <t>坏账准备</t>
    </r>
    <phoneticPr fontId="5" type="noConversion"/>
  </si>
  <si>
    <r>
      <rPr>
        <sz val="10"/>
        <rFont val="宋体"/>
        <family val="3"/>
        <charset val="134"/>
      </rPr>
      <t>金额</t>
    </r>
  </si>
  <si>
    <r>
      <rPr>
        <sz val="10"/>
        <rFont val="宋体"/>
        <family val="3"/>
        <charset val="134"/>
      </rPr>
      <t>比例（</t>
    </r>
    <r>
      <rPr>
        <sz val="10"/>
        <rFont val="Arial Narrow"/>
        <family val="2"/>
      </rPr>
      <t>%</t>
    </r>
    <r>
      <rPr>
        <sz val="10"/>
        <rFont val="宋体"/>
        <family val="3"/>
        <charset val="134"/>
      </rPr>
      <t>）</t>
    </r>
  </si>
  <si>
    <r>
      <rPr>
        <sz val="10"/>
        <rFont val="宋体"/>
        <family val="3"/>
        <charset val="134"/>
      </rPr>
      <t>单项金额重大并单项计提坏账准备的应收账款</t>
    </r>
  </si>
  <si>
    <r>
      <rPr>
        <sz val="10"/>
        <rFont val="宋体"/>
        <family val="3"/>
        <charset val="134"/>
      </rPr>
      <t>按组合计提坏账准备的应收账款</t>
    </r>
  </si>
  <si>
    <r>
      <t xml:space="preserve"> </t>
    </r>
    <r>
      <rPr>
        <sz val="10"/>
        <rFont val="宋体"/>
        <family val="3"/>
        <charset val="134"/>
      </rPr>
      <t>其中：账龄分析法组合</t>
    </r>
    <r>
      <rPr>
        <sz val="10"/>
        <rFont val="Arial Narrow"/>
        <family val="2"/>
      </rPr>
      <t xml:space="preserve"> </t>
    </r>
  </si>
  <si>
    <r>
      <t xml:space="preserve">       </t>
    </r>
    <r>
      <rPr>
        <sz val="10"/>
        <rFont val="宋体"/>
        <family val="3"/>
        <charset val="134"/>
      </rPr>
      <t>无风险组合</t>
    </r>
  </si>
  <si>
    <r>
      <rPr>
        <sz val="10"/>
        <rFont val="宋体"/>
        <family val="3"/>
        <charset val="134"/>
      </rPr>
      <t>单项金额虽不重大但单项计提坏账准备的应收账款</t>
    </r>
  </si>
  <si>
    <r>
      <rPr>
        <sz val="10"/>
        <rFont val="宋体"/>
        <family val="3"/>
        <charset val="134"/>
      </rPr>
      <t>合</t>
    </r>
    <r>
      <rPr>
        <sz val="10"/>
        <rFont val="Arial Narrow"/>
        <family val="2"/>
      </rPr>
      <t xml:space="preserve"> </t>
    </r>
    <r>
      <rPr>
        <sz val="10"/>
        <rFont val="宋体"/>
        <family val="3"/>
        <charset val="134"/>
      </rPr>
      <t>计</t>
    </r>
  </si>
  <si>
    <r>
      <rPr>
        <b/>
        <sz val="10"/>
        <rFont val="宋体"/>
        <family val="3"/>
        <charset val="134"/>
      </rPr>
      <t>①采用账龄分析法计提坏账准备的应收账款</t>
    </r>
    <phoneticPr fontId="5" type="noConversion"/>
  </si>
  <si>
    <r>
      <rPr>
        <sz val="10"/>
        <rFont val="宋体"/>
        <family val="3"/>
        <charset val="134"/>
      </rPr>
      <t>账</t>
    </r>
    <r>
      <rPr>
        <sz val="10"/>
        <rFont val="Arial Narrow"/>
        <family val="2"/>
      </rPr>
      <t xml:space="preserve">  </t>
    </r>
    <r>
      <rPr>
        <sz val="10"/>
        <rFont val="宋体"/>
        <family val="3"/>
        <charset val="134"/>
      </rPr>
      <t>龄</t>
    </r>
  </si>
  <si>
    <r>
      <rPr>
        <sz val="10"/>
        <rFont val="宋体"/>
        <family val="3"/>
        <charset val="134"/>
      </rPr>
      <t>合</t>
    </r>
    <r>
      <rPr>
        <sz val="10"/>
        <rFont val="Arial Narrow"/>
        <family val="2"/>
      </rPr>
      <t xml:space="preserve">   </t>
    </r>
    <r>
      <rPr>
        <sz val="10"/>
        <rFont val="宋体"/>
        <family val="3"/>
        <charset val="134"/>
      </rPr>
      <t>计</t>
    </r>
  </si>
  <si>
    <r>
      <rPr>
        <b/>
        <sz val="10"/>
        <rFont val="黑体"/>
        <family val="3"/>
        <charset val="134"/>
      </rPr>
      <t>（</t>
    </r>
    <r>
      <rPr>
        <b/>
        <sz val="10"/>
        <rFont val="Arial Narrow"/>
        <family val="2"/>
      </rPr>
      <t>5</t>
    </r>
    <r>
      <rPr>
        <b/>
        <sz val="10"/>
        <rFont val="黑体"/>
        <family val="3"/>
        <charset val="134"/>
      </rPr>
      <t>）应收账款按账龄列示</t>
    </r>
    <phoneticPr fontId="5" type="noConversion"/>
  </si>
  <si>
    <r>
      <t xml:space="preserve">  </t>
    </r>
    <r>
      <rPr>
        <sz val="10"/>
        <rFont val="楷体_GB2312"/>
        <family val="3"/>
        <charset val="134"/>
      </rPr>
      <t>账</t>
    </r>
    <r>
      <rPr>
        <sz val="10"/>
        <rFont val="Arial Narrow"/>
        <family val="2"/>
      </rPr>
      <t xml:space="preserve"> </t>
    </r>
    <r>
      <rPr>
        <sz val="10"/>
        <rFont val="楷体_GB2312"/>
        <family val="3"/>
        <charset val="134"/>
      </rPr>
      <t>龄</t>
    </r>
  </si>
  <si>
    <r>
      <rPr>
        <sz val="10"/>
        <rFont val="楷体_GB2312"/>
        <family val="3"/>
        <charset val="134"/>
      </rPr>
      <t>账面余额</t>
    </r>
    <phoneticPr fontId="5" type="noConversion"/>
  </si>
  <si>
    <r>
      <rPr>
        <sz val="10"/>
        <rFont val="楷体_GB2312"/>
        <family val="3"/>
        <charset val="134"/>
      </rPr>
      <t>坏账准备</t>
    </r>
  </si>
  <si>
    <r>
      <rPr>
        <sz val="10"/>
        <rFont val="楷体_GB2312"/>
        <family val="3"/>
        <charset val="134"/>
      </rPr>
      <t>金额</t>
    </r>
    <phoneticPr fontId="5" type="noConversion"/>
  </si>
  <si>
    <r>
      <rPr>
        <sz val="10"/>
        <rFont val="楷体_GB2312"/>
        <family val="3"/>
        <charset val="134"/>
      </rPr>
      <t>比例（</t>
    </r>
    <r>
      <rPr>
        <sz val="10"/>
        <rFont val="Arial Narrow"/>
        <family val="2"/>
      </rPr>
      <t>%</t>
    </r>
    <r>
      <rPr>
        <sz val="10"/>
        <rFont val="楷体_GB2312"/>
        <family val="3"/>
        <charset val="134"/>
      </rPr>
      <t>）</t>
    </r>
    <phoneticPr fontId="5" type="noConversion"/>
  </si>
  <si>
    <r>
      <t>1</t>
    </r>
    <r>
      <rPr>
        <sz val="10"/>
        <rFont val="楷体_GB2312"/>
        <family val="3"/>
        <charset val="134"/>
      </rPr>
      <t>年以内（含</t>
    </r>
    <r>
      <rPr>
        <sz val="10"/>
        <rFont val="Arial Narrow"/>
        <family val="2"/>
      </rPr>
      <t>1</t>
    </r>
    <r>
      <rPr>
        <sz val="10"/>
        <rFont val="楷体_GB2312"/>
        <family val="3"/>
        <charset val="134"/>
      </rPr>
      <t>年）</t>
    </r>
    <phoneticPr fontId="5" type="noConversion"/>
  </si>
  <si>
    <r>
      <t>1-2</t>
    </r>
    <r>
      <rPr>
        <sz val="10"/>
        <rFont val="楷体_GB2312"/>
        <family val="3"/>
        <charset val="134"/>
      </rPr>
      <t>年（含</t>
    </r>
    <r>
      <rPr>
        <sz val="10"/>
        <rFont val="Arial Narrow"/>
        <family val="2"/>
      </rPr>
      <t>2</t>
    </r>
    <r>
      <rPr>
        <sz val="10"/>
        <rFont val="楷体_GB2312"/>
        <family val="3"/>
        <charset val="134"/>
      </rPr>
      <t>年）</t>
    </r>
    <phoneticPr fontId="5" type="noConversion"/>
  </si>
  <si>
    <r>
      <t>2-3</t>
    </r>
    <r>
      <rPr>
        <sz val="10"/>
        <rFont val="楷体_GB2312"/>
        <family val="3"/>
        <charset val="134"/>
      </rPr>
      <t>年（含</t>
    </r>
    <r>
      <rPr>
        <sz val="10"/>
        <rFont val="Arial Narrow"/>
        <family val="2"/>
      </rPr>
      <t>3</t>
    </r>
    <r>
      <rPr>
        <sz val="10"/>
        <rFont val="楷体_GB2312"/>
        <family val="3"/>
        <charset val="134"/>
      </rPr>
      <t>年）</t>
    </r>
  </si>
  <si>
    <r>
      <t>3-4</t>
    </r>
    <r>
      <rPr>
        <sz val="10"/>
        <rFont val="楷体_GB2312"/>
        <family val="3"/>
        <charset val="134"/>
      </rPr>
      <t>年（含</t>
    </r>
    <r>
      <rPr>
        <sz val="10"/>
        <rFont val="Arial Narrow"/>
        <family val="2"/>
      </rPr>
      <t>4</t>
    </r>
    <r>
      <rPr>
        <sz val="10"/>
        <rFont val="楷体_GB2312"/>
        <family val="3"/>
        <charset val="134"/>
      </rPr>
      <t>年）</t>
    </r>
  </si>
  <si>
    <r>
      <t>4-5</t>
    </r>
    <r>
      <rPr>
        <sz val="10"/>
        <rFont val="楷体_GB2312"/>
        <family val="3"/>
        <charset val="134"/>
      </rPr>
      <t>年（含</t>
    </r>
    <r>
      <rPr>
        <sz val="10"/>
        <rFont val="Arial Narrow"/>
        <family val="2"/>
      </rPr>
      <t>5</t>
    </r>
    <r>
      <rPr>
        <sz val="10"/>
        <rFont val="楷体_GB2312"/>
        <family val="3"/>
        <charset val="134"/>
      </rPr>
      <t>年）</t>
    </r>
  </si>
  <si>
    <r>
      <t>5</t>
    </r>
    <r>
      <rPr>
        <sz val="10"/>
        <rFont val="楷体_GB2312"/>
        <family val="3"/>
        <charset val="134"/>
      </rPr>
      <t>年以上</t>
    </r>
  </si>
  <si>
    <r>
      <rPr>
        <sz val="10"/>
        <rFont val="楷体_GB2312"/>
        <family val="3"/>
        <charset val="134"/>
      </rPr>
      <t>合</t>
    </r>
    <r>
      <rPr>
        <sz val="10"/>
        <rFont val="Arial Narrow"/>
        <family val="2"/>
      </rPr>
      <t xml:space="preserve">   </t>
    </r>
    <r>
      <rPr>
        <sz val="10"/>
        <rFont val="楷体_GB2312"/>
        <family val="3"/>
        <charset val="134"/>
      </rPr>
      <t>计</t>
    </r>
  </si>
  <si>
    <r>
      <rPr>
        <sz val="10"/>
        <color indexed="12"/>
        <rFont val="楷体"/>
        <family val="3"/>
        <charset val="134"/>
      </rPr>
      <t>预付账款</t>
    </r>
    <phoneticPr fontId="5" type="noConversion"/>
  </si>
  <si>
    <r>
      <rPr>
        <sz val="10"/>
        <rFont val="宋体"/>
        <family val="3"/>
        <charset val="134"/>
      </rPr>
      <t>账</t>
    </r>
    <r>
      <rPr>
        <sz val="10"/>
        <rFont val="Arial Narrow"/>
        <family val="2"/>
      </rPr>
      <t xml:space="preserve"> </t>
    </r>
    <r>
      <rPr>
        <sz val="10"/>
        <rFont val="宋体"/>
        <family val="3"/>
        <charset val="134"/>
      </rPr>
      <t>龄</t>
    </r>
  </si>
  <si>
    <r>
      <rPr>
        <sz val="10"/>
        <color indexed="8"/>
        <rFont val="宋体"/>
        <family val="3"/>
        <charset val="134"/>
      </rPr>
      <t>账面余额</t>
    </r>
  </si>
  <si>
    <r>
      <rPr>
        <sz val="10"/>
        <color indexed="8"/>
        <rFont val="宋体"/>
        <family val="3"/>
        <charset val="134"/>
      </rPr>
      <t>坏账准备</t>
    </r>
  </si>
  <si>
    <r>
      <rPr>
        <sz val="10"/>
        <rFont val="宋体"/>
        <family val="3"/>
        <charset val="134"/>
      </rPr>
      <t>金</t>
    </r>
    <r>
      <rPr>
        <sz val="10"/>
        <rFont val="Arial Narrow"/>
        <family val="2"/>
      </rPr>
      <t xml:space="preserve">   </t>
    </r>
    <r>
      <rPr>
        <sz val="10"/>
        <rFont val="宋体"/>
        <family val="3"/>
        <charset val="134"/>
      </rPr>
      <t>额</t>
    </r>
  </si>
  <si>
    <r>
      <t>3</t>
    </r>
    <r>
      <rPr>
        <sz val="10"/>
        <rFont val="宋体"/>
        <family val="3"/>
        <charset val="134"/>
      </rPr>
      <t>年以上</t>
    </r>
    <phoneticPr fontId="5" type="noConversion"/>
  </si>
  <si>
    <r>
      <rPr>
        <sz val="10"/>
        <rFont val="宋体"/>
        <family val="3"/>
        <charset val="134"/>
      </rPr>
      <t>单项金额重大并单项计提坏账准备的其他应收款</t>
    </r>
  </si>
  <si>
    <r>
      <rPr>
        <sz val="10"/>
        <rFont val="宋体"/>
        <family val="3"/>
        <charset val="134"/>
      </rPr>
      <t>按组合计提坏账准备的其他应收款</t>
    </r>
  </si>
  <si>
    <r>
      <rPr>
        <sz val="10"/>
        <rFont val="宋体"/>
        <family val="3"/>
        <charset val="134"/>
      </rPr>
      <t>单项金额虽不重大但单项计提坏账准备的其他应收款</t>
    </r>
  </si>
  <si>
    <r>
      <rPr>
        <b/>
        <sz val="10"/>
        <rFont val="宋体"/>
        <family val="3"/>
        <charset val="134"/>
      </rPr>
      <t>①采用账龄分析法计提坏账准备的其他应收款</t>
    </r>
  </si>
  <si>
    <r>
      <rPr>
        <sz val="10"/>
        <rFont val="宋体"/>
        <family val="3"/>
        <charset val="134"/>
      </rPr>
      <t>年初数</t>
    </r>
    <phoneticPr fontId="5" type="noConversion"/>
  </si>
  <si>
    <r>
      <rPr>
        <sz val="10"/>
        <rFont val="宋体"/>
        <family val="3"/>
        <charset val="134"/>
      </rPr>
      <t>差异</t>
    </r>
    <phoneticPr fontId="5" type="noConversion"/>
  </si>
  <si>
    <r>
      <rPr>
        <b/>
        <sz val="10"/>
        <rFont val="黑体"/>
        <family val="3"/>
        <charset val="134"/>
      </rPr>
      <t>（</t>
    </r>
    <r>
      <rPr>
        <b/>
        <sz val="10"/>
        <rFont val="Arial Narrow"/>
        <family val="2"/>
      </rPr>
      <t>5</t>
    </r>
    <r>
      <rPr>
        <b/>
        <sz val="10"/>
        <rFont val="黑体"/>
        <family val="3"/>
        <charset val="134"/>
      </rPr>
      <t>）其他应收款按账龄列示</t>
    </r>
  </si>
  <si>
    <r>
      <rPr>
        <sz val="10"/>
        <color indexed="12"/>
        <rFont val="楷体"/>
        <family val="3"/>
        <charset val="134"/>
      </rPr>
      <t>存货</t>
    </r>
    <phoneticPr fontId="5" type="noConversion"/>
  </si>
  <si>
    <r>
      <rPr>
        <b/>
        <sz val="10"/>
        <rFont val="宋体"/>
        <family val="3"/>
        <charset val="134"/>
      </rPr>
      <t>（</t>
    </r>
    <r>
      <rPr>
        <b/>
        <sz val="10"/>
        <rFont val="Arial Narrow"/>
        <family val="2"/>
      </rPr>
      <t>1</t>
    </r>
    <r>
      <rPr>
        <b/>
        <sz val="10"/>
        <rFont val="宋体"/>
        <family val="3"/>
        <charset val="134"/>
      </rPr>
      <t>）存货分类</t>
    </r>
    <phoneticPr fontId="5" type="noConversion"/>
  </si>
  <si>
    <r>
      <rPr>
        <sz val="10"/>
        <rFont val="宋体"/>
        <family val="3"/>
        <charset val="134"/>
      </rPr>
      <t>账面余额</t>
    </r>
    <phoneticPr fontId="5" type="noConversion"/>
  </si>
  <si>
    <r>
      <rPr>
        <sz val="10"/>
        <rFont val="宋体"/>
        <family val="3"/>
        <charset val="134"/>
      </rPr>
      <t>跌价准备</t>
    </r>
    <phoneticPr fontId="5" type="noConversion"/>
  </si>
  <si>
    <r>
      <rPr>
        <sz val="10"/>
        <rFont val="宋体"/>
        <family val="3"/>
        <charset val="134"/>
      </rPr>
      <t>账面价值</t>
    </r>
    <phoneticPr fontId="5" type="noConversion"/>
  </si>
  <si>
    <r>
      <rPr>
        <sz val="10"/>
        <rFont val="宋体"/>
        <family val="3"/>
        <charset val="134"/>
      </rPr>
      <t>原材料</t>
    </r>
  </si>
  <si>
    <r>
      <rPr>
        <sz val="10"/>
        <rFont val="宋体"/>
        <family val="3"/>
        <charset val="134"/>
      </rPr>
      <t>自制半成品及在产品</t>
    </r>
  </si>
  <si>
    <r>
      <rPr>
        <sz val="10"/>
        <rFont val="宋体"/>
        <family val="3"/>
        <charset val="134"/>
      </rPr>
      <t>库存商品（产成品）</t>
    </r>
  </si>
  <si>
    <r>
      <rPr>
        <sz val="10"/>
        <rFont val="宋体"/>
        <family val="3"/>
        <charset val="134"/>
      </rPr>
      <t>周转材料（包装物、低值易耗品等）</t>
    </r>
  </si>
  <si>
    <r>
      <rPr>
        <sz val="10"/>
        <rFont val="宋体"/>
        <family val="3"/>
        <charset val="134"/>
      </rPr>
      <t>消耗性生物资产</t>
    </r>
  </si>
  <si>
    <r>
      <rPr>
        <sz val="10"/>
        <rFont val="宋体"/>
        <family val="3"/>
        <charset val="134"/>
      </rPr>
      <t>工程施工</t>
    </r>
    <r>
      <rPr>
        <sz val="10"/>
        <rFont val="Arial Narrow"/>
        <family val="2"/>
      </rPr>
      <t>(</t>
    </r>
    <r>
      <rPr>
        <sz val="10"/>
        <rFont val="宋体"/>
        <family val="3"/>
        <charset val="134"/>
      </rPr>
      <t>已完工未结算款</t>
    </r>
    <r>
      <rPr>
        <sz val="10"/>
        <rFont val="Arial Narrow"/>
        <family val="2"/>
      </rPr>
      <t>)</t>
    </r>
  </si>
  <si>
    <r>
      <rPr>
        <sz val="10"/>
        <rFont val="宋体"/>
        <family val="3"/>
        <charset val="134"/>
      </rPr>
      <t>合</t>
    </r>
    <r>
      <rPr>
        <sz val="10"/>
        <rFont val="Arial Narrow"/>
        <family val="2"/>
      </rPr>
      <t xml:space="preserve">    </t>
    </r>
    <r>
      <rPr>
        <sz val="10"/>
        <rFont val="宋体"/>
        <family val="3"/>
        <charset val="134"/>
      </rPr>
      <t>计</t>
    </r>
  </si>
  <si>
    <r>
      <rPr>
        <sz val="10"/>
        <color indexed="12"/>
        <rFont val="楷体"/>
        <family val="3"/>
        <charset val="134"/>
      </rPr>
      <t>可供出售金融资产</t>
    </r>
    <phoneticPr fontId="5" type="noConversion"/>
  </si>
  <si>
    <r>
      <rPr>
        <sz val="10"/>
        <rFont val="宋体"/>
        <family val="3"/>
        <charset val="134"/>
      </rPr>
      <t>项</t>
    </r>
    <r>
      <rPr>
        <sz val="10"/>
        <rFont val="Arial Narrow"/>
        <family val="2"/>
      </rPr>
      <t xml:space="preserve">     </t>
    </r>
    <r>
      <rPr>
        <sz val="10"/>
        <rFont val="宋体"/>
        <family val="3"/>
        <charset val="134"/>
      </rPr>
      <t>目</t>
    </r>
  </si>
  <si>
    <r>
      <rPr>
        <sz val="10"/>
        <rFont val="宋体"/>
        <family val="3"/>
        <charset val="134"/>
      </rPr>
      <t>年初公允价值</t>
    </r>
  </si>
  <si>
    <r>
      <t xml:space="preserve"> </t>
    </r>
    <r>
      <rPr>
        <sz val="10"/>
        <rFont val="宋体"/>
        <family val="3"/>
        <charset val="134"/>
      </rPr>
      <t>可供出售债券</t>
    </r>
  </si>
  <si>
    <r>
      <t xml:space="preserve"> </t>
    </r>
    <r>
      <rPr>
        <sz val="10"/>
        <rFont val="宋体"/>
        <family val="3"/>
        <charset val="134"/>
      </rPr>
      <t>可供出售权益工具</t>
    </r>
  </si>
  <si>
    <r>
      <t xml:space="preserve"> </t>
    </r>
    <r>
      <rPr>
        <sz val="10"/>
        <rFont val="宋体"/>
        <family val="3"/>
        <charset val="134"/>
      </rPr>
      <t>其他</t>
    </r>
  </si>
  <si>
    <r>
      <rPr>
        <sz val="10"/>
        <rFont val="宋体"/>
        <family val="3"/>
        <charset val="134"/>
      </rPr>
      <t>合</t>
    </r>
    <r>
      <rPr>
        <sz val="10"/>
        <rFont val="Arial Narrow"/>
        <family val="2"/>
      </rPr>
      <t xml:space="preserve">     </t>
    </r>
    <r>
      <rPr>
        <sz val="10"/>
        <rFont val="宋体"/>
        <family val="3"/>
        <charset val="134"/>
      </rPr>
      <t>计</t>
    </r>
  </si>
  <si>
    <r>
      <rPr>
        <sz val="10"/>
        <color indexed="12"/>
        <rFont val="楷体"/>
        <family val="3"/>
        <charset val="134"/>
      </rPr>
      <t>持有至到期投资</t>
    </r>
    <phoneticPr fontId="5" type="noConversion"/>
  </si>
  <si>
    <r>
      <rPr>
        <sz val="10"/>
        <rFont val="宋体"/>
        <family val="3"/>
        <charset val="134"/>
      </rPr>
      <t>委托贷款</t>
    </r>
  </si>
  <si>
    <r>
      <rPr>
        <sz val="10"/>
        <rFont val="宋体"/>
        <family val="3"/>
        <charset val="134"/>
      </rPr>
      <t>国债投资</t>
    </r>
  </si>
  <si>
    <r>
      <rPr>
        <sz val="10"/>
        <rFont val="宋体"/>
        <family val="3"/>
        <charset val="134"/>
      </rPr>
      <t>减：持有至到期投资减值准备</t>
    </r>
    <phoneticPr fontId="5" type="noConversion"/>
  </si>
  <si>
    <r>
      <rPr>
        <sz val="10"/>
        <color indexed="12"/>
        <rFont val="楷体"/>
        <family val="3"/>
        <charset val="134"/>
      </rPr>
      <t>长期应收款</t>
    </r>
    <phoneticPr fontId="5" type="noConversion"/>
  </si>
  <si>
    <r>
      <rPr>
        <sz val="10"/>
        <rFont val="宋体"/>
        <family val="3"/>
        <charset val="134"/>
      </rPr>
      <t>项</t>
    </r>
    <r>
      <rPr>
        <sz val="10"/>
        <rFont val="Arial Narrow"/>
        <family val="2"/>
      </rPr>
      <t xml:space="preserve">   </t>
    </r>
    <r>
      <rPr>
        <sz val="10"/>
        <rFont val="宋体"/>
        <family val="3"/>
        <charset val="134"/>
      </rPr>
      <t>目</t>
    </r>
  </si>
  <si>
    <r>
      <rPr>
        <sz val="10"/>
        <rFont val="宋体"/>
        <family val="3"/>
        <charset val="134"/>
      </rPr>
      <t>融资租赁</t>
    </r>
  </si>
  <si>
    <r>
      <rPr>
        <sz val="10"/>
        <rFont val="宋体"/>
        <family val="3"/>
        <charset val="134"/>
      </rPr>
      <t>其中：未实现融资收益</t>
    </r>
    <phoneticPr fontId="5" type="noConversion"/>
  </si>
  <si>
    <r>
      <rPr>
        <sz val="10"/>
        <rFont val="宋体"/>
        <family val="3"/>
        <charset val="134"/>
      </rPr>
      <t>分期收款销售商品</t>
    </r>
  </si>
  <si>
    <r>
      <rPr>
        <sz val="10"/>
        <rFont val="宋体"/>
        <family val="3"/>
        <charset val="134"/>
      </rPr>
      <t>分期收款提供劳务</t>
    </r>
  </si>
  <si>
    <r>
      <rPr>
        <sz val="10"/>
        <color indexed="12"/>
        <rFont val="楷体"/>
        <family val="3"/>
        <charset val="134"/>
      </rPr>
      <t>长期股权投资</t>
    </r>
    <phoneticPr fontId="5" type="noConversion"/>
  </si>
  <si>
    <r>
      <rPr>
        <b/>
        <sz val="10"/>
        <rFont val="宋体"/>
        <family val="3"/>
        <charset val="134"/>
      </rPr>
      <t>（</t>
    </r>
    <r>
      <rPr>
        <b/>
        <sz val="10"/>
        <rFont val="Arial Narrow"/>
        <family val="2"/>
      </rPr>
      <t>1</t>
    </r>
    <r>
      <rPr>
        <b/>
        <sz val="10"/>
        <rFont val="宋体"/>
        <family val="3"/>
        <charset val="134"/>
      </rPr>
      <t>）长期股权投资分类</t>
    </r>
  </si>
  <si>
    <r>
      <t xml:space="preserve"> </t>
    </r>
    <r>
      <rPr>
        <sz val="10"/>
        <rFont val="宋体"/>
        <family val="3"/>
        <charset val="134"/>
      </rPr>
      <t>项</t>
    </r>
    <r>
      <rPr>
        <sz val="10"/>
        <rFont val="Arial Narrow"/>
        <family val="2"/>
      </rPr>
      <t xml:space="preserve">     </t>
    </r>
    <r>
      <rPr>
        <sz val="10"/>
        <rFont val="宋体"/>
        <family val="3"/>
        <charset val="134"/>
      </rPr>
      <t>目</t>
    </r>
    <r>
      <rPr>
        <sz val="10"/>
        <rFont val="Arial Narrow"/>
        <family val="2"/>
      </rPr>
      <t xml:space="preserve"> </t>
    </r>
  </si>
  <si>
    <r>
      <rPr>
        <sz val="10"/>
        <rFont val="宋体"/>
        <family val="3"/>
        <charset val="134"/>
      </rPr>
      <t>对子公司投资</t>
    </r>
    <r>
      <rPr>
        <sz val="10"/>
        <rFont val="Arial Narrow"/>
        <family val="2"/>
      </rPr>
      <t xml:space="preserve"> </t>
    </r>
    <phoneticPr fontId="5" type="noConversion"/>
  </si>
  <si>
    <r>
      <rPr>
        <sz val="10"/>
        <rFont val="宋体"/>
        <family val="3"/>
        <charset val="134"/>
      </rPr>
      <t>对合营企业投资</t>
    </r>
    <r>
      <rPr>
        <sz val="10"/>
        <rFont val="Arial Narrow"/>
        <family val="2"/>
      </rPr>
      <t xml:space="preserve"> </t>
    </r>
    <phoneticPr fontId="5" type="noConversion"/>
  </si>
  <si>
    <r>
      <rPr>
        <sz val="10"/>
        <rFont val="宋体"/>
        <family val="3"/>
        <charset val="134"/>
      </rPr>
      <t>对联营企业投资</t>
    </r>
    <r>
      <rPr>
        <sz val="10"/>
        <rFont val="Arial Narrow"/>
        <family val="2"/>
      </rPr>
      <t xml:space="preserve"> </t>
    </r>
    <phoneticPr fontId="5" type="noConversion"/>
  </si>
  <si>
    <r>
      <rPr>
        <sz val="10"/>
        <rFont val="宋体"/>
        <family val="3"/>
        <charset val="134"/>
      </rPr>
      <t>其他企业投资</t>
    </r>
    <r>
      <rPr>
        <sz val="10"/>
        <rFont val="Arial Narrow"/>
        <family val="2"/>
      </rPr>
      <t xml:space="preserve"> </t>
    </r>
    <phoneticPr fontId="5" type="noConversion"/>
  </si>
  <si>
    <r>
      <rPr>
        <sz val="10"/>
        <rFont val="宋体"/>
        <family val="3"/>
        <charset val="134"/>
      </rPr>
      <t>小</t>
    </r>
    <r>
      <rPr>
        <sz val="10"/>
        <rFont val="Arial Narrow"/>
        <family val="2"/>
      </rPr>
      <t xml:space="preserve">   </t>
    </r>
    <r>
      <rPr>
        <sz val="10"/>
        <rFont val="宋体"/>
        <family val="3"/>
        <charset val="134"/>
      </rPr>
      <t>计</t>
    </r>
  </si>
  <si>
    <r>
      <rPr>
        <sz val="10"/>
        <rFont val="宋体"/>
        <family val="3"/>
        <charset val="134"/>
      </rPr>
      <t>减：长期股权投资减值准备</t>
    </r>
    <r>
      <rPr>
        <sz val="10"/>
        <rFont val="Arial Narrow"/>
        <family val="2"/>
      </rPr>
      <t xml:space="preserve"> </t>
    </r>
    <phoneticPr fontId="5" type="noConversion"/>
  </si>
  <si>
    <r>
      <t xml:space="preserve"> </t>
    </r>
    <r>
      <rPr>
        <sz val="10"/>
        <rFont val="宋体"/>
        <family val="3"/>
        <charset val="134"/>
      </rPr>
      <t>合</t>
    </r>
    <r>
      <rPr>
        <sz val="10"/>
        <rFont val="Arial Narrow"/>
        <family val="2"/>
      </rPr>
      <t xml:space="preserve">   </t>
    </r>
    <r>
      <rPr>
        <sz val="10"/>
        <rFont val="宋体"/>
        <family val="3"/>
        <charset val="134"/>
      </rPr>
      <t>计</t>
    </r>
    <r>
      <rPr>
        <sz val="10"/>
        <rFont val="Arial Narrow"/>
        <family val="2"/>
      </rPr>
      <t xml:space="preserve"> </t>
    </r>
  </si>
  <si>
    <r>
      <rPr>
        <sz val="10"/>
        <color indexed="12"/>
        <rFont val="楷体"/>
        <family val="3"/>
        <charset val="134"/>
      </rPr>
      <t>投资性房地产</t>
    </r>
    <phoneticPr fontId="5" type="noConversion"/>
  </si>
  <si>
    <r>
      <rPr>
        <b/>
        <sz val="10"/>
        <rFont val="宋体"/>
        <family val="3"/>
        <charset val="134"/>
      </rPr>
      <t>（</t>
    </r>
    <r>
      <rPr>
        <b/>
        <sz val="10"/>
        <rFont val="Arial Narrow"/>
        <family val="2"/>
      </rPr>
      <t>1</t>
    </r>
    <r>
      <rPr>
        <b/>
        <sz val="10"/>
        <rFont val="宋体"/>
        <family val="3"/>
        <charset val="134"/>
      </rPr>
      <t>）投资性房地产采用成本模式计量的，按下列格式披露：</t>
    </r>
    <phoneticPr fontId="5" type="noConversion"/>
  </si>
  <si>
    <r>
      <rPr>
        <sz val="10"/>
        <rFont val="宋体"/>
        <family val="3"/>
        <charset val="134"/>
      </rPr>
      <t>①</t>
    </r>
    <r>
      <rPr>
        <sz val="10"/>
        <rFont val="Arial Narrow"/>
        <family val="2"/>
      </rPr>
      <t xml:space="preserve"> </t>
    </r>
    <r>
      <rPr>
        <sz val="10"/>
        <rFont val="宋体"/>
        <family val="3"/>
        <charset val="134"/>
      </rPr>
      <t>账面原值合计</t>
    </r>
    <phoneticPr fontId="5" type="noConversion"/>
  </si>
  <si>
    <r>
      <t xml:space="preserve">  </t>
    </r>
    <r>
      <rPr>
        <sz val="10"/>
        <rFont val="宋体"/>
        <family val="3"/>
        <charset val="134"/>
      </rPr>
      <t>其中：</t>
    </r>
    <r>
      <rPr>
        <sz val="10"/>
        <rFont val="Arial Narrow"/>
        <family val="2"/>
      </rPr>
      <t>1.</t>
    </r>
    <r>
      <rPr>
        <sz val="10"/>
        <rFont val="宋体"/>
        <family val="3"/>
        <charset val="134"/>
      </rPr>
      <t>房屋、建筑物</t>
    </r>
    <phoneticPr fontId="5" type="noConversion"/>
  </si>
  <si>
    <r>
      <t xml:space="preserve">        2.</t>
    </r>
    <r>
      <rPr>
        <sz val="10"/>
        <rFont val="宋体"/>
        <family val="3"/>
        <charset val="134"/>
      </rPr>
      <t>土地使用权</t>
    </r>
    <phoneticPr fontId="5" type="noConversion"/>
  </si>
  <si>
    <r>
      <rPr>
        <sz val="10"/>
        <rFont val="宋体"/>
        <family val="3"/>
        <charset val="134"/>
      </rPr>
      <t>②累计折旧</t>
    </r>
    <r>
      <rPr>
        <sz val="10"/>
        <rFont val="Arial Narrow"/>
        <family val="2"/>
      </rPr>
      <t>(</t>
    </r>
    <r>
      <rPr>
        <sz val="10"/>
        <rFont val="宋体"/>
        <family val="3"/>
        <charset val="134"/>
      </rPr>
      <t>摊销</t>
    </r>
    <r>
      <rPr>
        <sz val="10"/>
        <rFont val="Arial Narrow"/>
        <family val="2"/>
      </rPr>
      <t>)</t>
    </r>
    <r>
      <rPr>
        <sz val="10"/>
        <rFont val="宋体"/>
        <family val="3"/>
        <charset val="134"/>
      </rPr>
      <t>合计</t>
    </r>
    <phoneticPr fontId="5" type="noConversion"/>
  </si>
  <si>
    <r>
      <rPr>
        <sz val="10"/>
        <rFont val="宋体"/>
        <family val="3"/>
        <charset val="134"/>
      </rPr>
      <t>③</t>
    </r>
    <r>
      <rPr>
        <sz val="10"/>
        <rFont val="Arial Narrow"/>
        <family val="2"/>
      </rPr>
      <t xml:space="preserve"> </t>
    </r>
    <r>
      <rPr>
        <sz val="10"/>
        <rFont val="宋体"/>
        <family val="3"/>
        <charset val="134"/>
      </rPr>
      <t>账面净值合计</t>
    </r>
    <phoneticPr fontId="5" type="noConversion"/>
  </si>
  <si>
    <r>
      <rPr>
        <sz val="10"/>
        <rFont val="宋体"/>
        <family val="3"/>
        <charset val="134"/>
      </rPr>
      <t>④减值准备累计金额合计</t>
    </r>
    <phoneticPr fontId="5" type="noConversion"/>
  </si>
  <si>
    <r>
      <rPr>
        <sz val="10"/>
        <rFont val="宋体"/>
        <family val="3"/>
        <charset val="134"/>
      </rPr>
      <t>⑤账面价值合计</t>
    </r>
    <phoneticPr fontId="5" type="noConversion"/>
  </si>
  <si>
    <r>
      <rPr>
        <b/>
        <sz val="10"/>
        <rFont val="宋体"/>
        <family val="3"/>
        <charset val="134"/>
      </rPr>
      <t>（</t>
    </r>
    <r>
      <rPr>
        <b/>
        <sz val="10"/>
        <rFont val="Arial Narrow"/>
        <family val="2"/>
      </rPr>
      <t>3</t>
    </r>
    <r>
      <rPr>
        <b/>
        <sz val="10"/>
        <rFont val="宋体"/>
        <family val="3"/>
        <charset val="134"/>
      </rPr>
      <t>）投资性房地产摊销情况</t>
    </r>
    <phoneticPr fontId="5" type="noConversion"/>
  </si>
  <si>
    <r>
      <rPr>
        <sz val="10"/>
        <rFont val="宋体"/>
        <family val="3"/>
        <charset val="134"/>
      </rPr>
      <t>投资性房地产折旧（摊销）金额</t>
    </r>
    <phoneticPr fontId="5" type="noConversion"/>
  </si>
  <si>
    <r>
      <rPr>
        <sz val="10"/>
        <color indexed="12"/>
        <rFont val="楷体"/>
        <family val="3"/>
        <charset val="134"/>
      </rPr>
      <t>固定资产</t>
    </r>
    <phoneticPr fontId="5" type="noConversion"/>
  </si>
  <si>
    <r>
      <rPr>
        <b/>
        <sz val="10"/>
        <rFont val="宋体"/>
        <family val="3"/>
        <charset val="134"/>
      </rPr>
      <t>（</t>
    </r>
    <r>
      <rPr>
        <b/>
        <sz val="10"/>
        <rFont val="Arial Narrow"/>
        <family val="2"/>
      </rPr>
      <t>1</t>
    </r>
    <r>
      <rPr>
        <b/>
        <sz val="10"/>
        <rFont val="宋体"/>
        <family val="3"/>
        <charset val="134"/>
      </rPr>
      <t>）固定资产类别</t>
    </r>
    <phoneticPr fontId="5" type="noConversion"/>
  </si>
  <si>
    <r>
      <rPr>
        <sz val="10"/>
        <rFont val="宋体"/>
        <family val="3"/>
        <charset val="134"/>
      </rPr>
      <t>一、账面原值合计</t>
    </r>
  </si>
  <si>
    <r>
      <t xml:space="preserve">  </t>
    </r>
    <r>
      <rPr>
        <sz val="10"/>
        <rFont val="宋体"/>
        <family val="3"/>
        <charset val="134"/>
      </rPr>
      <t>其中：土地资产</t>
    </r>
    <phoneticPr fontId="5" type="noConversion"/>
  </si>
  <si>
    <r>
      <rPr>
        <sz val="10"/>
        <rFont val="宋体"/>
        <family val="3"/>
        <charset val="134"/>
      </rPr>
      <t>房屋、建筑物</t>
    </r>
    <phoneticPr fontId="5" type="noConversion"/>
  </si>
  <si>
    <r>
      <rPr>
        <sz val="10"/>
        <rFont val="宋体"/>
        <family val="3"/>
        <charset val="134"/>
      </rPr>
      <t>机器设备</t>
    </r>
    <phoneticPr fontId="5" type="noConversion"/>
  </si>
  <si>
    <r>
      <rPr>
        <sz val="10"/>
        <rFont val="宋体"/>
        <family val="3"/>
        <charset val="134"/>
      </rPr>
      <t>运输工具</t>
    </r>
    <phoneticPr fontId="5" type="noConversion"/>
  </si>
  <si>
    <r>
      <rPr>
        <sz val="10"/>
        <rFont val="宋体"/>
        <family val="3"/>
        <charset val="134"/>
      </rPr>
      <t>电子设备</t>
    </r>
    <phoneticPr fontId="5" type="noConversion"/>
  </si>
  <si>
    <r>
      <rPr>
        <sz val="10"/>
        <rFont val="宋体"/>
        <family val="3"/>
        <charset val="134"/>
      </rPr>
      <t>办公设备</t>
    </r>
    <phoneticPr fontId="5" type="noConversion"/>
  </si>
  <si>
    <r>
      <rPr>
        <sz val="10"/>
        <rFont val="宋体"/>
        <family val="3"/>
        <charset val="134"/>
      </rPr>
      <t>酒店业家具</t>
    </r>
    <phoneticPr fontId="5" type="noConversion"/>
  </si>
  <si>
    <r>
      <rPr>
        <sz val="10"/>
        <rFont val="宋体"/>
        <family val="3"/>
        <charset val="134"/>
      </rPr>
      <t>管理用具及其他</t>
    </r>
    <phoneticPr fontId="5" type="noConversion"/>
  </si>
  <si>
    <r>
      <rPr>
        <sz val="10"/>
        <rFont val="宋体"/>
        <family val="3"/>
        <charset val="134"/>
      </rPr>
      <t>二、累计折旧合计</t>
    </r>
  </si>
  <si>
    <r>
      <rPr>
        <sz val="10"/>
        <rFont val="宋体"/>
        <family val="3"/>
        <charset val="134"/>
      </rPr>
      <t>三、账面净值合计</t>
    </r>
  </si>
  <si>
    <r>
      <rPr>
        <sz val="10"/>
        <rFont val="宋体"/>
        <family val="3"/>
        <charset val="134"/>
      </rPr>
      <t>运输工具</t>
    </r>
    <phoneticPr fontId="5" type="noConversion"/>
  </si>
  <si>
    <r>
      <rPr>
        <sz val="10"/>
        <rFont val="宋体"/>
        <family val="3"/>
        <charset val="134"/>
      </rPr>
      <t>电子设备</t>
    </r>
    <phoneticPr fontId="5" type="noConversion"/>
  </si>
  <si>
    <r>
      <rPr>
        <sz val="10"/>
        <rFont val="宋体"/>
        <family val="3"/>
        <charset val="134"/>
      </rPr>
      <t>办公设备</t>
    </r>
    <phoneticPr fontId="5" type="noConversion"/>
  </si>
  <si>
    <r>
      <rPr>
        <sz val="10"/>
        <rFont val="宋体"/>
        <family val="3"/>
        <charset val="134"/>
      </rPr>
      <t>酒店业家具</t>
    </r>
    <phoneticPr fontId="5" type="noConversion"/>
  </si>
  <si>
    <r>
      <rPr>
        <sz val="10"/>
        <rFont val="宋体"/>
        <family val="3"/>
        <charset val="134"/>
      </rPr>
      <t>四、减值准备合计</t>
    </r>
  </si>
  <si>
    <r>
      <rPr>
        <sz val="10"/>
        <rFont val="宋体"/>
        <family val="3"/>
        <charset val="134"/>
      </rPr>
      <t>五、账面价值合计</t>
    </r>
  </si>
  <si>
    <r>
      <rPr>
        <b/>
        <sz val="10"/>
        <rFont val="宋体"/>
        <family val="3"/>
        <charset val="134"/>
      </rPr>
      <t>（</t>
    </r>
    <r>
      <rPr>
        <b/>
        <sz val="10"/>
        <rFont val="Arial Narrow"/>
        <family val="2"/>
      </rPr>
      <t>2</t>
    </r>
    <r>
      <rPr>
        <b/>
        <sz val="10"/>
        <rFont val="宋体"/>
        <family val="3"/>
        <charset val="134"/>
      </rPr>
      <t>）年末已提足折旧仍继续使用的固定资产</t>
    </r>
    <phoneticPr fontId="5" type="noConversion"/>
  </si>
  <si>
    <r>
      <rPr>
        <sz val="10"/>
        <rFont val="宋体"/>
        <family val="3"/>
        <charset val="134"/>
      </rPr>
      <t>其中：房屋、建筑物</t>
    </r>
  </si>
  <si>
    <t>固定资产种类中无电子设备，将上年数调至管理用具及其他</t>
    <phoneticPr fontId="5" type="noConversion"/>
  </si>
  <si>
    <r>
      <rPr>
        <sz val="10"/>
        <rFont val="宋体"/>
        <family val="3"/>
        <charset val="134"/>
      </rPr>
      <t>办公设备</t>
    </r>
  </si>
  <si>
    <r>
      <rPr>
        <sz val="10"/>
        <rFont val="宋体"/>
        <family val="3"/>
        <charset val="134"/>
      </rPr>
      <t>酒店业家具</t>
    </r>
  </si>
  <si>
    <r>
      <rPr>
        <b/>
        <sz val="10"/>
        <rFont val="宋体"/>
        <family val="3"/>
        <charset val="134"/>
      </rPr>
      <t>（</t>
    </r>
    <r>
      <rPr>
        <b/>
        <sz val="10"/>
        <rFont val="Arial Narrow"/>
        <family val="2"/>
      </rPr>
      <t>4</t>
    </r>
    <r>
      <rPr>
        <b/>
        <sz val="10"/>
        <rFont val="宋体"/>
        <family val="3"/>
        <charset val="134"/>
      </rPr>
      <t>）固定资产折旧计提情况</t>
    </r>
    <phoneticPr fontId="5" type="noConversion"/>
  </si>
  <si>
    <r>
      <rPr>
        <sz val="10"/>
        <rFont val="宋体"/>
        <family val="3"/>
        <charset val="134"/>
      </rPr>
      <t>固定资产计提的折旧金额</t>
    </r>
    <phoneticPr fontId="5" type="noConversion"/>
  </si>
  <si>
    <r>
      <rPr>
        <sz val="10"/>
        <color indexed="12"/>
        <rFont val="楷体"/>
        <family val="3"/>
        <charset val="134"/>
      </rPr>
      <t>工程物资</t>
    </r>
    <phoneticPr fontId="5" type="noConversion"/>
  </si>
  <si>
    <r>
      <rPr>
        <sz val="10"/>
        <rFont val="宋体"/>
        <family val="3"/>
        <charset val="134"/>
      </rPr>
      <t>项</t>
    </r>
    <r>
      <rPr>
        <sz val="10"/>
        <rFont val="Arial Narrow"/>
        <family val="2"/>
      </rPr>
      <t xml:space="preserve">  </t>
    </r>
    <r>
      <rPr>
        <sz val="10"/>
        <rFont val="宋体"/>
        <family val="3"/>
        <charset val="134"/>
      </rPr>
      <t>目</t>
    </r>
    <phoneticPr fontId="5" type="noConversion"/>
  </si>
  <si>
    <r>
      <rPr>
        <sz val="10"/>
        <rFont val="宋体"/>
        <family val="3"/>
        <charset val="134"/>
      </rPr>
      <t>专用材料</t>
    </r>
  </si>
  <si>
    <r>
      <rPr>
        <sz val="10"/>
        <rFont val="宋体"/>
        <family val="3"/>
        <charset val="134"/>
      </rPr>
      <t>专用设备</t>
    </r>
  </si>
  <si>
    <r>
      <rPr>
        <sz val="10"/>
        <rFont val="宋体"/>
        <family val="3"/>
        <charset val="134"/>
      </rPr>
      <t>为生产准备的工具及器具</t>
    </r>
  </si>
  <si>
    <r>
      <rPr>
        <sz val="10"/>
        <rFont val="宋体"/>
        <family val="3"/>
        <charset val="134"/>
      </rPr>
      <t>其他</t>
    </r>
    <r>
      <rPr>
        <sz val="10"/>
        <rFont val="Arial Narrow"/>
        <family val="2"/>
      </rPr>
      <t>3</t>
    </r>
  </si>
  <si>
    <r>
      <rPr>
        <sz val="10"/>
        <rFont val="宋体"/>
        <family val="3"/>
        <charset val="134"/>
      </rPr>
      <t>其他</t>
    </r>
    <r>
      <rPr>
        <sz val="10"/>
        <rFont val="Arial Narrow"/>
        <family val="2"/>
      </rPr>
      <t>4</t>
    </r>
  </si>
  <si>
    <r>
      <rPr>
        <sz val="10"/>
        <rFont val="宋体"/>
        <family val="3"/>
        <charset val="134"/>
      </rPr>
      <t>其他</t>
    </r>
    <r>
      <rPr>
        <sz val="10"/>
        <rFont val="Arial Narrow"/>
        <family val="2"/>
      </rPr>
      <t>5</t>
    </r>
  </si>
  <si>
    <r>
      <rPr>
        <sz val="10"/>
        <rFont val="宋体"/>
        <family val="3"/>
        <charset val="134"/>
      </rPr>
      <t>其他</t>
    </r>
    <r>
      <rPr>
        <sz val="10"/>
        <rFont val="Arial Narrow"/>
        <family val="2"/>
      </rPr>
      <t>6</t>
    </r>
  </si>
  <si>
    <r>
      <rPr>
        <sz val="10"/>
        <rFont val="宋体"/>
        <family val="3"/>
        <charset val="134"/>
      </rPr>
      <t>其他</t>
    </r>
    <r>
      <rPr>
        <sz val="10"/>
        <rFont val="Arial Narrow"/>
        <family val="2"/>
      </rPr>
      <t>7</t>
    </r>
  </si>
  <si>
    <r>
      <rPr>
        <sz val="10"/>
        <rFont val="宋体"/>
        <family val="3"/>
        <charset val="134"/>
      </rPr>
      <t>合</t>
    </r>
    <r>
      <rPr>
        <sz val="10"/>
        <rFont val="Arial Narrow"/>
        <family val="2"/>
      </rPr>
      <t xml:space="preserve">   </t>
    </r>
    <r>
      <rPr>
        <sz val="10"/>
        <rFont val="宋体"/>
        <family val="3"/>
        <charset val="134"/>
      </rPr>
      <t>计</t>
    </r>
    <phoneticPr fontId="5" type="noConversion"/>
  </si>
  <si>
    <r>
      <rPr>
        <sz val="10"/>
        <color indexed="12"/>
        <rFont val="楷体"/>
        <family val="3"/>
        <charset val="134"/>
      </rPr>
      <t>无形资产</t>
    </r>
    <phoneticPr fontId="5" type="noConversion"/>
  </si>
  <si>
    <r>
      <rPr>
        <b/>
        <sz val="10"/>
        <rFont val="宋体"/>
        <family val="3"/>
        <charset val="134"/>
      </rPr>
      <t>（</t>
    </r>
    <r>
      <rPr>
        <b/>
        <sz val="10"/>
        <rFont val="Arial Narrow"/>
        <family val="2"/>
      </rPr>
      <t>1</t>
    </r>
    <r>
      <rPr>
        <b/>
        <sz val="10"/>
        <rFont val="宋体"/>
        <family val="3"/>
        <charset val="134"/>
      </rPr>
      <t>）无形资产情况</t>
    </r>
  </si>
  <si>
    <r>
      <rPr>
        <sz val="10"/>
        <rFont val="宋体"/>
        <family val="3"/>
        <charset val="134"/>
      </rPr>
      <t>①原价合计</t>
    </r>
    <phoneticPr fontId="5" type="noConversion"/>
  </si>
  <si>
    <r>
      <rPr>
        <sz val="10"/>
        <rFont val="宋体"/>
        <family val="3"/>
        <charset val="134"/>
      </rPr>
      <t>其中：软件</t>
    </r>
    <phoneticPr fontId="5" type="noConversion"/>
  </si>
  <si>
    <r>
      <rPr>
        <sz val="10"/>
        <rFont val="宋体"/>
        <family val="3"/>
        <charset val="134"/>
      </rPr>
      <t>土地使用权</t>
    </r>
    <phoneticPr fontId="5" type="noConversion"/>
  </si>
  <si>
    <r>
      <rPr>
        <sz val="10"/>
        <rFont val="宋体"/>
        <family val="3"/>
        <charset val="134"/>
      </rPr>
      <t>专利权</t>
    </r>
    <phoneticPr fontId="5" type="noConversion"/>
  </si>
  <si>
    <r>
      <rPr>
        <sz val="10"/>
        <rFont val="宋体"/>
        <family val="3"/>
        <charset val="134"/>
      </rPr>
      <t>非专利技术</t>
    </r>
    <phoneticPr fontId="5" type="noConversion"/>
  </si>
  <si>
    <r>
      <rPr>
        <sz val="10"/>
        <rFont val="宋体"/>
        <family val="3"/>
        <charset val="134"/>
      </rPr>
      <t>商标权</t>
    </r>
    <phoneticPr fontId="5" type="noConversion"/>
  </si>
  <si>
    <r>
      <rPr>
        <sz val="10"/>
        <rFont val="宋体"/>
        <family val="3"/>
        <charset val="134"/>
      </rPr>
      <t>著作权</t>
    </r>
    <phoneticPr fontId="5" type="noConversion"/>
  </si>
  <si>
    <r>
      <rPr>
        <sz val="10"/>
        <rFont val="宋体"/>
        <family val="3"/>
        <charset val="134"/>
      </rPr>
      <t>特许权</t>
    </r>
    <phoneticPr fontId="5" type="noConversion"/>
  </si>
  <si>
    <r>
      <rPr>
        <sz val="10"/>
        <rFont val="宋体"/>
        <family val="3"/>
        <charset val="134"/>
      </rPr>
      <t>采矿权、探矿权</t>
    </r>
    <phoneticPr fontId="5" type="noConversion"/>
  </si>
  <si>
    <r>
      <rPr>
        <sz val="10"/>
        <rFont val="宋体"/>
        <family val="3"/>
        <charset val="134"/>
      </rPr>
      <t>其他</t>
    </r>
    <phoneticPr fontId="5" type="noConversion"/>
  </si>
  <si>
    <r>
      <rPr>
        <sz val="10"/>
        <rFont val="宋体"/>
        <family val="3"/>
        <charset val="134"/>
      </rPr>
      <t>②累计摊销额合计</t>
    </r>
    <phoneticPr fontId="5" type="noConversion"/>
  </si>
  <si>
    <r>
      <rPr>
        <sz val="10"/>
        <rFont val="宋体"/>
        <family val="3"/>
        <charset val="134"/>
      </rPr>
      <t>③减值准备金额合计</t>
    </r>
    <phoneticPr fontId="5" type="noConversion"/>
  </si>
  <si>
    <r>
      <rPr>
        <sz val="10"/>
        <rFont val="宋体"/>
        <family val="3"/>
        <charset val="134"/>
      </rPr>
      <t>非专利技术</t>
    </r>
    <phoneticPr fontId="5" type="noConversion"/>
  </si>
  <si>
    <r>
      <rPr>
        <sz val="10"/>
        <rFont val="宋体"/>
        <family val="3"/>
        <charset val="134"/>
      </rPr>
      <t>商标权</t>
    </r>
    <phoneticPr fontId="5" type="noConversion"/>
  </si>
  <si>
    <r>
      <rPr>
        <sz val="10"/>
        <rFont val="宋体"/>
        <family val="3"/>
        <charset val="134"/>
      </rPr>
      <t>著作权</t>
    </r>
    <phoneticPr fontId="5" type="noConversion"/>
  </si>
  <si>
    <r>
      <rPr>
        <sz val="10"/>
        <rFont val="宋体"/>
        <family val="3"/>
        <charset val="134"/>
      </rPr>
      <t>特许权</t>
    </r>
    <phoneticPr fontId="5" type="noConversion"/>
  </si>
  <si>
    <r>
      <rPr>
        <sz val="10"/>
        <rFont val="宋体"/>
        <family val="3"/>
        <charset val="134"/>
      </rPr>
      <t>采矿权、探矿权</t>
    </r>
    <phoneticPr fontId="5" type="noConversion"/>
  </si>
  <si>
    <r>
      <rPr>
        <sz val="10"/>
        <rFont val="宋体"/>
        <family val="3"/>
        <charset val="134"/>
      </rPr>
      <t>④账面价值合计</t>
    </r>
    <phoneticPr fontId="5" type="noConversion"/>
  </si>
  <si>
    <r>
      <rPr>
        <b/>
        <sz val="10"/>
        <rFont val="宋体"/>
        <family val="3"/>
        <charset val="134"/>
      </rPr>
      <t>（</t>
    </r>
    <r>
      <rPr>
        <b/>
        <sz val="10"/>
        <rFont val="Arial Narrow"/>
        <family val="2"/>
      </rPr>
      <t>3</t>
    </r>
    <r>
      <rPr>
        <b/>
        <sz val="10"/>
        <rFont val="宋体"/>
        <family val="3"/>
        <charset val="134"/>
      </rPr>
      <t>）无形资产摊销情况</t>
    </r>
    <phoneticPr fontId="5" type="noConversion"/>
  </si>
  <si>
    <r>
      <rPr>
        <sz val="10"/>
        <rFont val="宋体"/>
        <family val="3"/>
        <charset val="134"/>
      </rPr>
      <t>无形资产摊销金额</t>
    </r>
    <phoneticPr fontId="5" type="noConversion"/>
  </si>
  <si>
    <r>
      <rPr>
        <sz val="10"/>
        <color indexed="12"/>
        <rFont val="楷体"/>
        <family val="3"/>
        <charset val="134"/>
      </rPr>
      <t>递延所得税资产与递延所得税负债</t>
    </r>
    <phoneticPr fontId="5" type="noConversion"/>
  </si>
  <si>
    <r>
      <rPr>
        <b/>
        <sz val="10"/>
        <rFont val="宋体"/>
        <family val="3"/>
        <charset val="134"/>
      </rPr>
      <t>（</t>
    </r>
    <r>
      <rPr>
        <b/>
        <sz val="10"/>
        <rFont val="Arial Narrow"/>
        <family val="2"/>
      </rPr>
      <t>1</t>
    </r>
    <r>
      <rPr>
        <b/>
        <sz val="10"/>
        <rFont val="宋体"/>
        <family val="3"/>
        <charset val="134"/>
      </rPr>
      <t>）递延所得税资产和递延所得税负债不以抵销后的净额列示</t>
    </r>
    <phoneticPr fontId="5" type="noConversion"/>
  </si>
  <si>
    <r>
      <rPr>
        <b/>
        <sz val="10"/>
        <rFont val="宋体"/>
        <family val="3"/>
        <charset val="134"/>
      </rPr>
      <t>①已经确认的递延所得税资产和递延所得税负债明细</t>
    </r>
    <phoneticPr fontId="5" type="noConversion"/>
  </si>
  <si>
    <r>
      <rPr>
        <sz val="10"/>
        <rFont val="宋体"/>
        <family val="3"/>
        <charset val="134"/>
      </rPr>
      <t>年初余额</t>
    </r>
    <phoneticPr fontId="5" type="noConversion"/>
  </si>
  <si>
    <r>
      <rPr>
        <sz val="10"/>
        <rFont val="宋体"/>
        <family val="3"/>
        <charset val="134"/>
      </rPr>
      <t>递延所得税资产或负债</t>
    </r>
    <phoneticPr fontId="5" type="noConversion"/>
  </si>
  <si>
    <r>
      <rPr>
        <sz val="10"/>
        <rFont val="宋体"/>
        <family val="3"/>
        <charset val="134"/>
      </rPr>
      <t>可抵扣或应纳税暂时性差异</t>
    </r>
    <phoneticPr fontId="5" type="noConversion"/>
  </si>
  <si>
    <r>
      <rPr>
        <sz val="10"/>
        <rFont val="宋体"/>
        <family val="3"/>
        <charset val="134"/>
      </rPr>
      <t>递延所得税资产或负债</t>
    </r>
  </si>
  <si>
    <r>
      <rPr>
        <sz val="10"/>
        <rFont val="Arial"/>
        <family val="2"/>
      </rPr>
      <t>递延所得税资产或负债</t>
    </r>
  </si>
  <si>
    <r>
      <rPr>
        <sz val="10"/>
        <rFont val="Arial"/>
        <family val="2"/>
      </rPr>
      <t>可抵扣或应纳税暂时性差异</t>
    </r>
    <phoneticPr fontId="5" type="noConversion"/>
  </si>
  <si>
    <r>
      <rPr>
        <sz val="10"/>
        <rFont val="宋体"/>
        <family val="3"/>
        <charset val="134"/>
      </rPr>
      <t>递延所得税资产：</t>
    </r>
    <phoneticPr fontId="5" type="noConversion"/>
  </si>
  <si>
    <r>
      <rPr>
        <sz val="10"/>
        <rFont val="宋体"/>
        <family val="3"/>
        <charset val="134"/>
      </rPr>
      <t>资产减值准备</t>
    </r>
  </si>
  <si>
    <r>
      <rPr>
        <sz val="10"/>
        <rFont val="宋体"/>
        <family val="3"/>
        <charset val="134"/>
      </rPr>
      <t>存货购销内部未实现销售利润</t>
    </r>
    <phoneticPr fontId="5" type="noConversion"/>
  </si>
  <si>
    <r>
      <rPr>
        <sz val="10"/>
        <rFont val="宋体"/>
        <family val="3"/>
        <charset val="134"/>
      </rPr>
      <t>固定资产计提折旧的时间性差异</t>
    </r>
  </si>
  <si>
    <r>
      <rPr>
        <sz val="10"/>
        <rFont val="宋体"/>
        <family val="3"/>
        <charset val="134"/>
      </rPr>
      <t>无形资产摊销的时间性差异</t>
    </r>
  </si>
  <si>
    <r>
      <rPr>
        <sz val="10"/>
        <rFont val="宋体"/>
        <family val="3"/>
        <charset val="134"/>
      </rPr>
      <t>交易性金融资产的公允价值变动</t>
    </r>
  </si>
  <si>
    <r>
      <rPr>
        <sz val="10"/>
        <rFont val="宋体"/>
        <family val="3"/>
        <charset val="134"/>
      </rPr>
      <t>计入资本公积的可供出售金融资产公允价值变动</t>
    </r>
  </si>
  <si>
    <r>
      <rPr>
        <sz val="10"/>
        <rFont val="宋体"/>
        <family val="3"/>
        <charset val="134"/>
      </rPr>
      <t>可抵扣亏损</t>
    </r>
  </si>
  <si>
    <r>
      <rPr>
        <sz val="10"/>
        <rFont val="宋体"/>
        <family val="3"/>
        <charset val="134"/>
      </rPr>
      <t>辞退福利</t>
    </r>
  </si>
  <si>
    <r>
      <rPr>
        <sz val="10"/>
        <rFont val="宋体"/>
        <family val="3"/>
        <charset val="134"/>
      </rPr>
      <t>应付中人补偿及其他</t>
    </r>
  </si>
  <si>
    <r>
      <rPr>
        <sz val="10"/>
        <rFont val="宋体"/>
        <family val="3"/>
        <charset val="134"/>
      </rPr>
      <t>预计负债</t>
    </r>
  </si>
  <si>
    <t>差异为上年报告与调整系统不一致，经查询，报告披露正确</t>
    <phoneticPr fontId="5" type="noConversion"/>
  </si>
  <si>
    <r>
      <rPr>
        <sz val="10"/>
        <rFont val="宋体"/>
        <family val="3"/>
        <charset val="134"/>
      </rPr>
      <t>专项储备结余</t>
    </r>
  </si>
  <si>
    <r>
      <rPr>
        <sz val="10"/>
        <rFont val="宋体"/>
        <family val="3"/>
        <charset val="134"/>
      </rPr>
      <t>递延收益</t>
    </r>
    <phoneticPr fontId="5" type="noConversion"/>
  </si>
  <si>
    <r>
      <rPr>
        <sz val="10"/>
        <rFont val="宋体"/>
        <family val="3"/>
        <charset val="134"/>
      </rPr>
      <t>其他应付款：</t>
    </r>
    <phoneticPr fontId="5" type="noConversion"/>
  </si>
  <si>
    <r>
      <t xml:space="preserve">   -</t>
    </r>
    <r>
      <rPr>
        <sz val="10"/>
        <rFont val="宋体"/>
        <family val="3"/>
        <charset val="134"/>
      </rPr>
      <t>衍生工具利息费用</t>
    </r>
    <phoneticPr fontId="5" type="noConversion"/>
  </si>
  <si>
    <r>
      <t xml:space="preserve">   -</t>
    </r>
    <r>
      <rPr>
        <sz val="10"/>
        <rFont val="宋体"/>
        <family val="3"/>
        <charset val="134"/>
      </rPr>
      <t>应付阜康神龙债务款</t>
    </r>
    <phoneticPr fontId="5" type="noConversion"/>
  </si>
  <si>
    <r>
      <rPr>
        <sz val="10"/>
        <rFont val="宋体"/>
        <family val="3"/>
        <charset val="134"/>
      </rPr>
      <t>其他</t>
    </r>
    <r>
      <rPr>
        <sz val="10"/>
        <rFont val="Arial Narrow"/>
        <family val="2"/>
      </rPr>
      <t>-1</t>
    </r>
    <phoneticPr fontId="5" type="noConversion"/>
  </si>
  <si>
    <r>
      <rPr>
        <sz val="10"/>
        <rFont val="宋体"/>
        <family val="3"/>
        <charset val="134"/>
      </rPr>
      <t>其他</t>
    </r>
    <r>
      <rPr>
        <sz val="10"/>
        <rFont val="Arial Narrow"/>
        <family val="2"/>
      </rPr>
      <t>-2</t>
    </r>
  </si>
  <si>
    <r>
      <rPr>
        <sz val="10"/>
        <rFont val="宋体"/>
        <family val="3"/>
        <charset val="134"/>
      </rPr>
      <t>其他</t>
    </r>
    <r>
      <rPr>
        <sz val="10"/>
        <rFont val="Arial Narrow"/>
        <family val="2"/>
      </rPr>
      <t>-3</t>
    </r>
  </si>
  <si>
    <r>
      <rPr>
        <sz val="10"/>
        <rFont val="宋体"/>
        <family val="3"/>
        <charset val="134"/>
      </rPr>
      <t>其他</t>
    </r>
    <r>
      <rPr>
        <sz val="10"/>
        <rFont val="Arial Narrow"/>
        <family val="2"/>
      </rPr>
      <t>-4</t>
    </r>
    <phoneticPr fontId="5" type="noConversion"/>
  </si>
  <si>
    <r>
      <rPr>
        <sz val="10"/>
        <rFont val="宋体"/>
        <family val="3"/>
        <charset val="134"/>
      </rPr>
      <t>合计</t>
    </r>
  </si>
  <si>
    <r>
      <rPr>
        <sz val="10"/>
        <rFont val="宋体"/>
        <family val="3"/>
        <charset val="134"/>
      </rPr>
      <t>递延所得税负债：</t>
    </r>
  </si>
  <si>
    <r>
      <rPr>
        <sz val="10"/>
        <rFont val="宋体"/>
        <family val="3"/>
        <charset val="134"/>
      </rPr>
      <t>交易性金融资产的公允价值变动</t>
    </r>
    <phoneticPr fontId="5" type="noConversion"/>
  </si>
  <si>
    <r>
      <rPr>
        <sz val="10"/>
        <rFont val="宋体"/>
        <family val="3"/>
        <charset val="134"/>
      </rPr>
      <t>计入资本公积的可供出售金融资产公允价值变动</t>
    </r>
    <phoneticPr fontId="5" type="noConversion"/>
  </si>
  <si>
    <r>
      <rPr>
        <sz val="10"/>
        <rFont val="宋体"/>
        <family val="3"/>
        <charset val="134"/>
      </rPr>
      <t>因资产的账面价值与计税基础不同形成</t>
    </r>
    <phoneticPr fontId="5" type="noConversion"/>
  </si>
  <si>
    <r>
      <rPr>
        <sz val="10"/>
        <rFont val="宋体"/>
        <family val="3"/>
        <charset val="134"/>
      </rPr>
      <t>因负债的账面价值与计税基础不同形成</t>
    </r>
    <phoneticPr fontId="5" type="noConversion"/>
  </si>
  <si>
    <r>
      <rPr>
        <sz val="10"/>
        <rFont val="宋体"/>
        <family val="3"/>
        <charset val="134"/>
      </rPr>
      <t>其他</t>
    </r>
    <r>
      <rPr>
        <sz val="10"/>
        <rFont val="Arial Narrow"/>
        <family val="2"/>
      </rPr>
      <t>-1</t>
    </r>
    <phoneticPr fontId="5" type="noConversion"/>
  </si>
  <si>
    <r>
      <rPr>
        <b/>
        <sz val="10"/>
        <rFont val="宋体"/>
        <family val="3"/>
        <charset val="134"/>
      </rPr>
      <t>②未确认递延所得税资产明细</t>
    </r>
    <phoneticPr fontId="5" type="noConversion"/>
  </si>
  <si>
    <r>
      <rPr>
        <sz val="10"/>
        <rFont val="宋体"/>
        <family val="3"/>
        <charset val="134"/>
      </rPr>
      <t>项</t>
    </r>
    <r>
      <rPr>
        <sz val="10"/>
        <rFont val="Arial Narrow"/>
        <family val="2"/>
      </rPr>
      <t xml:space="preserve">  </t>
    </r>
    <r>
      <rPr>
        <sz val="10"/>
        <rFont val="宋体"/>
        <family val="3"/>
        <charset val="134"/>
      </rPr>
      <t>目</t>
    </r>
  </si>
  <si>
    <r>
      <rPr>
        <sz val="10"/>
        <rFont val="宋体"/>
        <family val="3"/>
        <charset val="134"/>
      </rPr>
      <t>可抵扣暂时性差异</t>
    </r>
    <r>
      <rPr>
        <sz val="10"/>
        <rFont val="Arial Narrow"/>
        <family val="2"/>
      </rPr>
      <t>—</t>
    </r>
    <r>
      <rPr>
        <sz val="10"/>
        <rFont val="宋体"/>
        <family val="3"/>
        <charset val="134"/>
      </rPr>
      <t>减值准备</t>
    </r>
    <phoneticPr fontId="5" type="noConversion"/>
  </si>
  <si>
    <t>该金额为一汽配清算转入坏账准备，未确认递延所得税资产，上年度未披露，后田总建议调整可比数据</t>
    <phoneticPr fontId="5" type="noConversion"/>
  </si>
  <si>
    <r>
      <rPr>
        <sz val="10"/>
        <rFont val="宋体"/>
        <family val="3"/>
        <charset val="134"/>
      </rPr>
      <t>其他</t>
    </r>
    <r>
      <rPr>
        <sz val="10"/>
        <rFont val="Arial Narrow"/>
        <family val="2"/>
      </rPr>
      <t>-4</t>
    </r>
  </si>
  <si>
    <r>
      <rPr>
        <sz val="10"/>
        <rFont val="宋体"/>
        <family val="3"/>
        <charset val="134"/>
      </rPr>
      <t>其他</t>
    </r>
    <r>
      <rPr>
        <sz val="10"/>
        <rFont val="Arial Narrow"/>
        <family val="2"/>
      </rPr>
      <t>-5</t>
    </r>
  </si>
  <si>
    <r>
      <rPr>
        <sz val="10"/>
        <rFont val="宋体"/>
        <family val="3"/>
        <charset val="134"/>
      </rPr>
      <t>其他</t>
    </r>
    <r>
      <rPr>
        <sz val="10"/>
        <rFont val="Arial Narrow"/>
        <family val="2"/>
      </rPr>
      <t>-6</t>
    </r>
  </si>
  <si>
    <r>
      <rPr>
        <sz val="10"/>
        <rFont val="宋体"/>
        <family val="3"/>
        <charset val="134"/>
      </rPr>
      <t>其他</t>
    </r>
    <r>
      <rPr>
        <sz val="10"/>
        <rFont val="Arial Narrow"/>
        <family val="2"/>
      </rPr>
      <t>-7</t>
    </r>
  </si>
  <si>
    <r>
      <rPr>
        <sz val="10"/>
        <rFont val="宋体"/>
        <family val="3"/>
        <charset val="134"/>
      </rPr>
      <t>其他</t>
    </r>
    <r>
      <rPr>
        <sz val="10"/>
        <rFont val="Arial Narrow"/>
        <family val="2"/>
      </rPr>
      <t>-8</t>
    </r>
  </si>
  <si>
    <r>
      <rPr>
        <sz val="10"/>
        <color indexed="12"/>
        <rFont val="楷体"/>
        <family val="3"/>
        <charset val="134"/>
      </rPr>
      <t>所有权或使用权受限制的资产</t>
    </r>
    <phoneticPr fontId="5" type="noConversion"/>
  </si>
  <si>
    <r>
      <rPr>
        <sz val="10"/>
        <rFont val="宋体"/>
        <family val="3"/>
        <charset val="134"/>
      </rPr>
      <t>所有权受到限制的资产类别</t>
    </r>
    <phoneticPr fontId="5" type="noConversion"/>
  </si>
  <si>
    <r>
      <rPr>
        <sz val="10"/>
        <rFont val="宋体"/>
        <family val="3"/>
        <charset val="134"/>
      </rPr>
      <t>一、用于担保的资产</t>
    </r>
  </si>
  <si>
    <r>
      <rPr>
        <sz val="10"/>
        <rFont val="宋体"/>
        <family val="3"/>
        <charset val="134"/>
      </rPr>
      <t>　其中：土地使用权</t>
    </r>
    <phoneticPr fontId="5" type="noConversion"/>
  </si>
  <si>
    <r>
      <t xml:space="preserve">        </t>
    </r>
    <r>
      <rPr>
        <sz val="10"/>
        <rFont val="宋体"/>
        <family val="3"/>
        <charset val="134"/>
      </rPr>
      <t>房屋建筑物</t>
    </r>
    <phoneticPr fontId="5" type="noConversion"/>
  </si>
  <si>
    <r>
      <t xml:space="preserve">        </t>
    </r>
    <r>
      <rPr>
        <sz val="10"/>
        <rFont val="宋体"/>
        <family val="3"/>
        <charset val="134"/>
      </rPr>
      <t>机器设备</t>
    </r>
    <phoneticPr fontId="5" type="noConversion"/>
  </si>
  <si>
    <r>
      <t xml:space="preserve">        </t>
    </r>
    <r>
      <rPr>
        <sz val="10"/>
        <rFont val="宋体"/>
        <family val="3"/>
        <charset val="134"/>
      </rPr>
      <t>货币资金</t>
    </r>
    <phoneticPr fontId="5" type="noConversion"/>
  </si>
  <si>
    <r>
      <t xml:space="preserve">       </t>
    </r>
    <r>
      <rPr>
        <sz val="10"/>
        <rFont val="宋体"/>
        <family val="3"/>
        <charset val="134"/>
      </rPr>
      <t>长期股权投资</t>
    </r>
    <phoneticPr fontId="5" type="noConversion"/>
  </si>
  <si>
    <r>
      <t xml:space="preserve">       </t>
    </r>
    <r>
      <rPr>
        <sz val="10"/>
        <rFont val="宋体"/>
        <family val="3"/>
        <charset val="134"/>
      </rPr>
      <t>采矿权、探矿权</t>
    </r>
    <phoneticPr fontId="5" type="noConversion"/>
  </si>
  <si>
    <r>
      <t xml:space="preserve">    </t>
    </r>
    <r>
      <rPr>
        <sz val="10"/>
        <rFont val="宋体"/>
        <family val="3"/>
        <charset val="134"/>
      </rPr>
      <t>应收票据</t>
    </r>
    <phoneticPr fontId="5" type="noConversion"/>
  </si>
  <si>
    <r>
      <t xml:space="preserve">    </t>
    </r>
    <r>
      <rPr>
        <sz val="10"/>
        <rFont val="宋体"/>
        <family val="3"/>
        <charset val="134"/>
      </rPr>
      <t>应收账款</t>
    </r>
    <phoneticPr fontId="5" type="noConversion"/>
  </si>
  <si>
    <r>
      <t xml:space="preserve">    </t>
    </r>
    <r>
      <rPr>
        <sz val="10"/>
        <rFont val="宋体"/>
        <family val="3"/>
        <charset val="134"/>
      </rPr>
      <t>在建工程</t>
    </r>
    <phoneticPr fontId="5" type="noConversion"/>
  </si>
  <si>
    <r>
      <rPr>
        <sz val="10"/>
        <rFont val="宋体"/>
        <family val="3"/>
        <charset val="134"/>
      </rPr>
      <t>二、其它原因造成所有权受到限制的资产</t>
    </r>
  </si>
  <si>
    <r>
      <rPr>
        <sz val="10"/>
        <color indexed="12"/>
        <rFont val="楷体"/>
        <family val="3"/>
        <charset val="134"/>
      </rPr>
      <t>短期借款</t>
    </r>
    <phoneticPr fontId="5" type="noConversion"/>
  </si>
  <si>
    <r>
      <rPr>
        <b/>
        <sz val="10"/>
        <rFont val="宋体"/>
        <family val="3"/>
        <charset val="134"/>
      </rPr>
      <t>（</t>
    </r>
    <r>
      <rPr>
        <b/>
        <sz val="10"/>
        <rFont val="Arial Narrow"/>
        <family val="2"/>
      </rPr>
      <t>1</t>
    </r>
    <r>
      <rPr>
        <b/>
        <sz val="10"/>
        <rFont val="宋体"/>
        <family val="3"/>
        <charset val="134"/>
      </rPr>
      <t>）短期借款分类</t>
    </r>
    <phoneticPr fontId="5" type="noConversion"/>
  </si>
  <si>
    <r>
      <rPr>
        <sz val="10"/>
        <rFont val="宋体"/>
        <family val="3"/>
        <charset val="134"/>
      </rPr>
      <t>借款类别</t>
    </r>
    <phoneticPr fontId="5" type="noConversion"/>
  </si>
  <si>
    <r>
      <rPr>
        <sz val="10"/>
        <rFont val="宋体"/>
        <family val="3"/>
        <charset val="134"/>
      </rPr>
      <t>质押借款</t>
    </r>
  </si>
  <si>
    <r>
      <rPr>
        <sz val="10"/>
        <rFont val="宋体"/>
        <family val="3"/>
        <charset val="134"/>
      </rPr>
      <t>抵押借款</t>
    </r>
  </si>
  <si>
    <r>
      <rPr>
        <sz val="10"/>
        <rFont val="宋体"/>
        <family val="3"/>
        <charset val="134"/>
      </rPr>
      <t>保证借款</t>
    </r>
  </si>
  <si>
    <r>
      <rPr>
        <sz val="10"/>
        <rFont val="宋体"/>
        <family val="3"/>
        <charset val="134"/>
      </rPr>
      <t>信用借款</t>
    </r>
  </si>
  <si>
    <r>
      <rPr>
        <sz val="10"/>
        <color indexed="12"/>
        <rFont val="楷体"/>
        <family val="3"/>
        <charset val="134"/>
      </rPr>
      <t>交易性金融负债</t>
    </r>
    <phoneticPr fontId="5" type="noConversion"/>
  </si>
  <si>
    <r>
      <rPr>
        <sz val="10"/>
        <rFont val="宋体"/>
        <family val="3"/>
        <charset val="134"/>
      </rPr>
      <t>发行的交易性债券</t>
    </r>
  </si>
  <si>
    <r>
      <rPr>
        <sz val="10"/>
        <rFont val="宋体"/>
        <family val="3"/>
        <charset val="134"/>
      </rPr>
      <t>指定为以公允价值计量且其变动计入当期损益的金融负债</t>
    </r>
  </si>
  <si>
    <r>
      <rPr>
        <sz val="10"/>
        <rFont val="宋体"/>
        <family val="3"/>
        <charset val="134"/>
      </rPr>
      <t>衍生金融负债</t>
    </r>
  </si>
  <si>
    <r>
      <rPr>
        <sz val="10"/>
        <rFont val="宋体"/>
        <family val="3"/>
        <charset val="134"/>
      </rPr>
      <t>其他金融负债</t>
    </r>
  </si>
  <si>
    <r>
      <rPr>
        <sz val="10"/>
        <color indexed="12"/>
        <rFont val="楷体"/>
        <family val="3"/>
        <charset val="134"/>
      </rPr>
      <t>应付票据</t>
    </r>
    <phoneticPr fontId="5" type="noConversion"/>
  </si>
  <si>
    <r>
      <rPr>
        <sz val="10"/>
        <color indexed="12"/>
        <rFont val="楷体"/>
        <family val="3"/>
        <charset val="134"/>
      </rPr>
      <t>应付账款</t>
    </r>
    <phoneticPr fontId="5" type="noConversion"/>
  </si>
  <si>
    <r>
      <rPr>
        <b/>
        <sz val="10"/>
        <rFont val="宋体"/>
        <family val="3"/>
        <charset val="134"/>
      </rPr>
      <t>（</t>
    </r>
    <r>
      <rPr>
        <b/>
        <sz val="10"/>
        <rFont val="Arial Narrow"/>
        <family val="2"/>
      </rPr>
      <t>1</t>
    </r>
    <r>
      <rPr>
        <b/>
        <sz val="10"/>
        <rFont val="宋体"/>
        <family val="3"/>
        <charset val="134"/>
      </rPr>
      <t>）应付账款账龄情况</t>
    </r>
  </si>
  <si>
    <r>
      <rPr>
        <sz val="10"/>
        <rFont val="宋体"/>
        <family val="3"/>
        <charset val="134"/>
      </rPr>
      <t>账</t>
    </r>
    <r>
      <rPr>
        <sz val="10"/>
        <rFont val="Arial Narrow"/>
        <family val="2"/>
      </rPr>
      <t xml:space="preserve">   </t>
    </r>
    <r>
      <rPr>
        <sz val="10"/>
        <rFont val="宋体"/>
        <family val="3"/>
        <charset val="134"/>
      </rPr>
      <t>龄</t>
    </r>
  </si>
  <si>
    <r>
      <rPr>
        <sz val="10"/>
        <rFont val="宋体"/>
        <family val="3"/>
        <charset val="134"/>
      </rPr>
      <t>差额</t>
    </r>
    <phoneticPr fontId="5" type="noConversion"/>
  </si>
  <si>
    <r>
      <t>1-2</t>
    </r>
    <r>
      <rPr>
        <sz val="10"/>
        <rFont val="宋体"/>
        <family val="3"/>
        <charset val="134"/>
      </rPr>
      <t>年</t>
    </r>
    <r>
      <rPr>
        <sz val="10"/>
        <rFont val="Arial Narrow"/>
        <family val="2"/>
      </rPr>
      <t xml:space="preserve"> (</t>
    </r>
    <r>
      <rPr>
        <sz val="10"/>
        <rFont val="宋体"/>
        <family val="3"/>
        <charset val="134"/>
      </rPr>
      <t>含</t>
    </r>
    <r>
      <rPr>
        <sz val="10"/>
        <rFont val="Arial Narrow"/>
        <family val="2"/>
      </rPr>
      <t>2</t>
    </r>
    <r>
      <rPr>
        <sz val="10"/>
        <rFont val="宋体"/>
        <family val="3"/>
        <charset val="134"/>
      </rPr>
      <t>年</t>
    </r>
    <r>
      <rPr>
        <sz val="10"/>
        <rFont val="Arial Narrow"/>
        <family val="2"/>
      </rPr>
      <t>)</t>
    </r>
  </si>
  <si>
    <r>
      <t>2-3</t>
    </r>
    <r>
      <rPr>
        <sz val="10"/>
        <rFont val="宋体"/>
        <family val="3"/>
        <charset val="134"/>
      </rPr>
      <t>年</t>
    </r>
    <r>
      <rPr>
        <sz val="10"/>
        <rFont val="Arial Narrow"/>
        <family val="2"/>
      </rPr>
      <t xml:space="preserve"> (</t>
    </r>
    <r>
      <rPr>
        <sz val="10"/>
        <rFont val="宋体"/>
        <family val="3"/>
        <charset val="134"/>
      </rPr>
      <t>含</t>
    </r>
    <r>
      <rPr>
        <sz val="10"/>
        <rFont val="Arial Narrow"/>
        <family val="2"/>
      </rPr>
      <t>3</t>
    </r>
    <r>
      <rPr>
        <sz val="10"/>
        <rFont val="宋体"/>
        <family val="3"/>
        <charset val="134"/>
      </rPr>
      <t>年</t>
    </r>
    <r>
      <rPr>
        <sz val="10"/>
        <rFont val="Arial Narrow"/>
        <family val="2"/>
      </rPr>
      <t>)</t>
    </r>
  </si>
  <si>
    <r>
      <t>3</t>
    </r>
    <r>
      <rPr>
        <sz val="10"/>
        <rFont val="宋体"/>
        <family val="3"/>
        <charset val="134"/>
      </rPr>
      <t>年以上</t>
    </r>
  </si>
  <si>
    <r>
      <rPr>
        <sz val="10"/>
        <color indexed="12"/>
        <rFont val="楷体"/>
        <family val="3"/>
        <charset val="134"/>
      </rPr>
      <t>预收款项</t>
    </r>
    <phoneticPr fontId="5" type="noConversion"/>
  </si>
  <si>
    <r>
      <rPr>
        <b/>
        <sz val="10"/>
        <rFont val="宋体"/>
        <family val="3"/>
        <charset val="134"/>
      </rPr>
      <t>（</t>
    </r>
    <r>
      <rPr>
        <b/>
        <sz val="10"/>
        <rFont val="Arial Narrow"/>
        <family val="2"/>
      </rPr>
      <t>1</t>
    </r>
    <r>
      <rPr>
        <b/>
        <sz val="10"/>
        <rFont val="宋体"/>
        <family val="3"/>
        <charset val="134"/>
      </rPr>
      <t>）预收款项账龄情况</t>
    </r>
  </si>
  <si>
    <r>
      <rPr>
        <sz val="10"/>
        <color indexed="12"/>
        <rFont val="楷体"/>
        <family val="3"/>
        <charset val="134"/>
      </rPr>
      <t>应付职工薪酬</t>
    </r>
    <phoneticPr fontId="5" type="noConversion"/>
  </si>
  <si>
    <r>
      <rPr>
        <sz val="10"/>
        <rFont val="宋体"/>
        <family val="3"/>
        <charset val="134"/>
      </rPr>
      <t>①工资、奖金、津贴和补贴</t>
    </r>
    <phoneticPr fontId="5" type="noConversion"/>
  </si>
  <si>
    <r>
      <rPr>
        <sz val="10"/>
        <rFont val="宋体"/>
        <family val="3"/>
        <charset val="134"/>
      </rPr>
      <t>②职工福利费</t>
    </r>
    <phoneticPr fontId="5" type="noConversion"/>
  </si>
  <si>
    <r>
      <rPr>
        <sz val="10"/>
        <rFont val="宋体"/>
        <family val="3"/>
        <charset val="134"/>
      </rPr>
      <t>其中：非货币性福利</t>
    </r>
    <phoneticPr fontId="5" type="noConversion"/>
  </si>
  <si>
    <r>
      <rPr>
        <sz val="10"/>
        <rFont val="宋体"/>
        <family val="3"/>
        <charset val="134"/>
      </rPr>
      <t>③社会保险费</t>
    </r>
    <phoneticPr fontId="5" type="noConversion"/>
  </si>
  <si>
    <r>
      <rPr>
        <sz val="10"/>
        <rFont val="宋体"/>
        <family val="3"/>
        <charset val="134"/>
      </rPr>
      <t>其中：基本医疗保险费</t>
    </r>
    <phoneticPr fontId="5" type="noConversion"/>
  </si>
  <si>
    <r>
      <t xml:space="preserve">      </t>
    </r>
    <r>
      <rPr>
        <sz val="10"/>
        <rFont val="宋体"/>
        <family val="3"/>
        <charset val="134"/>
      </rPr>
      <t>补充医疗保险费</t>
    </r>
    <phoneticPr fontId="5" type="noConversion"/>
  </si>
  <si>
    <r>
      <t xml:space="preserve">      </t>
    </r>
    <r>
      <rPr>
        <sz val="10"/>
        <rFont val="宋体"/>
        <family val="3"/>
        <charset val="134"/>
      </rPr>
      <t>基本养老保险费</t>
    </r>
    <phoneticPr fontId="5" type="noConversion"/>
  </si>
  <si>
    <r>
      <t xml:space="preserve">      </t>
    </r>
    <r>
      <rPr>
        <sz val="10"/>
        <rFont val="宋体"/>
        <family val="3"/>
        <charset val="134"/>
      </rPr>
      <t>年金缴费（补充养老金）</t>
    </r>
    <phoneticPr fontId="5" type="noConversion"/>
  </si>
  <si>
    <r>
      <t xml:space="preserve">      </t>
    </r>
    <r>
      <rPr>
        <sz val="10"/>
        <rFont val="宋体"/>
        <family val="3"/>
        <charset val="134"/>
      </rPr>
      <t>失业保险费</t>
    </r>
    <phoneticPr fontId="5" type="noConversion"/>
  </si>
  <si>
    <r>
      <t xml:space="preserve">      </t>
    </r>
    <r>
      <rPr>
        <sz val="10"/>
        <rFont val="宋体"/>
        <family val="3"/>
        <charset val="134"/>
      </rPr>
      <t>工伤保险费</t>
    </r>
    <phoneticPr fontId="5" type="noConversion"/>
  </si>
  <si>
    <r>
      <t xml:space="preserve">      </t>
    </r>
    <r>
      <rPr>
        <sz val="10"/>
        <rFont val="宋体"/>
        <family val="3"/>
        <charset val="134"/>
      </rPr>
      <t>生育保险费</t>
    </r>
    <phoneticPr fontId="5" type="noConversion"/>
  </si>
  <si>
    <r>
      <rPr>
        <sz val="10"/>
        <rFont val="宋体"/>
        <family val="3"/>
        <charset val="134"/>
      </rPr>
      <t>④住房公积金</t>
    </r>
    <phoneticPr fontId="5" type="noConversion"/>
  </si>
  <si>
    <r>
      <rPr>
        <sz val="10"/>
        <rFont val="宋体"/>
        <family val="3"/>
        <charset val="134"/>
      </rPr>
      <t>⑤工会经费和职工教育经费</t>
    </r>
    <phoneticPr fontId="5" type="noConversion"/>
  </si>
  <si>
    <r>
      <rPr>
        <sz val="10"/>
        <rFont val="宋体"/>
        <family val="3"/>
        <charset val="134"/>
      </rPr>
      <t>⑥非货币性福利</t>
    </r>
    <phoneticPr fontId="5" type="noConversion"/>
  </si>
  <si>
    <r>
      <rPr>
        <sz val="10"/>
        <rFont val="宋体"/>
        <family val="3"/>
        <charset val="134"/>
      </rPr>
      <t>⑥辞退福利及内退补偿</t>
    </r>
    <phoneticPr fontId="5" type="noConversion"/>
  </si>
  <si>
    <r>
      <rPr>
        <sz val="10"/>
        <rFont val="宋体"/>
        <family val="3"/>
        <charset val="134"/>
      </rPr>
      <t>⑦辞退福利及内退补偿</t>
    </r>
    <phoneticPr fontId="5" type="noConversion"/>
  </si>
  <si>
    <r>
      <rPr>
        <sz val="10"/>
        <rFont val="宋体"/>
        <family val="3"/>
        <charset val="134"/>
      </rPr>
      <t>其中：因解除劳动关系给予的补偿</t>
    </r>
    <phoneticPr fontId="5" type="noConversion"/>
  </si>
  <si>
    <r>
      <t xml:space="preserve">      </t>
    </r>
    <r>
      <rPr>
        <sz val="10"/>
        <rFont val="宋体"/>
        <family val="3"/>
        <charset val="134"/>
      </rPr>
      <t>预计内退人员支出</t>
    </r>
    <phoneticPr fontId="5" type="noConversion"/>
  </si>
  <si>
    <r>
      <rPr>
        <sz val="10"/>
        <rFont val="宋体"/>
        <family val="3"/>
        <charset val="134"/>
      </rPr>
      <t>⑦其他</t>
    </r>
    <phoneticPr fontId="5" type="noConversion"/>
  </si>
  <si>
    <r>
      <rPr>
        <sz val="10"/>
        <rFont val="宋体"/>
        <family val="3"/>
        <charset val="134"/>
      </rPr>
      <t>⑧其他</t>
    </r>
    <phoneticPr fontId="5" type="noConversion"/>
  </si>
  <si>
    <r>
      <rPr>
        <sz val="10"/>
        <rFont val="宋体"/>
        <family val="3"/>
        <charset val="134"/>
      </rPr>
      <t>其中：以现金结算的股份支付</t>
    </r>
    <phoneticPr fontId="5" type="noConversion"/>
  </si>
  <si>
    <r>
      <rPr>
        <sz val="10"/>
        <color indexed="12"/>
        <rFont val="楷体"/>
        <family val="3"/>
        <charset val="134"/>
      </rPr>
      <t>应交税费</t>
    </r>
    <phoneticPr fontId="5" type="noConversion"/>
  </si>
  <si>
    <r>
      <rPr>
        <sz val="10"/>
        <rFont val="宋体"/>
        <family val="3"/>
        <charset val="134"/>
      </rPr>
      <t>资源税</t>
    </r>
  </si>
  <si>
    <r>
      <rPr>
        <sz val="10"/>
        <rFont val="宋体"/>
        <family val="3"/>
        <charset val="134"/>
      </rPr>
      <t>企业所得税</t>
    </r>
  </si>
  <si>
    <r>
      <rPr>
        <sz val="10"/>
        <rFont val="宋体"/>
        <family val="3"/>
        <charset val="134"/>
      </rPr>
      <t>城市维护建设税</t>
    </r>
  </si>
  <si>
    <r>
      <rPr>
        <sz val="10"/>
        <rFont val="宋体"/>
        <family val="3"/>
        <charset val="134"/>
      </rPr>
      <t>房产税</t>
    </r>
  </si>
  <si>
    <r>
      <rPr>
        <sz val="10"/>
        <rFont val="宋体"/>
        <family val="3"/>
        <charset val="134"/>
      </rPr>
      <t>土地使用税</t>
    </r>
  </si>
  <si>
    <r>
      <rPr>
        <sz val="10"/>
        <rFont val="宋体"/>
        <family val="3"/>
        <charset val="134"/>
      </rPr>
      <t>个人所得税</t>
    </r>
  </si>
  <si>
    <r>
      <rPr>
        <sz val="10"/>
        <rFont val="宋体"/>
        <family val="3"/>
        <charset val="134"/>
      </rPr>
      <t>教育费附加</t>
    </r>
    <phoneticPr fontId="5" type="noConversion"/>
  </si>
  <si>
    <r>
      <rPr>
        <sz val="10"/>
        <rFont val="宋体"/>
        <family val="3"/>
        <charset val="134"/>
      </rPr>
      <t>其他税费</t>
    </r>
    <phoneticPr fontId="5" type="noConversion"/>
  </si>
  <si>
    <r>
      <rPr>
        <sz val="10"/>
        <color indexed="12"/>
        <rFont val="楷体"/>
        <family val="3"/>
        <charset val="134"/>
      </rPr>
      <t>应付利息</t>
    </r>
    <phoneticPr fontId="5" type="noConversion"/>
  </si>
  <si>
    <r>
      <rPr>
        <sz val="10"/>
        <rFont val="宋体"/>
        <family val="3"/>
        <charset val="134"/>
      </rPr>
      <t>分期付息到期还本的长期借款利息</t>
    </r>
  </si>
  <si>
    <r>
      <rPr>
        <sz val="10"/>
        <rFont val="宋体"/>
        <family val="3"/>
        <charset val="134"/>
      </rPr>
      <t>企业债券利息</t>
    </r>
  </si>
  <si>
    <r>
      <rPr>
        <sz val="10"/>
        <rFont val="宋体"/>
        <family val="3"/>
        <charset val="134"/>
      </rPr>
      <t>短期借款应付利息</t>
    </r>
  </si>
  <si>
    <r>
      <rPr>
        <sz val="10"/>
        <rFont val="宋体"/>
        <family val="3"/>
        <charset val="134"/>
      </rPr>
      <t>其他</t>
    </r>
    <r>
      <rPr>
        <sz val="10"/>
        <rFont val="Arial Narrow"/>
        <family val="2"/>
      </rPr>
      <t>—1</t>
    </r>
    <phoneticPr fontId="5" type="noConversion"/>
  </si>
  <si>
    <r>
      <rPr>
        <sz val="10"/>
        <rFont val="宋体"/>
        <family val="3"/>
        <charset val="134"/>
      </rPr>
      <t>其他</t>
    </r>
    <r>
      <rPr>
        <sz val="10"/>
        <rFont val="Arial Narrow"/>
        <family val="2"/>
      </rPr>
      <t>—2</t>
    </r>
    <r>
      <rPr>
        <sz val="12"/>
        <rFont val="宋体"/>
        <family val="3"/>
        <charset val="134"/>
      </rPr>
      <t/>
    </r>
  </si>
  <si>
    <r>
      <rPr>
        <sz val="10"/>
        <rFont val="宋体"/>
        <family val="3"/>
        <charset val="134"/>
      </rPr>
      <t>其他</t>
    </r>
    <r>
      <rPr>
        <sz val="10"/>
        <rFont val="Arial Narrow"/>
        <family val="2"/>
      </rPr>
      <t>—3</t>
    </r>
    <r>
      <rPr>
        <sz val="12"/>
        <rFont val="宋体"/>
        <family val="3"/>
        <charset val="134"/>
      </rPr>
      <t/>
    </r>
  </si>
  <si>
    <r>
      <rPr>
        <sz val="10"/>
        <rFont val="宋体"/>
        <family val="3"/>
        <charset val="134"/>
      </rPr>
      <t>其他</t>
    </r>
    <r>
      <rPr>
        <sz val="10"/>
        <rFont val="Arial Narrow"/>
        <family val="2"/>
      </rPr>
      <t>—4</t>
    </r>
    <r>
      <rPr>
        <sz val="12"/>
        <rFont val="宋体"/>
        <family val="3"/>
        <charset val="134"/>
      </rPr>
      <t/>
    </r>
  </si>
  <si>
    <r>
      <rPr>
        <sz val="10"/>
        <rFont val="宋体"/>
        <family val="3"/>
        <charset val="134"/>
      </rPr>
      <t>其他</t>
    </r>
    <r>
      <rPr>
        <sz val="10"/>
        <rFont val="Arial Narrow"/>
        <family val="2"/>
      </rPr>
      <t>—5</t>
    </r>
    <r>
      <rPr>
        <sz val="12"/>
        <rFont val="宋体"/>
        <family val="3"/>
        <charset val="134"/>
      </rPr>
      <t/>
    </r>
  </si>
  <si>
    <r>
      <rPr>
        <sz val="10"/>
        <rFont val="宋体"/>
        <family val="3"/>
        <charset val="134"/>
      </rPr>
      <t>合　</t>
    </r>
    <r>
      <rPr>
        <sz val="10"/>
        <rFont val="Arial Narrow"/>
        <family val="2"/>
      </rPr>
      <t xml:space="preserve">  </t>
    </r>
    <r>
      <rPr>
        <sz val="10"/>
        <rFont val="宋体"/>
        <family val="3"/>
        <charset val="134"/>
      </rPr>
      <t>计</t>
    </r>
  </si>
  <si>
    <r>
      <rPr>
        <sz val="10"/>
        <color indexed="12"/>
        <rFont val="楷体"/>
        <family val="3"/>
        <charset val="134"/>
      </rPr>
      <t>其他应付款</t>
    </r>
    <phoneticPr fontId="5" type="noConversion"/>
  </si>
  <si>
    <r>
      <rPr>
        <b/>
        <sz val="10"/>
        <rFont val="宋体"/>
        <family val="3"/>
        <charset val="134"/>
      </rPr>
      <t>（</t>
    </r>
    <r>
      <rPr>
        <b/>
        <sz val="10"/>
        <rFont val="Arial Narrow"/>
        <family val="2"/>
      </rPr>
      <t>1</t>
    </r>
    <r>
      <rPr>
        <b/>
        <sz val="10"/>
        <rFont val="宋体"/>
        <family val="3"/>
        <charset val="134"/>
      </rPr>
      <t>）其他应付款账龄情况</t>
    </r>
  </si>
  <si>
    <r>
      <rPr>
        <sz val="10"/>
        <rFont val="宋体"/>
        <family val="3"/>
        <charset val="134"/>
      </rPr>
      <t>账龄</t>
    </r>
  </si>
  <si>
    <r>
      <rPr>
        <sz val="10"/>
        <color indexed="12"/>
        <rFont val="楷体"/>
        <family val="3"/>
        <charset val="134"/>
      </rPr>
      <t>一年内到期的非流动负债</t>
    </r>
    <phoneticPr fontId="5" type="noConversion"/>
  </si>
  <si>
    <r>
      <rPr>
        <sz val="10"/>
        <rFont val="宋体"/>
        <family val="3"/>
        <charset val="134"/>
      </rPr>
      <t>一年内到期的长期借款（附注八、</t>
    </r>
    <r>
      <rPr>
        <sz val="10"/>
        <color indexed="10"/>
        <rFont val="Arial Narrow"/>
        <family val="2"/>
      </rPr>
      <t>38</t>
    </r>
    <r>
      <rPr>
        <sz val="10"/>
        <rFont val="宋体"/>
        <family val="3"/>
        <charset val="134"/>
      </rPr>
      <t>）</t>
    </r>
    <phoneticPr fontId="5" type="noConversion"/>
  </si>
  <si>
    <r>
      <rPr>
        <sz val="10"/>
        <rFont val="宋体"/>
        <family val="3"/>
        <charset val="134"/>
      </rPr>
      <t>其中：质押借款</t>
    </r>
    <phoneticPr fontId="5" type="noConversion"/>
  </si>
  <si>
    <r>
      <t xml:space="preserve">            </t>
    </r>
    <r>
      <rPr>
        <sz val="10"/>
        <rFont val="宋体"/>
        <family val="3"/>
        <charset val="134"/>
      </rPr>
      <t>抵押借款</t>
    </r>
    <phoneticPr fontId="5" type="noConversion"/>
  </si>
  <si>
    <r>
      <t xml:space="preserve">            </t>
    </r>
    <r>
      <rPr>
        <sz val="10"/>
        <rFont val="宋体"/>
        <family val="3"/>
        <charset val="134"/>
      </rPr>
      <t>保证借款</t>
    </r>
    <phoneticPr fontId="5" type="noConversion"/>
  </si>
  <si>
    <r>
      <t xml:space="preserve">           </t>
    </r>
    <r>
      <rPr>
        <sz val="10"/>
        <rFont val="宋体"/>
        <family val="3"/>
        <charset val="134"/>
      </rPr>
      <t>信用借款</t>
    </r>
    <phoneticPr fontId="5" type="noConversion"/>
  </si>
  <si>
    <r>
      <rPr>
        <sz val="10"/>
        <rFont val="宋体"/>
        <family val="3"/>
        <charset val="134"/>
      </rPr>
      <t>一年内到期的应付债券（附注八、</t>
    </r>
    <r>
      <rPr>
        <sz val="10"/>
        <color indexed="10"/>
        <rFont val="Arial Narrow"/>
        <family val="2"/>
      </rPr>
      <t>39</t>
    </r>
    <r>
      <rPr>
        <sz val="10"/>
        <rFont val="宋体"/>
        <family val="3"/>
        <charset val="134"/>
      </rPr>
      <t>）</t>
    </r>
    <phoneticPr fontId="5" type="noConversion"/>
  </si>
  <si>
    <r>
      <rPr>
        <sz val="10"/>
        <rFont val="宋体"/>
        <family val="3"/>
        <charset val="134"/>
      </rPr>
      <t>一年内到期的长期应付款（附注八、</t>
    </r>
    <r>
      <rPr>
        <sz val="10"/>
        <color indexed="10"/>
        <rFont val="Arial Narrow"/>
        <family val="2"/>
      </rPr>
      <t>40</t>
    </r>
    <r>
      <rPr>
        <sz val="10"/>
        <rFont val="宋体"/>
        <family val="3"/>
        <charset val="134"/>
      </rPr>
      <t>）</t>
    </r>
    <phoneticPr fontId="5" type="noConversion"/>
  </si>
  <si>
    <r>
      <rPr>
        <sz val="10"/>
        <rFont val="宋体"/>
        <family val="3"/>
        <charset val="134"/>
      </rPr>
      <t>一年内到期的其他长期负债</t>
    </r>
    <phoneticPr fontId="5" type="noConversion"/>
  </si>
  <si>
    <r>
      <rPr>
        <sz val="10"/>
        <color indexed="12"/>
        <rFont val="楷体"/>
        <family val="3"/>
        <charset val="134"/>
      </rPr>
      <t>其他流动负债</t>
    </r>
    <phoneticPr fontId="5" type="noConversion"/>
  </si>
  <si>
    <r>
      <rPr>
        <sz val="10"/>
        <rFont val="宋体"/>
        <family val="3"/>
        <charset val="134"/>
      </rPr>
      <t>短期融资券本金</t>
    </r>
    <phoneticPr fontId="5" type="noConversion"/>
  </si>
  <si>
    <r>
      <rPr>
        <sz val="10"/>
        <rFont val="Arial"/>
        <family val="2"/>
      </rPr>
      <t>短期融资券</t>
    </r>
  </si>
  <si>
    <r>
      <rPr>
        <sz val="10"/>
        <rFont val="宋体"/>
        <family val="3"/>
        <charset val="134"/>
      </rPr>
      <t>短期融资券利息</t>
    </r>
    <phoneticPr fontId="5" type="noConversion"/>
  </si>
  <si>
    <r>
      <rPr>
        <sz val="10"/>
        <rFont val="宋体"/>
        <family val="3"/>
        <charset val="134"/>
      </rPr>
      <t>公司单位往来</t>
    </r>
    <phoneticPr fontId="5" type="noConversion"/>
  </si>
  <si>
    <r>
      <rPr>
        <sz val="10"/>
        <rFont val="宋体"/>
        <family val="3"/>
        <charset val="134"/>
      </rPr>
      <t>公司单位往来</t>
    </r>
    <phoneticPr fontId="5" type="noConversion"/>
  </si>
  <si>
    <r>
      <rPr>
        <sz val="10"/>
        <rFont val="宋体"/>
        <family val="3"/>
        <charset val="134"/>
      </rPr>
      <t>合计</t>
    </r>
    <r>
      <rPr>
        <sz val="10"/>
        <rFont val="Arial Narrow"/>
        <family val="2"/>
      </rPr>
      <t xml:space="preserve"> </t>
    </r>
    <phoneticPr fontId="5" type="noConversion"/>
  </si>
  <si>
    <r>
      <rPr>
        <sz val="10"/>
        <color indexed="12"/>
        <rFont val="楷体"/>
        <family val="3"/>
        <charset val="134"/>
      </rPr>
      <t>长期借款</t>
    </r>
    <phoneticPr fontId="5" type="noConversion"/>
  </si>
  <si>
    <r>
      <rPr>
        <b/>
        <sz val="10"/>
        <rFont val="宋体"/>
        <family val="3"/>
        <charset val="134"/>
      </rPr>
      <t>（</t>
    </r>
    <r>
      <rPr>
        <b/>
        <sz val="10"/>
        <rFont val="Arial Narrow"/>
        <family val="2"/>
      </rPr>
      <t>1</t>
    </r>
    <r>
      <rPr>
        <b/>
        <sz val="10"/>
        <rFont val="宋体"/>
        <family val="3"/>
        <charset val="134"/>
      </rPr>
      <t>）借款分类</t>
    </r>
  </si>
  <si>
    <r>
      <rPr>
        <sz val="10"/>
        <rFont val="宋体"/>
        <family val="3"/>
        <charset val="134"/>
      </rPr>
      <t>贷款类别</t>
    </r>
  </si>
  <si>
    <r>
      <rPr>
        <sz val="10"/>
        <rFont val="宋体"/>
        <family val="3"/>
        <charset val="134"/>
      </rPr>
      <t>减：一年内到期部分</t>
    </r>
    <phoneticPr fontId="5" type="noConversion"/>
  </si>
  <si>
    <r>
      <rPr>
        <sz val="10"/>
        <color indexed="12"/>
        <rFont val="楷体"/>
        <family val="3"/>
        <charset val="134"/>
      </rPr>
      <t>长期应付款</t>
    </r>
    <phoneticPr fontId="5" type="noConversion"/>
  </si>
  <si>
    <r>
      <rPr>
        <b/>
        <sz val="10"/>
        <rFont val="宋体"/>
        <family val="3"/>
        <charset val="134"/>
      </rPr>
      <t>余额明细</t>
    </r>
    <r>
      <rPr>
        <b/>
        <sz val="10"/>
        <rFont val="Arial Narrow"/>
        <family val="2"/>
      </rPr>
      <t>:</t>
    </r>
    <phoneticPr fontId="5" type="noConversion"/>
  </si>
  <si>
    <r>
      <rPr>
        <sz val="10"/>
        <rFont val="宋体"/>
        <family val="3"/>
        <charset val="134"/>
      </rPr>
      <t>其中：应付采矿权价款</t>
    </r>
    <phoneticPr fontId="5" type="noConversion"/>
  </si>
  <si>
    <r>
      <t xml:space="preserve">            </t>
    </r>
    <r>
      <rPr>
        <sz val="10"/>
        <rFont val="宋体"/>
        <family val="3"/>
        <charset val="134"/>
      </rPr>
      <t>融资租入固定资产</t>
    </r>
    <phoneticPr fontId="5" type="noConversion"/>
  </si>
  <si>
    <r>
      <t xml:space="preserve">           </t>
    </r>
    <r>
      <rPr>
        <sz val="10"/>
        <rFont val="宋体"/>
        <family val="3"/>
        <charset val="134"/>
      </rPr>
      <t>其他</t>
    </r>
    <r>
      <rPr>
        <sz val="10"/>
        <rFont val="Arial Narrow"/>
        <family val="2"/>
      </rPr>
      <t>-1</t>
    </r>
    <phoneticPr fontId="5" type="noConversion"/>
  </si>
  <si>
    <r>
      <t xml:space="preserve">           </t>
    </r>
    <r>
      <rPr>
        <sz val="10"/>
        <rFont val="宋体"/>
        <family val="3"/>
        <charset val="134"/>
      </rPr>
      <t>其他</t>
    </r>
    <r>
      <rPr>
        <sz val="10"/>
        <rFont val="Arial Narrow"/>
        <family val="2"/>
      </rPr>
      <t>-2</t>
    </r>
    <phoneticPr fontId="5" type="noConversion"/>
  </si>
  <si>
    <r>
      <t xml:space="preserve">           </t>
    </r>
    <r>
      <rPr>
        <sz val="10"/>
        <rFont val="宋体"/>
        <family val="3"/>
        <charset val="134"/>
      </rPr>
      <t>其他</t>
    </r>
    <r>
      <rPr>
        <sz val="10"/>
        <rFont val="Arial Narrow"/>
        <family val="2"/>
      </rPr>
      <t>-3</t>
    </r>
    <r>
      <rPr>
        <sz val="11"/>
        <color theme="1"/>
        <rFont val="宋体"/>
        <family val="2"/>
        <charset val="134"/>
        <scheme val="minor"/>
      </rPr>
      <t/>
    </r>
  </si>
  <si>
    <r>
      <t xml:space="preserve">           </t>
    </r>
    <r>
      <rPr>
        <sz val="10"/>
        <rFont val="宋体"/>
        <family val="3"/>
        <charset val="134"/>
      </rPr>
      <t>其他</t>
    </r>
    <r>
      <rPr>
        <sz val="10"/>
        <rFont val="Arial Narrow"/>
        <family val="2"/>
      </rPr>
      <t>-4</t>
    </r>
    <r>
      <rPr>
        <sz val="11"/>
        <color theme="1"/>
        <rFont val="宋体"/>
        <family val="2"/>
        <charset val="134"/>
        <scheme val="minor"/>
      </rPr>
      <t/>
    </r>
  </si>
  <si>
    <r>
      <t xml:space="preserve">           </t>
    </r>
    <r>
      <rPr>
        <sz val="10"/>
        <rFont val="宋体"/>
        <family val="3"/>
        <charset val="134"/>
      </rPr>
      <t>其他</t>
    </r>
    <r>
      <rPr>
        <sz val="10"/>
        <rFont val="Arial Narrow"/>
        <family val="2"/>
      </rPr>
      <t>-5</t>
    </r>
    <r>
      <rPr>
        <sz val="11"/>
        <color theme="1"/>
        <rFont val="宋体"/>
        <family val="2"/>
        <charset val="134"/>
        <scheme val="minor"/>
      </rPr>
      <t/>
    </r>
  </si>
  <si>
    <r>
      <t xml:space="preserve">           </t>
    </r>
    <r>
      <rPr>
        <sz val="10"/>
        <rFont val="宋体"/>
        <family val="3"/>
        <charset val="134"/>
      </rPr>
      <t>其他</t>
    </r>
    <r>
      <rPr>
        <sz val="10"/>
        <rFont val="Arial Narrow"/>
        <family val="2"/>
      </rPr>
      <t>-6</t>
    </r>
    <r>
      <rPr>
        <sz val="11"/>
        <color theme="1"/>
        <rFont val="宋体"/>
        <family val="2"/>
        <charset val="134"/>
        <scheme val="minor"/>
      </rPr>
      <t/>
    </r>
  </si>
  <si>
    <r>
      <t xml:space="preserve">           </t>
    </r>
    <r>
      <rPr>
        <sz val="10"/>
        <rFont val="宋体"/>
        <family val="3"/>
        <charset val="134"/>
      </rPr>
      <t>其他</t>
    </r>
    <r>
      <rPr>
        <sz val="10"/>
        <rFont val="Arial Narrow"/>
        <family val="2"/>
      </rPr>
      <t>-7</t>
    </r>
    <r>
      <rPr>
        <sz val="11"/>
        <color theme="1"/>
        <rFont val="宋体"/>
        <family val="2"/>
        <charset val="134"/>
        <scheme val="minor"/>
      </rPr>
      <t/>
    </r>
  </si>
  <si>
    <r>
      <t xml:space="preserve">           </t>
    </r>
    <r>
      <rPr>
        <sz val="10"/>
        <rFont val="宋体"/>
        <family val="3"/>
        <charset val="134"/>
      </rPr>
      <t>其他</t>
    </r>
    <r>
      <rPr>
        <sz val="10"/>
        <rFont val="Arial Narrow"/>
        <family val="2"/>
      </rPr>
      <t>-8</t>
    </r>
    <r>
      <rPr>
        <sz val="11"/>
        <color theme="1"/>
        <rFont val="宋体"/>
        <family val="2"/>
        <charset val="134"/>
        <scheme val="minor"/>
      </rPr>
      <t/>
    </r>
  </si>
  <si>
    <r>
      <rPr>
        <sz val="10"/>
        <color indexed="12"/>
        <rFont val="楷体"/>
        <family val="3"/>
        <charset val="134"/>
      </rPr>
      <t>预计负债</t>
    </r>
    <phoneticPr fontId="5" type="noConversion"/>
  </si>
  <si>
    <r>
      <rPr>
        <sz val="10"/>
        <rFont val="宋体"/>
        <family val="3"/>
        <charset val="134"/>
      </rPr>
      <t>弃置费用</t>
    </r>
  </si>
  <si>
    <r>
      <rPr>
        <sz val="10"/>
        <rFont val="宋体"/>
        <family val="3"/>
        <charset val="134"/>
      </rPr>
      <t>对外提供担保</t>
    </r>
    <r>
      <rPr>
        <sz val="10"/>
        <rFont val="Arial Narrow"/>
        <family val="2"/>
      </rPr>
      <t xml:space="preserve"> </t>
    </r>
    <phoneticPr fontId="5" type="noConversion"/>
  </si>
  <si>
    <r>
      <rPr>
        <sz val="10"/>
        <rFont val="宋体"/>
        <family val="3"/>
        <charset val="134"/>
      </rPr>
      <t>商业承兑汇票贴现</t>
    </r>
    <phoneticPr fontId="5" type="noConversion"/>
  </si>
  <si>
    <r>
      <rPr>
        <sz val="10"/>
        <rFont val="宋体"/>
        <family val="3"/>
        <charset val="134"/>
      </rPr>
      <t>未决诉讼</t>
    </r>
    <phoneticPr fontId="5" type="noConversion"/>
  </si>
  <si>
    <r>
      <rPr>
        <sz val="10"/>
        <rFont val="宋体"/>
        <family val="3"/>
        <charset val="134"/>
      </rPr>
      <t>产品质量保证</t>
    </r>
    <phoneticPr fontId="5" type="noConversion"/>
  </si>
  <si>
    <r>
      <rPr>
        <sz val="10"/>
        <rFont val="宋体"/>
        <family val="3"/>
        <charset val="134"/>
      </rPr>
      <t>重组义务</t>
    </r>
    <phoneticPr fontId="5" type="noConversion"/>
  </si>
  <si>
    <r>
      <rPr>
        <sz val="10"/>
        <rFont val="宋体"/>
        <family val="3"/>
        <charset val="134"/>
      </rPr>
      <t>辞退福利</t>
    </r>
    <phoneticPr fontId="5" type="noConversion"/>
  </si>
  <si>
    <r>
      <rPr>
        <sz val="10"/>
        <rFont val="宋体"/>
        <family val="3"/>
        <charset val="134"/>
      </rPr>
      <t>待执行的亏损合同</t>
    </r>
    <phoneticPr fontId="5" type="noConversion"/>
  </si>
  <si>
    <r>
      <rPr>
        <b/>
        <sz val="10"/>
        <rFont val="宋体"/>
        <family val="3"/>
        <charset val="134"/>
      </rPr>
      <t>合</t>
    </r>
    <r>
      <rPr>
        <b/>
        <sz val="10"/>
        <rFont val="Arial Narrow"/>
        <family val="2"/>
      </rPr>
      <t xml:space="preserve">  </t>
    </r>
    <r>
      <rPr>
        <b/>
        <sz val="10"/>
        <rFont val="宋体"/>
        <family val="3"/>
        <charset val="134"/>
      </rPr>
      <t>计</t>
    </r>
  </si>
  <si>
    <r>
      <rPr>
        <sz val="10"/>
        <color indexed="12"/>
        <rFont val="楷体"/>
        <family val="3"/>
        <charset val="134"/>
      </rPr>
      <t>资本公积</t>
    </r>
    <phoneticPr fontId="5" type="noConversion"/>
  </si>
  <si>
    <r>
      <rPr>
        <sz val="10"/>
        <rFont val="宋体"/>
        <family val="3"/>
        <charset val="134"/>
      </rPr>
      <t>①资本（股本）溢价</t>
    </r>
    <phoneticPr fontId="5" type="noConversion"/>
  </si>
  <si>
    <r>
      <rPr>
        <sz val="10"/>
        <rFont val="宋体"/>
        <family val="3"/>
        <charset val="134"/>
      </rPr>
      <t>②其他资本公积</t>
    </r>
    <phoneticPr fontId="5" type="noConversion"/>
  </si>
  <si>
    <r>
      <rPr>
        <sz val="10"/>
        <rFont val="宋体"/>
        <family val="3"/>
        <charset val="134"/>
      </rPr>
      <t>其中：被投资单位其他权益变动</t>
    </r>
    <phoneticPr fontId="5" type="noConversion"/>
  </si>
  <si>
    <r>
      <rPr>
        <sz val="10"/>
        <rFont val="宋体"/>
        <family val="3"/>
        <charset val="134"/>
      </rPr>
      <t>未行权的股份支付</t>
    </r>
    <phoneticPr fontId="5" type="noConversion"/>
  </si>
  <si>
    <r>
      <rPr>
        <sz val="10"/>
        <rFont val="宋体"/>
        <family val="3"/>
        <charset val="134"/>
      </rPr>
      <t>可供出售金融资产公允价值变动</t>
    </r>
    <phoneticPr fontId="5" type="noConversion"/>
  </si>
  <si>
    <r>
      <rPr>
        <sz val="10"/>
        <rFont val="宋体"/>
        <family val="3"/>
        <charset val="134"/>
      </rPr>
      <t>投资性房地产转换公允价值变动差额</t>
    </r>
    <phoneticPr fontId="5" type="noConversion"/>
  </si>
  <si>
    <r>
      <rPr>
        <sz val="10"/>
        <rFont val="宋体"/>
        <family val="3"/>
        <charset val="134"/>
      </rPr>
      <t>现金流量套期利得或损失</t>
    </r>
    <phoneticPr fontId="5" type="noConversion"/>
  </si>
  <si>
    <r>
      <rPr>
        <sz val="10"/>
        <rFont val="宋体"/>
        <family val="3"/>
        <charset val="134"/>
      </rPr>
      <t>境外经营净投资套期利得或损失</t>
    </r>
    <phoneticPr fontId="5" type="noConversion"/>
  </si>
  <si>
    <r>
      <rPr>
        <sz val="10"/>
        <rFont val="宋体"/>
        <family val="3"/>
        <charset val="134"/>
      </rPr>
      <t>与计入所有者权益项目相关的所得税影响</t>
    </r>
    <phoneticPr fontId="5" type="noConversion"/>
  </si>
  <si>
    <r>
      <rPr>
        <sz val="10"/>
        <rFont val="宋体"/>
        <family val="3"/>
        <charset val="134"/>
      </rPr>
      <t>③原制度资本公积转入</t>
    </r>
    <phoneticPr fontId="5" type="noConversion"/>
  </si>
  <si>
    <r>
      <rPr>
        <sz val="10"/>
        <color indexed="12"/>
        <rFont val="楷体"/>
        <family val="3"/>
        <charset val="134"/>
      </rPr>
      <t>专项储备</t>
    </r>
    <phoneticPr fontId="5" type="noConversion"/>
  </si>
  <si>
    <r>
      <rPr>
        <sz val="10"/>
        <rFont val="宋体"/>
        <family val="3"/>
        <charset val="134"/>
      </rPr>
      <t>安全生产费</t>
    </r>
  </si>
  <si>
    <r>
      <rPr>
        <sz val="10"/>
        <rFont val="宋体"/>
        <family val="3"/>
        <charset val="134"/>
      </rPr>
      <t>维简费</t>
    </r>
  </si>
  <si>
    <r>
      <rPr>
        <sz val="10"/>
        <rFont val="宋体"/>
        <family val="3"/>
        <charset val="134"/>
      </rPr>
      <t>其他</t>
    </r>
    <r>
      <rPr>
        <sz val="10"/>
        <rFont val="Arial Narrow"/>
        <family val="2"/>
      </rPr>
      <t>-</t>
    </r>
    <r>
      <rPr>
        <sz val="10"/>
        <rFont val="宋体"/>
        <family val="3"/>
        <charset val="134"/>
      </rPr>
      <t>造林育林费</t>
    </r>
    <phoneticPr fontId="5" type="noConversion"/>
  </si>
  <si>
    <r>
      <rPr>
        <sz val="10"/>
        <rFont val="宋体"/>
        <family val="3"/>
        <charset val="134"/>
      </rPr>
      <t>其他</t>
    </r>
    <r>
      <rPr>
        <sz val="10"/>
        <rFont val="Arial Narrow"/>
        <family val="2"/>
      </rPr>
      <t>-</t>
    </r>
    <r>
      <rPr>
        <sz val="10"/>
        <rFont val="宋体"/>
        <family val="3"/>
        <charset val="134"/>
      </rPr>
      <t>安全技术措施费</t>
    </r>
    <phoneticPr fontId="5" type="noConversion"/>
  </si>
  <si>
    <r>
      <rPr>
        <sz val="10"/>
        <rFont val="宋体"/>
        <family val="3"/>
        <charset val="134"/>
      </rPr>
      <t>其他</t>
    </r>
    <r>
      <rPr>
        <sz val="10"/>
        <rFont val="Arial Narrow"/>
        <family val="2"/>
      </rPr>
      <t>-</t>
    </r>
    <r>
      <rPr>
        <sz val="10"/>
        <rFont val="宋体"/>
        <family val="3"/>
        <charset val="134"/>
      </rPr>
      <t>其他</t>
    </r>
    <phoneticPr fontId="5" type="noConversion"/>
  </si>
  <si>
    <r>
      <rPr>
        <sz val="10"/>
        <color indexed="12"/>
        <rFont val="楷体"/>
        <family val="3"/>
        <charset val="134"/>
      </rPr>
      <t>盈余公积</t>
    </r>
    <phoneticPr fontId="5" type="noConversion"/>
  </si>
  <si>
    <r>
      <rPr>
        <sz val="10"/>
        <rFont val="宋体"/>
        <family val="3"/>
        <charset val="134"/>
      </rPr>
      <t>项</t>
    </r>
    <r>
      <rPr>
        <sz val="10"/>
        <rFont val="Arial Narrow"/>
        <family val="2"/>
      </rPr>
      <t xml:space="preserve">    </t>
    </r>
    <r>
      <rPr>
        <sz val="10"/>
        <rFont val="宋体"/>
        <family val="3"/>
        <charset val="134"/>
      </rPr>
      <t>目</t>
    </r>
    <r>
      <rPr>
        <sz val="10"/>
        <rFont val="Arial Narrow"/>
        <family val="2"/>
      </rPr>
      <t xml:space="preserve"> </t>
    </r>
  </si>
  <si>
    <r>
      <t xml:space="preserve"> </t>
    </r>
    <r>
      <rPr>
        <sz val="10"/>
        <rFont val="宋体"/>
        <family val="3"/>
        <charset val="134"/>
      </rPr>
      <t>法定盈余公积</t>
    </r>
    <r>
      <rPr>
        <sz val="10"/>
        <rFont val="Arial Narrow"/>
        <family val="2"/>
      </rPr>
      <t xml:space="preserve"> </t>
    </r>
  </si>
  <si>
    <r>
      <t xml:space="preserve"> </t>
    </r>
    <r>
      <rPr>
        <sz val="10"/>
        <rFont val="宋体"/>
        <family val="3"/>
        <charset val="134"/>
      </rPr>
      <t>任意盈余公积</t>
    </r>
    <r>
      <rPr>
        <sz val="10"/>
        <rFont val="Arial Narrow"/>
        <family val="2"/>
      </rPr>
      <t xml:space="preserve"> </t>
    </r>
  </si>
  <si>
    <r>
      <t xml:space="preserve"> </t>
    </r>
    <r>
      <rPr>
        <sz val="10"/>
        <rFont val="宋体"/>
        <family val="3"/>
        <charset val="134"/>
      </rPr>
      <t>储备基金</t>
    </r>
    <r>
      <rPr>
        <sz val="10"/>
        <rFont val="Arial Narrow"/>
        <family val="2"/>
      </rPr>
      <t xml:space="preserve"> </t>
    </r>
    <phoneticPr fontId="5" type="noConversion"/>
  </si>
  <si>
    <r>
      <t xml:space="preserve"> </t>
    </r>
    <r>
      <rPr>
        <sz val="10"/>
        <rFont val="宋体"/>
        <family val="3"/>
        <charset val="134"/>
      </rPr>
      <t>企业发展基金</t>
    </r>
  </si>
  <si>
    <r>
      <t xml:space="preserve"> </t>
    </r>
    <r>
      <rPr>
        <sz val="10"/>
        <rFont val="宋体"/>
        <family val="3"/>
        <charset val="134"/>
      </rPr>
      <t>利润归还投资</t>
    </r>
    <phoneticPr fontId="5" type="noConversion"/>
  </si>
  <si>
    <r>
      <t xml:space="preserve"> </t>
    </r>
    <r>
      <rPr>
        <sz val="10"/>
        <rFont val="宋体"/>
        <family val="3"/>
        <charset val="134"/>
      </rPr>
      <t>其他</t>
    </r>
    <phoneticPr fontId="5" type="noConversion"/>
  </si>
  <si>
    <r>
      <t xml:space="preserve"> </t>
    </r>
    <r>
      <rPr>
        <sz val="10"/>
        <rFont val="宋体"/>
        <family val="3"/>
        <charset val="134"/>
      </rPr>
      <t>合</t>
    </r>
    <r>
      <rPr>
        <sz val="10"/>
        <rFont val="Arial Narrow"/>
        <family val="2"/>
      </rPr>
      <t xml:space="preserve">    </t>
    </r>
    <r>
      <rPr>
        <sz val="10"/>
        <rFont val="宋体"/>
        <family val="3"/>
        <charset val="134"/>
      </rPr>
      <t>计</t>
    </r>
    <r>
      <rPr>
        <sz val="10"/>
        <rFont val="Arial Narrow"/>
        <family val="2"/>
      </rPr>
      <t xml:space="preserve"> </t>
    </r>
  </si>
  <si>
    <r>
      <rPr>
        <sz val="10"/>
        <color indexed="12"/>
        <rFont val="楷体"/>
        <family val="3"/>
        <charset val="134"/>
      </rPr>
      <t>未分配利润</t>
    </r>
    <phoneticPr fontId="5" type="noConversion"/>
  </si>
  <si>
    <r>
      <rPr>
        <b/>
        <sz val="10"/>
        <rFont val="宋体"/>
        <family val="3"/>
        <charset val="134"/>
      </rPr>
      <t>项</t>
    </r>
    <r>
      <rPr>
        <b/>
        <sz val="10"/>
        <rFont val="Arial Narrow"/>
        <family val="2"/>
      </rPr>
      <t xml:space="preserve">   </t>
    </r>
    <r>
      <rPr>
        <b/>
        <sz val="10"/>
        <rFont val="宋体"/>
        <family val="3"/>
        <charset val="134"/>
      </rPr>
      <t>目</t>
    </r>
  </si>
  <si>
    <r>
      <rPr>
        <sz val="10"/>
        <rFont val="宋体"/>
        <family val="3"/>
        <charset val="134"/>
      </rPr>
      <t>年初未分配利润</t>
    </r>
  </si>
  <si>
    <r>
      <rPr>
        <sz val="10"/>
        <rFont val="宋体"/>
        <family val="3"/>
        <charset val="134"/>
      </rPr>
      <t>本年增加额</t>
    </r>
    <phoneticPr fontId="5" type="noConversion"/>
  </si>
  <si>
    <r>
      <rPr>
        <sz val="10"/>
        <rFont val="宋体"/>
        <family val="3"/>
        <charset val="134"/>
      </rPr>
      <t>其中：本年净利润转入</t>
    </r>
    <phoneticPr fontId="5" type="noConversion"/>
  </si>
  <si>
    <r>
      <t xml:space="preserve">  </t>
    </r>
    <r>
      <rPr>
        <sz val="10"/>
        <rFont val="宋体"/>
        <family val="3"/>
        <charset val="134"/>
      </rPr>
      <t>其他调整因素</t>
    </r>
    <phoneticPr fontId="5" type="noConversion"/>
  </si>
  <si>
    <r>
      <rPr>
        <sz val="10"/>
        <rFont val="宋体"/>
        <family val="3"/>
        <charset val="134"/>
      </rPr>
      <t>本年减少额</t>
    </r>
    <phoneticPr fontId="5" type="noConversion"/>
  </si>
  <si>
    <r>
      <rPr>
        <sz val="10"/>
        <rFont val="宋体"/>
        <family val="3"/>
        <charset val="134"/>
      </rPr>
      <t>其中：本年提取盈余公积数</t>
    </r>
    <phoneticPr fontId="5" type="noConversion"/>
  </si>
  <si>
    <r>
      <rPr>
        <sz val="10"/>
        <rFont val="宋体"/>
        <family val="3"/>
        <charset val="134"/>
      </rPr>
      <t>本年提取一般风险准备</t>
    </r>
    <phoneticPr fontId="5" type="noConversion"/>
  </si>
  <si>
    <r>
      <rPr>
        <sz val="10"/>
        <rFont val="宋体"/>
        <family val="3"/>
        <charset val="134"/>
      </rPr>
      <t>本年分配现金股利数</t>
    </r>
    <phoneticPr fontId="5" type="noConversion"/>
  </si>
  <si>
    <r>
      <rPr>
        <sz val="10"/>
        <rFont val="宋体"/>
        <family val="3"/>
        <charset val="134"/>
      </rPr>
      <t>转增资本</t>
    </r>
    <phoneticPr fontId="5" type="noConversion"/>
  </si>
  <si>
    <r>
      <rPr>
        <sz val="10"/>
        <rFont val="宋体"/>
        <family val="3"/>
        <charset val="134"/>
      </rPr>
      <t>其他减少</t>
    </r>
    <phoneticPr fontId="5" type="noConversion"/>
  </si>
  <si>
    <r>
      <t xml:space="preserve"> </t>
    </r>
    <r>
      <rPr>
        <sz val="10"/>
        <rFont val="宋体"/>
        <family val="3"/>
        <charset val="134"/>
      </rPr>
      <t>年末未分配利润</t>
    </r>
    <r>
      <rPr>
        <sz val="10"/>
        <rFont val="Arial Narrow"/>
        <family val="2"/>
      </rPr>
      <t xml:space="preserve"> </t>
    </r>
  </si>
  <si>
    <r>
      <rPr>
        <sz val="10"/>
        <color indexed="12"/>
        <rFont val="楷体"/>
        <family val="3"/>
        <charset val="134"/>
      </rPr>
      <t>主营业务税金及附加（注：仅上市公司填写）</t>
    </r>
    <phoneticPr fontId="5" type="noConversion"/>
  </si>
  <si>
    <t>国企模板，本年度该表未填，经查询，上年度该表虽填写，但金额与主表金额不一致</t>
    <phoneticPr fontId="5" type="noConversion"/>
  </si>
  <si>
    <r>
      <rPr>
        <sz val="10"/>
        <rFont val="宋体"/>
        <family val="3"/>
        <charset val="134"/>
      </rPr>
      <t>教育费附加</t>
    </r>
  </si>
  <si>
    <r>
      <rPr>
        <sz val="10"/>
        <rFont val="宋体"/>
        <family val="3"/>
        <charset val="134"/>
      </rPr>
      <t>地方性教育费附加</t>
    </r>
  </si>
  <si>
    <r>
      <rPr>
        <sz val="10"/>
        <rFont val="宋体"/>
        <family val="3"/>
        <charset val="134"/>
      </rPr>
      <t>其他</t>
    </r>
    <r>
      <rPr>
        <sz val="10"/>
        <rFont val="Arial Narrow"/>
        <family val="2"/>
      </rPr>
      <t>1</t>
    </r>
  </si>
  <si>
    <r>
      <rPr>
        <sz val="10"/>
        <rFont val="宋体"/>
        <family val="3"/>
        <charset val="134"/>
      </rPr>
      <t>其他</t>
    </r>
    <r>
      <rPr>
        <sz val="10"/>
        <rFont val="Arial Narrow"/>
        <family val="2"/>
      </rPr>
      <t>2</t>
    </r>
  </si>
  <si>
    <r>
      <rPr>
        <sz val="10"/>
        <color indexed="12"/>
        <rFont val="楷体"/>
        <family val="3"/>
        <charset val="134"/>
      </rPr>
      <t>财务费用</t>
    </r>
    <phoneticPr fontId="5" type="noConversion"/>
  </si>
  <si>
    <r>
      <rPr>
        <sz val="10"/>
        <rFont val="宋体"/>
        <family val="3"/>
        <charset val="134"/>
      </rPr>
      <t>利息支出</t>
    </r>
    <phoneticPr fontId="5" type="noConversion"/>
  </si>
  <si>
    <r>
      <t xml:space="preserve">    </t>
    </r>
    <r>
      <rPr>
        <sz val="10"/>
        <rFont val="宋体"/>
        <family val="3"/>
        <charset val="134"/>
      </rPr>
      <t>减：利息收入</t>
    </r>
    <phoneticPr fontId="5" type="noConversion"/>
  </si>
  <si>
    <r>
      <t xml:space="preserve">    </t>
    </r>
    <r>
      <rPr>
        <sz val="10"/>
        <rFont val="宋体"/>
        <family val="3"/>
        <charset val="134"/>
      </rPr>
      <t>减：利息资本化金额</t>
    </r>
    <phoneticPr fontId="5" type="noConversion"/>
  </si>
  <si>
    <r>
      <rPr>
        <sz val="10"/>
        <rFont val="宋体"/>
        <family val="3"/>
        <charset val="134"/>
      </rPr>
      <t>汇兑损益</t>
    </r>
  </si>
  <si>
    <r>
      <t xml:space="preserve">    </t>
    </r>
    <r>
      <rPr>
        <sz val="10"/>
        <rFont val="宋体"/>
        <family val="3"/>
        <charset val="134"/>
      </rPr>
      <t>减：汇兑损益资本化金额</t>
    </r>
    <phoneticPr fontId="5" type="noConversion"/>
  </si>
  <si>
    <t>国企模板，该表不影响报告，经查询，上年度该表填写金额与主表金额不一致</t>
    <phoneticPr fontId="5" type="noConversion"/>
  </si>
  <si>
    <r>
      <rPr>
        <sz val="10"/>
        <color indexed="12"/>
        <rFont val="楷体"/>
        <family val="3"/>
        <charset val="134"/>
      </rPr>
      <t>资产减值损失</t>
    </r>
    <phoneticPr fontId="5" type="noConversion"/>
  </si>
  <si>
    <r>
      <rPr>
        <sz val="10"/>
        <rFont val="宋体"/>
        <family val="3"/>
        <charset val="134"/>
      </rPr>
      <t>坏账损失</t>
    </r>
  </si>
  <si>
    <r>
      <rPr>
        <sz val="10"/>
        <rFont val="宋体"/>
        <family val="3"/>
        <charset val="134"/>
      </rPr>
      <t>存货跌价损失</t>
    </r>
  </si>
  <si>
    <r>
      <rPr>
        <sz val="10"/>
        <rFont val="宋体"/>
        <family val="3"/>
        <charset val="134"/>
      </rPr>
      <t>可供出售金融资产减值损失</t>
    </r>
  </si>
  <si>
    <r>
      <rPr>
        <sz val="10"/>
        <rFont val="宋体"/>
        <family val="3"/>
        <charset val="134"/>
      </rPr>
      <t>持有至到期投资减值损失</t>
    </r>
  </si>
  <si>
    <r>
      <rPr>
        <sz val="10"/>
        <rFont val="宋体"/>
        <family val="3"/>
        <charset val="134"/>
      </rPr>
      <t>长期股权投资减值损失</t>
    </r>
  </si>
  <si>
    <r>
      <rPr>
        <sz val="10"/>
        <rFont val="宋体"/>
        <family val="3"/>
        <charset val="134"/>
      </rPr>
      <t>投资性房地产减值损失</t>
    </r>
  </si>
  <si>
    <r>
      <rPr>
        <sz val="10"/>
        <rFont val="宋体"/>
        <family val="3"/>
        <charset val="134"/>
      </rPr>
      <t>固定资产减值损失</t>
    </r>
  </si>
  <si>
    <r>
      <rPr>
        <sz val="10"/>
        <rFont val="宋体"/>
        <family val="3"/>
        <charset val="134"/>
      </rPr>
      <t>工程物资减值损失</t>
    </r>
  </si>
  <si>
    <r>
      <rPr>
        <sz val="10"/>
        <rFont val="宋体"/>
        <family val="3"/>
        <charset val="134"/>
      </rPr>
      <t>在建工程减值损失</t>
    </r>
  </si>
  <si>
    <r>
      <rPr>
        <sz val="10"/>
        <rFont val="宋体"/>
        <family val="3"/>
        <charset val="134"/>
      </rPr>
      <t>生产性生物资产减值损失</t>
    </r>
  </si>
  <si>
    <r>
      <rPr>
        <sz val="10"/>
        <rFont val="宋体"/>
        <family val="3"/>
        <charset val="134"/>
      </rPr>
      <t>油气资产减值损失</t>
    </r>
  </si>
  <si>
    <r>
      <rPr>
        <sz val="10"/>
        <rFont val="宋体"/>
        <family val="3"/>
        <charset val="134"/>
      </rPr>
      <t>无形资产减值损失</t>
    </r>
  </si>
  <si>
    <r>
      <rPr>
        <sz val="10"/>
        <rFont val="宋体"/>
        <family val="3"/>
        <charset val="134"/>
      </rPr>
      <t>商誉减值损失</t>
    </r>
  </si>
  <si>
    <r>
      <rPr>
        <sz val="10"/>
        <color indexed="12"/>
        <rFont val="楷体"/>
        <family val="3"/>
        <charset val="134"/>
      </rPr>
      <t>公允价值变动收益</t>
    </r>
    <phoneticPr fontId="5" type="noConversion"/>
  </si>
  <si>
    <r>
      <rPr>
        <sz val="10"/>
        <rFont val="宋体"/>
        <family val="3"/>
        <charset val="134"/>
      </rPr>
      <t>产生公允价值变动收益的来源</t>
    </r>
  </si>
  <si>
    <r>
      <rPr>
        <sz val="10"/>
        <rFont val="宋体"/>
        <family val="3"/>
        <charset val="134"/>
      </rPr>
      <t>交易性金融资产</t>
    </r>
  </si>
  <si>
    <r>
      <rPr>
        <sz val="10"/>
        <rFont val="宋体"/>
        <family val="3"/>
        <charset val="134"/>
      </rPr>
      <t>其中：衍生金融工具产生的公允价值变动收益</t>
    </r>
  </si>
  <si>
    <r>
      <rPr>
        <sz val="10"/>
        <rFont val="宋体"/>
        <family val="3"/>
        <charset val="134"/>
      </rPr>
      <t>交易性金融负债</t>
    </r>
  </si>
  <si>
    <r>
      <rPr>
        <sz val="10"/>
        <rFont val="宋体"/>
        <family val="3"/>
        <charset val="134"/>
      </rPr>
      <t>其中：衍生金融工具产生的公允价值变动收益</t>
    </r>
    <phoneticPr fontId="5" type="noConversion"/>
  </si>
  <si>
    <r>
      <rPr>
        <sz val="10"/>
        <rFont val="宋体"/>
        <family val="3"/>
        <charset val="134"/>
      </rPr>
      <t>按公允价值计量的投资性房地产</t>
    </r>
    <phoneticPr fontId="5" type="noConversion"/>
  </si>
  <si>
    <r>
      <rPr>
        <sz val="10"/>
        <color indexed="12"/>
        <rFont val="楷体"/>
        <family val="3"/>
        <charset val="134"/>
      </rPr>
      <t>投资收益</t>
    </r>
    <phoneticPr fontId="5" type="noConversion"/>
  </si>
  <si>
    <r>
      <rPr>
        <sz val="10"/>
        <rFont val="宋体"/>
        <family val="3"/>
        <charset val="134"/>
      </rPr>
      <t>产生投资收益的来源</t>
    </r>
  </si>
  <si>
    <r>
      <rPr>
        <sz val="10"/>
        <rFont val="宋体"/>
        <family val="3"/>
        <charset val="134"/>
      </rPr>
      <t>成本法核算的长期股权投资收益</t>
    </r>
  </si>
  <si>
    <r>
      <rPr>
        <sz val="10"/>
        <rFont val="宋体"/>
        <family val="3"/>
        <charset val="134"/>
      </rPr>
      <t>权益法核算的长期股权投资收益</t>
    </r>
  </si>
  <si>
    <r>
      <rPr>
        <sz val="10"/>
        <rFont val="宋体"/>
        <family val="3"/>
        <charset val="134"/>
      </rPr>
      <t>处置长期股权投资产生的投资收益</t>
    </r>
  </si>
  <si>
    <r>
      <rPr>
        <sz val="10"/>
        <rFont val="宋体"/>
        <family val="3"/>
        <charset val="134"/>
      </rPr>
      <t>持有交易性金融资产期间取得的投资收益</t>
    </r>
  </si>
  <si>
    <r>
      <rPr>
        <sz val="10"/>
        <rFont val="宋体"/>
        <family val="3"/>
        <charset val="134"/>
      </rPr>
      <t>持有至到期投资期间取得的投资收益</t>
    </r>
  </si>
  <si>
    <r>
      <rPr>
        <sz val="10"/>
        <rFont val="宋体"/>
        <family val="3"/>
        <charset val="134"/>
      </rPr>
      <t>持有可供出售金融资产期间取得的投资收益</t>
    </r>
  </si>
  <si>
    <r>
      <rPr>
        <sz val="10"/>
        <rFont val="宋体"/>
        <family val="3"/>
        <charset val="134"/>
      </rPr>
      <t>处置交易性金融资产取得的投资收益</t>
    </r>
  </si>
  <si>
    <r>
      <rPr>
        <sz val="10"/>
        <rFont val="宋体"/>
        <family val="3"/>
        <charset val="134"/>
      </rPr>
      <t>处置持有至到期投资取得的投资收益</t>
    </r>
  </si>
  <si>
    <r>
      <rPr>
        <sz val="10"/>
        <rFont val="宋体"/>
        <family val="3"/>
        <charset val="134"/>
      </rPr>
      <t>处置可供出售金融资产取得的投资收益</t>
    </r>
  </si>
  <si>
    <r>
      <rPr>
        <sz val="10"/>
        <color indexed="12"/>
        <rFont val="楷体"/>
        <family val="3"/>
        <charset val="134"/>
      </rPr>
      <t>营业外收入</t>
    </r>
    <phoneticPr fontId="5" type="noConversion"/>
  </si>
  <si>
    <r>
      <rPr>
        <sz val="10"/>
        <rFont val="宋体"/>
        <family val="3"/>
        <charset val="134"/>
      </rPr>
      <t>（</t>
    </r>
    <r>
      <rPr>
        <sz val="10"/>
        <rFont val="Arial Narrow"/>
        <family val="2"/>
      </rPr>
      <t>1</t>
    </r>
    <r>
      <rPr>
        <sz val="10"/>
        <rFont val="宋体"/>
        <family val="3"/>
        <charset val="134"/>
      </rPr>
      <t>）营业外收入类别</t>
    </r>
  </si>
  <si>
    <r>
      <rPr>
        <sz val="10"/>
        <rFont val="宋体"/>
        <family val="3"/>
        <charset val="134"/>
      </rPr>
      <t>非流动资产处置利得合计</t>
    </r>
  </si>
  <si>
    <r>
      <rPr>
        <sz val="10"/>
        <rFont val="宋体"/>
        <family val="3"/>
        <charset val="134"/>
      </rPr>
      <t>其中：固定资产处置利得</t>
    </r>
  </si>
  <si>
    <r>
      <t xml:space="preserve"> </t>
    </r>
    <r>
      <rPr>
        <sz val="10"/>
        <rFont val="宋体"/>
        <family val="3"/>
        <charset val="134"/>
      </rPr>
      <t>无形资产处置利得</t>
    </r>
    <phoneticPr fontId="5" type="noConversion"/>
  </si>
  <si>
    <r>
      <t xml:space="preserve"> </t>
    </r>
    <r>
      <rPr>
        <sz val="10"/>
        <rFont val="宋体"/>
        <family val="3"/>
        <charset val="134"/>
      </rPr>
      <t>在建工程处置利得</t>
    </r>
    <phoneticPr fontId="5" type="noConversion"/>
  </si>
  <si>
    <r>
      <rPr>
        <sz val="10"/>
        <rFont val="宋体"/>
        <family val="3"/>
        <charset val="134"/>
      </rPr>
      <t>非货币性资产交换利得</t>
    </r>
    <phoneticPr fontId="5" type="noConversion"/>
  </si>
  <si>
    <r>
      <rPr>
        <sz val="10"/>
        <rFont val="宋体"/>
        <family val="3"/>
        <charset val="134"/>
      </rPr>
      <t>债务重组利得</t>
    </r>
  </si>
  <si>
    <r>
      <rPr>
        <sz val="10"/>
        <rFont val="宋体"/>
        <family val="3"/>
        <charset val="134"/>
      </rPr>
      <t>政府补助（详见下表）</t>
    </r>
    <phoneticPr fontId="5" type="noConversion"/>
  </si>
  <si>
    <r>
      <rPr>
        <sz val="10"/>
        <rFont val="宋体"/>
        <family val="3"/>
        <charset val="134"/>
      </rPr>
      <t>盘盈利得</t>
    </r>
    <phoneticPr fontId="5" type="noConversion"/>
  </si>
  <si>
    <r>
      <rPr>
        <sz val="10"/>
        <rFont val="宋体"/>
        <family val="3"/>
        <charset val="134"/>
      </rPr>
      <t>接受捐赠收入</t>
    </r>
    <phoneticPr fontId="5" type="noConversion"/>
  </si>
  <si>
    <r>
      <rPr>
        <sz val="10"/>
        <rFont val="宋体"/>
        <family val="3"/>
        <charset val="134"/>
      </rPr>
      <t>违约赔偿收入</t>
    </r>
    <phoneticPr fontId="5" type="noConversion"/>
  </si>
  <si>
    <r>
      <rPr>
        <sz val="10"/>
        <rFont val="宋体"/>
        <family val="3"/>
        <charset val="134"/>
      </rPr>
      <t>处罚收入</t>
    </r>
  </si>
  <si>
    <r>
      <rPr>
        <sz val="10"/>
        <rFont val="宋体"/>
        <family val="3"/>
        <charset val="134"/>
      </rPr>
      <t>无法支付的应付款项</t>
    </r>
  </si>
  <si>
    <r>
      <rPr>
        <sz val="10"/>
        <rFont val="宋体"/>
        <family val="3"/>
        <charset val="134"/>
      </rPr>
      <t>预计负债重组利得</t>
    </r>
  </si>
  <si>
    <r>
      <rPr>
        <sz val="10"/>
        <color indexed="12"/>
        <rFont val="楷体"/>
        <family val="3"/>
        <charset val="134"/>
      </rPr>
      <t>营业外支出</t>
    </r>
    <phoneticPr fontId="5" type="noConversion"/>
  </si>
  <si>
    <r>
      <rPr>
        <sz val="10"/>
        <rFont val="宋体"/>
        <family val="3"/>
        <charset val="134"/>
      </rPr>
      <t>非流动资产处置损失合计</t>
    </r>
  </si>
  <si>
    <r>
      <rPr>
        <sz val="10"/>
        <rFont val="宋体"/>
        <family val="3"/>
        <charset val="134"/>
      </rPr>
      <t>其中：固定资产处置损失</t>
    </r>
    <phoneticPr fontId="5" type="noConversion"/>
  </si>
  <si>
    <r>
      <t xml:space="preserve"> </t>
    </r>
    <r>
      <rPr>
        <sz val="10"/>
        <rFont val="宋体"/>
        <family val="3"/>
        <charset val="134"/>
      </rPr>
      <t>无形资产处置损失</t>
    </r>
    <phoneticPr fontId="5" type="noConversion"/>
  </si>
  <si>
    <r>
      <t xml:space="preserve"> </t>
    </r>
    <r>
      <rPr>
        <sz val="10"/>
        <rFont val="宋体"/>
        <family val="3"/>
        <charset val="134"/>
      </rPr>
      <t>在建工程处置损失</t>
    </r>
    <phoneticPr fontId="5" type="noConversion"/>
  </si>
  <si>
    <r>
      <rPr>
        <sz val="10"/>
        <rFont val="宋体"/>
        <family val="3"/>
        <charset val="134"/>
      </rPr>
      <t>非货币性资产交换损失</t>
    </r>
  </si>
  <si>
    <r>
      <rPr>
        <sz val="10"/>
        <rFont val="宋体"/>
        <family val="3"/>
        <charset val="134"/>
      </rPr>
      <t>债务重组损失</t>
    </r>
  </si>
  <si>
    <r>
      <rPr>
        <sz val="10"/>
        <rFont val="宋体"/>
        <family val="3"/>
        <charset val="134"/>
      </rPr>
      <t>对外捐赠支出</t>
    </r>
    <phoneticPr fontId="5" type="noConversion"/>
  </si>
  <si>
    <r>
      <rPr>
        <sz val="10"/>
        <rFont val="宋体"/>
        <family val="3"/>
        <charset val="134"/>
      </rPr>
      <t>非常损失</t>
    </r>
  </si>
  <si>
    <r>
      <rPr>
        <sz val="10"/>
        <rFont val="宋体"/>
        <family val="3"/>
        <charset val="134"/>
      </rPr>
      <t>盘亏损失</t>
    </r>
  </si>
  <si>
    <r>
      <rPr>
        <sz val="10"/>
        <rFont val="宋体"/>
        <family val="3"/>
        <charset val="134"/>
      </rPr>
      <t>资产报废、毁损损失</t>
    </r>
  </si>
  <si>
    <r>
      <rPr>
        <sz val="10"/>
        <rFont val="宋体"/>
        <family val="3"/>
        <charset val="134"/>
      </rPr>
      <t>罚款支出</t>
    </r>
  </si>
  <si>
    <r>
      <rPr>
        <sz val="10"/>
        <rFont val="宋体"/>
        <family val="3"/>
        <charset val="134"/>
      </rPr>
      <t>预计担保损失</t>
    </r>
  </si>
  <si>
    <r>
      <rPr>
        <sz val="10"/>
        <rFont val="宋体"/>
        <family val="3"/>
        <charset val="134"/>
      </rPr>
      <t>预计未决诉讼损失</t>
    </r>
  </si>
  <si>
    <r>
      <rPr>
        <sz val="10"/>
        <rFont val="宋体"/>
        <family val="3"/>
        <charset val="134"/>
      </rPr>
      <t>预计重组损失</t>
    </r>
  </si>
  <si>
    <r>
      <rPr>
        <sz val="10"/>
        <rFont val="宋体"/>
        <family val="3"/>
        <charset val="134"/>
      </rPr>
      <t>预计负债损失</t>
    </r>
  </si>
  <si>
    <r>
      <rPr>
        <sz val="10"/>
        <rFont val="宋体"/>
        <family val="3"/>
        <charset val="134"/>
      </rPr>
      <t>赔偿金、违约金等支出</t>
    </r>
  </si>
  <si>
    <r>
      <rPr>
        <sz val="10"/>
        <rFont val="宋体"/>
        <family val="3"/>
        <charset val="134"/>
      </rPr>
      <t>其他支出</t>
    </r>
  </si>
  <si>
    <r>
      <rPr>
        <sz val="10"/>
        <color indexed="12"/>
        <rFont val="楷体"/>
        <family val="3"/>
        <charset val="134"/>
      </rPr>
      <t>所得税费用</t>
    </r>
    <phoneticPr fontId="5" type="noConversion"/>
  </si>
  <si>
    <r>
      <rPr>
        <sz val="10"/>
        <rFont val="宋体"/>
        <family val="3"/>
        <charset val="134"/>
      </rPr>
      <t>按税法及相关规定计算的当期所得税</t>
    </r>
  </si>
  <si>
    <r>
      <rPr>
        <sz val="10"/>
        <rFont val="宋体"/>
        <family val="3"/>
        <charset val="134"/>
      </rPr>
      <t>递延所得税调整</t>
    </r>
    <phoneticPr fontId="5" type="noConversion"/>
  </si>
  <si>
    <r>
      <rPr>
        <sz val="10"/>
        <color indexed="12"/>
        <rFont val="楷体"/>
        <family val="3"/>
        <charset val="134"/>
      </rPr>
      <t>其他综合收益</t>
    </r>
    <phoneticPr fontId="5" type="noConversion"/>
  </si>
  <si>
    <r>
      <rPr>
        <sz val="10"/>
        <rFont val="宋体"/>
        <family val="3"/>
        <charset val="134"/>
      </rPr>
      <t>①可供出售金融资产产生的利得（损失）金额</t>
    </r>
  </si>
  <si>
    <r>
      <rPr>
        <sz val="10"/>
        <rFont val="宋体"/>
        <family val="3"/>
        <charset val="134"/>
      </rPr>
      <t>减：可供出售金融资产产生的所得税影响</t>
    </r>
  </si>
  <si>
    <r>
      <t xml:space="preserve">    </t>
    </r>
    <r>
      <rPr>
        <sz val="10"/>
        <rFont val="宋体"/>
        <family val="3"/>
        <charset val="134"/>
      </rPr>
      <t>前期计入其他综合收益当期转入损益的净额</t>
    </r>
    <phoneticPr fontId="5" type="noConversion"/>
  </si>
  <si>
    <r>
      <rPr>
        <sz val="10"/>
        <rFont val="宋体"/>
        <family val="3"/>
        <charset val="134"/>
      </rPr>
      <t>小计</t>
    </r>
  </si>
  <si>
    <r>
      <rPr>
        <sz val="10"/>
        <rFont val="宋体"/>
        <family val="3"/>
        <charset val="134"/>
      </rPr>
      <t>②按照权益法核算的在被投资单位其他综合收益中所享有的份额</t>
    </r>
  </si>
  <si>
    <r>
      <rPr>
        <sz val="10"/>
        <rFont val="宋体"/>
        <family val="3"/>
        <charset val="134"/>
      </rPr>
      <t>减：按照权益法核算的在被投资单位其他综合收益中所享有的份额产生的所得税影响</t>
    </r>
    <phoneticPr fontId="5" type="noConversion"/>
  </si>
  <si>
    <r>
      <rPr>
        <sz val="10"/>
        <rFont val="宋体"/>
        <family val="3"/>
        <charset val="134"/>
      </rPr>
      <t>③现金流量套期工具产生的利得（或损失）金额</t>
    </r>
    <phoneticPr fontId="5" type="noConversion"/>
  </si>
  <si>
    <r>
      <rPr>
        <sz val="10"/>
        <rFont val="宋体"/>
        <family val="3"/>
        <charset val="134"/>
      </rPr>
      <t>减：现金流量套期工具产生的所得税影响</t>
    </r>
  </si>
  <si>
    <r>
      <t xml:space="preserve">    </t>
    </r>
    <r>
      <rPr>
        <sz val="10"/>
        <rFont val="宋体"/>
        <family val="3"/>
        <charset val="134"/>
      </rPr>
      <t>转为被套期项目初始确认金额的调整额</t>
    </r>
    <phoneticPr fontId="5" type="noConversion"/>
  </si>
  <si>
    <r>
      <rPr>
        <sz val="10"/>
        <rFont val="宋体"/>
        <family val="3"/>
        <charset val="134"/>
      </rPr>
      <t>④外币财务报表折算差额</t>
    </r>
  </si>
  <si>
    <r>
      <rPr>
        <sz val="10"/>
        <rFont val="宋体"/>
        <family val="3"/>
        <charset val="134"/>
      </rPr>
      <t>减：处置境外经营当期转入损益的净额</t>
    </r>
  </si>
  <si>
    <r>
      <rPr>
        <sz val="10"/>
        <rFont val="宋体"/>
        <family val="3"/>
        <charset val="134"/>
      </rPr>
      <t>⑤其他</t>
    </r>
  </si>
  <si>
    <r>
      <rPr>
        <sz val="10"/>
        <rFont val="宋体"/>
        <family val="3"/>
        <charset val="134"/>
      </rPr>
      <t>减：由其他计入其他综合收益产生的所得税影响</t>
    </r>
  </si>
  <si>
    <r>
      <t xml:space="preserve">    </t>
    </r>
    <r>
      <rPr>
        <sz val="10"/>
        <rFont val="宋体"/>
        <family val="3"/>
        <charset val="134"/>
      </rPr>
      <t>前期其他计入其他综合收益当期转入损益的净额</t>
    </r>
    <phoneticPr fontId="5" type="noConversion"/>
  </si>
  <si>
    <r>
      <rPr>
        <sz val="10"/>
        <color indexed="12"/>
        <rFont val="楷体"/>
        <family val="3"/>
        <charset val="134"/>
      </rPr>
      <t>租赁</t>
    </r>
    <phoneticPr fontId="5" type="noConversion"/>
  </si>
  <si>
    <r>
      <rPr>
        <b/>
        <sz val="10"/>
        <rFont val="宋体"/>
        <family val="3"/>
        <charset val="134"/>
      </rPr>
      <t>（</t>
    </r>
    <r>
      <rPr>
        <b/>
        <sz val="10"/>
        <rFont val="Arial Narrow"/>
        <family val="2"/>
      </rPr>
      <t>2</t>
    </r>
    <r>
      <rPr>
        <b/>
        <sz val="10"/>
        <rFont val="宋体"/>
        <family val="3"/>
        <charset val="134"/>
      </rPr>
      <t>）经营租赁（出租人）</t>
    </r>
  </si>
  <si>
    <r>
      <rPr>
        <sz val="10"/>
        <rFont val="宋体"/>
        <family val="3"/>
        <charset val="134"/>
      </rPr>
      <t>经营租赁租出资产类别</t>
    </r>
    <phoneticPr fontId="5" type="noConversion"/>
  </si>
  <si>
    <r>
      <rPr>
        <sz val="10"/>
        <rFont val="宋体"/>
        <family val="3"/>
        <charset val="134"/>
      </rPr>
      <t>房屋建筑屋</t>
    </r>
    <phoneticPr fontId="5" type="noConversion"/>
  </si>
  <si>
    <t>类别错行，不影响报告</t>
    <phoneticPr fontId="5" type="noConversion"/>
  </si>
  <si>
    <r>
      <rPr>
        <sz val="10"/>
        <rFont val="宋体"/>
        <family val="3"/>
        <charset val="134"/>
      </rPr>
      <t>其他</t>
    </r>
    <r>
      <rPr>
        <sz val="10"/>
        <rFont val="Arial Narrow"/>
        <family val="2"/>
      </rPr>
      <t>—2</t>
    </r>
  </si>
  <si>
    <r>
      <rPr>
        <b/>
        <sz val="10"/>
        <rFont val="宋体"/>
        <family val="3"/>
        <charset val="134"/>
      </rPr>
      <t>（</t>
    </r>
    <r>
      <rPr>
        <b/>
        <sz val="10"/>
        <rFont val="Arial Narrow"/>
        <family val="2"/>
      </rPr>
      <t>3</t>
    </r>
    <r>
      <rPr>
        <b/>
        <sz val="10"/>
        <rFont val="宋体"/>
        <family val="3"/>
        <charset val="134"/>
      </rPr>
      <t>）融资租赁（承租人）</t>
    </r>
  </si>
  <si>
    <r>
      <rPr>
        <b/>
        <sz val="10"/>
        <rFont val="宋体"/>
        <family val="3"/>
        <charset val="134"/>
      </rPr>
      <t>①融资租赁租入固定资产情况</t>
    </r>
  </si>
  <si>
    <r>
      <rPr>
        <sz val="10"/>
        <rFont val="宋体"/>
        <family val="3"/>
        <charset val="134"/>
      </rPr>
      <t>资产类别</t>
    </r>
    <phoneticPr fontId="5" type="noConversion"/>
  </si>
  <si>
    <r>
      <rPr>
        <sz val="10"/>
        <rFont val="宋体"/>
        <family val="3"/>
        <charset val="134"/>
      </rPr>
      <t>房屋建筑物</t>
    </r>
    <phoneticPr fontId="5" type="noConversion"/>
  </si>
  <si>
    <r>
      <rPr>
        <sz val="10"/>
        <rFont val="宋体"/>
        <family val="3"/>
        <charset val="134"/>
      </rPr>
      <t>其他</t>
    </r>
    <r>
      <rPr>
        <sz val="10"/>
        <rFont val="Arial Narrow"/>
        <family val="2"/>
      </rPr>
      <t>—2</t>
    </r>
    <phoneticPr fontId="5" type="noConversion"/>
  </si>
  <si>
    <r>
      <rPr>
        <sz val="10"/>
        <color indexed="12"/>
        <rFont val="楷体"/>
        <family val="3"/>
        <charset val="134"/>
      </rPr>
      <t>现金流量表补充资料</t>
    </r>
    <phoneticPr fontId="5" type="noConversion"/>
  </si>
  <si>
    <r>
      <rPr>
        <b/>
        <sz val="10"/>
        <rFont val="Arial"/>
        <family val="2"/>
      </rPr>
      <t>（</t>
    </r>
    <r>
      <rPr>
        <b/>
        <sz val="10"/>
        <rFont val="Arial Narrow"/>
        <family val="2"/>
      </rPr>
      <t>1</t>
    </r>
    <r>
      <rPr>
        <b/>
        <sz val="10"/>
        <rFont val="宋体"/>
        <family val="3"/>
        <charset val="134"/>
      </rPr>
      <t>）按间接法将净利润调节为经营活动现金流量的信息</t>
    </r>
    <phoneticPr fontId="5" type="noConversion"/>
  </si>
  <si>
    <r>
      <rPr>
        <b/>
        <sz val="10"/>
        <rFont val="宋体"/>
        <family val="3"/>
        <charset val="134"/>
      </rPr>
      <t>①将净利润调节为经营活动现金流量：</t>
    </r>
  </si>
  <si>
    <r>
      <rPr>
        <b/>
        <sz val="10"/>
        <rFont val="宋体"/>
        <family val="3"/>
        <charset val="134"/>
      </rPr>
      <t>净利润</t>
    </r>
  </si>
  <si>
    <r>
      <rPr>
        <sz val="10"/>
        <rFont val="宋体"/>
        <family val="3"/>
        <charset val="134"/>
      </rPr>
      <t>加：资产减值准备</t>
    </r>
  </si>
  <si>
    <r>
      <t xml:space="preserve">    </t>
    </r>
    <r>
      <rPr>
        <sz val="10"/>
        <rFont val="宋体"/>
        <family val="3"/>
        <charset val="134"/>
      </rPr>
      <t>固定资产折旧、油气资产折耗、生产性生物资产折旧</t>
    </r>
  </si>
  <si>
    <r>
      <t xml:space="preserve">    </t>
    </r>
    <r>
      <rPr>
        <sz val="10"/>
        <rFont val="宋体"/>
        <family val="3"/>
        <charset val="134"/>
      </rPr>
      <t>无形资产摊销</t>
    </r>
  </si>
  <si>
    <r>
      <t xml:space="preserve">    </t>
    </r>
    <r>
      <rPr>
        <sz val="10"/>
        <rFont val="宋体"/>
        <family val="3"/>
        <charset val="134"/>
      </rPr>
      <t>长期待摊费用摊销</t>
    </r>
  </si>
  <si>
    <r>
      <t xml:space="preserve">    </t>
    </r>
    <r>
      <rPr>
        <sz val="10"/>
        <rFont val="宋体"/>
        <family val="3"/>
        <charset val="134"/>
      </rPr>
      <t>处置固定资产、无形资产和其他长期资产的损失（收益以</t>
    </r>
    <r>
      <rPr>
        <sz val="10"/>
        <rFont val="Arial Narrow"/>
        <family val="2"/>
      </rPr>
      <t>“</t>
    </r>
    <r>
      <rPr>
        <sz val="10"/>
        <rFont val="宋体"/>
        <family val="3"/>
        <charset val="134"/>
      </rPr>
      <t>－</t>
    </r>
    <r>
      <rPr>
        <sz val="10"/>
        <rFont val="Arial Narrow"/>
        <family val="2"/>
      </rPr>
      <t>”</t>
    </r>
    <r>
      <rPr>
        <sz val="10"/>
        <rFont val="宋体"/>
        <family val="3"/>
        <charset val="134"/>
      </rPr>
      <t>号填列）</t>
    </r>
    <phoneticPr fontId="5" type="noConversion"/>
  </si>
  <si>
    <r>
      <t xml:space="preserve">    </t>
    </r>
    <r>
      <rPr>
        <sz val="10"/>
        <rFont val="宋体"/>
        <family val="3"/>
        <charset val="134"/>
      </rPr>
      <t>固定资产报废损失（收益以</t>
    </r>
    <r>
      <rPr>
        <sz val="10"/>
        <rFont val="Arial Narrow"/>
        <family val="2"/>
      </rPr>
      <t>“</t>
    </r>
    <r>
      <rPr>
        <sz val="10"/>
        <rFont val="宋体"/>
        <family val="3"/>
        <charset val="134"/>
      </rPr>
      <t>－</t>
    </r>
    <r>
      <rPr>
        <sz val="10"/>
        <rFont val="Arial Narrow"/>
        <family val="2"/>
      </rPr>
      <t>”</t>
    </r>
    <r>
      <rPr>
        <sz val="10"/>
        <rFont val="宋体"/>
        <family val="3"/>
        <charset val="134"/>
      </rPr>
      <t>号填列）</t>
    </r>
    <phoneticPr fontId="5" type="noConversion"/>
  </si>
  <si>
    <r>
      <t xml:space="preserve">    </t>
    </r>
    <r>
      <rPr>
        <sz val="10"/>
        <rFont val="宋体"/>
        <family val="3"/>
        <charset val="134"/>
      </rPr>
      <t>公允价值变动损失（收益以</t>
    </r>
    <r>
      <rPr>
        <sz val="10"/>
        <rFont val="Arial Narrow"/>
        <family val="2"/>
      </rPr>
      <t>“</t>
    </r>
    <r>
      <rPr>
        <sz val="10"/>
        <rFont val="宋体"/>
        <family val="3"/>
        <charset val="134"/>
      </rPr>
      <t>－</t>
    </r>
    <r>
      <rPr>
        <sz val="10"/>
        <rFont val="Arial Narrow"/>
        <family val="2"/>
      </rPr>
      <t>”</t>
    </r>
    <r>
      <rPr>
        <sz val="10"/>
        <rFont val="宋体"/>
        <family val="3"/>
        <charset val="134"/>
      </rPr>
      <t>号填列）</t>
    </r>
    <phoneticPr fontId="5" type="noConversion"/>
  </si>
  <si>
    <r>
      <t xml:space="preserve">    </t>
    </r>
    <r>
      <rPr>
        <sz val="10"/>
        <rFont val="宋体"/>
        <family val="3"/>
        <charset val="134"/>
      </rPr>
      <t>财务费用（收益以</t>
    </r>
    <r>
      <rPr>
        <sz val="10"/>
        <rFont val="Arial Narrow"/>
        <family val="2"/>
      </rPr>
      <t>“</t>
    </r>
    <r>
      <rPr>
        <sz val="10"/>
        <rFont val="宋体"/>
        <family val="3"/>
        <charset val="134"/>
      </rPr>
      <t>－</t>
    </r>
    <r>
      <rPr>
        <sz val="10"/>
        <rFont val="Arial Narrow"/>
        <family val="2"/>
      </rPr>
      <t>”</t>
    </r>
    <r>
      <rPr>
        <sz val="10"/>
        <rFont val="宋体"/>
        <family val="3"/>
        <charset val="134"/>
      </rPr>
      <t>号填列）</t>
    </r>
    <phoneticPr fontId="5" type="noConversion"/>
  </si>
  <si>
    <r>
      <t xml:space="preserve">    </t>
    </r>
    <r>
      <rPr>
        <sz val="10"/>
        <rFont val="宋体"/>
        <family val="3"/>
        <charset val="134"/>
      </rPr>
      <t>投资损失（收益以</t>
    </r>
    <r>
      <rPr>
        <sz val="10"/>
        <rFont val="Arial Narrow"/>
        <family val="2"/>
      </rPr>
      <t>“</t>
    </r>
    <r>
      <rPr>
        <sz val="10"/>
        <rFont val="宋体"/>
        <family val="3"/>
        <charset val="134"/>
      </rPr>
      <t>－</t>
    </r>
    <r>
      <rPr>
        <sz val="10"/>
        <rFont val="Arial Narrow"/>
        <family val="2"/>
      </rPr>
      <t>”</t>
    </r>
    <r>
      <rPr>
        <sz val="10"/>
        <rFont val="宋体"/>
        <family val="3"/>
        <charset val="134"/>
      </rPr>
      <t>号填列）</t>
    </r>
    <phoneticPr fontId="5" type="noConversion"/>
  </si>
  <si>
    <r>
      <t xml:space="preserve">    </t>
    </r>
    <r>
      <rPr>
        <sz val="10"/>
        <rFont val="宋体"/>
        <family val="3"/>
        <charset val="134"/>
      </rPr>
      <t>递延所得税资产减少（增加以</t>
    </r>
    <r>
      <rPr>
        <sz val="10"/>
        <rFont val="Arial Narrow"/>
        <family val="2"/>
      </rPr>
      <t>“</t>
    </r>
    <r>
      <rPr>
        <sz val="10"/>
        <rFont val="宋体"/>
        <family val="3"/>
        <charset val="134"/>
      </rPr>
      <t>－</t>
    </r>
    <r>
      <rPr>
        <sz val="10"/>
        <rFont val="Arial Narrow"/>
        <family val="2"/>
      </rPr>
      <t>”</t>
    </r>
    <r>
      <rPr>
        <sz val="10"/>
        <rFont val="宋体"/>
        <family val="3"/>
        <charset val="134"/>
      </rPr>
      <t>号填列）</t>
    </r>
    <phoneticPr fontId="5" type="noConversion"/>
  </si>
  <si>
    <r>
      <t xml:space="preserve">    </t>
    </r>
    <r>
      <rPr>
        <sz val="10"/>
        <rFont val="宋体"/>
        <family val="3"/>
        <charset val="134"/>
      </rPr>
      <t>递延所得税负债增加（减少以</t>
    </r>
    <r>
      <rPr>
        <sz val="10"/>
        <rFont val="Arial Narrow"/>
        <family val="2"/>
      </rPr>
      <t>“</t>
    </r>
    <r>
      <rPr>
        <sz val="10"/>
        <rFont val="宋体"/>
        <family val="3"/>
        <charset val="134"/>
      </rPr>
      <t>－</t>
    </r>
    <r>
      <rPr>
        <sz val="10"/>
        <rFont val="Arial Narrow"/>
        <family val="2"/>
      </rPr>
      <t>”</t>
    </r>
    <r>
      <rPr>
        <sz val="10"/>
        <rFont val="宋体"/>
        <family val="3"/>
        <charset val="134"/>
      </rPr>
      <t>号填列）</t>
    </r>
    <phoneticPr fontId="5" type="noConversion"/>
  </si>
  <si>
    <r>
      <t xml:space="preserve">    </t>
    </r>
    <r>
      <rPr>
        <sz val="10"/>
        <rFont val="宋体"/>
        <family val="3"/>
        <charset val="134"/>
      </rPr>
      <t>存货的减少（增加以</t>
    </r>
    <r>
      <rPr>
        <sz val="10"/>
        <rFont val="Arial Narrow"/>
        <family val="2"/>
      </rPr>
      <t>“</t>
    </r>
    <r>
      <rPr>
        <sz val="10"/>
        <rFont val="宋体"/>
        <family val="3"/>
        <charset val="134"/>
      </rPr>
      <t>－</t>
    </r>
    <r>
      <rPr>
        <sz val="10"/>
        <rFont val="Arial Narrow"/>
        <family val="2"/>
      </rPr>
      <t>”</t>
    </r>
    <r>
      <rPr>
        <sz val="10"/>
        <rFont val="宋体"/>
        <family val="3"/>
        <charset val="134"/>
      </rPr>
      <t>号填列）</t>
    </r>
    <phoneticPr fontId="5" type="noConversion"/>
  </si>
  <si>
    <r>
      <t xml:space="preserve">    </t>
    </r>
    <r>
      <rPr>
        <sz val="10"/>
        <rFont val="宋体"/>
        <family val="3"/>
        <charset val="134"/>
      </rPr>
      <t>经营性应收项目的减少（增加以</t>
    </r>
    <r>
      <rPr>
        <sz val="10"/>
        <rFont val="Arial Narrow"/>
        <family val="2"/>
      </rPr>
      <t>“</t>
    </r>
    <r>
      <rPr>
        <sz val="10"/>
        <rFont val="宋体"/>
        <family val="3"/>
        <charset val="134"/>
      </rPr>
      <t>－</t>
    </r>
    <r>
      <rPr>
        <sz val="10"/>
        <rFont val="Arial Narrow"/>
        <family val="2"/>
      </rPr>
      <t>”</t>
    </r>
    <r>
      <rPr>
        <sz val="10"/>
        <rFont val="宋体"/>
        <family val="3"/>
        <charset val="134"/>
      </rPr>
      <t>号填列）</t>
    </r>
    <phoneticPr fontId="5" type="noConversion"/>
  </si>
  <si>
    <r>
      <t xml:space="preserve">    </t>
    </r>
    <r>
      <rPr>
        <sz val="10"/>
        <rFont val="宋体"/>
        <family val="3"/>
        <charset val="134"/>
      </rPr>
      <t>经营性应付项目的增加（减少以</t>
    </r>
    <r>
      <rPr>
        <sz val="10"/>
        <rFont val="Arial Narrow"/>
        <family val="2"/>
      </rPr>
      <t>“</t>
    </r>
    <r>
      <rPr>
        <sz val="10"/>
        <rFont val="宋体"/>
        <family val="3"/>
        <charset val="134"/>
      </rPr>
      <t>－</t>
    </r>
    <r>
      <rPr>
        <sz val="10"/>
        <rFont val="Arial Narrow"/>
        <family val="2"/>
      </rPr>
      <t>”</t>
    </r>
    <r>
      <rPr>
        <sz val="10"/>
        <rFont val="宋体"/>
        <family val="3"/>
        <charset val="134"/>
      </rPr>
      <t>号填列）</t>
    </r>
    <phoneticPr fontId="5" type="noConversion"/>
  </si>
  <si>
    <r>
      <t xml:space="preserve">    </t>
    </r>
    <r>
      <rPr>
        <sz val="10"/>
        <rFont val="宋体"/>
        <family val="3"/>
        <charset val="134"/>
      </rPr>
      <t>其他</t>
    </r>
  </si>
  <si>
    <r>
      <rPr>
        <b/>
        <sz val="10"/>
        <rFont val="宋体"/>
        <family val="3"/>
        <charset val="134"/>
      </rPr>
      <t>经营活动产生的现金流量净额</t>
    </r>
    <phoneticPr fontId="5" type="noConversion"/>
  </si>
  <si>
    <r>
      <rPr>
        <b/>
        <sz val="10"/>
        <rFont val="宋体"/>
        <family val="3"/>
        <charset val="134"/>
      </rPr>
      <t>②不涉及现金收支的重大投资和筹资活动：</t>
    </r>
  </si>
  <si>
    <r>
      <rPr>
        <sz val="10"/>
        <rFont val="宋体"/>
        <family val="3"/>
        <charset val="134"/>
      </rPr>
      <t>债务转为资本</t>
    </r>
  </si>
  <si>
    <r>
      <rPr>
        <sz val="10"/>
        <rFont val="宋体"/>
        <family val="3"/>
        <charset val="134"/>
      </rPr>
      <t>一年内到期的可转换公司债券</t>
    </r>
  </si>
  <si>
    <r>
      <rPr>
        <sz val="10"/>
        <rFont val="宋体"/>
        <family val="3"/>
        <charset val="134"/>
      </rPr>
      <t>融资租入固定资产</t>
    </r>
  </si>
  <si>
    <r>
      <rPr>
        <b/>
        <sz val="10"/>
        <rFont val="宋体"/>
        <family val="3"/>
        <charset val="134"/>
      </rPr>
      <t>③现金及现金等价物净变动情况：</t>
    </r>
  </si>
  <si>
    <r>
      <rPr>
        <sz val="10"/>
        <rFont val="宋体"/>
        <family val="3"/>
        <charset val="134"/>
      </rPr>
      <t>现金的年末余额</t>
    </r>
  </si>
  <si>
    <r>
      <rPr>
        <sz val="10"/>
        <rFont val="宋体"/>
        <family val="3"/>
        <charset val="134"/>
      </rPr>
      <t>减：现金的年初余额</t>
    </r>
  </si>
  <si>
    <r>
      <rPr>
        <sz val="10"/>
        <rFont val="宋体"/>
        <family val="3"/>
        <charset val="134"/>
      </rPr>
      <t>加：现金等价物的年末余额</t>
    </r>
  </si>
  <si>
    <r>
      <rPr>
        <sz val="10"/>
        <rFont val="宋体"/>
        <family val="3"/>
        <charset val="134"/>
      </rPr>
      <t>减：现金等价物的年初余额</t>
    </r>
  </si>
  <si>
    <r>
      <rPr>
        <sz val="10"/>
        <rFont val="宋体"/>
        <family val="3"/>
        <charset val="134"/>
      </rPr>
      <t>现金及现金等价物净增加额</t>
    </r>
  </si>
  <si>
    <r>
      <rPr>
        <sz val="10"/>
        <rFont val="宋体"/>
        <family val="3"/>
        <charset val="134"/>
      </rPr>
      <t>经营活动产生的现金流量净额</t>
    </r>
    <phoneticPr fontId="5" type="noConversion"/>
  </si>
  <si>
    <r>
      <rPr>
        <sz val="10"/>
        <rFont val="宋体"/>
        <family val="3"/>
        <charset val="134"/>
      </rPr>
      <t>报表数</t>
    </r>
    <phoneticPr fontId="5" type="noConversion"/>
  </si>
  <si>
    <r>
      <rPr>
        <sz val="10"/>
        <rFont val="宋体"/>
        <family val="3"/>
        <charset val="134"/>
      </rPr>
      <t>与报表核对</t>
    </r>
    <phoneticPr fontId="5" type="noConversion"/>
  </si>
  <si>
    <r>
      <rPr>
        <sz val="10"/>
        <rFont val="宋体"/>
        <family val="3"/>
        <charset val="134"/>
      </rPr>
      <t>（</t>
    </r>
    <r>
      <rPr>
        <sz val="10"/>
        <rFont val="Arial Narrow"/>
        <family val="2"/>
      </rPr>
      <t>3</t>
    </r>
    <r>
      <rPr>
        <sz val="10"/>
        <rFont val="宋体"/>
        <family val="3"/>
        <charset val="134"/>
      </rPr>
      <t>）现金和现金等价物的有关信息</t>
    </r>
    <phoneticPr fontId="5" type="noConversion"/>
  </si>
  <si>
    <r>
      <rPr>
        <b/>
        <sz val="10"/>
        <rFont val="宋体"/>
        <family val="3"/>
        <charset val="134"/>
      </rPr>
      <t>①现金</t>
    </r>
    <phoneticPr fontId="5" type="noConversion"/>
  </si>
  <si>
    <r>
      <rPr>
        <sz val="10"/>
        <rFont val="宋体"/>
        <family val="3"/>
        <charset val="134"/>
      </rPr>
      <t>其中：库存现金</t>
    </r>
    <phoneticPr fontId="5" type="noConversion"/>
  </si>
  <si>
    <r>
      <rPr>
        <sz val="10"/>
        <rFont val="宋体"/>
        <family val="3"/>
        <charset val="134"/>
      </rPr>
      <t>可随时用于支付的银行存款</t>
    </r>
    <phoneticPr fontId="5" type="noConversion"/>
  </si>
  <si>
    <r>
      <rPr>
        <sz val="10"/>
        <rFont val="宋体"/>
        <family val="3"/>
        <charset val="134"/>
      </rPr>
      <t>可随时用于支付的其他货币资金</t>
    </r>
    <phoneticPr fontId="5" type="noConversion"/>
  </si>
  <si>
    <r>
      <rPr>
        <b/>
        <sz val="10"/>
        <rFont val="宋体"/>
        <family val="3"/>
        <charset val="134"/>
      </rPr>
      <t>②现金等价物</t>
    </r>
  </si>
  <si>
    <r>
      <rPr>
        <sz val="10"/>
        <rFont val="宋体"/>
        <family val="3"/>
        <charset val="134"/>
      </rPr>
      <t>其中：</t>
    </r>
    <r>
      <rPr>
        <sz val="10"/>
        <rFont val="Arial Narrow"/>
        <family val="2"/>
      </rPr>
      <t>3</t>
    </r>
    <r>
      <rPr>
        <sz val="10"/>
        <rFont val="宋体"/>
        <family val="3"/>
        <charset val="134"/>
      </rPr>
      <t>个月内到期的债券投资</t>
    </r>
    <phoneticPr fontId="5" type="noConversion"/>
  </si>
  <si>
    <r>
      <rPr>
        <b/>
        <sz val="10"/>
        <rFont val="宋体"/>
        <family val="3"/>
        <charset val="134"/>
      </rPr>
      <t>③年末现金及现金等价物余额</t>
    </r>
    <phoneticPr fontId="5" type="noConversion"/>
  </si>
  <si>
    <r>
      <rPr>
        <sz val="10"/>
        <rFont val="宋体"/>
        <family val="3"/>
        <charset val="134"/>
      </rPr>
      <t>年末现金及现金等价物余额</t>
    </r>
    <phoneticPr fontId="5" type="noConversion"/>
  </si>
  <si>
    <r>
      <rPr>
        <sz val="10"/>
        <rFont val="宋体"/>
        <family val="3"/>
        <charset val="134"/>
      </rPr>
      <t>现金合计</t>
    </r>
    <phoneticPr fontId="5" type="noConversion"/>
  </si>
  <si>
    <r>
      <rPr>
        <sz val="10"/>
        <rFont val="宋体"/>
        <family val="3"/>
        <charset val="134"/>
      </rPr>
      <t>库存现金</t>
    </r>
    <phoneticPr fontId="5" type="noConversion"/>
  </si>
  <si>
    <r>
      <rPr>
        <b/>
        <sz val="10"/>
        <rFont val="宋体"/>
        <family val="3"/>
        <charset val="134"/>
      </rPr>
      <t>五、人工成本情况的说明</t>
    </r>
    <phoneticPr fontId="5" type="noConversion"/>
  </si>
  <si>
    <r>
      <rPr>
        <sz val="10"/>
        <rFont val="宋体"/>
        <family val="3"/>
        <charset val="134"/>
      </rPr>
      <t>提取数</t>
    </r>
  </si>
  <si>
    <r>
      <rPr>
        <sz val="10"/>
        <rFont val="宋体"/>
        <family val="3"/>
        <charset val="134"/>
      </rPr>
      <t>实发数</t>
    </r>
  </si>
  <si>
    <r>
      <rPr>
        <b/>
        <sz val="10"/>
        <rFont val="宋体"/>
        <family val="3"/>
        <charset val="134"/>
      </rPr>
      <t>一、企业人工成本总额（不含劳务派遣费用）</t>
    </r>
  </si>
  <si>
    <r>
      <rPr>
        <b/>
        <sz val="10"/>
        <rFont val="宋体"/>
        <family val="3"/>
        <charset val="134"/>
      </rPr>
      <t>二、从业人员人工成本总额</t>
    </r>
  </si>
  <si>
    <r>
      <t xml:space="preserve">    </t>
    </r>
    <r>
      <rPr>
        <sz val="10"/>
        <rFont val="宋体"/>
        <family val="3"/>
        <charset val="134"/>
      </rPr>
      <t>其中：从业人员劳动报酬</t>
    </r>
  </si>
  <si>
    <r>
      <rPr>
        <b/>
        <sz val="10"/>
        <rFont val="宋体"/>
        <family val="3"/>
        <charset val="134"/>
      </rPr>
      <t>三、职工人工成本总额</t>
    </r>
    <phoneticPr fontId="5" type="noConversion"/>
  </si>
  <si>
    <r>
      <rPr>
        <sz val="10"/>
        <rFont val="宋体"/>
        <family val="3"/>
        <charset val="134"/>
      </rPr>
      <t>（一）工资总额</t>
    </r>
  </si>
  <si>
    <r>
      <rPr>
        <sz val="10"/>
        <rFont val="宋体"/>
        <family val="3"/>
        <charset val="134"/>
      </rPr>
      <t>（二）社会保险费用</t>
    </r>
  </si>
  <si>
    <r>
      <t xml:space="preserve">      </t>
    </r>
    <r>
      <rPr>
        <sz val="10"/>
        <rFont val="宋体"/>
        <family val="3"/>
        <charset val="134"/>
      </rPr>
      <t>其中：养老保险</t>
    </r>
  </si>
  <si>
    <r>
      <t xml:space="preserve">            </t>
    </r>
    <r>
      <rPr>
        <sz val="10"/>
        <rFont val="宋体"/>
        <family val="3"/>
        <charset val="134"/>
      </rPr>
      <t>其中：年金（补充养老保险）</t>
    </r>
  </si>
  <si>
    <r>
      <t xml:space="preserve">            </t>
    </r>
    <r>
      <rPr>
        <sz val="10"/>
        <rFont val="宋体"/>
        <family val="3"/>
        <charset val="134"/>
      </rPr>
      <t>医疗保险</t>
    </r>
  </si>
  <si>
    <r>
      <t xml:space="preserve">            </t>
    </r>
    <r>
      <rPr>
        <sz val="10"/>
        <rFont val="宋体"/>
        <family val="3"/>
        <charset val="134"/>
      </rPr>
      <t>其中：补充医疗保险</t>
    </r>
  </si>
  <si>
    <r>
      <t xml:space="preserve">            </t>
    </r>
    <r>
      <rPr>
        <sz val="10"/>
        <rFont val="宋体"/>
        <family val="3"/>
        <charset val="134"/>
      </rPr>
      <t>失业保险</t>
    </r>
  </si>
  <si>
    <r>
      <t xml:space="preserve">            </t>
    </r>
    <r>
      <rPr>
        <sz val="10"/>
        <rFont val="宋体"/>
        <family val="3"/>
        <charset val="134"/>
      </rPr>
      <t>工伤保险</t>
    </r>
  </si>
  <si>
    <r>
      <t xml:space="preserve">            </t>
    </r>
    <r>
      <rPr>
        <sz val="10"/>
        <rFont val="宋体"/>
        <family val="3"/>
        <charset val="134"/>
      </rPr>
      <t>生育保险</t>
    </r>
  </si>
  <si>
    <r>
      <rPr>
        <sz val="10"/>
        <rFont val="宋体"/>
        <family val="3"/>
        <charset val="134"/>
      </rPr>
      <t>（三）商业保险费用</t>
    </r>
  </si>
  <si>
    <r>
      <rPr>
        <sz val="10"/>
        <rFont val="宋体"/>
        <family val="3"/>
        <charset val="134"/>
      </rPr>
      <t>（四）福利费用</t>
    </r>
    <phoneticPr fontId="5" type="noConversion"/>
  </si>
  <si>
    <r>
      <t xml:space="preserve">      </t>
    </r>
    <r>
      <rPr>
        <sz val="10"/>
        <rFont val="宋体"/>
        <family val="3"/>
        <charset val="134"/>
      </rPr>
      <t>其中：非货币性福利</t>
    </r>
    <phoneticPr fontId="5" type="noConversion"/>
  </si>
  <si>
    <r>
      <rPr>
        <sz val="10"/>
        <rFont val="宋体"/>
        <family val="3"/>
        <charset val="134"/>
      </rPr>
      <t>（五）教育培训经费</t>
    </r>
  </si>
  <si>
    <r>
      <rPr>
        <sz val="10"/>
        <rFont val="宋体"/>
        <family val="3"/>
        <charset val="134"/>
      </rPr>
      <t>（六）工会经费</t>
    </r>
  </si>
  <si>
    <r>
      <rPr>
        <sz val="10"/>
        <rFont val="宋体"/>
        <family val="3"/>
        <charset val="134"/>
      </rPr>
      <t>（七）劳动保护费用</t>
    </r>
  </si>
  <si>
    <r>
      <rPr>
        <sz val="10"/>
        <rFont val="宋体"/>
        <family val="3"/>
        <charset val="134"/>
      </rPr>
      <t>（八）住房公积金</t>
    </r>
  </si>
  <si>
    <r>
      <rPr>
        <sz val="10"/>
        <rFont val="宋体"/>
        <family val="3"/>
        <charset val="134"/>
      </rPr>
      <t>（九）一次性支付的住房补贴</t>
    </r>
  </si>
  <si>
    <r>
      <rPr>
        <sz val="10"/>
        <rFont val="宋体"/>
        <family val="3"/>
        <charset val="134"/>
      </rPr>
      <t>（十）技术奖酬金及业余设计奖</t>
    </r>
  </si>
  <si>
    <r>
      <rPr>
        <sz val="10"/>
        <rFont val="宋体"/>
        <family val="3"/>
        <charset val="134"/>
      </rPr>
      <t>（十一）辞退福利</t>
    </r>
    <phoneticPr fontId="5" type="noConversion"/>
  </si>
  <si>
    <r>
      <t xml:space="preserve">        </t>
    </r>
    <r>
      <rPr>
        <sz val="10"/>
        <rFont val="宋体"/>
        <family val="3"/>
        <charset val="134"/>
      </rPr>
      <t>其中：一次性支付补偿</t>
    </r>
  </si>
  <si>
    <r>
      <t xml:space="preserve">              </t>
    </r>
    <r>
      <rPr>
        <sz val="10"/>
        <rFont val="宋体"/>
        <family val="3"/>
        <charset val="134"/>
      </rPr>
      <t>内部退休人员支出</t>
    </r>
  </si>
  <si>
    <r>
      <rPr>
        <sz val="10"/>
        <rFont val="宋体"/>
        <family val="3"/>
        <charset val="134"/>
      </rPr>
      <t>（十二）股份支付</t>
    </r>
    <phoneticPr fontId="5" type="noConversion"/>
  </si>
  <si>
    <r>
      <rPr>
        <sz val="10"/>
        <rFont val="宋体"/>
        <family val="3"/>
        <charset val="134"/>
      </rPr>
      <t>（十三）其他人工成本</t>
    </r>
    <phoneticPr fontId="5" type="noConversion"/>
  </si>
  <si>
    <r>
      <rPr>
        <b/>
        <sz val="10"/>
        <rFont val="宋体"/>
        <family val="3"/>
        <charset val="134"/>
      </rPr>
      <t>四、在岗职工人工成本总额</t>
    </r>
  </si>
  <si>
    <r>
      <t xml:space="preserve">    </t>
    </r>
    <r>
      <rPr>
        <sz val="10"/>
        <rFont val="宋体"/>
        <family val="3"/>
        <charset val="134"/>
      </rPr>
      <t>其中：工资总额</t>
    </r>
  </si>
  <si>
    <r>
      <rPr>
        <b/>
        <sz val="10"/>
        <rFont val="宋体"/>
        <family val="3"/>
        <charset val="134"/>
      </rPr>
      <t>五、境内从业人员人工成本总额</t>
    </r>
  </si>
  <si>
    <r>
      <rPr>
        <b/>
        <sz val="10"/>
        <rFont val="宋体"/>
        <family val="3"/>
        <charset val="134"/>
      </rPr>
      <t>六、境外从业人员人工成本总额</t>
    </r>
  </si>
  <si>
    <r>
      <t xml:space="preserve">               </t>
    </r>
    <r>
      <rPr>
        <sz val="10"/>
        <rFont val="宋体"/>
        <family val="3"/>
        <charset val="134"/>
      </rPr>
      <t>外籍从业人员人工成本总额</t>
    </r>
    <phoneticPr fontId="5" type="noConversion"/>
  </si>
  <si>
    <r>
      <t>2013</t>
    </r>
    <r>
      <rPr>
        <sz val="10"/>
        <rFont val="宋体"/>
        <family val="3"/>
        <charset val="134"/>
      </rPr>
      <t>年调整系统与</t>
    </r>
    <r>
      <rPr>
        <sz val="10"/>
        <rFont val="Arial Narrow"/>
        <family val="2"/>
      </rPr>
      <t>2012</t>
    </r>
    <r>
      <rPr>
        <sz val="10"/>
        <rFont val="宋体"/>
        <family val="3"/>
        <charset val="134"/>
      </rPr>
      <t>年久其差额</t>
    </r>
    <phoneticPr fontId="5" type="noConversion"/>
  </si>
  <si>
    <r>
      <t>2012</t>
    </r>
    <r>
      <rPr>
        <sz val="10"/>
        <rFont val="宋体"/>
        <family val="3"/>
        <charset val="134"/>
      </rPr>
      <t>年调整系统与</t>
    </r>
    <r>
      <rPr>
        <sz val="10"/>
        <rFont val="Arial Narrow"/>
        <family val="2"/>
      </rPr>
      <t>2012</t>
    </r>
    <r>
      <rPr>
        <sz val="10"/>
        <rFont val="宋体"/>
        <family val="3"/>
        <charset val="134"/>
      </rPr>
      <t>年久其差额</t>
    </r>
    <phoneticPr fontId="5" type="noConversion"/>
  </si>
  <si>
    <r>
      <rPr>
        <sz val="10"/>
        <rFont val="宋体"/>
        <family val="3"/>
        <charset val="134"/>
      </rPr>
      <t>一、企业人工成本总额（不含劳务派遣费用）</t>
    </r>
  </si>
  <si>
    <r>
      <rPr>
        <sz val="10"/>
        <rFont val="宋体"/>
        <family val="3"/>
        <charset val="134"/>
      </rPr>
      <t>二、从业人员人工成本总额</t>
    </r>
  </si>
  <si>
    <r>
      <rPr>
        <sz val="10"/>
        <rFont val="宋体"/>
        <family val="3"/>
        <charset val="134"/>
      </rPr>
      <t>三、职工人工成本总额</t>
    </r>
  </si>
  <si>
    <r>
      <rPr>
        <sz val="10"/>
        <rFont val="宋体"/>
        <family val="3"/>
        <charset val="134"/>
      </rPr>
      <t>（四）福利费用</t>
    </r>
  </si>
  <si>
    <r>
      <t xml:space="preserve">      </t>
    </r>
    <r>
      <rPr>
        <sz val="10"/>
        <rFont val="宋体"/>
        <family val="3"/>
        <charset val="134"/>
      </rPr>
      <t>其中：非货币性福利</t>
    </r>
  </si>
  <si>
    <r>
      <rPr>
        <sz val="10"/>
        <rFont val="宋体"/>
        <family val="3"/>
        <charset val="134"/>
      </rPr>
      <t>（九）一次性支付的住房补贴</t>
    </r>
    <r>
      <rPr>
        <sz val="10"/>
        <rFont val="Arial Narrow"/>
        <family val="2"/>
      </rPr>
      <t xml:space="preserve">   </t>
    </r>
  </si>
  <si>
    <r>
      <rPr>
        <sz val="10"/>
        <rFont val="宋体"/>
        <family val="3"/>
        <charset val="134"/>
      </rPr>
      <t>（十一）辞退福利</t>
    </r>
  </si>
  <si>
    <r>
      <rPr>
        <sz val="10"/>
        <rFont val="宋体"/>
        <family val="3"/>
        <charset val="134"/>
      </rPr>
      <t>（十二）股份支付</t>
    </r>
  </si>
  <si>
    <r>
      <rPr>
        <sz val="10"/>
        <rFont val="宋体"/>
        <family val="3"/>
        <charset val="134"/>
      </rPr>
      <t>（十三）其他人工成本</t>
    </r>
  </si>
  <si>
    <r>
      <rPr>
        <sz val="10"/>
        <rFont val="宋体"/>
        <family val="3"/>
        <charset val="134"/>
      </rPr>
      <t>四、在岗职工人工成本总额</t>
    </r>
  </si>
  <si>
    <r>
      <rPr>
        <sz val="10"/>
        <rFont val="宋体"/>
        <family val="3"/>
        <charset val="134"/>
      </rPr>
      <t>五、境内从业人员人工成本总额</t>
    </r>
  </si>
  <si>
    <r>
      <rPr>
        <sz val="10"/>
        <rFont val="宋体"/>
        <family val="3"/>
        <charset val="134"/>
      </rPr>
      <t>六、境外从业人员人工成本总额</t>
    </r>
  </si>
  <si>
    <r>
      <t xml:space="preserve">    </t>
    </r>
    <r>
      <rPr>
        <sz val="10"/>
        <rFont val="宋体"/>
        <family val="3"/>
        <charset val="134"/>
      </rPr>
      <t>其中：中方从业人员人工成本总额</t>
    </r>
  </si>
  <si>
    <r>
      <t xml:space="preserve">            </t>
    </r>
    <r>
      <rPr>
        <sz val="10"/>
        <rFont val="宋体"/>
        <family val="3"/>
        <charset val="134"/>
      </rPr>
      <t>其中：中方职工人工成本总额</t>
    </r>
  </si>
  <si>
    <r>
      <t xml:space="preserve">          </t>
    </r>
    <r>
      <rPr>
        <sz val="10"/>
        <rFont val="宋体"/>
        <family val="3"/>
        <charset val="134"/>
      </rPr>
      <t>外籍从业人员人工成本总额</t>
    </r>
  </si>
  <si>
    <t>行号</t>
    <phoneticPr fontId="5" type="noConversion"/>
  </si>
  <si>
    <t>审定报表名称</t>
    <phoneticPr fontId="5" type="noConversion"/>
  </si>
  <si>
    <t>审定报表名称</t>
  </si>
  <si>
    <t>错误金额合计</t>
    <phoneticPr fontId="5" type="noConversion"/>
  </si>
  <si>
    <r>
      <t>其中：错误核对</t>
    </r>
    <r>
      <rPr>
        <b/>
        <sz val="9"/>
        <rFont val="Arial"/>
        <family val="2"/>
      </rPr>
      <t>2</t>
    </r>
    <r>
      <rPr>
        <sz val="12"/>
        <rFont val="宋体"/>
        <family val="3"/>
        <charset val="134"/>
      </rPr>
      <t/>
    </r>
    <phoneticPr fontId="5" type="noConversion"/>
  </si>
  <si>
    <t>过程底稿</t>
    <phoneticPr fontId="5" type="noConversion"/>
  </si>
  <si>
    <t>一年内到期的非流动资产</t>
    <phoneticPr fontId="5" type="noConversion"/>
  </si>
  <si>
    <t>所有权或使用权受限制的资产</t>
    <phoneticPr fontId="5" type="noConversion"/>
  </si>
  <si>
    <t>短期借款</t>
    <phoneticPr fontId="5" type="noConversion"/>
  </si>
  <si>
    <t>应交税费</t>
    <phoneticPr fontId="5" type="noConversion"/>
  </si>
  <si>
    <t>长期应付款</t>
    <phoneticPr fontId="5" type="noConversion"/>
  </si>
  <si>
    <t>主营业务税金及附加</t>
    <phoneticPr fontId="5" type="noConversion"/>
  </si>
  <si>
    <t>销售费用</t>
    <phoneticPr fontId="5" type="noConversion"/>
  </si>
  <si>
    <t>管理费用</t>
    <phoneticPr fontId="5" type="noConversion"/>
  </si>
  <si>
    <t>所得税费用</t>
    <phoneticPr fontId="5" type="noConversion"/>
  </si>
  <si>
    <t>债务重组</t>
  </si>
  <si>
    <t>借款费用</t>
  </si>
  <si>
    <t>外币折算</t>
  </si>
  <si>
    <t>租赁</t>
    <phoneticPr fontId="5" type="noConversion"/>
  </si>
  <si>
    <t>关联方关系</t>
  </si>
  <si>
    <t>资产分析</t>
  </si>
  <si>
    <t>上年年末余额</t>
    <phoneticPr fontId="5" type="noConversion"/>
  </si>
  <si>
    <t>上年年末账面余额</t>
    <phoneticPr fontId="5" type="noConversion"/>
  </si>
  <si>
    <t>上年年末数</t>
    <phoneticPr fontId="5" type="noConversion"/>
  </si>
  <si>
    <t>上年年末公允价值</t>
    <phoneticPr fontId="5" type="noConversion"/>
  </si>
  <si>
    <t>年初余额</t>
    <phoneticPr fontId="5" type="noConversion"/>
  </si>
  <si>
    <t>上年年末余额</t>
    <phoneticPr fontId="5" type="noConversion"/>
  </si>
  <si>
    <t>上年本年</t>
    <phoneticPr fontId="5" type="noConversion"/>
  </si>
  <si>
    <t>上年：指2014年填列的上年数</t>
    <phoneticPr fontId="5" type="noConversion"/>
  </si>
  <si>
    <r>
      <rPr>
        <sz val="10"/>
        <rFont val="宋体"/>
        <family val="3"/>
        <charset val="134"/>
      </rPr>
      <t>上年本年：指</t>
    </r>
    <r>
      <rPr>
        <sz val="10"/>
        <rFont val="Arial Narrow"/>
        <family val="2"/>
      </rPr>
      <t>2013</t>
    </r>
    <r>
      <rPr>
        <sz val="10"/>
        <rFont val="宋体"/>
        <family val="3"/>
        <charset val="134"/>
      </rPr>
      <t>年填列的本年数</t>
    </r>
    <phoneticPr fontId="5" type="noConversion"/>
  </si>
  <si>
    <r>
      <t>2013</t>
    </r>
    <r>
      <rPr>
        <sz val="10"/>
        <rFont val="宋体"/>
        <family val="3"/>
        <charset val="134"/>
      </rPr>
      <t>年久其</t>
    </r>
    <phoneticPr fontId="5" type="noConversion"/>
  </si>
  <si>
    <t>2013年调整系统核对差异</t>
  </si>
  <si>
    <t>2013年调整系统核对</t>
    <phoneticPr fontId="5" type="noConversion"/>
  </si>
  <si>
    <r>
      <rPr>
        <sz val="10"/>
        <rFont val="宋体"/>
        <family val="3"/>
        <charset val="134"/>
      </rPr>
      <t>与</t>
    </r>
    <r>
      <rPr>
        <sz val="10"/>
        <rFont val="Arial Narrow"/>
        <family val="2"/>
      </rPr>
      <t>2014</t>
    </r>
    <r>
      <rPr>
        <sz val="10"/>
        <rFont val="宋体"/>
        <family val="3"/>
        <charset val="134"/>
      </rPr>
      <t>年久其核对</t>
    </r>
    <phoneticPr fontId="5" type="noConversion"/>
  </si>
  <si>
    <t xml:space="preserve">    以公允价值计量且其变动计入当期损益的金融资产</t>
  </si>
  <si>
    <t xml:space="preserve">    衍生金融资产</t>
  </si>
  <si>
    <t xml:space="preserve">    以公允价值计量且其变动计入当期损益的金融负债</t>
  </si>
  <si>
    <t xml:space="preserve">    衍生金融负债</t>
  </si>
  <si>
    <t>其他综合收益的税后净额</t>
    <phoneticPr fontId="5" type="noConversion"/>
  </si>
  <si>
    <t>以后不能重分类进损益的其他综合收益</t>
    <phoneticPr fontId="5" type="noConversion"/>
  </si>
  <si>
    <t>以后将重分类进损益的其他综合收益</t>
    <phoneticPr fontId="5" type="noConversion"/>
  </si>
  <si>
    <t>期末余额</t>
    <phoneticPr fontId="5" type="noConversion"/>
  </si>
  <si>
    <t>……</t>
    <phoneticPr fontId="5" type="noConversion"/>
  </si>
  <si>
    <t>（3）未确认递延所得税资产明细</t>
    <phoneticPr fontId="5" type="noConversion"/>
  </si>
  <si>
    <t>年初余额</t>
    <phoneticPr fontId="5" type="noConversion"/>
  </si>
  <si>
    <t>（4）未确认递延所得税资产的可抵扣亏损将于以下年度到期</t>
    <phoneticPr fontId="5" type="noConversion"/>
  </si>
  <si>
    <t>年份</t>
    <phoneticPr fontId="5" type="noConversion"/>
  </si>
  <si>
    <r>
      <t xml:space="preserve">    </t>
    </r>
    <r>
      <rPr>
        <sz val="10"/>
        <rFont val="宋体"/>
        <family val="3"/>
        <charset val="134"/>
      </rPr>
      <t>应收分保准备金</t>
    </r>
    <phoneticPr fontId="5" type="noConversion"/>
  </si>
  <si>
    <r>
      <t xml:space="preserve">    </t>
    </r>
    <r>
      <rPr>
        <sz val="10"/>
        <rFont val="楷体_GB2312"/>
        <family val="3"/>
        <charset val="134"/>
      </rPr>
      <t>应收分保准备金</t>
    </r>
    <phoneticPr fontId="5" type="noConversion"/>
  </si>
  <si>
    <t xml:space="preserve"> 长期应付职工薪酬</t>
    <phoneticPr fontId="5" type="noConversion"/>
  </si>
  <si>
    <r>
      <t xml:space="preserve">   </t>
    </r>
    <r>
      <rPr>
        <sz val="10"/>
        <rFont val="宋体"/>
        <family val="3"/>
        <charset val="134"/>
      </rPr>
      <t>递延收益</t>
    </r>
    <phoneticPr fontId="5" type="noConversion"/>
  </si>
  <si>
    <t>13年调整系统与12年相比，主要变化内容：</t>
    <phoneticPr fontId="5" type="noConversion"/>
  </si>
  <si>
    <t>14年调整系统与13年相比，主要变化内容：</t>
    <phoneticPr fontId="5" type="noConversion"/>
  </si>
  <si>
    <t>“与2014年久其核对”与“与2013年久其核对”根据新的国企报告格式予以调整</t>
    <phoneticPr fontId="5" type="noConversion"/>
  </si>
  <si>
    <t>“与2013年调整系统核对”根据新的国企报告格式与相关数据的勾稽关系已进行调整</t>
    <phoneticPr fontId="5" type="noConversion"/>
  </si>
  <si>
    <t>14年调整系统与13年相比，涉及变化（包括新增和调整）的报表科目及附注名称均用黄色标注，审计人员请在粘贴报告附注时进行相应修改</t>
    <phoneticPr fontId="5" type="noConversion"/>
  </si>
  <si>
    <t>本年需填列分部报告，具体要求见“分部报告”表格里的填表说明。</t>
    <phoneticPr fontId="5" type="noConversion"/>
  </si>
  <si>
    <t>与2014年久其核对</t>
    <phoneticPr fontId="5" type="noConversion"/>
  </si>
  <si>
    <t>与2013年久其核对</t>
    <phoneticPr fontId="5" type="noConversion"/>
  </si>
  <si>
    <r>
      <t>1</t>
    </r>
    <r>
      <rPr>
        <sz val="9"/>
        <rFont val="宋体"/>
        <family val="3"/>
        <charset val="134"/>
      </rPr>
      <t>年以上</t>
    </r>
    <phoneticPr fontId="5" type="noConversion"/>
  </si>
  <si>
    <r>
      <rPr>
        <sz val="10"/>
        <rFont val="宋体"/>
        <family val="3"/>
        <charset val="134"/>
      </rPr>
      <t>人民币元</t>
    </r>
  </si>
  <si>
    <r>
      <rPr>
        <sz val="10"/>
        <rFont val="宋体"/>
        <family val="3"/>
        <charset val="134"/>
      </rPr>
      <t>所得税费用</t>
    </r>
  </si>
  <si>
    <r>
      <rPr>
        <sz val="10"/>
        <rFont val="宋体"/>
        <family val="3"/>
        <charset val="134"/>
      </rPr>
      <t>总行号</t>
    </r>
    <phoneticPr fontId="5" type="noConversion"/>
  </si>
  <si>
    <r>
      <t>2014</t>
    </r>
    <r>
      <rPr>
        <sz val="10"/>
        <rFont val="宋体"/>
        <family val="3"/>
        <charset val="134"/>
      </rPr>
      <t>年度国有资本保值增值率（未考虑特殊事项，仅供参考）</t>
    </r>
    <phoneticPr fontId="5" type="noConversion"/>
  </si>
  <si>
    <r>
      <rPr>
        <sz val="9"/>
        <rFont val="楷体_GB2312"/>
        <family val="3"/>
        <charset val="134"/>
      </rPr>
      <t>返回目录</t>
    </r>
  </si>
  <si>
    <r>
      <rPr>
        <sz val="10"/>
        <color indexed="12"/>
        <rFont val="楷体_GB2312"/>
        <family val="3"/>
        <charset val="134"/>
      </rPr>
      <t>试算平衡表</t>
    </r>
  </si>
  <si>
    <r>
      <rPr>
        <sz val="10"/>
        <color indexed="12"/>
        <rFont val="楷体_GB2312"/>
        <family val="3"/>
        <charset val="134"/>
      </rPr>
      <t>未审资产负债表</t>
    </r>
  </si>
  <si>
    <r>
      <rPr>
        <sz val="10"/>
        <color indexed="12"/>
        <rFont val="楷体_GB2312"/>
        <family val="3"/>
        <charset val="134"/>
      </rPr>
      <t>调整分录</t>
    </r>
  </si>
  <si>
    <r>
      <rPr>
        <sz val="10"/>
        <color indexed="12"/>
        <rFont val="楷体_GB2312"/>
        <family val="3"/>
        <charset val="134"/>
      </rPr>
      <t>导引表</t>
    </r>
  </si>
  <si>
    <r>
      <rPr>
        <sz val="10"/>
        <color indexed="12"/>
        <rFont val="楷体_GB2312"/>
        <family val="3"/>
        <charset val="134"/>
      </rPr>
      <t>未审利润表</t>
    </r>
  </si>
  <si>
    <r>
      <rPr>
        <sz val="10"/>
        <color indexed="12"/>
        <rFont val="楷体_GB2312"/>
        <family val="3"/>
        <charset val="134"/>
      </rPr>
      <t>审定资产负债表</t>
    </r>
  </si>
  <si>
    <r>
      <rPr>
        <sz val="10"/>
        <color indexed="12"/>
        <rFont val="楷体_GB2312"/>
        <family val="3"/>
        <charset val="134"/>
      </rPr>
      <t>审定利润表</t>
    </r>
  </si>
  <si>
    <r>
      <rPr>
        <sz val="10"/>
        <color indexed="17"/>
        <rFont val="楷体_GB2312"/>
        <family val="3"/>
        <charset val="134"/>
      </rPr>
      <t>使用说明</t>
    </r>
  </si>
  <si>
    <r>
      <rPr>
        <sz val="10"/>
        <color indexed="12"/>
        <rFont val="楷体_GB2312"/>
        <family val="3"/>
        <charset val="134"/>
      </rPr>
      <t>附注填写封面</t>
    </r>
  </si>
  <si>
    <r>
      <rPr>
        <sz val="10"/>
        <color indexed="12"/>
        <rFont val="楷体_GB2312"/>
        <family val="3"/>
        <charset val="134"/>
      </rPr>
      <t>审定现金流量表</t>
    </r>
  </si>
  <si>
    <r>
      <rPr>
        <sz val="9"/>
        <color theme="0" tint="-0.14999847407452621"/>
        <rFont val="楷体_GB2312"/>
        <family val="3"/>
        <charset val="134"/>
      </rPr>
      <t>返回目录</t>
    </r>
  </si>
  <si>
    <r>
      <rPr>
        <b/>
        <sz val="10"/>
        <rFont val="宋体"/>
        <family val="3"/>
        <charset val="134"/>
      </rPr>
      <t>其中：错误核对</t>
    </r>
    <r>
      <rPr>
        <b/>
        <sz val="10"/>
        <rFont val="Arial Narrow"/>
        <family val="2"/>
      </rPr>
      <t>5</t>
    </r>
    <r>
      <rPr>
        <sz val="12"/>
        <rFont val="宋体"/>
        <family val="3"/>
        <charset val="134"/>
      </rPr>
      <t/>
    </r>
  </si>
  <si>
    <r>
      <rPr>
        <b/>
        <sz val="10"/>
        <rFont val="宋体"/>
        <family val="3"/>
        <charset val="134"/>
      </rPr>
      <t>其中：错误核对</t>
    </r>
    <r>
      <rPr>
        <b/>
        <sz val="10"/>
        <rFont val="Arial Narrow"/>
        <family val="2"/>
      </rPr>
      <t>6</t>
    </r>
    <r>
      <rPr>
        <sz val="12"/>
        <rFont val="宋体"/>
        <family val="3"/>
        <charset val="134"/>
      </rPr>
      <t/>
    </r>
  </si>
  <si>
    <r>
      <rPr>
        <b/>
        <sz val="10"/>
        <rFont val="宋体"/>
        <family val="3"/>
        <charset val="134"/>
      </rPr>
      <t>其中：错误核对</t>
    </r>
    <r>
      <rPr>
        <b/>
        <sz val="10"/>
        <rFont val="Arial Narrow"/>
        <family val="2"/>
      </rPr>
      <t>7</t>
    </r>
    <r>
      <rPr>
        <sz val="12"/>
        <rFont val="宋体"/>
        <family val="3"/>
        <charset val="134"/>
      </rPr>
      <t/>
    </r>
  </si>
  <si>
    <r>
      <rPr>
        <b/>
        <sz val="10"/>
        <rFont val="宋体"/>
        <family val="3"/>
        <charset val="134"/>
      </rPr>
      <t>其中：错误核对</t>
    </r>
    <r>
      <rPr>
        <b/>
        <sz val="10"/>
        <rFont val="Arial Narrow"/>
        <family val="2"/>
      </rPr>
      <t>9</t>
    </r>
    <r>
      <rPr>
        <sz val="12"/>
        <rFont val="宋体"/>
        <family val="3"/>
        <charset val="134"/>
      </rPr>
      <t/>
    </r>
  </si>
  <si>
    <r>
      <rPr>
        <b/>
        <sz val="10"/>
        <rFont val="宋体"/>
        <family val="3"/>
        <charset val="134"/>
      </rPr>
      <t>其中：错误核对</t>
    </r>
    <r>
      <rPr>
        <b/>
        <sz val="10"/>
        <rFont val="Arial Narrow"/>
        <family val="2"/>
      </rPr>
      <t>10</t>
    </r>
    <r>
      <rPr>
        <sz val="12"/>
        <rFont val="宋体"/>
        <family val="3"/>
        <charset val="134"/>
      </rPr>
      <t/>
    </r>
  </si>
  <si>
    <r>
      <rPr>
        <b/>
        <sz val="10"/>
        <rFont val="宋体"/>
        <family val="3"/>
        <charset val="134"/>
      </rPr>
      <t>错误金额合计</t>
    </r>
    <phoneticPr fontId="5" type="noConversion"/>
  </si>
  <si>
    <r>
      <rPr>
        <b/>
        <sz val="10"/>
        <rFont val="宋体"/>
        <family val="3"/>
        <charset val="134"/>
      </rPr>
      <t>其中：错误核对</t>
    </r>
    <r>
      <rPr>
        <b/>
        <sz val="10"/>
        <rFont val="Arial Narrow"/>
        <family val="2"/>
      </rPr>
      <t>1</t>
    </r>
    <phoneticPr fontId="5" type="noConversion"/>
  </si>
  <si>
    <r>
      <rPr>
        <b/>
        <sz val="10"/>
        <rFont val="宋体"/>
        <family val="3"/>
        <charset val="134"/>
      </rPr>
      <t>其中：错误核对</t>
    </r>
    <r>
      <rPr>
        <b/>
        <sz val="10"/>
        <rFont val="Arial Narrow"/>
        <family val="2"/>
      </rPr>
      <t>2</t>
    </r>
    <r>
      <rPr>
        <sz val="12"/>
        <rFont val="宋体"/>
        <family val="3"/>
        <charset val="134"/>
      </rPr>
      <t/>
    </r>
    <phoneticPr fontId="5" type="noConversion"/>
  </si>
  <si>
    <r>
      <rPr>
        <b/>
        <sz val="10"/>
        <rFont val="宋体"/>
        <family val="3"/>
        <charset val="134"/>
      </rPr>
      <t>其中：错误核对</t>
    </r>
    <r>
      <rPr>
        <b/>
        <sz val="10"/>
        <rFont val="Arial Narrow"/>
        <family val="2"/>
      </rPr>
      <t>3</t>
    </r>
    <phoneticPr fontId="5" type="noConversion"/>
  </si>
  <si>
    <r>
      <rPr>
        <b/>
        <sz val="10"/>
        <rFont val="宋体"/>
        <family val="3"/>
        <charset val="134"/>
      </rPr>
      <t>其中：错误核对</t>
    </r>
    <r>
      <rPr>
        <b/>
        <sz val="10"/>
        <rFont val="Arial Narrow"/>
        <family val="2"/>
      </rPr>
      <t>4</t>
    </r>
    <phoneticPr fontId="5" type="noConversion"/>
  </si>
  <si>
    <r>
      <rPr>
        <b/>
        <sz val="10"/>
        <rFont val="宋体"/>
        <family val="3"/>
        <charset val="134"/>
      </rPr>
      <t>其中：错误核对</t>
    </r>
    <r>
      <rPr>
        <b/>
        <sz val="10"/>
        <rFont val="Arial Narrow"/>
        <family val="2"/>
      </rPr>
      <t>8</t>
    </r>
    <r>
      <rPr>
        <sz val="12"/>
        <rFont val="宋体"/>
        <family val="3"/>
        <charset val="134"/>
      </rPr>
      <t/>
    </r>
    <phoneticPr fontId="5" type="noConversion"/>
  </si>
  <si>
    <t>——应收票据</t>
    <phoneticPr fontId="5" type="noConversion"/>
  </si>
  <si>
    <t>——货币资金</t>
    <phoneticPr fontId="5" type="noConversion"/>
  </si>
  <si>
    <t>——无形资产</t>
    <phoneticPr fontId="5" type="noConversion"/>
  </si>
  <si>
    <r>
      <rPr>
        <sz val="10"/>
        <rFont val="楷体_GB2312"/>
        <family val="3"/>
        <charset val="134"/>
      </rPr>
      <t>编制单位</t>
    </r>
    <phoneticPr fontId="5" type="noConversion"/>
  </si>
  <si>
    <r>
      <rPr>
        <sz val="10"/>
        <rFont val="楷体_GB2312"/>
        <family val="3"/>
        <charset val="134"/>
      </rPr>
      <t>时间</t>
    </r>
    <phoneticPr fontId="5" type="noConversion"/>
  </si>
  <si>
    <r>
      <rPr>
        <sz val="10"/>
        <rFont val="楷体_GB2312"/>
        <family val="3"/>
        <charset val="134"/>
      </rPr>
      <t>期间</t>
    </r>
    <phoneticPr fontId="5" type="noConversion"/>
  </si>
  <si>
    <r>
      <rPr>
        <sz val="10"/>
        <rFont val="楷体_GB2312"/>
        <family val="3"/>
        <charset val="134"/>
      </rPr>
      <t>是否合并</t>
    </r>
    <phoneticPr fontId="5" type="noConversion"/>
  </si>
  <si>
    <r>
      <rPr>
        <sz val="10"/>
        <rFont val="楷体_GB2312"/>
        <family val="3"/>
        <charset val="134"/>
      </rPr>
      <t>编制人</t>
    </r>
    <phoneticPr fontId="5" type="noConversion"/>
  </si>
  <si>
    <r>
      <rPr>
        <sz val="10"/>
        <rFont val="楷体_GB2312"/>
        <family val="3"/>
        <charset val="134"/>
      </rPr>
      <t>复核人</t>
    </r>
    <phoneticPr fontId="5" type="noConversion"/>
  </si>
  <si>
    <r>
      <rPr>
        <sz val="10"/>
        <color indexed="12"/>
        <rFont val="楷体_GB2312"/>
        <family val="3"/>
        <charset val="134"/>
      </rPr>
      <t>审定所有者权益表</t>
    </r>
    <phoneticPr fontId="5" type="noConversion"/>
  </si>
  <si>
    <r>
      <rPr>
        <sz val="10"/>
        <rFont val="楷体_GB2312"/>
        <family val="3"/>
        <charset val="134"/>
      </rPr>
      <t>编制时间</t>
    </r>
    <phoneticPr fontId="5" type="noConversion"/>
  </si>
  <si>
    <r>
      <rPr>
        <sz val="10"/>
        <color indexed="12"/>
        <rFont val="楷体_GB2312"/>
        <family val="3"/>
        <charset val="134"/>
      </rPr>
      <t>审定资产减值表</t>
    </r>
    <phoneticPr fontId="5" type="noConversion"/>
  </si>
  <si>
    <r>
      <rPr>
        <sz val="10"/>
        <rFont val="楷体_GB2312"/>
        <family val="3"/>
        <charset val="134"/>
      </rPr>
      <t>复核时间</t>
    </r>
    <phoneticPr fontId="5" type="noConversion"/>
  </si>
  <si>
    <r>
      <rPr>
        <sz val="9"/>
        <color theme="0" tint="-0.14999847407452621"/>
        <rFont val="楷体_GB2312"/>
        <family val="3"/>
        <charset val="134"/>
      </rPr>
      <t>注：</t>
    </r>
    <r>
      <rPr>
        <sz val="9"/>
        <color theme="0" tint="-0.14999847407452621"/>
        <rFont val="Arial Narrow"/>
        <family val="2"/>
      </rPr>
      <t>2014</t>
    </r>
    <r>
      <rPr>
        <sz val="9"/>
        <color theme="0" tint="-0.14999847407452621"/>
        <rFont val="楷体_GB2312"/>
        <family val="3"/>
        <charset val="134"/>
      </rPr>
      <t>年财务决算审计专用</t>
    </r>
    <phoneticPr fontId="5" type="noConversion"/>
  </si>
  <si>
    <r>
      <rPr>
        <sz val="10"/>
        <rFont val="宋体"/>
        <family val="3"/>
        <charset val="134"/>
      </rPr>
      <t>行号</t>
    </r>
    <phoneticPr fontId="5" type="noConversion"/>
  </si>
  <si>
    <r>
      <rPr>
        <b/>
        <sz val="10"/>
        <rFont val="宋体"/>
        <family val="3"/>
        <charset val="134"/>
      </rPr>
      <t>审定报表名称</t>
    </r>
    <phoneticPr fontId="5" type="noConversion"/>
  </si>
  <si>
    <r>
      <rPr>
        <sz val="10"/>
        <rFont val="宋体"/>
        <family val="3"/>
        <charset val="134"/>
      </rPr>
      <t>过程底稿</t>
    </r>
    <phoneticPr fontId="5" type="noConversion"/>
  </si>
  <si>
    <r>
      <rPr>
        <sz val="10"/>
        <rFont val="宋体"/>
        <family val="3"/>
        <charset val="134"/>
      </rPr>
      <t>未审资产负债表</t>
    </r>
    <phoneticPr fontId="5" type="noConversion"/>
  </si>
  <si>
    <r>
      <rPr>
        <sz val="10"/>
        <rFont val="宋体"/>
        <family val="3"/>
        <charset val="134"/>
      </rPr>
      <t>未审利润表</t>
    </r>
    <phoneticPr fontId="5" type="noConversion"/>
  </si>
  <si>
    <r>
      <rPr>
        <sz val="10"/>
        <rFont val="宋体"/>
        <family val="3"/>
        <charset val="134"/>
      </rPr>
      <t>未审现金流量表</t>
    </r>
    <phoneticPr fontId="5" type="noConversion"/>
  </si>
  <si>
    <r>
      <rPr>
        <sz val="10"/>
        <rFont val="宋体"/>
        <family val="3"/>
        <charset val="134"/>
      </rPr>
      <t>调整分录</t>
    </r>
    <phoneticPr fontId="5" type="noConversion"/>
  </si>
  <si>
    <r>
      <rPr>
        <sz val="10"/>
        <rFont val="宋体"/>
        <family val="3"/>
        <charset val="134"/>
      </rPr>
      <t>与</t>
    </r>
    <r>
      <rPr>
        <sz val="10"/>
        <rFont val="Arial Narrow"/>
        <family val="2"/>
      </rPr>
      <t>2013</t>
    </r>
    <r>
      <rPr>
        <sz val="10"/>
        <rFont val="宋体"/>
        <family val="3"/>
        <charset val="134"/>
      </rPr>
      <t>年久其核对</t>
    </r>
    <phoneticPr fontId="5" type="noConversion"/>
  </si>
  <si>
    <r>
      <rPr>
        <sz val="10"/>
        <rFont val="宋体"/>
        <family val="3"/>
        <charset val="134"/>
      </rPr>
      <t>未调整不符事项之分录</t>
    </r>
    <phoneticPr fontId="5" type="noConversion"/>
  </si>
  <si>
    <r>
      <rPr>
        <sz val="10"/>
        <rFont val="宋体"/>
        <family val="3"/>
        <charset val="134"/>
      </rPr>
      <t>未调整不符事项之报表影响</t>
    </r>
    <phoneticPr fontId="5" type="noConversion"/>
  </si>
  <si>
    <r>
      <rPr>
        <sz val="10"/>
        <rFont val="宋体"/>
        <family val="3"/>
        <charset val="134"/>
      </rPr>
      <t>调整简表（万元）</t>
    </r>
    <phoneticPr fontId="5" type="noConversion"/>
  </si>
  <si>
    <r>
      <rPr>
        <sz val="10"/>
        <rFont val="宋体"/>
        <family val="3"/>
        <charset val="134"/>
      </rPr>
      <t>试算平衡表</t>
    </r>
    <phoneticPr fontId="5" type="noConversion"/>
  </si>
  <si>
    <r>
      <rPr>
        <sz val="10"/>
        <rFont val="宋体"/>
        <family val="3"/>
        <charset val="134"/>
      </rPr>
      <t>导引表</t>
    </r>
    <phoneticPr fontId="5" type="noConversion"/>
  </si>
  <si>
    <r>
      <rPr>
        <sz val="10"/>
        <rFont val="宋体"/>
        <family val="3"/>
        <charset val="134"/>
      </rPr>
      <t>快速链接：</t>
    </r>
    <phoneticPr fontId="5" type="noConversion"/>
  </si>
  <si>
    <r>
      <rPr>
        <sz val="10"/>
        <rFont val="宋体"/>
        <family val="3"/>
        <charset val="134"/>
      </rPr>
      <t>审定报表</t>
    </r>
    <phoneticPr fontId="5" type="noConversion"/>
  </si>
  <si>
    <r>
      <rPr>
        <sz val="10"/>
        <rFont val="宋体"/>
        <family val="3"/>
        <charset val="134"/>
      </rPr>
      <t>流动资产类</t>
    </r>
    <phoneticPr fontId="5" type="noConversion"/>
  </si>
  <si>
    <r>
      <rPr>
        <sz val="10"/>
        <rFont val="宋体"/>
        <family val="3"/>
        <charset val="134"/>
      </rPr>
      <t>非流动资产类</t>
    </r>
    <phoneticPr fontId="5" type="noConversion"/>
  </si>
  <si>
    <r>
      <rPr>
        <sz val="10"/>
        <rFont val="宋体"/>
        <family val="3"/>
        <charset val="134"/>
      </rPr>
      <t>负债类</t>
    </r>
    <phoneticPr fontId="5" type="noConversion"/>
  </si>
  <si>
    <r>
      <rPr>
        <sz val="10"/>
        <rFont val="宋体"/>
        <family val="3"/>
        <charset val="134"/>
      </rPr>
      <t>权益类</t>
    </r>
    <phoneticPr fontId="5" type="noConversion"/>
  </si>
  <si>
    <r>
      <rPr>
        <sz val="10"/>
        <rFont val="宋体"/>
        <family val="3"/>
        <charset val="134"/>
      </rPr>
      <t>损益类</t>
    </r>
    <phoneticPr fontId="5" type="noConversion"/>
  </si>
  <si>
    <r>
      <rPr>
        <sz val="10"/>
        <rFont val="宋体"/>
        <family val="3"/>
        <charset val="134"/>
      </rPr>
      <t>关联交易及现金流量类</t>
    </r>
    <phoneticPr fontId="5" type="noConversion"/>
  </si>
  <si>
    <r>
      <rPr>
        <sz val="10"/>
        <rFont val="宋体"/>
        <family val="3"/>
        <charset val="134"/>
      </rPr>
      <t>审定资产负债表</t>
    </r>
    <phoneticPr fontId="5" type="noConversion"/>
  </si>
  <si>
    <r>
      <rPr>
        <sz val="10"/>
        <rFont val="宋体"/>
        <family val="3"/>
        <charset val="134"/>
      </rPr>
      <t>审定利润表</t>
    </r>
  </si>
  <si>
    <r>
      <rPr>
        <sz val="10"/>
        <rFont val="宋体"/>
        <family val="3"/>
        <charset val="134"/>
      </rPr>
      <t>审定现金流量表</t>
    </r>
  </si>
  <si>
    <r>
      <rPr>
        <sz val="10"/>
        <rFont val="宋体"/>
        <family val="3"/>
        <charset val="134"/>
      </rPr>
      <t>审定所有者权益变动表</t>
    </r>
  </si>
  <si>
    <r>
      <rPr>
        <sz val="10"/>
        <rFont val="宋体"/>
        <family val="3"/>
        <charset val="134"/>
      </rPr>
      <t>货币资金</t>
    </r>
  </si>
  <si>
    <r>
      <rPr>
        <sz val="10"/>
        <rFont val="宋体"/>
        <family val="3"/>
        <charset val="134"/>
      </rPr>
      <t>以公允价值计量且其变动计入当期损益的金融资产</t>
    </r>
    <phoneticPr fontId="5" type="noConversion"/>
  </si>
  <si>
    <r>
      <rPr>
        <sz val="10"/>
        <rFont val="宋体"/>
        <family val="3"/>
        <charset val="134"/>
      </rPr>
      <t>衍生金融资产</t>
    </r>
    <phoneticPr fontId="5" type="noConversion"/>
  </si>
  <si>
    <r>
      <rPr>
        <sz val="10"/>
        <rFont val="宋体"/>
        <family val="3"/>
        <charset val="134"/>
      </rPr>
      <t>应收票据</t>
    </r>
  </si>
  <si>
    <r>
      <rPr>
        <sz val="10"/>
        <rFont val="宋体"/>
        <family val="3"/>
        <charset val="134"/>
      </rPr>
      <t>预付账款</t>
    </r>
  </si>
  <si>
    <r>
      <rPr>
        <sz val="10"/>
        <rFont val="宋体"/>
        <family val="3"/>
        <charset val="134"/>
      </rPr>
      <t>应收利息</t>
    </r>
  </si>
  <si>
    <r>
      <rPr>
        <sz val="10"/>
        <rFont val="宋体"/>
        <family val="3"/>
        <charset val="134"/>
      </rPr>
      <t>应收股利</t>
    </r>
  </si>
  <si>
    <r>
      <rPr>
        <sz val="10"/>
        <rFont val="宋体"/>
        <family val="3"/>
        <charset val="134"/>
      </rPr>
      <t>存货</t>
    </r>
  </si>
  <si>
    <r>
      <rPr>
        <sz val="10"/>
        <rFont val="宋体"/>
        <family val="3"/>
        <charset val="134"/>
      </rPr>
      <t>一年内到期的非流动资产</t>
    </r>
    <phoneticPr fontId="5" type="noConversion"/>
  </si>
  <si>
    <r>
      <rPr>
        <sz val="10"/>
        <rFont val="宋体"/>
        <family val="3"/>
        <charset val="134"/>
      </rPr>
      <t>其他流动资产</t>
    </r>
  </si>
  <si>
    <r>
      <rPr>
        <sz val="10"/>
        <rFont val="宋体"/>
        <family val="3"/>
        <charset val="134"/>
      </rPr>
      <t>可供出售金融资产</t>
    </r>
  </si>
  <si>
    <r>
      <rPr>
        <sz val="10"/>
        <rFont val="宋体"/>
        <family val="3"/>
        <charset val="134"/>
      </rPr>
      <t>持有至到期投资</t>
    </r>
  </si>
  <si>
    <r>
      <rPr>
        <sz val="10"/>
        <rFont val="宋体"/>
        <family val="3"/>
        <charset val="134"/>
      </rPr>
      <t>长期应收款</t>
    </r>
  </si>
  <si>
    <r>
      <rPr>
        <sz val="10"/>
        <rFont val="宋体"/>
        <family val="3"/>
        <charset val="134"/>
      </rPr>
      <t>长期股权投资</t>
    </r>
  </si>
  <si>
    <r>
      <rPr>
        <sz val="10"/>
        <rFont val="宋体"/>
        <family val="3"/>
        <charset val="134"/>
      </rPr>
      <t>投资性房地产</t>
    </r>
  </si>
  <si>
    <r>
      <rPr>
        <sz val="10"/>
        <rFont val="宋体"/>
        <family val="3"/>
        <charset val="134"/>
      </rPr>
      <t>固定资产</t>
    </r>
  </si>
  <si>
    <r>
      <rPr>
        <sz val="10"/>
        <rFont val="宋体"/>
        <family val="3"/>
        <charset val="134"/>
      </rPr>
      <t>在建工程</t>
    </r>
  </si>
  <si>
    <r>
      <rPr>
        <sz val="10"/>
        <rFont val="宋体"/>
        <family val="3"/>
        <charset val="134"/>
      </rPr>
      <t>工程物资</t>
    </r>
  </si>
  <si>
    <r>
      <rPr>
        <sz val="10"/>
        <rFont val="宋体"/>
        <family val="3"/>
        <charset val="134"/>
      </rPr>
      <t>固定资产清理</t>
    </r>
  </si>
  <si>
    <r>
      <rPr>
        <sz val="10"/>
        <rFont val="宋体"/>
        <family val="3"/>
        <charset val="134"/>
      </rPr>
      <t>无形资产</t>
    </r>
  </si>
  <si>
    <r>
      <rPr>
        <sz val="10"/>
        <rFont val="宋体"/>
        <family val="3"/>
        <charset val="134"/>
      </rPr>
      <t>商誉</t>
    </r>
  </si>
  <si>
    <r>
      <rPr>
        <sz val="10"/>
        <rFont val="宋体"/>
        <family val="3"/>
        <charset val="134"/>
      </rPr>
      <t>长期待摊费用</t>
    </r>
  </si>
  <si>
    <r>
      <rPr>
        <sz val="10"/>
        <rFont val="宋体"/>
        <family val="3"/>
        <charset val="134"/>
      </rPr>
      <t>递延所得税资产与递延所得税负债</t>
    </r>
  </si>
  <si>
    <r>
      <rPr>
        <sz val="10"/>
        <rFont val="宋体"/>
        <family val="3"/>
        <charset val="134"/>
      </rPr>
      <t>其他非流动资产</t>
    </r>
  </si>
  <si>
    <r>
      <rPr>
        <sz val="10"/>
        <rFont val="宋体"/>
        <family val="3"/>
        <charset val="134"/>
      </rPr>
      <t>短期借款</t>
    </r>
    <phoneticPr fontId="5" type="noConversion"/>
  </si>
  <si>
    <r>
      <rPr>
        <sz val="10"/>
        <rFont val="宋体"/>
        <family val="3"/>
        <charset val="134"/>
      </rPr>
      <t>以公允价值计量且其变动计入当期损益的金融负债</t>
    </r>
    <phoneticPr fontId="5" type="noConversion"/>
  </si>
  <si>
    <r>
      <rPr>
        <sz val="10"/>
        <rFont val="宋体"/>
        <family val="3"/>
        <charset val="134"/>
      </rPr>
      <t>应付票据</t>
    </r>
  </si>
  <si>
    <r>
      <rPr>
        <sz val="10"/>
        <rFont val="宋体"/>
        <family val="3"/>
        <charset val="134"/>
      </rPr>
      <t>应付账款</t>
    </r>
  </si>
  <si>
    <r>
      <rPr>
        <sz val="10"/>
        <rFont val="宋体"/>
        <family val="3"/>
        <charset val="134"/>
      </rPr>
      <t>预收款项</t>
    </r>
  </si>
  <si>
    <r>
      <rPr>
        <sz val="10"/>
        <rFont val="宋体"/>
        <family val="3"/>
        <charset val="134"/>
      </rPr>
      <t>应交税费</t>
    </r>
    <phoneticPr fontId="5" type="noConversion"/>
  </si>
  <si>
    <r>
      <rPr>
        <sz val="10"/>
        <rFont val="宋体"/>
        <family val="3"/>
        <charset val="134"/>
      </rPr>
      <t>应付利息</t>
    </r>
  </si>
  <si>
    <r>
      <rPr>
        <sz val="10"/>
        <rFont val="宋体"/>
        <family val="3"/>
        <charset val="134"/>
      </rPr>
      <t>应付股利</t>
    </r>
  </si>
  <si>
    <r>
      <rPr>
        <sz val="10"/>
        <rFont val="宋体"/>
        <family val="3"/>
        <charset val="134"/>
      </rPr>
      <t>其他应付款</t>
    </r>
  </si>
  <si>
    <r>
      <rPr>
        <sz val="10"/>
        <rFont val="宋体"/>
        <family val="3"/>
        <charset val="134"/>
      </rPr>
      <t>一年内到期的非流动负债</t>
    </r>
  </si>
  <si>
    <r>
      <rPr>
        <sz val="10"/>
        <rFont val="宋体"/>
        <family val="3"/>
        <charset val="134"/>
      </rPr>
      <t>其他流动负债</t>
    </r>
  </si>
  <si>
    <r>
      <rPr>
        <sz val="10"/>
        <rFont val="宋体"/>
        <family val="3"/>
        <charset val="134"/>
      </rPr>
      <t>长期借款</t>
    </r>
  </si>
  <si>
    <r>
      <rPr>
        <sz val="10"/>
        <rFont val="宋体"/>
        <family val="3"/>
        <charset val="134"/>
      </rPr>
      <t>应付债券</t>
    </r>
  </si>
  <si>
    <r>
      <rPr>
        <sz val="10"/>
        <rFont val="宋体"/>
        <family val="3"/>
        <charset val="134"/>
      </rPr>
      <t>优先股、永续债等金融工具</t>
    </r>
    <phoneticPr fontId="5" type="noConversion"/>
  </si>
  <si>
    <r>
      <rPr>
        <sz val="10"/>
        <rFont val="宋体"/>
        <family val="3"/>
        <charset val="134"/>
      </rPr>
      <t>长期应付款</t>
    </r>
  </si>
  <si>
    <r>
      <rPr>
        <sz val="10"/>
        <rFont val="宋体"/>
        <family val="3"/>
        <charset val="134"/>
      </rPr>
      <t>专项应付款</t>
    </r>
  </si>
  <si>
    <r>
      <rPr>
        <sz val="10"/>
        <rFont val="宋体"/>
        <family val="3"/>
        <charset val="134"/>
      </rPr>
      <t>其他非流动负债</t>
    </r>
  </si>
  <si>
    <r>
      <rPr>
        <sz val="10"/>
        <rFont val="宋体"/>
        <family val="3"/>
        <charset val="134"/>
      </rPr>
      <t>实收资本</t>
    </r>
  </si>
  <si>
    <r>
      <rPr>
        <sz val="10"/>
        <rFont val="宋体"/>
        <family val="3"/>
        <charset val="134"/>
      </rPr>
      <t>资本公积</t>
    </r>
  </si>
  <si>
    <r>
      <rPr>
        <sz val="10"/>
        <rFont val="宋体"/>
        <family val="3"/>
        <charset val="134"/>
      </rPr>
      <t>专项储备</t>
    </r>
  </si>
  <si>
    <r>
      <rPr>
        <sz val="10"/>
        <rFont val="宋体"/>
        <family val="3"/>
        <charset val="134"/>
      </rPr>
      <t>盈余公积</t>
    </r>
  </si>
  <si>
    <r>
      <rPr>
        <sz val="10"/>
        <rFont val="宋体"/>
        <family val="3"/>
        <charset val="134"/>
      </rPr>
      <t>未分配利润</t>
    </r>
  </si>
  <si>
    <r>
      <rPr>
        <sz val="10"/>
        <rFont val="宋体"/>
        <family val="3"/>
        <charset val="134"/>
      </rPr>
      <t>营业收入营业成本</t>
    </r>
  </si>
  <si>
    <r>
      <rPr>
        <sz val="10"/>
        <rFont val="宋体"/>
        <family val="3"/>
        <charset val="134"/>
      </rPr>
      <t>销售费用</t>
    </r>
    <phoneticPr fontId="5" type="noConversion"/>
  </si>
  <si>
    <r>
      <rPr>
        <sz val="10"/>
        <rFont val="宋体"/>
        <family val="3"/>
        <charset val="134"/>
      </rPr>
      <t>管理费用</t>
    </r>
    <phoneticPr fontId="5" type="noConversion"/>
  </si>
  <si>
    <r>
      <rPr>
        <sz val="10"/>
        <rFont val="宋体"/>
        <family val="3"/>
        <charset val="134"/>
      </rPr>
      <t>财务费用</t>
    </r>
  </si>
  <si>
    <r>
      <rPr>
        <sz val="10"/>
        <rFont val="宋体"/>
        <family val="3"/>
        <charset val="134"/>
      </rPr>
      <t>资产减值损失</t>
    </r>
  </si>
  <si>
    <r>
      <rPr>
        <sz val="10"/>
        <rFont val="宋体"/>
        <family val="3"/>
        <charset val="134"/>
      </rPr>
      <t>公允价值变动收益</t>
    </r>
  </si>
  <si>
    <r>
      <rPr>
        <sz val="10"/>
        <rFont val="宋体"/>
        <family val="3"/>
        <charset val="134"/>
      </rPr>
      <t>投资收益</t>
    </r>
  </si>
  <si>
    <r>
      <rPr>
        <sz val="10"/>
        <rFont val="宋体"/>
        <family val="3"/>
        <charset val="134"/>
      </rPr>
      <t>营业外收入</t>
    </r>
  </si>
  <si>
    <r>
      <rPr>
        <sz val="10"/>
        <rFont val="宋体"/>
        <family val="3"/>
        <charset val="134"/>
      </rPr>
      <t>营业外支出</t>
    </r>
  </si>
  <si>
    <r>
      <rPr>
        <sz val="10"/>
        <rFont val="宋体"/>
        <family val="3"/>
        <charset val="134"/>
      </rPr>
      <t>其他综合收益</t>
    </r>
  </si>
  <si>
    <r>
      <rPr>
        <sz val="10"/>
        <rFont val="宋体"/>
        <family val="3"/>
        <charset val="134"/>
      </rPr>
      <t>非货币性资产交换</t>
    </r>
  </si>
  <si>
    <r>
      <rPr>
        <sz val="10"/>
        <rFont val="宋体"/>
        <family val="3"/>
        <charset val="134"/>
      </rPr>
      <t>债务重组</t>
    </r>
    <phoneticPr fontId="5" type="noConversion"/>
  </si>
  <si>
    <r>
      <rPr>
        <sz val="10"/>
        <rFont val="宋体"/>
        <family val="3"/>
        <charset val="134"/>
      </rPr>
      <t>借款费用</t>
    </r>
    <phoneticPr fontId="5" type="noConversion"/>
  </si>
  <si>
    <r>
      <rPr>
        <sz val="10"/>
        <rFont val="宋体"/>
        <family val="3"/>
        <charset val="134"/>
      </rPr>
      <t>外币折算</t>
    </r>
    <phoneticPr fontId="5" type="noConversion"/>
  </si>
  <si>
    <r>
      <rPr>
        <sz val="10"/>
        <rFont val="宋体"/>
        <family val="3"/>
        <charset val="134"/>
      </rPr>
      <t>租赁</t>
    </r>
    <phoneticPr fontId="5" type="noConversion"/>
  </si>
  <si>
    <r>
      <rPr>
        <sz val="10"/>
        <rFont val="宋体"/>
        <family val="3"/>
        <charset val="134"/>
      </rPr>
      <t>终止经营</t>
    </r>
    <phoneticPr fontId="5" type="noConversion"/>
  </si>
  <si>
    <r>
      <rPr>
        <sz val="10"/>
        <rFont val="宋体"/>
        <family val="3"/>
        <charset val="134"/>
      </rPr>
      <t>现金流量表项目注释</t>
    </r>
    <phoneticPr fontId="5" type="noConversion"/>
  </si>
  <si>
    <r>
      <rPr>
        <sz val="10"/>
        <rFont val="宋体"/>
        <family val="3"/>
        <charset val="134"/>
      </rPr>
      <t>现金流量表补充资料</t>
    </r>
  </si>
  <si>
    <r>
      <rPr>
        <sz val="10"/>
        <rFont val="宋体"/>
        <family val="3"/>
        <charset val="134"/>
      </rPr>
      <t>关联方关系</t>
    </r>
    <phoneticPr fontId="5" type="noConversion"/>
  </si>
  <si>
    <r>
      <rPr>
        <sz val="10"/>
        <rFont val="宋体"/>
        <family val="3"/>
        <charset val="134"/>
      </rPr>
      <t>关联方交易</t>
    </r>
  </si>
  <si>
    <r>
      <rPr>
        <sz val="10"/>
        <rFont val="宋体"/>
        <family val="3"/>
        <charset val="134"/>
      </rPr>
      <t>关联方应收应付款项</t>
    </r>
  </si>
  <si>
    <r>
      <rPr>
        <sz val="10"/>
        <rFont val="宋体"/>
        <family val="3"/>
        <charset val="134"/>
      </rPr>
      <t>往来科目补充资料</t>
    </r>
  </si>
  <si>
    <r>
      <rPr>
        <sz val="10"/>
        <rFont val="宋体"/>
        <family val="3"/>
        <charset val="134"/>
      </rPr>
      <t>财务专项说明</t>
    </r>
  </si>
  <si>
    <r>
      <rPr>
        <sz val="10"/>
        <rFont val="宋体"/>
        <family val="3"/>
        <charset val="134"/>
      </rPr>
      <t>现金流量表项目测试表</t>
    </r>
  </si>
  <si>
    <r>
      <rPr>
        <sz val="10"/>
        <rFont val="宋体"/>
        <family val="3"/>
        <charset val="134"/>
      </rPr>
      <t>资产分析</t>
    </r>
    <phoneticPr fontId="5" type="noConversion"/>
  </si>
  <si>
    <r>
      <rPr>
        <sz val="10"/>
        <rFont val="宋体"/>
        <family val="3"/>
        <charset val="134"/>
      </rPr>
      <t>负债分析</t>
    </r>
  </si>
  <si>
    <r>
      <rPr>
        <sz val="10"/>
        <rFont val="宋体"/>
        <family val="3"/>
        <charset val="134"/>
      </rPr>
      <t>利润表分析</t>
    </r>
  </si>
  <si>
    <r>
      <rPr>
        <sz val="10"/>
        <rFont val="宋体"/>
        <family val="3"/>
        <charset val="134"/>
      </rPr>
      <t>现金分析</t>
    </r>
  </si>
  <si>
    <r>
      <rPr>
        <sz val="10"/>
        <rFont val="宋体"/>
        <family val="3"/>
        <charset val="134"/>
      </rPr>
      <t>财务比率分析</t>
    </r>
  </si>
  <si>
    <r>
      <rPr>
        <b/>
        <u/>
        <sz val="12"/>
        <rFont val="宋体"/>
        <family val="3"/>
        <charset val="134"/>
      </rPr>
      <t>返回目录</t>
    </r>
  </si>
  <si>
    <r>
      <rPr>
        <b/>
        <u/>
        <sz val="10"/>
        <rFont val="宋体"/>
        <family val="3"/>
        <charset val="134"/>
      </rPr>
      <t>返回目录</t>
    </r>
  </si>
  <si>
    <r>
      <rPr>
        <sz val="10"/>
        <rFont val="楷体_GB2312"/>
        <family val="3"/>
        <charset val="134"/>
      </rPr>
      <t>标黄项目为本年新增报表项目，请调整报表比较数据</t>
    </r>
    <phoneticPr fontId="5" type="noConversion"/>
  </si>
  <si>
    <r>
      <rPr>
        <b/>
        <sz val="10"/>
        <rFont val="楷体_GB2312"/>
        <family val="3"/>
        <charset val="134"/>
      </rPr>
      <t>金额单位：人民币元</t>
    </r>
    <phoneticPr fontId="5" type="noConversion"/>
  </si>
  <si>
    <r>
      <rPr>
        <b/>
        <sz val="10"/>
        <rFont val="楷体_GB2312"/>
        <family val="3"/>
        <charset val="134"/>
      </rPr>
      <t>项</t>
    </r>
    <r>
      <rPr>
        <b/>
        <sz val="10"/>
        <rFont val="Arial Narrow"/>
        <family val="2"/>
      </rPr>
      <t xml:space="preserve">        </t>
    </r>
    <r>
      <rPr>
        <b/>
        <sz val="10"/>
        <rFont val="楷体_GB2312"/>
        <family val="3"/>
        <charset val="134"/>
      </rPr>
      <t>目</t>
    </r>
    <phoneticPr fontId="5" type="noConversion"/>
  </si>
  <si>
    <r>
      <rPr>
        <b/>
        <sz val="10"/>
        <rFont val="楷体_GB2312"/>
        <family val="3"/>
        <charset val="134"/>
      </rPr>
      <t>注释</t>
    </r>
    <phoneticPr fontId="5" type="noConversion"/>
  </si>
  <si>
    <r>
      <rPr>
        <b/>
        <sz val="10"/>
        <rFont val="楷体_GB2312"/>
        <family val="3"/>
        <charset val="134"/>
      </rPr>
      <t>期末金额</t>
    </r>
    <phoneticPr fontId="5" type="noConversion"/>
  </si>
  <si>
    <r>
      <rPr>
        <b/>
        <sz val="10"/>
        <rFont val="楷体_GB2312"/>
        <family val="3"/>
        <charset val="134"/>
      </rPr>
      <t>年初金额</t>
    </r>
    <phoneticPr fontId="5" type="noConversion"/>
  </si>
  <si>
    <r>
      <t xml:space="preserve">    </t>
    </r>
    <r>
      <rPr>
        <sz val="10"/>
        <rFont val="楷体_GB2312"/>
        <family val="3"/>
        <charset val="134"/>
      </rPr>
      <t>以公允价值计量且其变动计入当期损益的金融资产</t>
    </r>
    <phoneticPr fontId="5" type="noConversion"/>
  </si>
  <si>
    <r>
      <t xml:space="preserve">    </t>
    </r>
    <r>
      <rPr>
        <sz val="10"/>
        <rFont val="楷体_GB2312"/>
        <family val="3"/>
        <charset val="134"/>
      </rPr>
      <t>衍生金融资产</t>
    </r>
    <phoneticPr fontId="5" type="noConversion"/>
  </si>
  <si>
    <r>
      <rPr>
        <sz val="10"/>
        <rFont val="楷体_GB2312"/>
        <family val="3"/>
        <charset val="134"/>
      </rPr>
      <t>国资委附注要求没有要求披露衍生金额资产附注</t>
    </r>
    <phoneticPr fontId="5" type="noConversion"/>
  </si>
  <si>
    <r>
      <t xml:space="preserve">    </t>
    </r>
    <r>
      <rPr>
        <sz val="10"/>
        <rFont val="楷体_GB2312"/>
        <family val="3"/>
        <charset val="134"/>
      </rPr>
      <t>应收账款</t>
    </r>
    <phoneticPr fontId="5" type="noConversion"/>
  </si>
  <si>
    <r>
      <t xml:space="preserve">    </t>
    </r>
    <r>
      <rPr>
        <sz val="10"/>
        <rFont val="楷体_GB2312"/>
        <family val="3"/>
        <charset val="134"/>
      </rPr>
      <t>应收保费</t>
    </r>
    <phoneticPr fontId="5" type="noConversion"/>
  </si>
  <si>
    <r>
      <t xml:space="preserve">    </t>
    </r>
    <r>
      <rPr>
        <sz val="10"/>
        <rFont val="楷体_GB2312"/>
        <family val="3"/>
        <charset val="134"/>
      </rPr>
      <t>应收分保准备金</t>
    </r>
    <phoneticPr fontId="5" type="noConversion"/>
  </si>
  <si>
    <r>
      <t xml:space="preserve">    </t>
    </r>
    <r>
      <rPr>
        <sz val="10"/>
        <rFont val="楷体_GB2312"/>
        <family val="3"/>
        <charset val="134"/>
      </rPr>
      <t>应收利息</t>
    </r>
    <phoneticPr fontId="5" type="noConversion"/>
  </si>
  <si>
    <r>
      <t xml:space="preserve">    </t>
    </r>
    <r>
      <rPr>
        <sz val="10"/>
        <rFont val="楷体_GB2312"/>
        <family val="3"/>
        <charset val="134"/>
      </rPr>
      <t>其他应收款</t>
    </r>
    <phoneticPr fontId="5" type="noConversion"/>
  </si>
  <si>
    <r>
      <t xml:space="preserve">           </t>
    </r>
    <r>
      <rPr>
        <sz val="10"/>
        <rFont val="楷体_GB2312"/>
        <family val="3"/>
        <charset val="134"/>
      </rPr>
      <t>其中：原材料</t>
    </r>
    <phoneticPr fontId="5" type="noConversion"/>
  </si>
  <si>
    <r>
      <t xml:space="preserve">                 </t>
    </r>
    <r>
      <rPr>
        <sz val="10"/>
        <rFont val="楷体_GB2312"/>
        <family val="3"/>
        <charset val="134"/>
      </rPr>
      <t>库存商品</t>
    </r>
    <r>
      <rPr>
        <sz val="10"/>
        <rFont val="Arial Narrow"/>
        <family val="2"/>
      </rPr>
      <t>(</t>
    </r>
    <r>
      <rPr>
        <sz val="10"/>
        <rFont val="楷体_GB2312"/>
        <family val="3"/>
        <charset val="134"/>
      </rPr>
      <t>产成品</t>
    </r>
    <r>
      <rPr>
        <sz val="10"/>
        <rFont val="Arial Narrow"/>
        <family val="2"/>
      </rPr>
      <t>)</t>
    </r>
    <phoneticPr fontId="5" type="noConversion"/>
  </si>
  <si>
    <r>
      <t xml:space="preserve">    </t>
    </r>
    <r>
      <rPr>
        <sz val="10"/>
        <rFont val="楷体_GB2312"/>
        <family val="3"/>
        <charset val="134"/>
      </rPr>
      <t>一年内到期的非流动资产</t>
    </r>
    <phoneticPr fontId="5" type="noConversion"/>
  </si>
  <si>
    <r>
      <t xml:space="preserve">    </t>
    </r>
    <r>
      <rPr>
        <sz val="10"/>
        <rFont val="楷体_GB2312"/>
        <family val="3"/>
        <charset val="134"/>
      </rPr>
      <t>可供出售金融资产</t>
    </r>
    <phoneticPr fontId="5" type="noConversion"/>
  </si>
  <si>
    <r>
      <t xml:space="preserve">    </t>
    </r>
    <r>
      <rPr>
        <sz val="10"/>
        <rFont val="楷体_GB2312"/>
        <family val="3"/>
        <charset val="134"/>
      </rPr>
      <t>长期股权投资</t>
    </r>
    <phoneticPr fontId="5" type="noConversion"/>
  </si>
  <si>
    <r>
      <t xml:space="preserve">    </t>
    </r>
    <r>
      <rPr>
        <sz val="10"/>
        <rFont val="楷体_GB2312"/>
        <family val="3"/>
        <charset val="134"/>
      </rPr>
      <t>投资性房地产</t>
    </r>
    <phoneticPr fontId="5" type="noConversion"/>
  </si>
  <si>
    <r>
      <t xml:space="preserve">              </t>
    </r>
    <r>
      <rPr>
        <sz val="10"/>
        <rFont val="楷体_GB2312"/>
        <family val="3"/>
        <charset val="134"/>
      </rPr>
      <t>减：累计折旧</t>
    </r>
    <phoneticPr fontId="5" type="noConversion"/>
  </si>
  <si>
    <r>
      <t xml:space="preserve">    </t>
    </r>
    <r>
      <rPr>
        <sz val="10"/>
        <rFont val="楷体_GB2312"/>
        <family val="3"/>
        <charset val="134"/>
      </rPr>
      <t>固定资产净值</t>
    </r>
    <phoneticPr fontId="5" type="noConversion"/>
  </si>
  <si>
    <r>
      <t xml:space="preserve">              </t>
    </r>
    <r>
      <rPr>
        <sz val="10"/>
        <rFont val="楷体_GB2312"/>
        <family val="3"/>
        <charset val="134"/>
      </rPr>
      <t>减：固定资产减值准备</t>
    </r>
    <phoneticPr fontId="5" type="noConversion"/>
  </si>
  <si>
    <r>
      <t xml:space="preserve">    </t>
    </r>
    <r>
      <rPr>
        <sz val="10"/>
        <rFont val="楷体_GB2312"/>
        <family val="3"/>
        <charset val="134"/>
      </rPr>
      <t>油气资产</t>
    </r>
    <phoneticPr fontId="5" type="noConversion"/>
  </si>
  <si>
    <r>
      <t xml:space="preserve">    </t>
    </r>
    <r>
      <rPr>
        <sz val="10"/>
        <rFont val="楷体_GB2312"/>
        <family val="3"/>
        <charset val="134"/>
      </rPr>
      <t>无形资产</t>
    </r>
    <phoneticPr fontId="5" type="noConversion"/>
  </si>
  <si>
    <r>
      <t xml:space="preserve">    </t>
    </r>
    <r>
      <rPr>
        <sz val="10"/>
        <rFont val="楷体_GB2312"/>
        <family val="3"/>
        <charset val="134"/>
      </rPr>
      <t>长期待摊费用</t>
    </r>
    <phoneticPr fontId="5" type="noConversion"/>
  </si>
  <si>
    <r>
      <t xml:space="preserve">    </t>
    </r>
    <r>
      <rPr>
        <sz val="10"/>
        <rFont val="楷体_GB2312"/>
        <family val="3"/>
        <charset val="134"/>
      </rPr>
      <t>递延所得税资产</t>
    </r>
    <phoneticPr fontId="5" type="noConversion"/>
  </si>
  <si>
    <r>
      <t xml:space="preserve">             </t>
    </r>
    <r>
      <rPr>
        <sz val="10"/>
        <rFont val="楷体_GB2312"/>
        <family val="3"/>
        <charset val="134"/>
      </rPr>
      <t>其中：特准储备物资</t>
    </r>
    <phoneticPr fontId="5" type="noConversion"/>
  </si>
  <si>
    <r>
      <rPr>
        <b/>
        <sz val="10"/>
        <rFont val="楷体_GB2312"/>
        <family val="3"/>
        <charset val="134"/>
      </rPr>
      <t>项</t>
    </r>
    <r>
      <rPr>
        <b/>
        <sz val="10"/>
        <rFont val="Arial Narrow"/>
        <family val="2"/>
      </rPr>
      <t xml:space="preserve">        </t>
    </r>
    <r>
      <rPr>
        <b/>
        <sz val="10"/>
        <rFont val="楷体_GB2312"/>
        <family val="3"/>
        <charset val="134"/>
      </rPr>
      <t>目</t>
    </r>
    <phoneticPr fontId="5" type="noConversion"/>
  </si>
  <si>
    <r>
      <rPr>
        <b/>
        <sz val="10"/>
        <rFont val="楷体_GB2312"/>
        <family val="3"/>
        <charset val="134"/>
      </rPr>
      <t>注释</t>
    </r>
    <phoneticPr fontId="5" type="noConversion"/>
  </si>
  <si>
    <r>
      <rPr>
        <b/>
        <sz val="10"/>
        <rFont val="楷体_GB2312"/>
        <family val="3"/>
        <charset val="134"/>
      </rPr>
      <t>期末金额</t>
    </r>
    <phoneticPr fontId="5" type="noConversion"/>
  </si>
  <si>
    <r>
      <rPr>
        <b/>
        <sz val="10"/>
        <rFont val="楷体_GB2312"/>
        <family val="3"/>
        <charset val="134"/>
      </rPr>
      <t>年初金额</t>
    </r>
    <phoneticPr fontId="5" type="noConversion"/>
  </si>
  <si>
    <r>
      <t xml:space="preserve">    </t>
    </r>
    <r>
      <rPr>
        <sz val="10"/>
        <rFont val="楷体_GB2312"/>
        <family val="3"/>
        <charset val="134"/>
      </rPr>
      <t>向中央银行借款</t>
    </r>
    <phoneticPr fontId="5" type="noConversion"/>
  </si>
  <si>
    <r>
      <t xml:space="preserve">    </t>
    </r>
    <r>
      <rPr>
        <sz val="10"/>
        <rFont val="楷体_GB2312"/>
        <family val="3"/>
        <charset val="134"/>
      </rPr>
      <t>以公允价值计量且其变动计入当期损益的金融负债</t>
    </r>
    <phoneticPr fontId="5" type="noConversion"/>
  </si>
  <si>
    <r>
      <t xml:space="preserve">    </t>
    </r>
    <r>
      <rPr>
        <sz val="10"/>
        <rFont val="楷体_GB2312"/>
        <family val="3"/>
        <charset val="134"/>
      </rPr>
      <t>衍生金融负债</t>
    </r>
    <phoneticPr fontId="5" type="noConversion"/>
  </si>
  <si>
    <r>
      <t xml:space="preserve">              </t>
    </r>
    <r>
      <rPr>
        <sz val="10"/>
        <rFont val="楷体_GB2312"/>
        <family val="3"/>
        <charset val="134"/>
      </rPr>
      <t>其中：应付工资</t>
    </r>
    <phoneticPr fontId="5" type="noConversion"/>
  </si>
  <si>
    <r>
      <t xml:space="preserve">                    </t>
    </r>
    <r>
      <rPr>
        <sz val="10"/>
        <rFont val="楷体_GB2312"/>
        <family val="3"/>
        <charset val="134"/>
      </rPr>
      <t>应付福利费</t>
    </r>
    <phoneticPr fontId="5" type="noConversion"/>
  </si>
  <si>
    <r>
      <t xml:space="preserve">                         </t>
    </r>
    <r>
      <rPr>
        <sz val="10"/>
        <rFont val="楷体_GB2312"/>
        <family val="3"/>
        <charset val="134"/>
      </rPr>
      <t>其中：职工奖励及福利基金</t>
    </r>
    <phoneticPr fontId="5" type="noConversion"/>
  </si>
  <si>
    <r>
      <t xml:space="preserve">    </t>
    </r>
    <r>
      <rPr>
        <sz val="10"/>
        <rFont val="楷体_GB2312"/>
        <family val="3"/>
        <charset val="134"/>
      </rPr>
      <t>其他流动负债</t>
    </r>
    <phoneticPr fontId="5" type="noConversion"/>
  </si>
  <si>
    <r>
      <t xml:space="preserve">    </t>
    </r>
    <r>
      <rPr>
        <sz val="10"/>
        <rFont val="楷体_GB2312"/>
        <family val="3"/>
        <charset val="134"/>
      </rPr>
      <t>长期应付职工薪酬</t>
    </r>
    <phoneticPr fontId="5" type="noConversion"/>
  </si>
  <si>
    <r>
      <t xml:space="preserve">    </t>
    </r>
    <r>
      <rPr>
        <sz val="10"/>
        <rFont val="楷体_GB2312"/>
        <family val="3"/>
        <charset val="134"/>
      </rPr>
      <t>预计负债</t>
    </r>
    <phoneticPr fontId="5" type="noConversion"/>
  </si>
  <si>
    <r>
      <t xml:space="preserve">    </t>
    </r>
    <r>
      <rPr>
        <sz val="10"/>
        <rFont val="楷体_GB2312"/>
        <family val="3"/>
        <charset val="134"/>
      </rPr>
      <t>递延收益</t>
    </r>
    <phoneticPr fontId="5" type="noConversion"/>
  </si>
  <si>
    <r>
      <t xml:space="preserve">             </t>
    </r>
    <r>
      <rPr>
        <sz val="10"/>
        <rFont val="楷体_GB2312"/>
        <family val="3"/>
        <charset val="134"/>
      </rPr>
      <t>其中：特种储备基金</t>
    </r>
    <phoneticPr fontId="5" type="noConversion"/>
  </si>
  <si>
    <r>
      <t xml:space="preserve">          </t>
    </r>
    <r>
      <rPr>
        <sz val="10"/>
        <rFont val="楷体_GB2312"/>
        <family val="3"/>
        <charset val="134"/>
      </rPr>
      <t>国有资本</t>
    </r>
    <phoneticPr fontId="5" type="noConversion"/>
  </si>
  <si>
    <r>
      <t xml:space="preserve">              </t>
    </r>
    <r>
      <rPr>
        <sz val="10"/>
        <rFont val="楷体_GB2312"/>
        <family val="3"/>
        <charset val="134"/>
      </rPr>
      <t>其中：国有法人资本</t>
    </r>
    <phoneticPr fontId="5" type="noConversion"/>
  </si>
  <si>
    <r>
      <t xml:space="preserve">         </t>
    </r>
    <r>
      <rPr>
        <sz val="10"/>
        <rFont val="楷体_GB2312"/>
        <family val="3"/>
        <charset val="134"/>
      </rPr>
      <t>集体资本</t>
    </r>
    <phoneticPr fontId="5" type="noConversion"/>
  </si>
  <si>
    <r>
      <t xml:space="preserve">         </t>
    </r>
    <r>
      <rPr>
        <sz val="10"/>
        <rFont val="楷体_GB2312"/>
        <family val="3"/>
        <charset val="134"/>
      </rPr>
      <t>民营资本</t>
    </r>
    <phoneticPr fontId="5" type="noConversion"/>
  </si>
  <si>
    <r>
      <t xml:space="preserve">        </t>
    </r>
    <r>
      <rPr>
        <sz val="10"/>
        <rFont val="楷体_GB2312"/>
        <family val="3"/>
        <charset val="134"/>
      </rPr>
      <t>外商资本</t>
    </r>
    <phoneticPr fontId="5" type="noConversion"/>
  </si>
  <si>
    <r>
      <t xml:space="preserve">    </t>
    </r>
    <r>
      <rPr>
        <sz val="10"/>
        <rFont val="楷体_GB2312"/>
        <family val="3"/>
        <charset val="134"/>
      </rPr>
      <t>实收资本净额</t>
    </r>
    <phoneticPr fontId="5" type="noConversion"/>
  </si>
  <si>
    <r>
      <t xml:space="preserve">    </t>
    </r>
    <r>
      <rPr>
        <sz val="10"/>
        <rFont val="楷体_GB2312"/>
        <family val="3"/>
        <charset val="134"/>
      </rPr>
      <t>其他权益工具</t>
    </r>
    <phoneticPr fontId="5" type="noConversion"/>
  </si>
  <si>
    <r>
      <t xml:space="preserve">        </t>
    </r>
    <r>
      <rPr>
        <sz val="10"/>
        <rFont val="楷体_GB2312"/>
        <family val="3"/>
        <charset val="134"/>
      </rPr>
      <t>其中：优先股</t>
    </r>
    <phoneticPr fontId="5" type="noConversion"/>
  </si>
  <si>
    <r>
      <t xml:space="preserve">              </t>
    </r>
    <r>
      <rPr>
        <sz val="10"/>
        <rFont val="楷体_GB2312"/>
        <family val="3"/>
        <charset val="134"/>
      </rPr>
      <t>永续债</t>
    </r>
    <phoneticPr fontId="5" type="noConversion"/>
  </si>
  <si>
    <r>
      <t xml:space="preserve">    </t>
    </r>
    <r>
      <rPr>
        <sz val="10"/>
        <rFont val="楷体_GB2312"/>
        <family val="3"/>
        <charset val="134"/>
      </rPr>
      <t>资本公积</t>
    </r>
    <phoneticPr fontId="5" type="noConversion"/>
  </si>
  <si>
    <r>
      <t xml:space="preserve">    </t>
    </r>
    <r>
      <rPr>
        <sz val="10"/>
        <rFont val="楷体_GB2312"/>
        <family val="3"/>
        <charset val="134"/>
      </rPr>
      <t>减：库存股</t>
    </r>
    <phoneticPr fontId="5" type="noConversion"/>
  </si>
  <si>
    <r>
      <t xml:space="preserve">    </t>
    </r>
    <r>
      <rPr>
        <sz val="10"/>
        <rFont val="楷体_GB2312"/>
        <family val="3"/>
        <charset val="134"/>
      </rPr>
      <t>其他综合收益</t>
    </r>
    <phoneticPr fontId="5" type="noConversion"/>
  </si>
  <si>
    <r>
      <rPr>
        <sz val="10"/>
        <rFont val="楷体_GB2312"/>
        <family val="3"/>
        <charset val="134"/>
      </rPr>
      <t>国资委附注要求没有要求披露衍生金额资产附注</t>
    </r>
    <phoneticPr fontId="5" type="noConversion"/>
  </si>
  <si>
    <r>
      <t xml:space="preserve">        </t>
    </r>
    <r>
      <rPr>
        <sz val="10"/>
        <rFont val="楷体_GB2312"/>
        <family val="3"/>
        <charset val="134"/>
      </rPr>
      <t>其中：外币报表折算差额</t>
    </r>
    <phoneticPr fontId="5" type="noConversion"/>
  </si>
  <si>
    <r>
      <t xml:space="preserve">            </t>
    </r>
    <r>
      <rPr>
        <sz val="10"/>
        <rFont val="楷体_GB2312"/>
        <family val="3"/>
        <charset val="134"/>
      </rPr>
      <t>企业发展基金</t>
    </r>
    <phoneticPr fontId="5" type="noConversion"/>
  </si>
  <si>
    <r>
      <t xml:space="preserve">    </t>
    </r>
    <r>
      <rPr>
        <sz val="10"/>
        <rFont val="楷体_GB2312"/>
        <family val="3"/>
        <charset val="134"/>
      </rPr>
      <t>少数股东权益</t>
    </r>
    <phoneticPr fontId="5" type="noConversion"/>
  </si>
  <si>
    <r>
      <rPr>
        <b/>
        <sz val="10"/>
        <rFont val="楷体_GB2312"/>
        <family val="3"/>
        <charset val="134"/>
      </rPr>
      <t>负债和所有者权益总计</t>
    </r>
    <phoneticPr fontId="5" type="noConversion"/>
  </si>
  <si>
    <r>
      <rPr>
        <b/>
        <sz val="10"/>
        <rFont val="楷体_GB2312"/>
        <family val="3"/>
        <charset val="134"/>
      </rPr>
      <t>所附财务报表附注为本财务报表的组成部分</t>
    </r>
    <phoneticPr fontId="5" type="noConversion"/>
  </si>
  <si>
    <r>
      <rPr>
        <b/>
        <sz val="10"/>
        <rFont val="楷体_GB2312"/>
        <family val="3"/>
        <charset val="134"/>
      </rPr>
      <t>单位负责人：</t>
    </r>
    <r>
      <rPr>
        <b/>
        <sz val="10"/>
        <rFont val="Arial Narrow"/>
        <family val="2"/>
      </rPr>
      <t xml:space="preserve">                       </t>
    </r>
    <r>
      <rPr>
        <b/>
        <sz val="10"/>
        <rFont val="楷体_GB2312"/>
        <family val="3"/>
        <charset val="134"/>
      </rPr>
      <t>主管会计工作的负责人：</t>
    </r>
    <r>
      <rPr>
        <b/>
        <sz val="10"/>
        <rFont val="Arial Narrow"/>
        <family val="2"/>
      </rPr>
      <t xml:space="preserve">                       </t>
    </r>
    <r>
      <rPr>
        <b/>
        <sz val="10"/>
        <rFont val="楷体_GB2312"/>
        <family val="3"/>
        <charset val="134"/>
      </rPr>
      <t>会计机构负责人：</t>
    </r>
    <phoneticPr fontId="5" type="noConversion"/>
  </si>
  <si>
    <r>
      <rPr>
        <sz val="10"/>
        <rFont val="宋体"/>
        <family val="3"/>
        <charset val="134"/>
      </rPr>
      <t>表内检验</t>
    </r>
    <phoneticPr fontId="5" type="noConversion"/>
  </si>
  <si>
    <r>
      <rPr>
        <sz val="10"/>
        <rFont val="宋体"/>
        <family val="3"/>
        <charset val="134"/>
      </rPr>
      <t>流动资产</t>
    </r>
    <phoneticPr fontId="5" type="noConversion"/>
  </si>
  <si>
    <r>
      <rPr>
        <sz val="10"/>
        <rFont val="宋体"/>
        <family val="3"/>
        <charset val="134"/>
      </rPr>
      <t>存货</t>
    </r>
    <phoneticPr fontId="5" type="noConversion"/>
  </si>
  <si>
    <r>
      <rPr>
        <sz val="10"/>
        <rFont val="宋体"/>
        <family val="3"/>
        <charset val="134"/>
      </rPr>
      <t>非流动资产</t>
    </r>
    <phoneticPr fontId="5" type="noConversion"/>
  </si>
  <si>
    <r>
      <rPr>
        <sz val="10"/>
        <rFont val="宋体"/>
        <family val="3"/>
        <charset val="134"/>
      </rPr>
      <t>其他非流动资产</t>
    </r>
    <phoneticPr fontId="5" type="noConversion"/>
  </si>
  <si>
    <r>
      <rPr>
        <sz val="10"/>
        <rFont val="宋体"/>
        <family val="3"/>
        <charset val="134"/>
      </rPr>
      <t>资产总计</t>
    </r>
    <phoneticPr fontId="5" type="noConversion"/>
  </si>
  <si>
    <r>
      <rPr>
        <sz val="10"/>
        <rFont val="宋体"/>
        <family val="3"/>
        <charset val="134"/>
      </rPr>
      <t>资产与负债</t>
    </r>
    <phoneticPr fontId="5" type="noConversion"/>
  </si>
  <si>
    <r>
      <rPr>
        <sz val="10"/>
        <rFont val="宋体"/>
        <family val="3"/>
        <charset val="134"/>
      </rPr>
      <t>流动负债</t>
    </r>
    <phoneticPr fontId="5" type="noConversion"/>
  </si>
  <si>
    <r>
      <rPr>
        <sz val="10"/>
        <rFont val="宋体"/>
        <family val="3"/>
        <charset val="134"/>
      </rPr>
      <t>应付福利费</t>
    </r>
    <phoneticPr fontId="5" type="noConversion"/>
  </si>
  <si>
    <r>
      <rPr>
        <sz val="10"/>
        <rFont val="宋体"/>
        <family val="3"/>
        <charset val="134"/>
      </rPr>
      <t>应付职工薪酬</t>
    </r>
    <phoneticPr fontId="5" type="noConversion"/>
  </si>
  <si>
    <r>
      <rPr>
        <sz val="10"/>
        <rFont val="宋体"/>
        <family val="3"/>
        <charset val="134"/>
      </rPr>
      <t>非流动负债</t>
    </r>
    <phoneticPr fontId="5" type="noConversion"/>
  </si>
  <si>
    <r>
      <rPr>
        <sz val="10"/>
        <rFont val="宋体"/>
        <family val="3"/>
        <charset val="134"/>
      </rPr>
      <t>其他非流动负债</t>
    </r>
    <phoneticPr fontId="5" type="noConversion"/>
  </si>
  <si>
    <r>
      <rPr>
        <sz val="10"/>
        <rFont val="宋体"/>
        <family val="3"/>
        <charset val="134"/>
      </rPr>
      <t>负债合计</t>
    </r>
    <phoneticPr fontId="5" type="noConversion"/>
  </si>
  <si>
    <r>
      <rPr>
        <sz val="10"/>
        <rFont val="宋体"/>
        <family val="3"/>
        <charset val="134"/>
      </rPr>
      <t>实收资本</t>
    </r>
    <phoneticPr fontId="5" type="noConversion"/>
  </si>
  <si>
    <r>
      <rPr>
        <sz val="10"/>
        <rFont val="宋体"/>
        <family val="3"/>
        <charset val="134"/>
      </rPr>
      <t>国有资本</t>
    </r>
    <phoneticPr fontId="5" type="noConversion"/>
  </si>
  <si>
    <r>
      <rPr>
        <sz val="10"/>
        <rFont val="宋体"/>
        <family val="3"/>
        <charset val="134"/>
      </rPr>
      <t>民营资本</t>
    </r>
  </si>
  <si>
    <r>
      <rPr>
        <sz val="10"/>
        <rFont val="宋体"/>
        <family val="3"/>
        <charset val="134"/>
      </rPr>
      <t>实收资本净额</t>
    </r>
    <phoneticPr fontId="5" type="noConversion"/>
  </si>
  <si>
    <r>
      <rPr>
        <sz val="10"/>
        <rFont val="宋体"/>
        <family val="3"/>
        <charset val="134"/>
      </rPr>
      <t>其他权益工具</t>
    </r>
    <phoneticPr fontId="5" type="noConversion"/>
  </si>
  <si>
    <r>
      <rPr>
        <sz val="10"/>
        <rFont val="宋体"/>
        <family val="3"/>
        <charset val="134"/>
      </rPr>
      <t>其他综合收益</t>
    </r>
    <phoneticPr fontId="5" type="noConversion"/>
  </si>
  <si>
    <r>
      <rPr>
        <sz val="10"/>
        <rFont val="宋体"/>
        <family val="3"/>
        <charset val="134"/>
      </rPr>
      <t>盈余公积</t>
    </r>
    <phoneticPr fontId="5" type="noConversion"/>
  </si>
  <si>
    <r>
      <rPr>
        <sz val="10"/>
        <rFont val="宋体"/>
        <family val="3"/>
        <charset val="134"/>
      </rPr>
      <t>归属于母公司的所有者权益</t>
    </r>
    <phoneticPr fontId="5" type="noConversion"/>
  </si>
  <si>
    <r>
      <rPr>
        <sz val="10"/>
        <rFont val="宋体"/>
        <family val="3"/>
        <charset val="134"/>
      </rPr>
      <t>所有者权益合计</t>
    </r>
    <phoneticPr fontId="5" type="noConversion"/>
  </si>
  <si>
    <r>
      <rPr>
        <sz val="10"/>
        <rFont val="宋体"/>
        <family val="3"/>
        <charset val="134"/>
      </rPr>
      <t>负债和所有者权益总计</t>
    </r>
    <phoneticPr fontId="5" type="noConversion"/>
  </si>
  <si>
    <r>
      <rPr>
        <b/>
        <sz val="10"/>
        <rFont val="楷体_GB2312"/>
        <family val="3"/>
        <charset val="134"/>
      </rPr>
      <t>本期金额</t>
    </r>
    <phoneticPr fontId="5" type="noConversion"/>
  </si>
  <si>
    <r>
      <rPr>
        <b/>
        <sz val="10"/>
        <rFont val="楷体_GB2312"/>
        <family val="3"/>
        <charset val="134"/>
      </rPr>
      <t>上期金额</t>
    </r>
    <phoneticPr fontId="5" type="noConversion"/>
  </si>
  <si>
    <r>
      <rPr>
        <sz val="10"/>
        <color theme="2"/>
        <rFont val="楷体_GB2312"/>
        <family val="3"/>
        <charset val="134"/>
      </rPr>
      <t>报表不用披露（报告中审定报表已修改），但附注仍需分主营和其他进行披露，故为进行核对，调整系统仍保持该项目</t>
    </r>
    <phoneticPr fontId="5" type="noConversion"/>
  </si>
  <si>
    <r>
      <t xml:space="preserve">           </t>
    </r>
    <r>
      <rPr>
        <sz val="10"/>
        <rFont val="楷体_GB2312"/>
        <family val="3"/>
        <charset val="134"/>
      </rPr>
      <t>财务费用</t>
    </r>
    <phoneticPr fontId="5" type="noConversion"/>
  </si>
  <si>
    <r>
      <t xml:space="preserve">                </t>
    </r>
    <r>
      <rPr>
        <sz val="10"/>
        <rFont val="楷体_GB2312"/>
        <family val="3"/>
        <charset val="134"/>
      </rPr>
      <t>其中：利息支出</t>
    </r>
    <phoneticPr fontId="5" type="noConversion"/>
  </si>
  <si>
    <r>
      <t xml:space="preserve">                      </t>
    </r>
    <r>
      <rPr>
        <sz val="10"/>
        <rFont val="楷体_GB2312"/>
        <family val="3"/>
        <charset val="134"/>
      </rPr>
      <t>利息收入</t>
    </r>
    <phoneticPr fontId="5" type="noConversion"/>
  </si>
  <si>
    <r>
      <t xml:space="preserve">               </t>
    </r>
    <r>
      <rPr>
        <sz val="10"/>
        <rFont val="楷体_GB2312"/>
        <family val="3"/>
        <charset val="134"/>
      </rPr>
      <t>非货币性资产交换利得</t>
    </r>
    <phoneticPr fontId="5" type="noConversion"/>
  </si>
  <si>
    <r>
      <t xml:space="preserve">               </t>
    </r>
    <r>
      <rPr>
        <sz val="10"/>
        <rFont val="楷体_GB2312"/>
        <family val="3"/>
        <charset val="134"/>
      </rPr>
      <t>政府补助</t>
    </r>
    <phoneticPr fontId="5" type="noConversion"/>
  </si>
  <si>
    <r>
      <t xml:space="preserve">               </t>
    </r>
    <r>
      <rPr>
        <sz val="10"/>
        <rFont val="楷体_GB2312"/>
        <family val="3"/>
        <charset val="134"/>
      </rPr>
      <t>债务重组利得</t>
    </r>
    <phoneticPr fontId="5" type="noConversion"/>
  </si>
  <si>
    <r>
      <t xml:space="preserve">               </t>
    </r>
    <r>
      <rPr>
        <sz val="10"/>
        <rFont val="楷体_GB2312"/>
        <family val="3"/>
        <charset val="134"/>
      </rPr>
      <t>非货币性资产交换损失</t>
    </r>
    <phoneticPr fontId="5" type="noConversion"/>
  </si>
  <si>
    <r>
      <t xml:space="preserve">               </t>
    </r>
    <r>
      <rPr>
        <sz val="10"/>
        <rFont val="楷体_GB2312"/>
        <family val="3"/>
        <charset val="134"/>
      </rPr>
      <t>债务重组损失</t>
    </r>
    <phoneticPr fontId="5" type="noConversion"/>
  </si>
  <si>
    <r>
      <rPr>
        <b/>
        <sz val="10"/>
        <rFont val="楷体_GB2312"/>
        <family val="3"/>
        <charset val="134"/>
      </rPr>
      <t>六、其他综合收益的税后净额</t>
    </r>
    <phoneticPr fontId="5" type="noConversion"/>
  </si>
  <si>
    <r>
      <t xml:space="preserve">      2.</t>
    </r>
    <r>
      <rPr>
        <sz val="10"/>
        <rFont val="楷体_GB2312"/>
        <family val="3"/>
        <charset val="134"/>
      </rPr>
      <t>权益法下在被投资单位不能重分类进损益的其他综合收益中享有的份额</t>
    </r>
    <phoneticPr fontId="5" type="noConversion"/>
  </si>
  <si>
    <r>
      <rPr>
        <sz val="10"/>
        <rFont val="楷体_GB2312"/>
        <family val="3"/>
        <charset val="134"/>
      </rPr>
      <t>（二）以后将重分类进损益的其他综合收益</t>
    </r>
    <phoneticPr fontId="5" type="noConversion"/>
  </si>
  <si>
    <r>
      <t xml:space="preserve">      2.</t>
    </r>
    <r>
      <rPr>
        <sz val="10"/>
        <rFont val="楷体_GB2312"/>
        <family val="3"/>
        <charset val="134"/>
      </rPr>
      <t>可供出售金融资产公允价值变动损益</t>
    </r>
    <phoneticPr fontId="5" type="noConversion"/>
  </si>
  <si>
    <r>
      <t xml:space="preserve">      3.</t>
    </r>
    <r>
      <rPr>
        <sz val="10"/>
        <rFont val="楷体_GB2312"/>
        <family val="3"/>
        <charset val="134"/>
      </rPr>
      <t>持有至到期投资重分类为可供出售金额资产损益</t>
    </r>
    <phoneticPr fontId="5" type="noConversion"/>
  </si>
  <si>
    <r>
      <t xml:space="preserve">      4.</t>
    </r>
    <r>
      <rPr>
        <sz val="10"/>
        <rFont val="楷体_GB2312"/>
        <family val="3"/>
        <charset val="134"/>
      </rPr>
      <t>现金流量套期损益的有效部分</t>
    </r>
    <phoneticPr fontId="5" type="noConversion"/>
  </si>
  <si>
    <r>
      <t xml:space="preserve">      5.</t>
    </r>
    <r>
      <rPr>
        <sz val="10"/>
        <rFont val="楷体_GB2312"/>
        <family val="3"/>
        <charset val="134"/>
      </rPr>
      <t>外币财务报表折算差额</t>
    </r>
    <phoneticPr fontId="5" type="noConversion"/>
  </si>
  <si>
    <r>
      <rPr>
        <b/>
        <sz val="10"/>
        <rFont val="楷体_GB2312"/>
        <family val="3"/>
        <charset val="134"/>
      </rPr>
      <t>七、综合收益总额</t>
    </r>
    <phoneticPr fontId="5" type="noConversion"/>
  </si>
  <si>
    <r>
      <t xml:space="preserve"> </t>
    </r>
    <r>
      <rPr>
        <sz val="10"/>
        <rFont val="楷体_GB2312"/>
        <family val="3"/>
        <charset val="134"/>
      </rPr>
      <t>归属于少数股东的综合收益总额</t>
    </r>
    <phoneticPr fontId="5" type="noConversion"/>
  </si>
  <si>
    <r>
      <rPr>
        <b/>
        <sz val="10"/>
        <rFont val="楷体_GB2312"/>
        <family val="3"/>
        <charset val="134"/>
      </rPr>
      <t>八、每股收益：</t>
    </r>
    <phoneticPr fontId="5" type="noConversion"/>
  </si>
  <si>
    <r>
      <rPr>
        <b/>
        <sz val="10"/>
        <rFont val="楷体_GB2312"/>
        <family val="3"/>
        <charset val="134"/>
      </rPr>
      <t>所附财务报表附注为本财务报表的组成部分</t>
    </r>
    <phoneticPr fontId="5" type="noConversion"/>
  </si>
  <si>
    <r>
      <t xml:space="preserve">              </t>
    </r>
    <r>
      <rPr>
        <sz val="10"/>
        <rFont val="楷体_GB2312"/>
        <family val="3"/>
        <charset val="134"/>
      </rPr>
      <t>投资收益（损失以</t>
    </r>
    <r>
      <rPr>
        <sz val="10"/>
        <rFont val="Arial Narrow"/>
        <family val="2"/>
      </rPr>
      <t>“-”</t>
    </r>
    <r>
      <rPr>
        <sz val="10"/>
        <rFont val="楷体_GB2312"/>
        <family val="3"/>
        <charset val="134"/>
      </rPr>
      <t>号填列）</t>
    </r>
    <phoneticPr fontId="5" type="noConversion"/>
  </si>
  <si>
    <r>
      <t xml:space="preserve">                     </t>
    </r>
    <r>
      <rPr>
        <sz val="10"/>
        <rFont val="楷体_GB2312"/>
        <family val="3"/>
        <charset val="134"/>
      </rPr>
      <t>汇兑净损失（净收益以</t>
    </r>
    <r>
      <rPr>
        <sz val="10"/>
        <rFont val="Arial Narrow"/>
        <family val="2"/>
      </rPr>
      <t>“-”</t>
    </r>
    <r>
      <rPr>
        <sz val="10"/>
        <rFont val="楷体_GB2312"/>
        <family val="3"/>
        <charset val="134"/>
      </rPr>
      <t>号填列）</t>
    </r>
    <phoneticPr fontId="5" type="noConversion"/>
  </si>
  <si>
    <r>
      <rPr>
        <sz val="10"/>
        <rFont val="楷体_GB2312"/>
        <family val="3"/>
        <charset val="134"/>
      </rPr>
      <t>其中：</t>
    </r>
    <r>
      <rPr>
        <sz val="10"/>
        <rFont val="Arial Narrow"/>
        <family val="2"/>
      </rPr>
      <t>1.</t>
    </r>
    <r>
      <rPr>
        <sz val="10"/>
        <rFont val="楷体_GB2312"/>
        <family val="3"/>
        <charset val="134"/>
      </rPr>
      <t>重新计量设定受益计划净负债或净资产的变动</t>
    </r>
    <phoneticPr fontId="5" type="noConversion"/>
  </si>
  <si>
    <r>
      <rPr>
        <sz val="10"/>
        <rFont val="楷体_GB2312"/>
        <family val="3"/>
        <charset val="134"/>
      </rPr>
      <t>其中：</t>
    </r>
    <r>
      <rPr>
        <sz val="10"/>
        <rFont val="Arial Narrow"/>
        <family val="2"/>
      </rPr>
      <t>1.</t>
    </r>
    <r>
      <rPr>
        <sz val="10"/>
        <rFont val="楷体_GB2312"/>
        <family val="3"/>
        <charset val="134"/>
      </rPr>
      <t>权益法下在被投资单位以后将重分类进损益的其他综合收益中享有的份额</t>
    </r>
    <phoneticPr fontId="5" type="noConversion"/>
  </si>
  <si>
    <r>
      <rPr>
        <b/>
        <sz val="10"/>
        <rFont val="楷体_GB2312"/>
        <family val="3"/>
        <charset val="134"/>
      </rPr>
      <t>单位负责人：</t>
    </r>
    <r>
      <rPr>
        <b/>
        <sz val="10"/>
        <rFont val="Arial Narrow"/>
        <family val="2"/>
      </rPr>
      <t xml:space="preserve">          </t>
    </r>
    <r>
      <rPr>
        <b/>
        <sz val="10"/>
        <rFont val="楷体_GB2312"/>
        <family val="3"/>
        <charset val="134"/>
      </rPr>
      <t>主管会计工作的负责人：</t>
    </r>
    <r>
      <rPr>
        <b/>
        <sz val="10"/>
        <rFont val="Arial Narrow"/>
        <family val="2"/>
      </rPr>
      <t xml:space="preserve">             </t>
    </r>
    <r>
      <rPr>
        <b/>
        <sz val="10"/>
        <rFont val="楷体_GB2312"/>
        <family val="3"/>
        <charset val="134"/>
      </rPr>
      <t>会计机构负责人：</t>
    </r>
    <phoneticPr fontId="5" type="noConversion"/>
  </si>
  <si>
    <r>
      <rPr>
        <b/>
        <sz val="10"/>
        <rFont val="楷体_GB2312"/>
        <family val="3"/>
        <charset val="134"/>
      </rPr>
      <t>项</t>
    </r>
    <r>
      <rPr>
        <b/>
        <sz val="10"/>
        <rFont val="Arial Narrow"/>
        <family val="2"/>
      </rPr>
      <t xml:space="preserve">        </t>
    </r>
    <r>
      <rPr>
        <b/>
        <sz val="10"/>
        <rFont val="楷体_GB2312"/>
        <family val="3"/>
        <charset val="134"/>
      </rPr>
      <t>目</t>
    </r>
    <phoneticPr fontId="5" type="noConversion"/>
  </si>
  <si>
    <r>
      <rPr>
        <sz val="10"/>
        <rFont val="宋体"/>
        <family val="3"/>
        <charset val="134"/>
      </rPr>
      <t>审计调整</t>
    </r>
    <r>
      <rPr>
        <sz val="10"/>
        <rFont val="Arial Narrow"/>
        <family val="2"/>
      </rPr>
      <t>1</t>
    </r>
    <phoneticPr fontId="5" type="noConversion"/>
  </si>
  <si>
    <r>
      <rPr>
        <sz val="10"/>
        <rFont val="宋体"/>
        <family val="3"/>
        <charset val="134"/>
      </rPr>
      <t>审计调整</t>
    </r>
    <r>
      <rPr>
        <sz val="10"/>
        <rFont val="Arial Narrow"/>
        <family val="2"/>
      </rPr>
      <t>2</t>
    </r>
    <r>
      <rPr>
        <sz val="11"/>
        <color theme="1"/>
        <rFont val="宋体"/>
        <family val="2"/>
        <charset val="134"/>
        <scheme val="minor"/>
      </rPr>
      <t/>
    </r>
  </si>
  <si>
    <r>
      <rPr>
        <sz val="10"/>
        <rFont val="宋体"/>
        <family val="3"/>
        <charset val="134"/>
      </rPr>
      <t>审计调整</t>
    </r>
    <r>
      <rPr>
        <sz val="10"/>
        <rFont val="Arial Narrow"/>
        <family val="2"/>
      </rPr>
      <t>3</t>
    </r>
    <r>
      <rPr>
        <sz val="11"/>
        <color theme="1"/>
        <rFont val="宋体"/>
        <family val="2"/>
        <charset val="134"/>
        <scheme val="minor"/>
      </rPr>
      <t/>
    </r>
  </si>
  <si>
    <r>
      <rPr>
        <sz val="10"/>
        <rFont val="宋体"/>
        <family val="3"/>
        <charset val="134"/>
      </rPr>
      <t>审计调整</t>
    </r>
    <r>
      <rPr>
        <sz val="10"/>
        <rFont val="Arial Narrow"/>
        <family val="2"/>
      </rPr>
      <t>4</t>
    </r>
    <r>
      <rPr>
        <sz val="11"/>
        <color theme="1"/>
        <rFont val="宋体"/>
        <family val="2"/>
        <charset val="134"/>
        <scheme val="minor"/>
      </rPr>
      <t/>
    </r>
  </si>
  <si>
    <r>
      <rPr>
        <b/>
        <sz val="10"/>
        <rFont val="楷体_GB2312"/>
        <family val="3"/>
        <charset val="134"/>
      </rPr>
      <t>本期金额（审定数）</t>
    </r>
    <phoneticPr fontId="5" type="noConversion"/>
  </si>
  <si>
    <r>
      <rPr>
        <sz val="10"/>
        <rFont val="宋体"/>
        <family val="3"/>
        <charset val="134"/>
      </rPr>
      <t>审计调整</t>
    </r>
    <r>
      <rPr>
        <sz val="10"/>
        <rFont val="Arial Narrow"/>
        <family val="2"/>
      </rPr>
      <t>5</t>
    </r>
    <r>
      <rPr>
        <sz val="11"/>
        <color theme="1"/>
        <rFont val="宋体"/>
        <family val="2"/>
        <charset val="134"/>
        <scheme val="minor"/>
      </rPr>
      <t/>
    </r>
  </si>
  <si>
    <r>
      <rPr>
        <sz val="10"/>
        <rFont val="宋体"/>
        <family val="3"/>
        <charset val="134"/>
      </rPr>
      <t>审计调整</t>
    </r>
    <r>
      <rPr>
        <sz val="10"/>
        <rFont val="Arial Narrow"/>
        <family val="2"/>
      </rPr>
      <t>6</t>
    </r>
    <r>
      <rPr>
        <sz val="11"/>
        <color theme="1"/>
        <rFont val="宋体"/>
        <family val="2"/>
        <charset val="134"/>
        <scheme val="minor"/>
      </rPr>
      <t/>
    </r>
  </si>
  <si>
    <r>
      <rPr>
        <sz val="10"/>
        <rFont val="宋体"/>
        <family val="3"/>
        <charset val="134"/>
      </rPr>
      <t>审计调整</t>
    </r>
    <r>
      <rPr>
        <sz val="10"/>
        <rFont val="Arial Narrow"/>
        <family val="2"/>
      </rPr>
      <t>7</t>
    </r>
    <r>
      <rPr>
        <sz val="11"/>
        <color theme="1"/>
        <rFont val="宋体"/>
        <family val="2"/>
        <charset val="134"/>
        <scheme val="minor"/>
      </rPr>
      <t/>
    </r>
  </si>
  <si>
    <r>
      <t xml:space="preserve">    </t>
    </r>
    <r>
      <rPr>
        <sz val="10"/>
        <rFont val="楷体_GB2312"/>
        <family val="3"/>
        <charset val="134"/>
      </rPr>
      <t>收到再保险业务现金净额</t>
    </r>
    <phoneticPr fontId="5" type="noConversion"/>
  </si>
  <si>
    <r>
      <t xml:space="preserve">    </t>
    </r>
    <r>
      <rPr>
        <sz val="10"/>
        <rFont val="楷体_GB2312"/>
        <family val="3"/>
        <charset val="134"/>
      </rPr>
      <t>保户储金及投资款净增加额</t>
    </r>
    <phoneticPr fontId="5" type="noConversion"/>
  </si>
  <si>
    <r>
      <t xml:space="preserve">    </t>
    </r>
    <r>
      <rPr>
        <sz val="10"/>
        <rFont val="楷体_GB2312"/>
        <family val="3"/>
        <charset val="134"/>
      </rPr>
      <t>处置以公允价值计量且其变动计入当期损益的金融资产净增加额</t>
    </r>
    <phoneticPr fontId="5" type="noConversion"/>
  </si>
  <si>
    <r>
      <t xml:space="preserve">    </t>
    </r>
    <r>
      <rPr>
        <sz val="10"/>
        <rFont val="楷体_GB2312"/>
        <family val="3"/>
        <charset val="134"/>
      </rPr>
      <t>支付原保险合同赔付款项的现金</t>
    </r>
    <phoneticPr fontId="5" type="noConversion"/>
  </si>
  <si>
    <r>
      <t xml:space="preserve">    </t>
    </r>
    <r>
      <rPr>
        <sz val="10"/>
        <rFont val="楷体_GB2312"/>
        <family val="3"/>
        <charset val="134"/>
      </rPr>
      <t>支付保单红利的现金</t>
    </r>
    <phoneticPr fontId="5" type="noConversion"/>
  </si>
  <si>
    <r>
      <t xml:space="preserve">    </t>
    </r>
    <r>
      <rPr>
        <sz val="10"/>
        <rFont val="楷体_GB2312"/>
        <family val="3"/>
        <charset val="134"/>
      </rPr>
      <t>收回投资收到的现金</t>
    </r>
    <phoneticPr fontId="5" type="noConversion"/>
  </si>
  <si>
    <r>
      <t xml:space="preserve">    </t>
    </r>
    <r>
      <rPr>
        <sz val="10"/>
        <rFont val="楷体_GB2312"/>
        <family val="3"/>
        <charset val="134"/>
      </rPr>
      <t>处置子公司及其他营业单位收回的现金净额</t>
    </r>
    <phoneticPr fontId="5" type="noConversion"/>
  </si>
  <si>
    <r>
      <t xml:space="preserve">    </t>
    </r>
    <r>
      <rPr>
        <sz val="10"/>
        <rFont val="楷体_GB2312"/>
        <family val="3"/>
        <charset val="134"/>
      </rPr>
      <t>质押贷款净增加额</t>
    </r>
    <phoneticPr fontId="5" type="noConversion"/>
  </si>
  <si>
    <r>
      <t xml:space="preserve">    </t>
    </r>
    <r>
      <rPr>
        <sz val="10"/>
        <rFont val="楷体_GB2312"/>
        <family val="3"/>
        <charset val="134"/>
      </rPr>
      <t>取得子公司及其他营业单位支付的现金净额</t>
    </r>
    <phoneticPr fontId="5" type="noConversion"/>
  </si>
  <si>
    <r>
      <rPr>
        <b/>
        <sz val="10"/>
        <rFont val="楷体_GB2312"/>
        <family val="3"/>
        <charset val="134"/>
      </rPr>
      <t>筹资活动现金流入小计</t>
    </r>
    <phoneticPr fontId="5" type="noConversion"/>
  </si>
  <si>
    <r>
      <t xml:space="preserve">    </t>
    </r>
    <r>
      <rPr>
        <sz val="10"/>
        <rFont val="楷体_GB2312"/>
        <family val="3"/>
        <charset val="134"/>
      </rPr>
      <t>分配股利、利润或偿付利息支付的现金</t>
    </r>
    <phoneticPr fontId="5" type="noConversion"/>
  </si>
  <si>
    <r>
      <t xml:space="preserve">             </t>
    </r>
    <r>
      <rPr>
        <sz val="10"/>
        <rFont val="楷体_GB2312"/>
        <family val="3"/>
        <charset val="134"/>
      </rPr>
      <t>其中：子公司支付给少数股东的股利、利润</t>
    </r>
    <phoneticPr fontId="5" type="noConversion"/>
  </si>
  <si>
    <r>
      <t xml:space="preserve">    </t>
    </r>
    <r>
      <rPr>
        <sz val="10"/>
        <rFont val="楷体_GB2312"/>
        <family val="3"/>
        <charset val="134"/>
      </rPr>
      <t>客户存款和同业存放款项净增加额</t>
    </r>
    <phoneticPr fontId="5" type="noConversion"/>
  </si>
  <si>
    <r>
      <t xml:space="preserve">    </t>
    </r>
    <r>
      <rPr>
        <sz val="10"/>
        <rFont val="楷体_GB2312"/>
        <family val="3"/>
        <charset val="134"/>
      </rPr>
      <t>收取利息、手续费及佣金的现金</t>
    </r>
    <phoneticPr fontId="5" type="noConversion"/>
  </si>
  <si>
    <r>
      <t xml:space="preserve">    </t>
    </r>
    <r>
      <rPr>
        <sz val="10"/>
        <rFont val="楷体_GB2312"/>
        <family val="3"/>
        <charset val="134"/>
      </rPr>
      <t>存放中央银行和同业款项净增加额</t>
    </r>
    <phoneticPr fontId="5" type="noConversion"/>
  </si>
  <si>
    <r>
      <rPr>
        <b/>
        <sz val="10"/>
        <rFont val="楷体_GB2312"/>
        <family val="3"/>
        <charset val="134"/>
      </rPr>
      <t>三、筹资活动产生的现金流量</t>
    </r>
    <r>
      <rPr>
        <b/>
        <sz val="10"/>
        <rFont val="Arial Narrow"/>
        <family val="2"/>
      </rPr>
      <t>:</t>
    </r>
    <phoneticPr fontId="5" type="noConversion"/>
  </si>
  <si>
    <r>
      <t xml:space="preserve">    </t>
    </r>
    <r>
      <rPr>
        <sz val="10"/>
        <rFont val="楷体_GB2312"/>
        <family val="3"/>
        <charset val="134"/>
      </rPr>
      <t>吸收投资收到的现金</t>
    </r>
    <phoneticPr fontId="5" type="noConversion"/>
  </si>
  <si>
    <r>
      <t xml:space="preserve">              </t>
    </r>
    <r>
      <rPr>
        <sz val="10"/>
        <rFont val="楷体_GB2312"/>
        <family val="3"/>
        <charset val="134"/>
      </rPr>
      <t>其中：子公司吸收少数股东投资收到的现金</t>
    </r>
    <phoneticPr fontId="5" type="noConversion"/>
  </si>
  <si>
    <r>
      <t xml:space="preserve">    </t>
    </r>
    <r>
      <rPr>
        <sz val="10"/>
        <rFont val="楷体_GB2312"/>
        <family val="3"/>
        <charset val="134"/>
      </rPr>
      <t>支付的其他与筹资活动有关的现金</t>
    </r>
    <phoneticPr fontId="5" type="noConversion"/>
  </si>
  <si>
    <r>
      <rPr>
        <b/>
        <sz val="10"/>
        <rFont val="楷体_GB2312"/>
        <family val="3"/>
        <charset val="134"/>
      </rPr>
      <t>上期金额（审定数）</t>
    </r>
    <phoneticPr fontId="5" type="noConversion"/>
  </si>
  <si>
    <r>
      <t xml:space="preserve">    </t>
    </r>
    <r>
      <rPr>
        <sz val="10"/>
        <rFont val="楷体_GB2312"/>
        <family val="3"/>
        <charset val="134"/>
      </rPr>
      <t>向其他金融机构拆入资金净增加额</t>
    </r>
    <phoneticPr fontId="5" type="noConversion"/>
  </si>
  <si>
    <r>
      <t xml:space="preserve">    </t>
    </r>
    <r>
      <rPr>
        <sz val="10"/>
        <rFont val="楷体_GB2312"/>
        <family val="3"/>
        <charset val="134"/>
      </rPr>
      <t>收到原保险合同保费取得的现金</t>
    </r>
    <phoneticPr fontId="5" type="noConversion"/>
  </si>
  <si>
    <r>
      <t xml:space="preserve">    </t>
    </r>
    <r>
      <rPr>
        <sz val="10"/>
        <rFont val="楷体_GB2312"/>
        <family val="3"/>
        <charset val="134"/>
      </rPr>
      <t>拆入资金净增加额</t>
    </r>
    <phoneticPr fontId="5" type="noConversion"/>
  </si>
  <si>
    <r>
      <t xml:space="preserve">    </t>
    </r>
    <r>
      <rPr>
        <sz val="10"/>
        <rFont val="楷体_GB2312"/>
        <family val="3"/>
        <charset val="134"/>
      </rPr>
      <t>回购业务资金净增加额</t>
    </r>
    <phoneticPr fontId="5" type="noConversion"/>
  </si>
  <si>
    <r>
      <t xml:space="preserve">    </t>
    </r>
    <r>
      <rPr>
        <sz val="10"/>
        <rFont val="楷体_GB2312"/>
        <family val="3"/>
        <charset val="134"/>
      </rPr>
      <t>客户贷款及垫款净增加额</t>
    </r>
    <phoneticPr fontId="5" type="noConversion"/>
  </si>
  <si>
    <r>
      <t xml:space="preserve">    </t>
    </r>
    <r>
      <rPr>
        <sz val="10"/>
        <rFont val="楷体_GB2312"/>
        <family val="3"/>
        <charset val="134"/>
      </rPr>
      <t>支付利息、手续费及佣金的现金</t>
    </r>
    <phoneticPr fontId="5" type="noConversion"/>
  </si>
  <si>
    <r>
      <rPr>
        <b/>
        <sz val="10"/>
        <rFont val="楷体_GB2312"/>
        <family val="3"/>
        <charset val="134"/>
      </rPr>
      <t>二、投资活动产生的现金流量</t>
    </r>
    <r>
      <rPr>
        <b/>
        <sz val="10"/>
        <rFont val="Arial Narrow"/>
        <family val="2"/>
      </rPr>
      <t>:</t>
    </r>
    <phoneticPr fontId="5" type="noConversion"/>
  </si>
  <si>
    <r>
      <t xml:space="preserve">    </t>
    </r>
    <r>
      <rPr>
        <sz val="10"/>
        <rFont val="楷体_GB2312"/>
        <family val="3"/>
        <charset val="134"/>
      </rPr>
      <t>购建固定资产、无形资产和其他长期资产支付的现金</t>
    </r>
    <phoneticPr fontId="5" type="noConversion"/>
  </si>
  <si>
    <r>
      <t xml:space="preserve">    </t>
    </r>
    <r>
      <rPr>
        <sz val="10"/>
        <rFont val="楷体_GB2312"/>
        <family val="3"/>
        <charset val="134"/>
      </rPr>
      <t>投资支付的现金</t>
    </r>
    <phoneticPr fontId="5" type="noConversion"/>
  </si>
  <si>
    <r>
      <t xml:space="preserve">    </t>
    </r>
    <r>
      <rPr>
        <b/>
        <sz val="10"/>
        <rFont val="楷体_GB2312"/>
        <family val="3"/>
        <charset val="134"/>
      </rPr>
      <t>投资活动产生的现金流量净额</t>
    </r>
    <phoneticPr fontId="5" type="noConversion"/>
  </si>
  <si>
    <r>
      <t xml:space="preserve">    </t>
    </r>
    <r>
      <rPr>
        <sz val="10"/>
        <rFont val="楷体_GB2312"/>
        <family val="3"/>
        <charset val="134"/>
      </rPr>
      <t>取得借款收到的现金</t>
    </r>
    <phoneticPr fontId="5" type="noConversion"/>
  </si>
  <si>
    <r>
      <t xml:space="preserve">    </t>
    </r>
    <r>
      <rPr>
        <sz val="10"/>
        <rFont val="楷体_GB2312"/>
        <family val="3"/>
        <charset val="134"/>
      </rPr>
      <t>收到其他与筹资活动有关的现金</t>
    </r>
    <phoneticPr fontId="5" type="noConversion"/>
  </si>
  <si>
    <r>
      <t xml:space="preserve">    </t>
    </r>
    <r>
      <rPr>
        <sz val="10"/>
        <rFont val="楷体_GB2312"/>
        <family val="3"/>
        <charset val="134"/>
      </rPr>
      <t>偿还债务支付的现金</t>
    </r>
    <phoneticPr fontId="5" type="noConversion"/>
  </si>
  <si>
    <r>
      <t xml:space="preserve">    </t>
    </r>
    <r>
      <rPr>
        <sz val="10"/>
        <rFont val="楷体_GB2312"/>
        <family val="3"/>
        <charset val="134"/>
      </rPr>
      <t>加：期初现金及现金等价物余额</t>
    </r>
    <phoneticPr fontId="5" type="noConversion"/>
  </si>
  <si>
    <r>
      <rPr>
        <b/>
        <sz val="10"/>
        <rFont val="楷体_GB2312"/>
        <family val="3"/>
        <charset val="134"/>
      </rPr>
      <t>所附财务报表附注为本财务报表的组成部分</t>
    </r>
    <phoneticPr fontId="5" type="noConversion"/>
  </si>
  <si>
    <r>
      <rPr>
        <b/>
        <sz val="10"/>
        <rFont val="楷体_GB2312"/>
        <family val="3"/>
        <charset val="134"/>
      </rPr>
      <t>科目</t>
    </r>
    <phoneticPr fontId="5" type="noConversion"/>
  </si>
  <si>
    <r>
      <rPr>
        <sz val="10"/>
        <rFont val="宋体"/>
        <family val="3"/>
        <charset val="134"/>
      </rPr>
      <t>上年借贷方平衡</t>
    </r>
    <phoneticPr fontId="5" type="noConversion"/>
  </si>
  <si>
    <r>
      <rPr>
        <sz val="10"/>
        <rFont val="宋体"/>
        <family val="3"/>
        <charset val="134"/>
      </rPr>
      <t>本年借贷方平衡</t>
    </r>
    <phoneticPr fontId="5" type="noConversion"/>
  </si>
  <si>
    <r>
      <rPr>
        <sz val="10"/>
        <rFont val="楷体_GB2312"/>
        <family val="3"/>
        <charset val="134"/>
      </rPr>
      <t>金额：万元</t>
    </r>
    <phoneticPr fontId="5" type="noConversion"/>
  </si>
  <si>
    <r>
      <rPr>
        <b/>
        <sz val="10"/>
        <rFont val="楷体_GB2312"/>
        <family val="3"/>
        <charset val="134"/>
      </rPr>
      <t>索引号：</t>
    </r>
    <phoneticPr fontId="5" type="noConversion"/>
  </si>
  <si>
    <r>
      <rPr>
        <b/>
        <sz val="10"/>
        <rFont val="楷体_GB2312"/>
        <family val="3"/>
        <charset val="134"/>
      </rPr>
      <t>项</t>
    </r>
    <r>
      <rPr>
        <b/>
        <sz val="10"/>
        <rFont val="Arial Narrow"/>
        <family val="2"/>
      </rPr>
      <t xml:space="preserve">        </t>
    </r>
    <r>
      <rPr>
        <b/>
        <sz val="10"/>
        <rFont val="楷体_GB2312"/>
        <family val="3"/>
        <charset val="134"/>
      </rPr>
      <t>目</t>
    </r>
    <phoneticPr fontId="5" type="noConversion"/>
  </si>
  <si>
    <r>
      <rPr>
        <b/>
        <sz val="10"/>
        <rFont val="楷体_GB2312"/>
        <family val="3"/>
        <charset val="134"/>
      </rPr>
      <t>借方调整</t>
    </r>
    <phoneticPr fontId="5" type="noConversion"/>
  </si>
  <si>
    <r>
      <rPr>
        <b/>
        <sz val="10"/>
        <rFont val="楷体_GB2312"/>
        <family val="3"/>
        <charset val="134"/>
      </rPr>
      <t>贷方调整</t>
    </r>
    <phoneticPr fontId="5" type="noConversion"/>
  </si>
  <si>
    <r>
      <rPr>
        <b/>
        <sz val="10"/>
        <rFont val="楷体_GB2312"/>
        <family val="3"/>
        <charset val="134"/>
      </rPr>
      <t>调整数</t>
    </r>
    <phoneticPr fontId="5" type="noConversion"/>
  </si>
  <si>
    <r>
      <rPr>
        <b/>
        <sz val="10"/>
        <rFont val="楷体_GB2312"/>
        <family val="3"/>
        <charset val="134"/>
      </rPr>
      <t>流动资产：</t>
    </r>
    <phoneticPr fontId="5" type="noConversion"/>
  </si>
  <si>
    <r>
      <t xml:space="preserve">    </t>
    </r>
    <r>
      <rPr>
        <sz val="10"/>
        <rFont val="楷体_GB2312"/>
        <family val="3"/>
        <charset val="134"/>
      </rPr>
      <t>以公允价值计量且其变动计入当期损益的金融资产</t>
    </r>
  </si>
  <si>
    <r>
      <t xml:space="preserve">    </t>
    </r>
    <r>
      <rPr>
        <sz val="10"/>
        <rFont val="楷体_GB2312"/>
        <family val="3"/>
        <charset val="134"/>
      </rPr>
      <t>衍生金融资产</t>
    </r>
  </si>
  <si>
    <r>
      <t xml:space="preserve">    </t>
    </r>
    <r>
      <rPr>
        <sz val="10"/>
        <rFont val="楷体_GB2312"/>
        <family val="3"/>
        <charset val="134"/>
      </rPr>
      <t>应收分保准备金</t>
    </r>
    <phoneticPr fontId="5" type="noConversion"/>
  </si>
  <si>
    <r>
      <t xml:space="preserve">    </t>
    </r>
    <r>
      <rPr>
        <sz val="10"/>
        <rFont val="楷体_GB2312"/>
        <family val="3"/>
        <charset val="134"/>
      </rPr>
      <t>应收利息</t>
    </r>
    <phoneticPr fontId="5" type="noConversion"/>
  </si>
  <si>
    <r>
      <t xml:space="preserve">           </t>
    </r>
    <r>
      <rPr>
        <sz val="10"/>
        <rFont val="楷体_GB2312"/>
        <family val="3"/>
        <charset val="134"/>
      </rPr>
      <t>其中：原材料</t>
    </r>
    <phoneticPr fontId="5" type="noConversion"/>
  </si>
  <si>
    <r>
      <t xml:space="preserve">                 </t>
    </r>
    <r>
      <rPr>
        <sz val="10"/>
        <rFont val="楷体_GB2312"/>
        <family val="3"/>
        <charset val="134"/>
      </rPr>
      <t>库存商品</t>
    </r>
    <r>
      <rPr>
        <sz val="10"/>
        <rFont val="Arial Narrow"/>
        <family val="2"/>
      </rPr>
      <t>(</t>
    </r>
    <r>
      <rPr>
        <sz val="10"/>
        <rFont val="楷体_GB2312"/>
        <family val="3"/>
        <charset val="134"/>
      </rPr>
      <t>产成品</t>
    </r>
    <r>
      <rPr>
        <sz val="10"/>
        <rFont val="Arial Narrow"/>
        <family val="2"/>
      </rPr>
      <t>)</t>
    </r>
    <phoneticPr fontId="5" type="noConversion"/>
  </si>
  <si>
    <r>
      <t xml:space="preserve">    </t>
    </r>
    <r>
      <rPr>
        <sz val="10"/>
        <rFont val="楷体_GB2312"/>
        <family val="3"/>
        <charset val="134"/>
      </rPr>
      <t>其他流动资产</t>
    </r>
    <phoneticPr fontId="5" type="noConversion"/>
  </si>
  <si>
    <r>
      <rPr>
        <b/>
        <sz val="10"/>
        <rFont val="楷体_GB2312"/>
        <family val="3"/>
        <charset val="134"/>
      </rPr>
      <t>非流动资产：</t>
    </r>
    <phoneticPr fontId="5" type="noConversion"/>
  </si>
  <si>
    <r>
      <t xml:space="preserve">    </t>
    </r>
    <r>
      <rPr>
        <sz val="10"/>
        <rFont val="楷体_GB2312"/>
        <family val="3"/>
        <charset val="134"/>
      </rPr>
      <t>固定资产原价</t>
    </r>
    <phoneticPr fontId="5" type="noConversion"/>
  </si>
  <si>
    <r>
      <t xml:space="preserve">              </t>
    </r>
    <r>
      <rPr>
        <sz val="10"/>
        <rFont val="楷体_GB2312"/>
        <family val="3"/>
        <charset val="134"/>
      </rPr>
      <t>减：累计折旧</t>
    </r>
    <phoneticPr fontId="5" type="noConversion"/>
  </si>
  <si>
    <r>
      <t xml:space="preserve">              </t>
    </r>
    <r>
      <rPr>
        <sz val="10"/>
        <rFont val="楷体_GB2312"/>
        <family val="3"/>
        <charset val="134"/>
      </rPr>
      <t>减：固定资产减值准备</t>
    </r>
    <phoneticPr fontId="5" type="noConversion"/>
  </si>
  <si>
    <r>
      <t xml:space="preserve">    </t>
    </r>
    <r>
      <rPr>
        <sz val="10"/>
        <rFont val="楷体_GB2312"/>
        <family val="3"/>
        <charset val="134"/>
      </rPr>
      <t>开发支出</t>
    </r>
    <phoneticPr fontId="5" type="noConversion"/>
  </si>
  <si>
    <r>
      <t xml:space="preserve">    </t>
    </r>
    <r>
      <rPr>
        <sz val="10"/>
        <rFont val="楷体_GB2312"/>
        <family val="3"/>
        <charset val="134"/>
      </rPr>
      <t>递延所得税资产</t>
    </r>
    <phoneticPr fontId="5" type="noConversion"/>
  </si>
  <si>
    <r>
      <t xml:space="preserve">    </t>
    </r>
    <r>
      <rPr>
        <sz val="10"/>
        <rFont val="楷体_GB2312"/>
        <family val="3"/>
        <charset val="134"/>
      </rPr>
      <t>其他非流动资产</t>
    </r>
    <phoneticPr fontId="5" type="noConversion"/>
  </si>
  <si>
    <r>
      <t xml:space="preserve">             </t>
    </r>
    <r>
      <rPr>
        <sz val="10"/>
        <rFont val="楷体_GB2312"/>
        <family val="3"/>
        <charset val="134"/>
      </rPr>
      <t>其中：特准储备物资</t>
    </r>
    <phoneticPr fontId="5" type="noConversion"/>
  </si>
  <si>
    <r>
      <rPr>
        <b/>
        <sz val="10"/>
        <rFont val="楷体_GB2312"/>
        <family val="3"/>
        <charset val="134"/>
      </rPr>
      <t>非流动资产合计</t>
    </r>
    <phoneticPr fontId="5" type="noConversion"/>
  </si>
  <si>
    <r>
      <rPr>
        <b/>
        <sz val="10"/>
        <rFont val="楷体_GB2312"/>
        <family val="3"/>
        <charset val="134"/>
      </rPr>
      <t>贷方调整</t>
    </r>
    <phoneticPr fontId="5" type="noConversion"/>
  </si>
  <si>
    <r>
      <rPr>
        <b/>
        <sz val="10"/>
        <rFont val="楷体_GB2312"/>
        <family val="3"/>
        <charset val="134"/>
      </rPr>
      <t>流动负债：</t>
    </r>
    <phoneticPr fontId="5" type="noConversion"/>
  </si>
  <si>
    <r>
      <t xml:space="preserve">    </t>
    </r>
    <r>
      <rPr>
        <sz val="10"/>
        <rFont val="楷体_GB2312"/>
        <family val="3"/>
        <charset val="134"/>
      </rPr>
      <t>以公允价值计量且其变动计入当期损益的金融负债</t>
    </r>
  </si>
  <si>
    <r>
      <t xml:space="preserve">    </t>
    </r>
    <r>
      <rPr>
        <sz val="10"/>
        <rFont val="楷体_GB2312"/>
        <family val="3"/>
        <charset val="134"/>
      </rPr>
      <t>衍生金融负债</t>
    </r>
  </si>
  <si>
    <r>
      <t xml:space="preserve">              </t>
    </r>
    <r>
      <rPr>
        <sz val="10"/>
        <rFont val="楷体_GB2312"/>
        <family val="3"/>
        <charset val="134"/>
      </rPr>
      <t>其中：应付工资</t>
    </r>
    <phoneticPr fontId="5" type="noConversion"/>
  </si>
  <si>
    <r>
      <t xml:space="preserve">                    </t>
    </r>
    <r>
      <rPr>
        <sz val="10"/>
        <rFont val="楷体_GB2312"/>
        <family val="3"/>
        <charset val="134"/>
      </rPr>
      <t>应付福利费</t>
    </r>
    <phoneticPr fontId="5" type="noConversion"/>
  </si>
  <si>
    <r>
      <t xml:space="preserve">                         </t>
    </r>
    <r>
      <rPr>
        <sz val="10"/>
        <rFont val="楷体_GB2312"/>
        <family val="3"/>
        <charset val="134"/>
      </rPr>
      <t>其中：职工奖励及福利基金</t>
    </r>
    <phoneticPr fontId="5" type="noConversion"/>
  </si>
  <si>
    <r>
      <t xml:space="preserve">    </t>
    </r>
    <r>
      <rPr>
        <sz val="10"/>
        <rFont val="楷体_GB2312"/>
        <family val="3"/>
        <charset val="134"/>
      </rPr>
      <t>应交税费</t>
    </r>
    <phoneticPr fontId="5" type="noConversion"/>
  </si>
  <si>
    <r>
      <t xml:space="preserve"> </t>
    </r>
    <r>
      <rPr>
        <sz val="10"/>
        <rFont val="楷体_GB2312"/>
        <family val="3"/>
        <charset val="134"/>
      </rPr>
      <t>应付股利</t>
    </r>
    <phoneticPr fontId="5" type="noConversion"/>
  </si>
  <si>
    <r>
      <rPr>
        <b/>
        <sz val="10"/>
        <rFont val="楷体_GB2312"/>
        <family val="3"/>
        <charset val="134"/>
      </rPr>
      <t>非流动负债：</t>
    </r>
    <phoneticPr fontId="5" type="noConversion"/>
  </si>
  <si>
    <r>
      <t xml:space="preserve">    </t>
    </r>
    <r>
      <rPr>
        <sz val="10"/>
        <rFont val="楷体_GB2312"/>
        <family val="3"/>
        <charset val="134"/>
      </rPr>
      <t>应付债券</t>
    </r>
    <phoneticPr fontId="5" type="noConversion"/>
  </si>
  <si>
    <r>
      <t xml:space="preserve">    </t>
    </r>
    <r>
      <rPr>
        <sz val="10"/>
        <rFont val="楷体_GB2312"/>
        <family val="3"/>
        <charset val="134"/>
      </rPr>
      <t>长期应付职工薪酬</t>
    </r>
    <phoneticPr fontId="5" type="noConversion"/>
  </si>
  <si>
    <r>
      <t xml:space="preserve">    </t>
    </r>
    <r>
      <rPr>
        <sz val="10"/>
        <rFont val="楷体_GB2312"/>
        <family val="3"/>
        <charset val="134"/>
      </rPr>
      <t>递延收益</t>
    </r>
    <phoneticPr fontId="5" type="noConversion"/>
  </si>
  <si>
    <r>
      <t xml:space="preserve">    </t>
    </r>
    <r>
      <rPr>
        <sz val="10"/>
        <rFont val="楷体_GB2312"/>
        <family val="3"/>
        <charset val="134"/>
      </rPr>
      <t>实收资本</t>
    </r>
    <phoneticPr fontId="5" type="noConversion"/>
  </si>
  <si>
    <r>
      <t xml:space="preserve">          </t>
    </r>
    <r>
      <rPr>
        <sz val="10"/>
        <rFont val="楷体_GB2312"/>
        <family val="3"/>
        <charset val="134"/>
      </rPr>
      <t>国有资本</t>
    </r>
    <phoneticPr fontId="5" type="noConversion"/>
  </si>
  <si>
    <r>
      <t xml:space="preserve">              </t>
    </r>
    <r>
      <rPr>
        <sz val="10"/>
        <rFont val="楷体_GB2312"/>
        <family val="3"/>
        <charset val="134"/>
      </rPr>
      <t>其中：国有法人资本</t>
    </r>
    <phoneticPr fontId="5" type="noConversion"/>
  </si>
  <si>
    <r>
      <t xml:space="preserve">    </t>
    </r>
    <r>
      <rPr>
        <sz val="10"/>
        <rFont val="楷体_GB2312"/>
        <family val="3"/>
        <charset val="134"/>
      </rPr>
      <t>实收资本净额</t>
    </r>
    <phoneticPr fontId="5" type="noConversion"/>
  </si>
  <si>
    <r>
      <t xml:space="preserve">    </t>
    </r>
    <r>
      <rPr>
        <sz val="10"/>
        <rFont val="楷体_GB2312"/>
        <family val="3"/>
        <charset val="134"/>
      </rPr>
      <t>其他权益工具</t>
    </r>
    <phoneticPr fontId="5" type="noConversion"/>
  </si>
  <si>
    <r>
      <t xml:space="preserve">        </t>
    </r>
    <r>
      <rPr>
        <sz val="10"/>
        <rFont val="楷体_GB2312"/>
        <family val="3"/>
        <charset val="134"/>
      </rPr>
      <t>其中：优先股</t>
    </r>
    <phoneticPr fontId="5" type="noConversion"/>
  </si>
  <si>
    <r>
      <t xml:space="preserve">              </t>
    </r>
    <r>
      <rPr>
        <sz val="10"/>
        <rFont val="楷体_GB2312"/>
        <family val="3"/>
        <charset val="134"/>
      </rPr>
      <t>永续债</t>
    </r>
    <phoneticPr fontId="5" type="noConversion"/>
  </si>
  <si>
    <r>
      <t xml:space="preserve">    </t>
    </r>
    <r>
      <rPr>
        <sz val="10"/>
        <rFont val="楷体_GB2312"/>
        <family val="3"/>
        <charset val="134"/>
      </rPr>
      <t>其他综合收益</t>
    </r>
  </si>
  <si>
    <r>
      <t xml:space="preserve">        </t>
    </r>
    <r>
      <rPr>
        <sz val="10"/>
        <rFont val="楷体_GB2312"/>
        <family val="3"/>
        <charset val="134"/>
      </rPr>
      <t>其中：外币报表折算差额</t>
    </r>
  </si>
  <si>
    <r>
      <t xml:space="preserve">            </t>
    </r>
    <r>
      <rPr>
        <sz val="10"/>
        <rFont val="楷体_GB2312"/>
        <family val="3"/>
        <charset val="134"/>
      </rPr>
      <t>企业发展基金</t>
    </r>
    <phoneticPr fontId="5" type="noConversion"/>
  </si>
  <si>
    <r>
      <t xml:space="preserve">            </t>
    </r>
    <r>
      <rPr>
        <sz val="10"/>
        <rFont val="楷体_GB2312"/>
        <family val="3"/>
        <charset val="134"/>
      </rPr>
      <t>利润归还投资</t>
    </r>
    <phoneticPr fontId="5" type="noConversion"/>
  </si>
  <si>
    <r>
      <rPr>
        <b/>
        <sz val="10"/>
        <rFont val="楷体_GB2312"/>
        <family val="3"/>
        <charset val="134"/>
      </rPr>
      <t>归属于母公司所有者权益合计</t>
    </r>
    <phoneticPr fontId="5" type="noConversion"/>
  </si>
  <si>
    <r>
      <rPr>
        <b/>
        <sz val="10"/>
        <rFont val="楷体_GB2312"/>
        <family val="3"/>
        <charset val="134"/>
      </rPr>
      <t>一、营业总收入</t>
    </r>
    <phoneticPr fontId="5" type="noConversion"/>
  </si>
  <si>
    <r>
      <t xml:space="preserve">             </t>
    </r>
    <r>
      <rPr>
        <sz val="10"/>
        <rFont val="楷体_GB2312"/>
        <family val="3"/>
        <charset val="134"/>
      </rPr>
      <t>其中：主营业务收入</t>
    </r>
    <phoneticPr fontId="5" type="noConversion"/>
  </si>
  <si>
    <r>
      <t xml:space="preserve">            </t>
    </r>
    <r>
      <rPr>
        <sz val="10"/>
        <rFont val="楷体_GB2312"/>
        <family val="3"/>
        <charset val="134"/>
      </rPr>
      <t>已赚保费</t>
    </r>
    <phoneticPr fontId="5" type="noConversion"/>
  </si>
  <si>
    <r>
      <t xml:space="preserve">            </t>
    </r>
    <r>
      <rPr>
        <sz val="10"/>
        <rFont val="楷体_GB2312"/>
        <family val="3"/>
        <charset val="134"/>
      </rPr>
      <t>手续费及佣金收入</t>
    </r>
    <phoneticPr fontId="5" type="noConversion"/>
  </si>
  <si>
    <r>
      <t xml:space="preserve">            </t>
    </r>
    <r>
      <rPr>
        <sz val="10"/>
        <rFont val="楷体_GB2312"/>
        <family val="3"/>
        <charset val="134"/>
      </rPr>
      <t>利息支出</t>
    </r>
    <phoneticPr fontId="5" type="noConversion"/>
  </si>
  <si>
    <r>
      <t xml:space="preserve">            </t>
    </r>
    <r>
      <rPr>
        <sz val="10"/>
        <rFont val="楷体_GB2312"/>
        <family val="3"/>
        <charset val="134"/>
      </rPr>
      <t>手续费及佣金支出</t>
    </r>
    <phoneticPr fontId="5" type="noConversion"/>
  </si>
  <si>
    <r>
      <t xml:space="preserve">            </t>
    </r>
    <r>
      <rPr>
        <sz val="10"/>
        <rFont val="楷体_GB2312"/>
        <family val="3"/>
        <charset val="134"/>
      </rPr>
      <t>赔付支出净额</t>
    </r>
    <phoneticPr fontId="5" type="noConversion"/>
  </si>
  <si>
    <r>
      <t xml:space="preserve">           </t>
    </r>
    <r>
      <rPr>
        <sz val="10"/>
        <rFont val="楷体_GB2312"/>
        <family val="3"/>
        <charset val="134"/>
      </rPr>
      <t>财务费用</t>
    </r>
    <phoneticPr fontId="5" type="noConversion"/>
  </si>
  <si>
    <r>
      <t xml:space="preserve">                </t>
    </r>
    <r>
      <rPr>
        <sz val="10"/>
        <rFont val="楷体_GB2312"/>
        <family val="3"/>
        <charset val="134"/>
      </rPr>
      <t>其中：利息支出</t>
    </r>
    <phoneticPr fontId="5" type="noConversion"/>
  </si>
  <si>
    <r>
      <t xml:space="preserve">                      </t>
    </r>
    <r>
      <rPr>
        <sz val="10"/>
        <rFont val="楷体_GB2312"/>
        <family val="3"/>
        <charset val="134"/>
      </rPr>
      <t>利息收入</t>
    </r>
    <phoneticPr fontId="5" type="noConversion"/>
  </si>
  <si>
    <r>
      <t xml:space="preserve">                     </t>
    </r>
    <r>
      <rPr>
        <sz val="10"/>
        <rFont val="楷体_GB2312"/>
        <family val="3"/>
        <charset val="134"/>
      </rPr>
      <t>汇兑净损失（净收益以</t>
    </r>
    <r>
      <rPr>
        <sz val="10"/>
        <rFont val="Arial Narrow"/>
        <family val="2"/>
      </rPr>
      <t>“-”</t>
    </r>
    <r>
      <rPr>
        <sz val="10"/>
        <rFont val="楷体_GB2312"/>
        <family val="3"/>
        <charset val="134"/>
      </rPr>
      <t>号填列）</t>
    </r>
    <phoneticPr fontId="5" type="noConversion"/>
  </si>
  <si>
    <r>
      <t xml:space="preserve">              </t>
    </r>
    <r>
      <rPr>
        <sz val="10"/>
        <rFont val="楷体_GB2312"/>
        <family val="3"/>
        <charset val="134"/>
      </rPr>
      <t>投资收益（损失以</t>
    </r>
    <r>
      <rPr>
        <sz val="10"/>
        <rFont val="Arial Narrow"/>
        <family val="2"/>
      </rPr>
      <t>“-”</t>
    </r>
    <r>
      <rPr>
        <sz val="10"/>
        <rFont val="楷体_GB2312"/>
        <family val="3"/>
        <charset val="134"/>
      </rPr>
      <t>号填列）</t>
    </r>
    <phoneticPr fontId="5" type="noConversion"/>
  </si>
  <si>
    <r>
      <t xml:space="preserve">                </t>
    </r>
    <r>
      <rPr>
        <sz val="10"/>
        <rFont val="楷体_GB2312"/>
        <family val="3"/>
        <charset val="134"/>
      </rPr>
      <t>其中：对联营企业和合营企业的投资收益</t>
    </r>
    <phoneticPr fontId="5" type="noConversion"/>
  </si>
  <si>
    <r>
      <t xml:space="preserve">               </t>
    </r>
    <r>
      <rPr>
        <sz val="10"/>
        <rFont val="楷体_GB2312"/>
        <family val="3"/>
        <charset val="134"/>
      </rPr>
      <t>非货币性资产交换利得</t>
    </r>
    <phoneticPr fontId="5" type="noConversion"/>
  </si>
  <si>
    <r>
      <t xml:space="preserve">               </t>
    </r>
    <r>
      <rPr>
        <sz val="10"/>
        <rFont val="楷体_GB2312"/>
        <family val="3"/>
        <charset val="134"/>
      </rPr>
      <t>政府补助</t>
    </r>
    <phoneticPr fontId="5" type="noConversion"/>
  </si>
  <si>
    <r>
      <t xml:space="preserve">               </t>
    </r>
    <r>
      <rPr>
        <sz val="10"/>
        <rFont val="楷体_GB2312"/>
        <family val="3"/>
        <charset val="134"/>
      </rPr>
      <t>债务重组利得</t>
    </r>
    <phoneticPr fontId="5" type="noConversion"/>
  </si>
  <si>
    <r>
      <t xml:space="preserve">               </t>
    </r>
    <r>
      <rPr>
        <sz val="10"/>
        <rFont val="楷体_GB2312"/>
        <family val="3"/>
        <charset val="134"/>
      </rPr>
      <t>非货币性资产交换损失</t>
    </r>
    <phoneticPr fontId="5" type="noConversion"/>
  </si>
  <si>
    <r>
      <t xml:space="preserve">               </t>
    </r>
    <r>
      <rPr>
        <sz val="10"/>
        <rFont val="楷体_GB2312"/>
        <family val="3"/>
        <charset val="134"/>
      </rPr>
      <t>债务重组损失</t>
    </r>
    <phoneticPr fontId="5" type="noConversion"/>
  </si>
  <si>
    <r>
      <rPr>
        <sz val="10"/>
        <rFont val="楷体_GB2312"/>
        <family val="3"/>
        <charset val="134"/>
      </rPr>
      <t>归属于母公司所有者的净利润</t>
    </r>
    <phoneticPr fontId="5" type="noConversion"/>
  </si>
  <si>
    <r>
      <rPr>
        <sz val="10"/>
        <rFont val="楷体_GB2312"/>
        <family val="3"/>
        <charset val="134"/>
      </rPr>
      <t>少数股东损益</t>
    </r>
    <phoneticPr fontId="5" type="noConversion"/>
  </si>
  <si>
    <r>
      <rPr>
        <b/>
        <sz val="10"/>
        <rFont val="楷体_GB2312"/>
        <family val="3"/>
        <charset val="134"/>
      </rPr>
      <t>六、其他综合收益的税后净额</t>
    </r>
    <phoneticPr fontId="5" type="noConversion"/>
  </si>
  <si>
    <r>
      <rPr>
        <sz val="10"/>
        <rFont val="楷体_GB2312"/>
        <family val="3"/>
        <charset val="134"/>
      </rPr>
      <t>（一）以后不能重分类进损益的其他综合收益</t>
    </r>
    <phoneticPr fontId="5" type="noConversion"/>
  </si>
  <si>
    <r>
      <rPr>
        <sz val="10"/>
        <rFont val="楷体_GB2312"/>
        <family val="3"/>
        <charset val="134"/>
      </rPr>
      <t>其中：</t>
    </r>
    <r>
      <rPr>
        <sz val="10"/>
        <rFont val="Arial Narrow"/>
        <family val="2"/>
      </rPr>
      <t>1.</t>
    </r>
    <r>
      <rPr>
        <sz val="10"/>
        <rFont val="楷体_GB2312"/>
        <family val="3"/>
        <charset val="134"/>
      </rPr>
      <t>重新计量设定受益计划净负债或净资产的变动</t>
    </r>
    <phoneticPr fontId="5" type="noConversion"/>
  </si>
  <si>
    <r>
      <t xml:space="preserve">      2.</t>
    </r>
    <r>
      <rPr>
        <sz val="10"/>
        <rFont val="楷体_GB2312"/>
        <family val="3"/>
        <charset val="134"/>
      </rPr>
      <t>权益法下在被投资单位不能重分类进损益的其他综合收益中享有的份额</t>
    </r>
    <phoneticPr fontId="5" type="noConversion"/>
  </si>
  <si>
    <r>
      <rPr>
        <sz val="10"/>
        <rFont val="楷体_GB2312"/>
        <family val="3"/>
        <charset val="134"/>
      </rPr>
      <t>（二）以后将重分类进损益的其他综合收益</t>
    </r>
    <phoneticPr fontId="5" type="noConversion"/>
  </si>
  <si>
    <r>
      <rPr>
        <sz val="10"/>
        <rFont val="楷体_GB2312"/>
        <family val="3"/>
        <charset val="134"/>
      </rPr>
      <t>其中：</t>
    </r>
    <r>
      <rPr>
        <sz val="10"/>
        <rFont val="Arial Narrow"/>
        <family val="2"/>
      </rPr>
      <t>1.</t>
    </r>
    <r>
      <rPr>
        <sz val="10"/>
        <rFont val="楷体_GB2312"/>
        <family val="3"/>
        <charset val="134"/>
      </rPr>
      <t>权益法下在被投资单位以后将重分类进损益的其他综合收益中享有的份额</t>
    </r>
    <phoneticPr fontId="5" type="noConversion"/>
  </si>
  <si>
    <r>
      <t xml:space="preserve">      2.</t>
    </r>
    <r>
      <rPr>
        <sz val="10"/>
        <rFont val="楷体_GB2312"/>
        <family val="3"/>
        <charset val="134"/>
      </rPr>
      <t>可供出售金融资产公允价值变动损益</t>
    </r>
    <phoneticPr fontId="5" type="noConversion"/>
  </si>
  <si>
    <r>
      <t xml:space="preserve">      3.</t>
    </r>
    <r>
      <rPr>
        <sz val="10"/>
        <rFont val="楷体_GB2312"/>
        <family val="3"/>
        <charset val="134"/>
      </rPr>
      <t>持有至到期投资重分类为可供出售金额资产损益</t>
    </r>
    <phoneticPr fontId="5" type="noConversion"/>
  </si>
  <si>
    <r>
      <t xml:space="preserve">      4.</t>
    </r>
    <r>
      <rPr>
        <sz val="10"/>
        <rFont val="楷体_GB2312"/>
        <family val="3"/>
        <charset val="134"/>
      </rPr>
      <t>现金流量套期损益的有效部分</t>
    </r>
    <phoneticPr fontId="5" type="noConversion"/>
  </si>
  <si>
    <r>
      <t xml:space="preserve">      5.</t>
    </r>
    <r>
      <rPr>
        <sz val="10"/>
        <rFont val="楷体_GB2312"/>
        <family val="3"/>
        <charset val="134"/>
      </rPr>
      <t>外币财务报表折算差额</t>
    </r>
    <phoneticPr fontId="5" type="noConversion"/>
  </si>
  <si>
    <r>
      <rPr>
        <b/>
        <sz val="10"/>
        <rFont val="楷体_GB2312"/>
        <family val="3"/>
        <charset val="134"/>
      </rPr>
      <t>七、综合收益总额</t>
    </r>
    <phoneticPr fontId="5" type="noConversion"/>
  </si>
  <si>
    <r>
      <t xml:space="preserve"> </t>
    </r>
    <r>
      <rPr>
        <sz val="10"/>
        <rFont val="楷体_GB2312"/>
        <family val="3"/>
        <charset val="134"/>
      </rPr>
      <t>归属于少数股东的综合收益总额</t>
    </r>
    <phoneticPr fontId="5" type="noConversion"/>
  </si>
  <si>
    <r>
      <rPr>
        <b/>
        <sz val="10"/>
        <rFont val="楷体_GB2312"/>
        <family val="3"/>
        <charset val="134"/>
      </rPr>
      <t>八、每股收益：</t>
    </r>
    <phoneticPr fontId="5" type="noConversion"/>
  </si>
  <si>
    <r>
      <rPr>
        <b/>
        <sz val="12"/>
        <rFont val="楷体_GB2312"/>
        <family val="3"/>
        <charset val="134"/>
      </rPr>
      <t>调整简表</t>
    </r>
    <phoneticPr fontId="5" type="noConversion"/>
  </si>
  <si>
    <r>
      <rPr>
        <b/>
        <sz val="10"/>
        <rFont val="楷体_GB2312"/>
        <family val="3"/>
        <charset val="134"/>
      </rPr>
      <t>试算平衡表</t>
    </r>
    <phoneticPr fontId="5" type="noConversion"/>
  </si>
  <si>
    <r>
      <rPr>
        <b/>
        <sz val="10"/>
        <rFont val="楷体_GB2312"/>
        <family val="3"/>
        <charset val="134"/>
      </rPr>
      <t>返回目录</t>
    </r>
  </si>
  <si>
    <r>
      <rPr>
        <b/>
        <sz val="10"/>
        <rFont val="楷体_GB2312"/>
        <family val="3"/>
        <charset val="134"/>
      </rPr>
      <t>索引号：</t>
    </r>
    <r>
      <rPr>
        <b/>
        <sz val="10"/>
        <rFont val="Arial Narrow"/>
        <family val="2"/>
      </rPr>
      <t>9100</t>
    </r>
    <phoneticPr fontId="5" type="noConversion"/>
  </si>
  <si>
    <r>
      <rPr>
        <b/>
        <sz val="10"/>
        <rFont val="楷体_GB2312"/>
        <family val="3"/>
        <charset val="134"/>
      </rPr>
      <t>项</t>
    </r>
    <r>
      <rPr>
        <b/>
        <sz val="10"/>
        <rFont val="Arial Narrow"/>
        <family val="2"/>
      </rPr>
      <t xml:space="preserve">        </t>
    </r>
    <r>
      <rPr>
        <b/>
        <sz val="10"/>
        <rFont val="楷体_GB2312"/>
        <family val="3"/>
        <charset val="134"/>
      </rPr>
      <t>目</t>
    </r>
    <phoneticPr fontId="5" type="noConversion"/>
  </si>
  <si>
    <r>
      <rPr>
        <b/>
        <sz val="10"/>
        <rFont val="楷体_GB2312"/>
        <family val="3"/>
        <charset val="134"/>
      </rPr>
      <t>导引表</t>
    </r>
    <phoneticPr fontId="5" type="noConversion"/>
  </si>
  <si>
    <r>
      <rPr>
        <b/>
        <sz val="10"/>
        <rFont val="楷体_GB2312"/>
        <family val="3"/>
        <charset val="134"/>
      </rPr>
      <t>方向</t>
    </r>
    <phoneticPr fontId="5" type="noConversion"/>
  </si>
  <si>
    <r>
      <rPr>
        <b/>
        <sz val="10"/>
        <rFont val="楷体_GB2312"/>
        <family val="3"/>
        <charset val="134"/>
      </rPr>
      <t>借方调整</t>
    </r>
    <phoneticPr fontId="5" type="noConversion"/>
  </si>
  <si>
    <r>
      <rPr>
        <b/>
        <sz val="10"/>
        <rFont val="楷体_GB2312"/>
        <family val="3"/>
        <charset val="134"/>
      </rPr>
      <t>借方调整</t>
    </r>
    <phoneticPr fontId="5" type="noConversion"/>
  </si>
  <si>
    <r>
      <rPr>
        <b/>
        <sz val="10"/>
        <rFont val="楷体_GB2312"/>
        <family val="3"/>
        <charset val="134"/>
      </rPr>
      <t>贷方调整</t>
    </r>
    <phoneticPr fontId="5" type="noConversion"/>
  </si>
  <si>
    <r>
      <rPr>
        <b/>
        <sz val="10"/>
        <rFont val="楷体_GB2312"/>
        <family val="3"/>
        <charset val="134"/>
      </rPr>
      <t>调整数</t>
    </r>
    <phoneticPr fontId="5" type="noConversion"/>
  </si>
  <si>
    <r>
      <rPr>
        <sz val="10"/>
        <rFont val="楷体_GB2312"/>
        <family val="3"/>
        <charset val="134"/>
      </rPr>
      <t>货币资金</t>
    </r>
  </si>
  <si>
    <r>
      <rPr>
        <sz val="10"/>
        <rFont val="楷体_GB2312"/>
        <family val="3"/>
        <charset val="134"/>
      </rPr>
      <t>借</t>
    </r>
    <phoneticPr fontId="5" type="noConversion"/>
  </si>
  <si>
    <r>
      <rPr>
        <sz val="10"/>
        <rFont val="楷体_GB2312"/>
        <family val="3"/>
        <charset val="134"/>
      </rPr>
      <t>结算备付金</t>
    </r>
  </si>
  <si>
    <r>
      <rPr>
        <sz val="10"/>
        <rFont val="楷体_GB2312"/>
        <family val="3"/>
        <charset val="134"/>
      </rPr>
      <t>拆出资金</t>
    </r>
  </si>
  <si>
    <r>
      <t xml:space="preserve">    </t>
    </r>
    <r>
      <rPr>
        <sz val="10"/>
        <rFont val="楷体_GB2312"/>
        <family val="3"/>
        <charset val="134"/>
      </rPr>
      <t>以公允价值计量且其变动计入当期损益的金融资产</t>
    </r>
    <phoneticPr fontId="5" type="noConversion"/>
  </si>
  <si>
    <r>
      <rPr>
        <sz val="10"/>
        <rFont val="楷体_GB2312"/>
        <family val="3"/>
        <charset val="134"/>
      </rPr>
      <t>以公允价值计量且其变动计入当期损益的金融资产</t>
    </r>
    <phoneticPr fontId="5" type="noConversion"/>
  </si>
  <si>
    <r>
      <t xml:space="preserve">    </t>
    </r>
    <r>
      <rPr>
        <sz val="10"/>
        <rFont val="楷体_GB2312"/>
        <family val="3"/>
        <charset val="134"/>
      </rPr>
      <t>衍生金融资产</t>
    </r>
    <phoneticPr fontId="5" type="noConversion"/>
  </si>
  <si>
    <r>
      <rPr>
        <sz val="10"/>
        <rFont val="楷体_GB2312"/>
        <family val="3"/>
        <charset val="134"/>
      </rPr>
      <t>衍生金融资产</t>
    </r>
    <phoneticPr fontId="5" type="noConversion"/>
  </si>
  <si>
    <r>
      <rPr>
        <sz val="10"/>
        <rFont val="楷体_GB2312"/>
        <family val="3"/>
        <charset val="134"/>
      </rPr>
      <t>应收票据</t>
    </r>
  </si>
  <si>
    <r>
      <rPr>
        <sz val="10"/>
        <rFont val="楷体_GB2312"/>
        <family val="3"/>
        <charset val="134"/>
      </rPr>
      <t>应收账款</t>
    </r>
  </si>
  <si>
    <r>
      <rPr>
        <sz val="10"/>
        <rFont val="楷体_GB2312"/>
        <family val="3"/>
        <charset val="134"/>
      </rPr>
      <t>预付款项</t>
    </r>
  </si>
  <si>
    <r>
      <rPr>
        <sz val="10"/>
        <rFont val="楷体_GB2312"/>
        <family val="3"/>
        <charset val="134"/>
      </rPr>
      <t>应收保费</t>
    </r>
  </si>
  <si>
    <r>
      <rPr>
        <sz val="10"/>
        <rFont val="楷体_GB2312"/>
        <family val="3"/>
        <charset val="134"/>
      </rPr>
      <t>应收分保账款</t>
    </r>
  </si>
  <si>
    <r>
      <rPr>
        <sz val="10"/>
        <rFont val="楷体_GB2312"/>
        <family val="3"/>
        <charset val="134"/>
      </rPr>
      <t>应收分保准备金</t>
    </r>
    <phoneticPr fontId="5" type="noConversion"/>
  </si>
  <si>
    <r>
      <rPr>
        <sz val="10"/>
        <rFont val="楷体_GB2312"/>
        <family val="3"/>
        <charset val="134"/>
      </rPr>
      <t>应收利息</t>
    </r>
  </si>
  <si>
    <r>
      <rPr>
        <sz val="10"/>
        <rFont val="楷体_GB2312"/>
        <family val="3"/>
        <charset val="134"/>
      </rPr>
      <t>应收股利</t>
    </r>
  </si>
  <si>
    <r>
      <rPr>
        <sz val="10"/>
        <rFont val="楷体_GB2312"/>
        <family val="3"/>
        <charset val="134"/>
      </rPr>
      <t>其他应收款</t>
    </r>
  </si>
  <si>
    <r>
      <rPr>
        <sz val="10"/>
        <rFont val="楷体_GB2312"/>
        <family val="3"/>
        <charset val="134"/>
      </rPr>
      <t>买入返售金融资产</t>
    </r>
  </si>
  <si>
    <r>
      <rPr>
        <sz val="10"/>
        <rFont val="楷体_GB2312"/>
        <family val="3"/>
        <charset val="134"/>
      </rPr>
      <t>存货</t>
    </r>
  </si>
  <si>
    <r>
      <rPr>
        <sz val="10"/>
        <rFont val="楷体_GB2312"/>
        <family val="3"/>
        <charset val="134"/>
      </rPr>
      <t>存货</t>
    </r>
    <r>
      <rPr>
        <sz val="10"/>
        <rFont val="Arial Narrow"/>
        <family val="2"/>
      </rPr>
      <t>—</t>
    </r>
    <r>
      <rPr>
        <sz val="10"/>
        <rFont val="楷体_GB2312"/>
        <family val="3"/>
        <charset val="134"/>
      </rPr>
      <t>其他</t>
    </r>
    <phoneticPr fontId="5" type="noConversion"/>
  </si>
  <si>
    <r>
      <t xml:space="preserve">           </t>
    </r>
    <r>
      <rPr>
        <sz val="10"/>
        <rFont val="楷体_GB2312"/>
        <family val="3"/>
        <charset val="134"/>
      </rPr>
      <t>其中：原材料</t>
    </r>
    <phoneticPr fontId="5" type="noConversion"/>
  </si>
  <si>
    <r>
      <rPr>
        <sz val="10"/>
        <rFont val="楷体_GB2312"/>
        <family val="3"/>
        <charset val="134"/>
      </rPr>
      <t>存货</t>
    </r>
    <r>
      <rPr>
        <sz val="10"/>
        <rFont val="Arial Narrow"/>
        <family val="2"/>
      </rPr>
      <t>—</t>
    </r>
    <r>
      <rPr>
        <sz val="10"/>
        <rFont val="楷体_GB2312"/>
        <family val="3"/>
        <charset val="134"/>
      </rPr>
      <t>原材料</t>
    </r>
    <phoneticPr fontId="5" type="noConversion"/>
  </si>
  <si>
    <r>
      <t xml:space="preserve">                 </t>
    </r>
    <r>
      <rPr>
        <sz val="10"/>
        <rFont val="楷体_GB2312"/>
        <family val="3"/>
        <charset val="134"/>
      </rPr>
      <t>库存商品</t>
    </r>
    <r>
      <rPr>
        <sz val="10"/>
        <rFont val="Arial Narrow"/>
        <family val="2"/>
      </rPr>
      <t>(</t>
    </r>
    <r>
      <rPr>
        <sz val="10"/>
        <rFont val="楷体_GB2312"/>
        <family val="3"/>
        <charset val="134"/>
      </rPr>
      <t>产成品</t>
    </r>
    <r>
      <rPr>
        <sz val="10"/>
        <rFont val="Arial Narrow"/>
        <family val="2"/>
      </rPr>
      <t>)</t>
    </r>
    <phoneticPr fontId="5" type="noConversion"/>
  </si>
  <si>
    <r>
      <rPr>
        <sz val="10"/>
        <rFont val="楷体_GB2312"/>
        <family val="3"/>
        <charset val="134"/>
      </rPr>
      <t>存货</t>
    </r>
    <r>
      <rPr>
        <sz val="10"/>
        <rFont val="Arial Narrow"/>
        <family val="2"/>
      </rPr>
      <t>—</t>
    </r>
    <r>
      <rPr>
        <sz val="10"/>
        <rFont val="楷体_GB2312"/>
        <family val="3"/>
        <charset val="134"/>
      </rPr>
      <t>库存商品</t>
    </r>
    <r>
      <rPr>
        <sz val="10"/>
        <rFont val="Arial Narrow"/>
        <family val="2"/>
      </rPr>
      <t>(</t>
    </r>
    <r>
      <rPr>
        <sz val="10"/>
        <rFont val="楷体_GB2312"/>
        <family val="3"/>
        <charset val="134"/>
      </rPr>
      <t>产成品</t>
    </r>
    <r>
      <rPr>
        <sz val="10"/>
        <rFont val="Arial Narrow"/>
        <family val="2"/>
      </rPr>
      <t>)</t>
    </r>
    <phoneticPr fontId="5" type="noConversion"/>
  </si>
  <si>
    <r>
      <rPr>
        <sz val="10"/>
        <rFont val="楷体_GB2312"/>
        <family val="3"/>
        <charset val="134"/>
      </rPr>
      <t>一年内到期的非流动资产</t>
    </r>
  </si>
  <si>
    <r>
      <rPr>
        <sz val="10"/>
        <rFont val="楷体_GB2312"/>
        <family val="3"/>
        <charset val="134"/>
      </rPr>
      <t>借</t>
    </r>
    <phoneticPr fontId="5" type="noConversion"/>
  </si>
  <si>
    <r>
      <rPr>
        <sz val="10"/>
        <rFont val="楷体_GB2312"/>
        <family val="3"/>
        <charset val="134"/>
      </rPr>
      <t>其他流动资产</t>
    </r>
  </si>
  <si>
    <r>
      <rPr>
        <sz val="10"/>
        <rFont val="楷体_GB2312"/>
        <family val="3"/>
        <charset val="134"/>
      </rPr>
      <t>发放贷款及垫款</t>
    </r>
  </si>
  <si>
    <r>
      <rPr>
        <sz val="10"/>
        <rFont val="楷体_GB2312"/>
        <family val="3"/>
        <charset val="134"/>
      </rPr>
      <t>可供出售金融资产</t>
    </r>
  </si>
  <si>
    <r>
      <rPr>
        <sz val="10"/>
        <rFont val="楷体_GB2312"/>
        <family val="3"/>
        <charset val="134"/>
      </rPr>
      <t>持有至到期投资</t>
    </r>
  </si>
  <si>
    <r>
      <rPr>
        <sz val="10"/>
        <rFont val="楷体_GB2312"/>
        <family val="3"/>
        <charset val="134"/>
      </rPr>
      <t>长期应收款</t>
    </r>
  </si>
  <si>
    <r>
      <t xml:space="preserve">    </t>
    </r>
    <r>
      <rPr>
        <sz val="10"/>
        <rFont val="楷体_GB2312"/>
        <family val="3"/>
        <charset val="134"/>
      </rPr>
      <t>长期股权投资</t>
    </r>
    <phoneticPr fontId="5" type="noConversion"/>
  </si>
  <si>
    <r>
      <rPr>
        <sz val="10"/>
        <rFont val="楷体_GB2312"/>
        <family val="3"/>
        <charset val="134"/>
      </rPr>
      <t>长期股权投资</t>
    </r>
  </si>
  <si>
    <r>
      <rPr>
        <sz val="10"/>
        <rFont val="楷体_GB2312"/>
        <family val="3"/>
        <charset val="134"/>
      </rPr>
      <t>投资性房地产</t>
    </r>
  </si>
  <si>
    <r>
      <rPr>
        <sz val="10"/>
        <rFont val="楷体_GB2312"/>
        <family val="3"/>
        <charset val="134"/>
      </rPr>
      <t>固定资产原价</t>
    </r>
  </si>
  <si>
    <r>
      <rPr>
        <sz val="10"/>
        <rFont val="楷体_GB2312"/>
        <family val="3"/>
        <charset val="134"/>
      </rPr>
      <t>累计折旧</t>
    </r>
    <phoneticPr fontId="5" type="noConversion"/>
  </si>
  <si>
    <r>
      <rPr>
        <sz val="10"/>
        <rFont val="楷体_GB2312"/>
        <family val="3"/>
        <charset val="134"/>
      </rPr>
      <t>累计折旧</t>
    </r>
    <phoneticPr fontId="5" type="noConversion"/>
  </si>
  <si>
    <r>
      <rPr>
        <sz val="10"/>
        <rFont val="楷体_GB2312"/>
        <family val="3"/>
        <charset val="134"/>
      </rPr>
      <t>贷</t>
    </r>
    <phoneticPr fontId="5" type="noConversion"/>
  </si>
  <si>
    <r>
      <rPr>
        <sz val="10"/>
        <rFont val="楷体_GB2312"/>
        <family val="3"/>
        <charset val="134"/>
      </rPr>
      <t>固定资产减值准备</t>
    </r>
    <phoneticPr fontId="5" type="noConversion"/>
  </si>
  <si>
    <r>
      <rPr>
        <sz val="10"/>
        <rFont val="楷体_GB2312"/>
        <family val="3"/>
        <charset val="134"/>
      </rPr>
      <t>在建工程</t>
    </r>
  </si>
  <si>
    <r>
      <rPr>
        <sz val="10"/>
        <rFont val="楷体_GB2312"/>
        <family val="3"/>
        <charset val="134"/>
      </rPr>
      <t>工程物资</t>
    </r>
  </si>
  <si>
    <r>
      <rPr>
        <sz val="10"/>
        <rFont val="楷体_GB2312"/>
        <family val="3"/>
        <charset val="134"/>
      </rPr>
      <t>固定资产清理</t>
    </r>
  </si>
  <si>
    <r>
      <rPr>
        <sz val="10"/>
        <rFont val="楷体_GB2312"/>
        <family val="3"/>
        <charset val="134"/>
      </rPr>
      <t>生产性生物资产</t>
    </r>
  </si>
  <si>
    <r>
      <rPr>
        <sz val="10"/>
        <rFont val="楷体_GB2312"/>
        <family val="3"/>
        <charset val="134"/>
      </rPr>
      <t>油气资产</t>
    </r>
  </si>
  <si>
    <r>
      <rPr>
        <sz val="10"/>
        <rFont val="楷体_GB2312"/>
        <family val="3"/>
        <charset val="134"/>
      </rPr>
      <t>无形资产</t>
    </r>
  </si>
  <si>
    <r>
      <rPr>
        <sz val="10"/>
        <rFont val="楷体_GB2312"/>
        <family val="3"/>
        <charset val="134"/>
      </rPr>
      <t>开发支出</t>
    </r>
  </si>
  <si>
    <r>
      <rPr>
        <sz val="10"/>
        <rFont val="楷体_GB2312"/>
        <family val="3"/>
        <charset val="134"/>
      </rPr>
      <t>商誉</t>
    </r>
  </si>
  <si>
    <r>
      <rPr>
        <sz val="10"/>
        <rFont val="楷体_GB2312"/>
        <family val="3"/>
        <charset val="134"/>
      </rPr>
      <t>长期待摊费用</t>
    </r>
  </si>
  <si>
    <r>
      <rPr>
        <sz val="10"/>
        <rFont val="楷体_GB2312"/>
        <family val="3"/>
        <charset val="134"/>
      </rPr>
      <t>递延所得税资产</t>
    </r>
  </si>
  <si>
    <r>
      <rPr>
        <sz val="10"/>
        <rFont val="楷体_GB2312"/>
        <family val="3"/>
        <charset val="134"/>
      </rPr>
      <t>其他非流动资产</t>
    </r>
  </si>
  <si>
    <r>
      <rPr>
        <sz val="10"/>
        <rFont val="楷体_GB2312"/>
        <family val="3"/>
        <charset val="134"/>
      </rPr>
      <t>其他非流动资产</t>
    </r>
    <r>
      <rPr>
        <sz val="10"/>
        <rFont val="Arial Narrow"/>
        <family val="2"/>
      </rPr>
      <t>—</t>
    </r>
    <r>
      <rPr>
        <sz val="10"/>
        <rFont val="楷体_GB2312"/>
        <family val="3"/>
        <charset val="134"/>
      </rPr>
      <t>其他</t>
    </r>
    <phoneticPr fontId="5" type="noConversion"/>
  </si>
  <si>
    <r>
      <rPr>
        <sz val="10"/>
        <rFont val="楷体_GB2312"/>
        <family val="3"/>
        <charset val="134"/>
      </rPr>
      <t>其他非流动资产</t>
    </r>
    <r>
      <rPr>
        <sz val="10"/>
        <rFont val="Arial Narrow"/>
        <family val="2"/>
      </rPr>
      <t>—</t>
    </r>
    <r>
      <rPr>
        <sz val="10"/>
        <rFont val="楷体_GB2312"/>
        <family val="3"/>
        <charset val="134"/>
      </rPr>
      <t>特准储备物资</t>
    </r>
    <phoneticPr fontId="5" type="noConversion"/>
  </si>
  <si>
    <r>
      <rPr>
        <sz val="10"/>
        <rFont val="楷体_GB2312"/>
        <family val="3"/>
        <charset val="134"/>
      </rPr>
      <t>短期借款</t>
    </r>
  </si>
  <si>
    <r>
      <rPr>
        <sz val="10"/>
        <rFont val="楷体_GB2312"/>
        <family val="3"/>
        <charset val="134"/>
      </rPr>
      <t>向中央银行借款</t>
    </r>
  </si>
  <si>
    <r>
      <rPr>
        <sz val="10"/>
        <rFont val="楷体_GB2312"/>
        <family val="3"/>
        <charset val="134"/>
      </rPr>
      <t>吸收存款及同业存放</t>
    </r>
  </si>
  <si>
    <r>
      <rPr>
        <sz val="10"/>
        <rFont val="楷体_GB2312"/>
        <family val="3"/>
        <charset val="134"/>
      </rPr>
      <t>拆入资金</t>
    </r>
  </si>
  <si>
    <r>
      <t xml:space="preserve">    </t>
    </r>
    <r>
      <rPr>
        <sz val="10"/>
        <rFont val="楷体_GB2312"/>
        <family val="3"/>
        <charset val="134"/>
      </rPr>
      <t>以公允价值计量且其变动计入当期损益的金融负债</t>
    </r>
    <phoneticPr fontId="5" type="noConversion"/>
  </si>
  <si>
    <r>
      <rPr>
        <sz val="10"/>
        <rFont val="楷体_GB2312"/>
        <family val="3"/>
        <charset val="134"/>
      </rPr>
      <t>以公允价值计量且其变动计入当期损益的金融负债</t>
    </r>
    <phoneticPr fontId="5" type="noConversion"/>
  </si>
  <si>
    <r>
      <rPr>
        <sz val="10"/>
        <rFont val="楷体_GB2312"/>
        <family val="3"/>
        <charset val="134"/>
      </rPr>
      <t>以公允价值计量且其变动计入当期损益的金融负债</t>
    </r>
  </si>
  <si>
    <r>
      <t xml:space="preserve">    </t>
    </r>
    <r>
      <rPr>
        <sz val="10"/>
        <rFont val="楷体_GB2312"/>
        <family val="3"/>
        <charset val="134"/>
      </rPr>
      <t>衍生金融负债</t>
    </r>
    <phoneticPr fontId="5" type="noConversion"/>
  </si>
  <si>
    <r>
      <rPr>
        <sz val="10"/>
        <rFont val="楷体_GB2312"/>
        <family val="3"/>
        <charset val="134"/>
      </rPr>
      <t>衍生金融负债</t>
    </r>
    <phoneticPr fontId="5" type="noConversion"/>
  </si>
  <si>
    <r>
      <rPr>
        <sz val="10"/>
        <rFont val="楷体_GB2312"/>
        <family val="3"/>
        <charset val="134"/>
      </rPr>
      <t>应付票据</t>
    </r>
  </si>
  <si>
    <r>
      <rPr>
        <sz val="10"/>
        <rFont val="楷体_GB2312"/>
        <family val="3"/>
        <charset val="134"/>
      </rPr>
      <t>应付账款</t>
    </r>
  </si>
  <si>
    <r>
      <rPr>
        <sz val="10"/>
        <rFont val="楷体_GB2312"/>
        <family val="3"/>
        <charset val="134"/>
      </rPr>
      <t>预收款项</t>
    </r>
  </si>
  <si>
    <r>
      <rPr>
        <sz val="10"/>
        <rFont val="楷体_GB2312"/>
        <family val="3"/>
        <charset val="134"/>
      </rPr>
      <t>卖出回购金融资产款</t>
    </r>
  </si>
  <si>
    <r>
      <rPr>
        <sz val="10"/>
        <rFont val="楷体_GB2312"/>
        <family val="3"/>
        <charset val="134"/>
      </rPr>
      <t>应付手续费及佣金</t>
    </r>
  </si>
  <si>
    <r>
      <rPr>
        <sz val="10"/>
        <rFont val="楷体_GB2312"/>
        <family val="3"/>
        <charset val="134"/>
      </rPr>
      <t>应付职工薪酬</t>
    </r>
  </si>
  <si>
    <r>
      <rPr>
        <sz val="10"/>
        <rFont val="楷体_GB2312"/>
        <family val="3"/>
        <charset val="134"/>
      </rPr>
      <t>应付职工薪酬</t>
    </r>
    <r>
      <rPr>
        <sz val="10"/>
        <rFont val="Arial Narrow"/>
        <family val="2"/>
      </rPr>
      <t>—</t>
    </r>
    <r>
      <rPr>
        <sz val="10"/>
        <rFont val="楷体_GB2312"/>
        <family val="3"/>
        <charset val="134"/>
      </rPr>
      <t>其他</t>
    </r>
    <phoneticPr fontId="5" type="noConversion"/>
  </si>
  <si>
    <r>
      <rPr>
        <sz val="10"/>
        <rFont val="楷体_GB2312"/>
        <family val="3"/>
        <charset val="134"/>
      </rPr>
      <t>贷</t>
    </r>
    <phoneticPr fontId="5" type="noConversion"/>
  </si>
  <si>
    <r>
      <rPr>
        <sz val="10"/>
        <rFont val="楷体_GB2312"/>
        <family val="3"/>
        <charset val="134"/>
      </rPr>
      <t>应付职工薪酬</t>
    </r>
    <r>
      <rPr>
        <sz val="10"/>
        <rFont val="Arial Narrow"/>
        <family val="2"/>
      </rPr>
      <t>—</t>
    </r>
    <r>
      <rPr>
        <sz val="10"/>
        <rFont val="楷体_GB2312"/>
        <family val="3"/>
        <charset val="134"/>
      </rPr>
      <t>应付工资</t>
    </r>
    <phoneticPr fontId="5" type="noConversion"/>
  </si>
  <si>
    <r>
      <rPr>
        <sz val="10"/>
        <rFont val="楷体_GB2312"/>
        <family val="3"/>
        <charset val="134"/>
      </rPr>
      <t>应付职工薪酬</t>
    </r>
    <r>
      <rPr>
        <sz val="10"/>
        <rFont val="Arial Narrow"/>
        <family val="2"/>
      </rPr>
      <t>—</t>
    </r>
    <r>
      <rPr>
        <sz val="10"/>
        <rFont val="楷体_GB2312"/>
        <family val="3"/>
        <charset val="134"/>
      </rPr>
      <t>应付福利费</t>
    </r>
    <r>
      <rPr>
        <sz val="10"/>
        <rFont val="Arial Narrow"/>
        <family val="2"/>
      </rPr>
      <t>—</t>
    </r>
    <r>
      <rPr>
        <sz val="10"/>
        <rFont val="楷体_GB2312"/>
        <family val="3"/>
        <charset val="134"/>
      </rPr>
      <t>其他</t>
    </r>
    <phoneticPr fontId="5" type="noConversion"/>
  </si>
  <si>
    <r>
      <rPr>
        <sz val="10"/>
        <rFont val="楷体_GB2312"/>
        <family val="3"/>
        <charset val="134"/>
      </rPr>
      <t>应付职工薪酬</t>
    </r>
    <r>
      <rPr>
        <sz val="10"/>
        <rFont val="Arial Narrow"/>
        <family val="2"/>
      </rPr>
      <t>—</t>
    </r>
    <r>
      <rPr>
        <sz val="10"/>
        <rFont val="楷体_GB2312"/>
        <family val="3"/>
        <charset val="134"/>
      </rPr>
      <t>应付福利费</t>
    </r>
    <r>
      <rPr>
        <sz val="10"/>
        <rFont val="Arial Narrow"/>
        <family val="2"/>
      </rPr>
      <t>—</t>
    </r>
    <r>
      <rPr>
        <sz val="10"/>
        <rFont val="楷体_GB2312"/>
        <family val="3"/>
        <charset val="134"/>
      </rPr>
      <t>职工奖励及福利基金</t>
    </r>
    <phoneticPr fontId="5" type="noConversion"/>
  </si>
  <si>
    <r>
      <rPr>
        <sz val="10"/>
        <rFont val="楷体_GB2312"/>
        <family val="3"/>
        <charset val="134"/>
      </rPr>
      <t>应交税费</t>
    </r>
  </si>
  <si>
    <r>
      <rPr>
        <sz val="10"/>
        <rFont val="楷体_GB2312"/>
        <family val="3"/>
        <charset val="134"/>
      </rPr>
      <t>应交税费</t>
    </r>
    <r>
      <rPr>
        <sz val="10"/>
        <rFont val="Arial Narrow"/>
        <family val="2"/>
      </rPr>
      <t>—</t>
    </r>
    <r>
      <rPr>
        <sz val="10"/>
        <rFont val="楷体_GB2312"/>
        <family val="3"/>
        <charset val="134"/>
      </rPr>
      <t>其他</t>
    </r>
    <phoneticPr fontId="5" type="noConversion"/>
  </si>
  <si>
    <r>
      <rPr>
        <sz val="10"/>
        <rFont val="楷体_GB2312"/>
        <family val="3"/>
        <charset val="134"/>
      </rPr>
      <t>应交税费</t>
    </r>
    <r>
      <rPr>
        <sz val="10"/>
        <rFont val="Arial Narrow"/>
        <family val="2"/>
      </rPr>
      <t>—</t>
    </r>
    <r>
      <rPr>
        <sz val="10"/>
        <rFont val="楷体_GB2312"/>
        <family val="3"/>
        <charset val="134"/>
      </rPr>
      <t>应交税金</t>
    </r>
    <phoneticPr fontId="5" type="noConversion"/>
  </si>
  <si>
    <r>
      <t xml:space="preserve">    </t>
    </r>
    <r>
      <rPr>
        <sz val="10"/>
        <rFont val="楷体_GB2312"/>
        <family val="3"/>
        <charset val="134"/>
      </rPr>
      <t>应付利息</t>
    </r>
    <phoneticPr fontId="5" type="noConversion"/>
  </si>
  <si>
    <r>
      <rPr>
        <sz val="10"/>
        <rFont val="楷体_GB2312"/>
        <family val="3"/>
        <charset val="134"/>
      </rPr>
      <t>应付利息</t>
    </r>
  </si>
  <si>
    <r>
      <rPr>
        <sz val="10"/>
        <rFont val="楷体_GB2312"/>
        <family val="3"/>
        <charset val="134"/>
      </rPr>
      <t>应付股利</t>
    </r>
  </si>
  <si>
    <r>
      <rPr>
        <sz val="10"/>
        <rFont val="楷体_GB2312"/>
        <family val="3"/>
        <charset val="134"/>
      </rPr>
      <t>其他应付款</t>
    </r>
  </si>
  <si>
    <r>
      <rPr>
        <sz val="10"/>
        <rFont val="楷体_GB2312"/>
        <family val="3"/>
        <charset val="134"/>
      </rPr>
      <t>应付分保账款</t>
    </r>
  </si>
  <si>
    <r>
      <rPr>
        <sz val="10"/>
        <rFont val="楷体_GB2312"/>
        <family val="3"/>
        <charset val="134"/>
      </rPr>
      <t>保险合同准备金</t>
    </r>
  </si>
  <si>
    <r>
      <rPr>
        <sz val="10"/>
        <rFont val="楷体_GB2312"/>
        <family val="3"/>
        <charset val="134"/>
      </rPr>
      <t>代理买卖证券款</t>
    </r>
  </si>
  <si>
    <r>
      <rPr>
        <sz val="10"/>
        <rFont val="楷体_GB2312"/>
        <family val="3"/>
        <charset val="134"/>
      </rPr>
      <t>代理承销证券款</t>
    </r>
  </si>
  <si>
    <r>
      <rPr>
        <sz val="10"/>
        <rFont val="楷体_GB2312"/>
        <family val="3"/>
        <charset val="134"/>
      </rPr>
      <t>一年内到期的非流动负债</t>
    </r>
  </si>
  <si>
    <r>
      <rPr>
        <sz val="10"/>
        <rFont val="楷体_GB2312"/>
        <family val="3"/>
        <charset val="134"/>
      </rPr>
      <t>其他流动负债</t>
    </r>
  </si>
  <si>
    <r>
      <rPr>
        <sz val="10"/>
        <rFont val="楷体_GB2312"/>
        <family val="3"/>
        <charset val="134"/>
      </rPr>
      <t>长期借款</t>
    </r>
  </si>
  <si>
    <r>
      <rPr>
        <sz val="10"/>
        <rFont val="楷体_GB2312"/>
        <family val="3"/>
        <charset val="134"/>
      </rPr>
      <t>应付债券</t>
    </r>
  </si>
  <si>
    <r>
      <rPr>
        <sz val="10"/>
        <rFont val="楷体_GB2312"/>
        <family val="3"/>
        <charset val="134"/>
      </rPr>
      <t>长期应付款</t>
    </r>
  </si>
  <si>
    <r>
      <rPr>
        <sz val="10"/>
        <rFont val="楷体_GB2312"/>
        <family val="3"/>
        <charset val="134"/>
      </rPr>
      <t>长期应付职工薪酬</t>
    </r>
    <phoneticPr fontId="5" type="noConversion"/>
  </si>
  <si>
    <r>
      <rPr>
        <sz val="10"/>
        <rFont val="楷体_GB2312"/>
        <family val="3"/>
        <charset val="134"/>
      </rPr>
      <t>专项应付款</t>
    </r>
  </si>
  <si>
    <r>
      <rPr>
        <sz val="10"/>
        <rFont val="楷体_GB2312"/>
        <family val="3"/>
        <charset val="134"/>
      </rPr>
      <t>预计负债</t>
    </r>
  </si>
  <si>
    <r>
      <rPr>
        <sz val="10"/>
        <rFont val="楷体_GB2312"/>
        <family val="3"/>
        <charset val="134"/>
      </rPr>
      <t>递延收益</t>
    </r>
    <phoneticPr fontId="5" type="noConversion"/>
  </si>
  <si>
    <r>
      <rPr>
        <sz val="10"/>
        <rFont val="楷体_GB2312"/>
        <family val="3"/>
        <charset val="134"/>
      </rPr>
      <t>递延所得税负债</t>
    </r>
  </si>
  <si>
    <r>
      <rPr>
        <sz val="10"/>
        <rFont val="楷体_GB2312"/>
        <family val="3"/>
        <charset val="134"/>
      </rPr>
      <t>其他非流动负债</t>
    </r>
  </si>
  <si>
    <r>
      <rPr>
        <sz val="10"/>
        <rFont val="楷体_GB2312"/>
        <family val="3"/>
        <charset val="134"/>
      </rPr>
      <t>其他非流动负债</t>
    </r>
    <r>
      <rPr>
        <sz val="10"/>
        <rFont val="Arial Narrow"/>
        <family val="2"/>
      </rPr>
      <t>—</t>
    </r>
    <r>
      <rPr>
        <sz val="10"/>
        <rFont val="楷体_GB2312"/>
        <family val="3"/>
        <charset val="134"/>
      </rPr>
      <t>其他</t>
    </r>
    <phoneticPr fontId="5" type="noConversion"/>
  </si>
  <si>
    <r>
      <rPr>
        <sz val="10"/>
        <rFont val="楷体_GB2312"/>
        <family val="3"/>
        <charset val="134"/>
      </rPr>
      <t>其他非流动负债</t>
    </r>
    <r>
      <rPr>
        <sz val="10"/>
        <rFont val="Arial Narrow"/>
        <family val="2"/>
      </rPr>
      <t>—</t>
    </r>
    <r>
      <rPr>
        <sz val="10"/>
        <rFont val="楷体_GB2312"/>
        <family val="3"/>
        <charset val="134"/>
      </rPr>
      <t>特准储备基金</t>
    </r>
    <phoneticPr fontId="5" type="noConversion"/>
  </si>
  <si>
    <r>
      <rPr>
        <sz val="10"/>
        <rFont val="楷体_GB2312"/>
        <family val="3"/>
        <charset val="134"/>
      </rPr>
      <t>实收资本</t>
    </r>
  </si>
  <si>
    <r>
      <rPr>
        <sz val="10"/>
        <rFont val="楷体_GB2312"/>
        <family val="3"/>
        <charset val="134"/>
      </rPr>
      <t>实收资本</t>
    </r>
    <r>
      <rPr>
        <sz val="10"/>
        <rFont val="Arial Narrow"/>
        <family val="2"/>
      </rPr>
      <t>—</t>
    </r>
    <r>
      <rPr>
        <sz val="10"/>
        <rFont val="楷体_GB2312"/>
        <family val="3"/>
        <charset val="134"/>
      </rPr>
      <t>其他</t>
    </r>
  </si>
  <si>
    <r>
      <t xml:space="preserve">          </t>
    </r>
    <r>
      <rPr>
        <sz val="10"/>
        <rFont val="楷体_GB2312"/>
        <family val="3"/>
        <charset val="134"/>
      </rPr>
      <t>国有资本</t>
    </r>
    <phoneticPr fontId="5" type="noConversion"/>
  </si>
  <si>
    <r>
      <rPr>
        <sz val="10"/>
        <rFont val="楷体_GB2312"/>
        <family val="3"/>
        <charset val="134"/>
      </rPr>
      <t>实收资本</t>
    </r>
    <r>
      <rPr>
        <sz val="10"/>
        <rFont val="Arial Narrow"/>
        <family val="2"/>
      </rPr>
      <t>—</t>
    </r>
    <r>
      <rPr>
        <sz val="10"/>
        <rFont val="楷体_GB2312"/>
        <family val="3"/>
        <charset val="134"/>
      </rPr>
      <t>国有资本</t>
    </r>
    <r>
      <rPr>
        <sz val="10"/>
        <rFont val="Arial Narrow"/>
        <family val="2"/>
      </rPr>
      <t>—</t>
    </r>
    <r>
      <rPr>
        <sz val="10"/>
        <rFont val="楷体_GB2312"/>
        <family val="3"/>
        <charset val="134"/>
      </rPr>
      <t>其他</t>
    </r>
  </si>
  <si>
    <r>
      <rPr>
        <sz val="10"/>
        <rFont val="楷体_GB2312"/>
        <family val="3"/>
        <charset val="134"/>
      </rPr>
      <t>实收资本</t>
    </r>
    <r>
      <rPr>
        <sz val="10"/>
        <rFont val="Arial Narrow"/>
        <family val="2"/>
      </rPr>
      <t>—</t>
    </r>
    <r>
      <rPr>
        <sz val="10"/>
        <rFont val="楷体_GB2312"/>
        <family val="3"/>
        <charset val="134"/>
      </rPr>
      <t>国有资本</t>
    </r>
    <r>
      <rPr>
        <sz val="10"/>
        <rFont val="Arial Narrow"/>
        <family val="2"/>
      </rPr>
      <t>—</t>
    </r>
    <r>
      <rPr>
        <sz val="10"/>
        <rFont val="楷体_GB2312"/>
        <family val="3"/>
        <charset val="134"/>
      </rPr>
      <t>国有法人资本</t>
    </r>
  </si>
  <si>
    <r>
      <rPr>
        <sz val="10"/>
        <rFont val="楷体_GB2312"/>
        <family val="3"/>
        <charset val="134"/>
      </rPr>
      <t>实收资本</t>
    </r>
    <r>
      <rPr>
        <sz val="10"/>
        <rFont val="Arial Narrow"/>
        <family val="2"/>
      </rPr>
      <t>—</t>
    </r>
    <r>
      <rPr>
        <sz val="10"/>
        <rFont val="楷体_GB2312"/>
        <family val="3"/>
        <charset val="134"/>
      </rPr>
      <t>集体资本</t>
    </r>
    <phoneticPr fontId="5" type="noConversion"/>
  </si>
  <si>
    <r>
      <rPr>
        <sz val="10"/>
        <rFont val="楷体_GB2312"/>
        <family val="3"/>
        <charset val="134"/>
      </rPr>
      <t>实收资本</t>
    </r>
    <r>
      <rPr>
        <sz val="10"/>
        <rFont val="Arial Narrow"/>
        <family val="2"/>
      </rPr>
      <t>—</t>
    </r>
    <r>
      <rPr>
        <sz val="10"/>
        <rFont val="楷体_GB2312"/>
        <family val="3"/>
        <charset val="134"/>
      </rPr>
      <t>民营资本</t>
    </r>
    <r>
      <rPr>
        <sz val="10"/>
        <rFont val="Arial Narrow"/>
        <family val="2"/>
      </rPr>
      <t>—</t>
    </r>
    <r>
      <rPr>
        <sz val="10"/>
        <rFont val="楷体_GB2312"/>
        <family val="3"/>
        <charset val="134"/>
      </rPr>
      <t>其他</t>
    </r>
    <phoneticPr fontId="5" type="noConversion"/>
  </si>
  <si>
    <r>
      <rPr>
        <sz val="10"/>
        <rFont val="楷体_GB2312"/>
        <family val="3"/>
        <charset val="134"/>
      </rPr>
      <t>实收资本</t>
    </r>
    <r>
      <rPr>
        <sz val="10"/>
        <rFont val="Arial Narrow"/>
        <family val="2"/>
      </rPr>
      <t>—</t>
    </r>
    <r>
      <rPr>
        <sz val="10"/>
        <rFont val="楷体_GB2312"/>
        <family val="3"/>
        <charset val="134"/>
      </rPr>
      <t>民营资本</t>
    </r>
    <r>
      <rPr>
        <sz val="10"/>
        <rFont val="Arial Narrow"/>
        <family val="2"/>
      </rPr>
      <t>—</t>
    </r>
    <r>
      <rPr>
        <sz val="10"/>
        <rFont val="楷体_GB2312"/>
        <family val="3"/>
        <charset val="134"/>
      </rPr>
      <t>个人资本</t>
    </r>
    <phoneticPr fontId="5" type="noConversion"/>
  </si>
  <si>
    <r>
      <rPr>
        <sz val="10"/>
        <rFont val="楷体_GB2312"/>
        <family val="3"/>
        <charset val="134"/>
      </rPr>
      <t>实收资本</t>
    </r>
    <r>
      <rPr>
        <sz val="10"/>
        <rFont val="Arial Narrow"/>
        <family val="2"/>
      </rPr>
      <t>—</t>
    </r>
    <r>
      <rPr>
        <sz val="10"/>
        <rFont val="楷体_GB2312"/>
        <family val="3"/>
        <charset val="134"/>
      </rPr>
      <t>外商资本</t>
    </r>
    <phoneticPr fontId="5" type="noConversion"/>
  </si>
  <si>
    <r>
      <rPr>
        <sz val="10"/>
        <rFont val="楷体_GB2312"/>
        <family val="3"/>
        <charset val="134"/>
      </rPr>
      <t>已归还投资</t>
    </r>
    <phoneticPr fontId="5" type="noConversion"/>
  </si>
  <si>
    <r>
      <t xml:space="preserve">    </t>
    </r>
    <r>
      <rPr>
        <sz val="10"/>
        <rFont val="楷体_GB2312"/>
        <family val="3"/>
        <charset val="134"/>
      </rPr>
      <t>其他权益工具</t>
    </r>
    <phoneticPr fontId="5" type="noConversion"/>
  </si>
  <si>
    <r>
      <rPr>
        <sz val="10"/>
        <rFont val="楷体_GB2312"/>
        <family val="3"/>
        <charset val="134"/>
      </rPr>
      <t>其他权益工具</t>
    </r>
    <phoneticPr fontId="5" type="noConversion"/>
  </si>
  <si>
    <r>
      <rPr>
        <sz val="10"/>
        <rFont val="楷体_GB2312"/>
        <family val="3"/>
        <charset val="134"/>
      </rPr>
      <t>其他权益工具</t>
    </r>
    <r>
      <rPr>
        <sz val="10"/>
        <rFont val="Arial Narrow"/>
        <family val="2"/>
      </rPr>
      <t>-</t>
    </r>
    <r>
      <rPr>
        <sz val="10"/>
        <rFont val="楷体_GB2312"/>
        <family val="3"/>
        <charset val="134"/>
      </rPr>
      <t>其他</t>
    </r>
    <phoneticPr fontId="5" type="noConversion"/>
  </si>
  <si>
    <r>
      <t xml:space="preserve">        </t>
    </r>
    <r>
      <rPr>
        <sz val="10"/>
        <rFont val="楷体_GB2312"/>
        <family val="3"/>
        <charset val="134"/>
      </rPr>
      <t>其中：优先股</t>
    </r>
    <phoneticPr fontId="5" type="noConversion"/>
  </si>
  <si>
    <r>
      <rPr>
        <sz val="10"/>
        <rFont val="楷体_GB2312"/>
        <family val="3"/>
        <charset val="134"/>
      </rPr>
      <t>其他权益工具</t>
    </r>
    <r>
      <rPr>
        <sz val="10"/>
        <rFont val="Arial Narrow"/>
        <family val="2"/>
      </rPr>
      <t>-</t>
    </r>
    <r>
      <rPr>
        <sz val="10"/>
        <rFont val="楷体_GB2312"/>
        <family val="3"/>
        <charset val="134"/>
      </rPr>
      <t>优先股</t>
    </r>
    <phoneticPr fontId="5" type="noConversion"/>
  </si>
  <si>
    <r>
      <rPr>
        <sz val="10"/>
        <rFont val="楷体_GB2312"/>
        <family val="3"/>
        <charset val="134"/>
      </rPr>
      <t>其他权益工具</t>
    </r>
    <r>
      <rPr>
        <sz val="10"/>
        <rFont val="Arial Narrow"/>
        <family val="2"/>
      </rPr>
      <t>-</t>
    </r>
    <r>
      <rPr>
        <sz val="10"/>
        <rFont val="楷体_GB2312"/>
        <family val="3"/>
        <charset val="134"/>
      </rPr>
      <t>永续债</t>
    </r>
    <phoneticPr fontId="5" type="noConversion"/>
  </si>
  <si>
    <r>
      <t xml:space="preserve">    </t>
    </r>
    <r>
      <rPr>
        <sz val="10"/>
        <rFont val="楷体_GB2312"/>
        <family val="3"/>
        <charset val="134"/>
      </rPr>
      <t>资本公积</t>
    </r>
    <phoneticPr fontId="5" type="noConversion"/>
  </si>
  <si>
    <r>
      <rPr>
        <sz val="10"/>
        <rFont val="楷体_GB2312"/>
        <family val="3"/>
        <charset val="134"/>
      </rPr>
      <t>资本公积</t>
    </r>
  </si>
  <si>
    <r>
      <rPr>
        <sz val="10"/>
        <rFont val="楷体_GB2312"/>
        <family val="3"/>
        <charset val="134"/>
      </rPr>
      <t>库存股</t>
    </r>
    <phoneticPr fontId="5" type="noConversion"/>
  </si>
  <si>
    <r>
      <t xml:space="preserve">    </t>
    </r>
    <r>
      <rPr>
        <sz val="10"/>
        <rFont val="楷体_GB2312"/>
        <family val="3"/>
        <charset val="134"/>
      </rPr>
      <t>其他综合收益</t>
    </r>
    <phoneticPr fontId="5" type="noConversion"/>
  </si>
  <si>
    <r>
      <rPr>
        <sz val="10"/>
        <rFont val="楷体_GB2312"/>
        <family val="3"/>
        <charset val="134"/>
      </rPr>
      <t>其他综合收益</t>
    </r>
    <phoneticPr fontId="5" type="noConversion"/>
  </si>
  <si>
    <r>
      <rPr>
        <sz val="10"/>
        <rFont val="楷体_GB2312"/>
        <family val="3"/>
        <charset val="134"/>
      </rPr>
      <t>其他综合收益</t>
    </r>
    <r>
      <rPr>
        <sz val="10"/>
        <rFont val="Arial Narrow"/>
        <family val="2"/>
      </rPr>
      <t>-</t>
    </r>
    <r>
      <rPr>
        <sz val="10"/>
        <rFont val="楷体_GB2312"/>
        <family val="3"/>
        <charset val="134"/>
      </rPr>
      <t>其他</t>
    </r>
    <phoneticPr fontId="5" type="noConversion"/>
  </si>
  <si>
    <r>
      <t xml:space="preserve">        </t>
    </r>
    <r>
      <rPr>
        <sz val="10"/>
        <rFont val="楷体_GB2312"/>
        <family val="3"/>
        <charset val="134"/>
      </rPr>
      <t>其中：外币报表折算差额</t>
    </r>
    <phoneticPr fontId="5" type="noConversion"/>
  </si>
  <si>
    <r>
      <rPr>
        <sz val="10"/>
        <rFont val="楷体_GB2312"/>
        <family val="3"/>
        <charset val="134"/>
      </rPr>
      <t>其他综合收益</t>
    </r>
    <r>
      <rPr>
        <sz val="10"/>
        <rFont val="Arial Narrow"/>
        <family val="2"/>
      </rPr>
      <t>-</t>
    </r>
    <r>
      <rPr>
        <sz val="10"/>
        <rFont val="楷体_GB2312"/>
        <family val="3"/>
        <charset val="134"/>
      </rPr>
      <t>外币报表折算差额</t>
    </r>
    <r>
      <rPr>
        <sz val="10"/>
        <rFont val="Arial Narrow"/>
        <family val="2"/>
      </rPr>
      <t>-</t>
    </r>
    <r>
      <rPr>
        <sz val="10"/>
        <rFont val="楷体_GB2312"/>
        <family val="3"/>
        <charset val="134"/>
      </rPr>
      <t>其他</t>
    </r>
    <phoneticPr fontId="5" type="noConversion"/>
  </si>
  <si>
    <r>
      <rPr>
        <sz val="10"/>
        <rFont val="楷体_GB2312"/>
        <family val="3"/>
        <charset val="134"/>
      </rPr>
      <t>专项储备</t>
    </r>
  </si>
  <si>
    <r>
      <rPr>
        <sz val="10"/>
        <rFont val="楷体_GB2312"/>
        <family val="3"/>
        <charset val="134"/>
      </rPr>
      <t>盈余公积</t>
    </r>
  </si>
  <si>
    <r>
      <rPr>
        <sz val="10"/>
        <rFont val="楷体_GB2312"/>
        <family val="3"/>
        <charset val="134"/>
      </rPr>
      <t>盈余公积</t>
    </r>
    <r>
      <rPr>
        <sz val="10"/>
        <rFont val="Arial Narrow"/>
        <family val="2"/>
      </rPr>
      <t>—</t>
    </r>
    <r>
      <rPr>
        <sz val="10"/>
        <rFont val="楷体_GB2312"/>
        <family val="3"/>
        <charset val="134"/>
      </rPr>
      <t>其他</t>
    </r>
    <phoneticPr fontId="5" type="noConversion"/>
  </si>
  <si>
    <r>
      <rPr>
        <sz val="10"/>
        <rFont val="楷体_GB2312"/>
        <family val="3"/>
        <charset val="134"/>
      </rPr>
      <t>盈余公积</t>
    </r>
    <r>
      <rPr>
        <sz val="10"/>
        <rFont val="Arial Narrow"/>
        <family val="2"/>
      </rPr>
      <t>—</t>
    </r>
    <r>
      <rPr>
        <sz val="10"/>
        <rFont val="楷体_GB2312"/>
        <family val="3"/>
        <charset val="134"/>
      </rPr>
      <t>法定公积金</t>
    </r>
    <phoneticPr fontId="5" type="noConversion"/>
  </si>
  <si>
    <r>
      <rPr>
        <sz val="10"/>
        <rFont val="楷体_GB2312"/>
        <family val="3"/>
        <charset val="134"/>
      </rPr>
      <t>盈余公积</t>
    </r>
    <r>
      <rPr>
        <sz val="10"/>
        <rFont val="Arial Narrow"/>
        <family val="2"/>
      </rPr>
      <t>—</t>
    </r>
    <r>
      <rPr>
        <sz val="10"/>
        <rFont val="楷体_GB2312"/>
        <family val="3"/>
        <charset val="134"/>
      </rPr>
      <t>任意公积金</t>
    </r>
    <phoneticPr fontId="5" type="noConversion"/>
  </si>
  <si>
    <r>
      <rPr>
        <sz val="10"/>
        <rFont val="楷体_GB2312"/>
        <family val="3"/>
        <charset val="134"/>
      </rPr>
      <t>盈余公积</t>
    </r>
    <r>
      <rPr>
        <sz val="10"/>
        <rFont val="Arial Narrow"/>
        <family val="2"/>
      </rPr>
      <t>—</t>
    </r>
    <r>
      <rPr>
        <sz val="10"/>
        <rFont val="楷体_GB2312"/>
        <family val="3"/>
        <charset val="134"/>
      </rPr>
      <t>储备基金</t>
    </r>
    <phoneticPr fontId="5" type="noConversion"/>
  </si>
  <si>
    <r>
      <rPr>
        <sz val="10"/>
        <rFont val="楷体_GB2312"/>
        <family val="3"/>
        <charset val="134"/>
      </rPr>
      <t>盈余公积</t>
    </r>
    <r>
      <rPr>
        <sz val="10"/>
        <rFont val="Arial Narrow"/>
        <family val="2"/>
      </rPr>
      <t>—</t>
    </r>
    <r>
      <rPr>
        <sz val="10"/>
        <rFont val="楷体_GB2312"/>
        <family val="3"/>
        <charset val="134"/>
      </rPr>
      <t>企业发展基金</t>
    </r>
    <phoneticPr fontId="5" type="noConversion"/>
  </si>
  <si>
    <r>
      <rPr>
        <sz val="10"/>
        <rFont val="楷体_GB2312"/>
        <family val="3"/>
        <charset val="134"/>
      </rPr>
      <t>盈余公积</t>
    </r>
    <r>
      <rPr>
        <sz val="10"/>
        <rFont val="Arial Narrow"/>
        <family val="2"/>
      </rPr>
      <t>—</t>
    </r>
    <r>
      <rPr>
        <sz val="10"/>
        <rFont val="楷体_GB2312"/>
        <family val="3"/>
        <charset val="134"/>
      </rPr>
      <t>利润归还投资</t>
    </r>
    <phoneticPr fontId="5" type="noConversion"/>
  </si>
  <si>
    <r>
      <rPr>
        <sz val="10"/>
        <rFont val="楷体_GB2312"/>
        <family val="3"/>
        <charset val="134"/>
      </rPr>
      <t>一般风险准备</t>
    </r>
  </si>
  <si>
    <r>
      <rPr>
        <sz val="10"/>
        <rFont val="楷体_GB2312"/>
        <family val="3"/>
        <charset val="134"/>
      </rPr>
      <t>未分配利润</t>
    </r>
  </si>
  <si>
    <r>
      <rPr>
        <sz val="10"/>
        <rFont val="楷体_GB2312"/>
        <family val="3"/>
        <charset val="134"/>
      </rPr>
      <t>未分配利润</t>
    </r>
    <r>
      <rPr>
        <sz val="10"/>
        <rFont val="Arial Narrow"/>
        <family val="2"/>
      </rPr>
      <t>—</t>
    </r>
    <r>
      <rPr>
        <sz val="10"/>
        <rFont val="楷体_GB2312"/>
        <family val="3"/>
        <charset val="134"/>
      </rPr>
      <t>其他</t>
    </r>
    <phoneticPr fontId="5" type="noConversion"/>
  </si>
  <si>
    <r>
      <rPr>
        <sz val="10"/>
        <rFont val="楷体_GB2312"/>
        <family val="3"/>
        <charset val="134"/>
      </rPr>
      <t>少数股东权益</t>
    </r>
    <phoneticPr fontId="5" type="noConversion"/>
  </si>
  <si>
    <r>
      <rPr>
        <sz val="10"/>
        <rFont val="楷体_GB2312"/>
        <family val="3"/>
        <charset val="134"/>
      </rPr>
      <t>少数股东权益</t>
    </r>
    <r>
      <rPr>
        <sz val="10"/>
        <rFont val="Arial Narrow"/>
        <family val="2"/>
      </rPr>
      <t>-</t>
    </r>
    <r>
      <rPr>
        <sz val="10"/>
        <rFont val="楷体_GB2312"/>
        <family val="3"/>
        <charset val="134"/>
      </rPr>
      <t>其他</t>
    </r>
    <phoneticPr fontId="5" type="noConversion"/>
  </si>
  <si>
    <r>
      <rPr>
        <sz val="10"/>
        <rFont val="楷体_GB2312"/>
        <family val="3"/>
        <charset val="134"/>
      </rPr>
      <t>主营业务收入</t>
    </r>
    <phoneticPr fontId="5" type="noConversion"/>
  </si>
  <si>
    <r>
      <rPr>
        <sz val="10"/>
        <rFont val="楷体_GB2312"/>
        <family val="3"/>
        <charset val="134"/>
      </rPr>
      <t>其他业务收入</t>
    </r>
  </si>
  <si>
    <r>
      <rPr>
        <sz val="10"/>
        <rFont val="楷体_GB2312"/>
        <family val="3"/>
        <charset val="134"/>
      </rPr>
      <t>利息收入</t>
    </r>
  </si>
  <si>
    <r>
      <t xml:space="preserve">            </t>
    </r>
    <r>
      <rPr>
        <sz val="10"/>
        <rFont val="楷体_GB2312"/>
        <family val="3"/>
        <charset val="134"/>
      </rPr>
      <t>已赚保费</t>
    </r>
    <phoneticPr fontId="5" type="noConversion"/>
  </si>
  <si>
    <r>
      <rPr>
        <sz val="10"/>
        <rFont val="楷体_GB2312"/>
        <family val="3"/>
        <charset val="134"/>
      </rPr>
      <t>已赚保费</t>
    </r>
  </si>
  <si>
    <r>
      <rPr>
        <sz val="10"/>
        <rFont val="楷体_GB2312"/>
        <family val="3"/>
        <charset val="134"/>
      </rPr>
      <t>手续费及佣金收入</t>
    </r>
  </si>
  <si>
    <r>
      <rPr>
        <sz val="10"/>
        <rFont val="楷体_GB2312"/>
        <family val="3"/>
        <charset val="134"/>
      </rPr>
      <t>主营业务成本</t>
    </r>
    <phoneticPr fontId="5" type="noConversion"/>
  </si>
  <si>
    <r>
      <rPr>
        <sz val="10"/>
        <rFont val="楷体_GB2312"/>
        <family val="3"/>
        <charset val="134"/>
      </rPr>
      <t>其他业务成本</t>
    </r>
  </si>
  <si>
    <r>
      <rPr>
        <sz val="10"/>
        <rFont val="楷体_GB2312"/>
        <family val="3"/>
        <charset val="134"/>
      </rPr>
      <t>利息支出</t>
    </r>
  </si>
  <si>
    <r>
      <rPr>
        <sz val="10"/>
        <rFont val="楷体_GB2312"/>
        <family val="3"/>
        <charset val="134"/>
      </rPr>
      <t>手续费及佣金支出</t>
    </r>
  </si>
  <si>
    <r>
      <rPr>
        <sz val="10"/>
        <rFont val="楷体_GB2312"/>
        <family val="3"/>
        <charset val="134"/>
      </rPr>
      <t>退保金</t>
    </r>
  </si>
  <si>
    <r>
      <rPr>
        <sz val="10"/>
        <rFont val="楷体_GB2312"/>
        <family val="3"/>
        <charset val="134"/>
      </rPr>
      <t>赔付支出净额</t>
    </r>
  </si>
  <si>
    <r>
      <rPr>
        <sz val="10"/>
        <rFont val="楷体_GB2312"/>
        <family val="3"/>
        <charset val="134"/>
      </rPr>
      <t>提取保险合同准备金净额</t>
    </r>
  </si>
  <si>
    <r>
      <t xml:space="preserve">            </t>
    </r>
    <r>
      <rPr>
        <sz val="10"/>
        <rFont val="楷体_GB2312"/>
        <family val="3"/>
        <charset val="134"/>
      </rPr>
      <t>保单红利支出</t>
    </r>
    <phoneticPr fontId="5" type="noConversion"/>
  </si>
  <si>
    <r>
      <rPr>
        <sz val="10"/>
        <rFont val="楷体_GB2312"/>
        <family val="3"/>
        <charset val="134"/>
      </rPr>
      <t>保单红利支出</t>
    </r>
  </si>
  <si>
    <r>
      <rPr>
        <sz val="10"/>
        <rFont val="楷体_GB2312"/>
        <family val="3"/>
        <charset val="134"/>
      </rPr>
      <t>分保费用</t>
    </r>
  </si>
  <si>
    <r>
      <rPr>
        <sz val="10"/>
        <rFont val="楷体_GB2312"/>
        <family val="3"/>
        <charset val="134"/>
      </rPr>
      <t>借</t>
    </r>
    <phoneticPr fontId="5" type="noConversion"/>
  </si>
  <si>
    <r>
      <rPr>
        <sz val="10"/>
        <rFont val="楷体_GB2312"/>
        <family val="3"/>
        <charset val="134"/>
      </rPr>
      <t>销售费用</t>
    </r>
  </si>
  <si>
    <r>
      <rPr>
        <sz val="10"/>
        <rFont val="楷体_GB2312"/>
        <family val="3"/>
        <charset val="134"/>
      </rPr>
      <t>管理费用</t>
    </r>
  </si>
  <si>
    <r>
      <rPr>
        <sz val="10"/>
        <rFont val="楷体_GB2312"/>
        <family val="3"/>
        <charset val="134"/>
      </rPr>
      <t>管理费用</t>
    </r>
    <r>
      <rPr>
        <sz val="10"/>
        <rFont val="Arial Narrow"/>
        <family val="2"/>
      </rPr>
      <t>—</t>
    </r>
    <r>
      <rPr>
        <sz val="10"/>
        <rFont val="楷体_GB2312"/>
        <family val="3"/>
        <charset val="134"/>
      </rPr>
      <t>其他</t>
    </r>
    <phoneticPr fontId="5" type="noConversion"/>
  </si>
  <si>
    <r>
      <t xml:space="preserve">                 </t>
    </r>
    <r>
      <rPr>
        <sz val="10"/>
        <rFont val="楷体_GB2312"/>
        <family val="3"/>
        <charset val="134"/>
      </rPr>
      <t>其中：研究与开发费</t>
    </r>
    <phoneticPr fontId="5" type="noConversion"/>
  </si>
  <si>
    <r>
      <rPr>
        <sz val="10"/>
        <rFont val="楷体_GB2312"/>
        <family val="3"/>
        <charset val="134"/>
      </rPr>
      <t>管理费用</t>
    </r>
    <r>
      <rPr>
        <sz val="10"/>
        <rFont val="Arial Narrow"/>
        <family val="2"/>
      </rPr>
      <t>—</t>
    </r>
    <r>
      <rPr>
        <sz val="10"/>
        <rFont val="楷体_GB2312"/>
        <family val="3"/>
        <charset val="134"/>
      </rPr>
      <t>研究与开发费</t>
    </r>
    <phoneticPr fontId="5" type="noConversion"/>
  </si>
  <si>
    <r>
      <rPr>
        <sz val="10"/>
        <rFont val="楷体_GB2312"/>
        <family val="3"/>
        <charset val="134"/>
      </rPr>
      <t>财务费用</t>
    </r>
  </si>
  <si>
    <r>
      <rPr>
        <sz val="10"/>
        <rFont val="楷体_GB2312"/>
        <family val="3"/>
        <charset val="134"/>
      </rPr>
      <t>财务费用</t>
    </r>
    <r>
      <rPr>
        <sz val="10"/>
        <rFont val="Arial Narrow"/>
        <family val="2"/>
      </rPr>
      <t>—</t>
    </r>
    <r>
      <rPr>
        <sz val="10"/>
        <rFont val="楷体_GB2312"/>
        <family val="3"/>
        <charset val="134"/>
      </rPr>
      <t>其他</t>
    </r>
    <phoneticPr fontId="5" type="noConversion"/>
  </si>
  <si>
    <r>
      <rPr>
        <sz val="10"/>
        <rFont val="楷体_GB2312"/>
        <family val="3"/>
        <charset val="134"/>
      </rPr>
      <t>财务费用</t>
    </r>
    <r>
      <rPr>
        <sz val="10"/>
        <rFont val="Arial Narrow"/>
        <family val="2"/>
      </rPr>
      <t>—</t>
    </r>
    <r>
      <rPr>
        <sz val="10"/>
        <rFont val="楷体_GB2312"/>
        <family val="3"/>
        <charset val="134"/>
      </rPr>
      <t>利息支出</t>
    </r>
    <phoneticPr fontId="5" type="noConversion"/>
  </si>
  <si>
    <r>
      <t xml:space="preserve">                      </t>
    </r>
    <r>
      <rPr>
        <sz val="10"/>
        <rFont val="楷体_GB2312"/>
        <family val="3"/>
        <charset val="134"/>
      </rPr>
      <t>利息收入</t>
    </r>
    <phoneticPr fontId="5" type="noConversion"/>
  </si>
  <si>
    <r>
      <rPr>
        <sz val="10"/>
        <rFont val="楷体_GB2312"/>
        <family val="3"/>
        <charset val="134"/>
      </rPr>
      <t>财务费用</t>
    </r>
    <r>
      <rPr>
        <sz val="10"/>
        <rFont val="Arial Narrow"/>
        <family val="2"/>
      </rPr>
      <t>—</t>
    </r>
    <r>
      <rPr>
        <sz val="10"/>
        <rFont val="楷体_GB2312"/>
        <family val="3"/>
        <charset val="134"/>
      </rPr>
      <t>利息收入</t>
    </r>
    <phoneticPr fontId="5" type="noConversion"/>
  </si>
  <si>
    <r>
      <rPr>
        <sz val="10"/>
        <rFont val="楷体_GB2312"/>
        <family val="3"/>
        <charset val="134"/>
      </rPr>
      <t>贷</t>
    </r>
    <phoneticPr fontId="5" type="noConversion"/>
  </si>
  <si>
    <r>
      <t xml:space="preserve">                     </t>
    </r>
    <r>
      <rPr>
        <sz val="10"/>
        <rFont val="楷体_GB2312"/>
        <family val="3"/>
        <charset val="134"/>
      </rPr>
      <t>汇兑净损失（净收益以</t>
    </r>
    <r>
      <rPr>
        <sz val="10"/>
        <rFont val="Arial Narrow"/>
        <family val="2"/>
      </rPr>
      <t>“-”</t>
    </r>
    <r>
      <rPr>
        <sz val="10"/>
        <rFont val="楷体_GB2312"/>
        <family val="3"/>
        <charset val="134"/>
      </rPr>
      <t>号填列）</t>
    </r>
    <phoneticPr fontId="5" type="noConversion"/>
  </si>
  <si>
    <r>
      <rPr>
        <sz val="10"/>
        <rFont val="楷体_GB2312"/>
        <family val="3"/>
        <charset val="134"/>
      </rPr>
      <t>财务费用</t>
    </r>
    <r>
      <rPr>
        <sz val="10"/>
        <rFont val="Arial Narrow"/>
        <family val="2"/>
      </rPr>
      <t>—</t>
    </r>
    <r>
      <rPr>
        <sz val="10"/>
        <rFont val="楷体_GB2312"/>
        <family val="3"/>
        <charset val="134"/>
      </rPr>
      <t>汇兑净损失</t>
    </r>
    <phoneticPr fontId="5" type="noConversion"/>
  </si>
  <si>
    <r>
      <rPr>
        <sz val="10"/>
        <rFont val="楷体_GB2312"/>
        <family val="3"/>
        <charset val="134"/>
      </rPr>
      <t>资产减值损失</t>
    </r>
  </si>
  <si>
    <r>
      <rPr>
        <sz val="10"/>
        <rFont val="楷体_GB2312"/>
        <family val="3"/>
        <charset val="134"/>
      </rPr>
      <t>其他营业成本</t>
    </r>
    <phoneticPr fontId="5" type="noConversion"/>
  </si>
  <si>
    <r>
      <rPr>
        <sz val="10"/>
        <rFont val="楷体_GB2312"/>
        <family val="3"/>
        <charset val="134"/>
      </rPr>
      <t>公允价值变动收益</t>
    </r>
    <phoneticPr fontId="5" type="noConversion"/>
  </si>
  <si>
    <r>
      <rPr>
        <sz val="10"/>
        <rFont val="楷体_GB2312"/>
        <family val="3"/>
        <charset val="134"/>
      </rPr>
      <t>投资收益</t>
    </r>
    <phoneticPr fontId="5" type="noConversion"/>
  </si>
  <si>
    <r>
      <rPr>
        <sz val="10"/>
        <rFont val="楷体_GB2312"/>
        <family val="3"/>
        <charset val="134"/>
      </rPr>
      <t>投资收益</t>
    </r>
    <r>
      <rPr>
        <sz val="10"/>
        <rFont val="Arial Narrow"/>
        <family val="2"/>
      </rPr>
      <t>—</t>
    </r>
    <r>
      <rPr>
        <sz val="10"/>
        <rFont val="楷体_GB2312"/>
        <family val="3"/>
        <charset val="134"/>
      </rPr>
      <t>其他</t>
    </r>
    <phoneticPr fontId="5" type="noConversion"/>
  </si>
  <si>
    <r>
      <rPr>
        <sz val="10"/>
        <rFont val="楷体_GB2312"/>
        <family val="3"/>
        <charset val="134"/>
      </rPr>
      <t>投资收益</t>
    </r>
    <r>
      <rPr>
        <sz val="10"/>
        <rFont val="Arial Narrow"/>
        <family val="2"/>
      </rPr>
      <t>—</t>
    </r>
    <r>
      <rPr>
        <sz val="10"/>
        <rFont val="楷体_GB2312"/>
        <family val="3"/>
        <charset val="134"/>
      </rPr>
      <t>对联营企业和合营企业的投资收益</t>
    </r>
    <phoneticPr fontId="5" type="noConversion"/>
  </si>
  <si>
    <r>
      <rPr>
        <sz val="10"/>
        <rFont val="楷体_GB2312"/>
        <family val="3"/>
        <charset val="134"/>
      </rPr>
      <t>营业外收入</t>
    </r>
    <phoneticPr fontId="5" type="noConversion"/>
  </si>
  <si>
    <r>
      <rPr>
        <sz val="10"/>
        <rFont val="楷体_GB2312"/>
        <family val="3"/>
        <charset val="134"/>
      </rPr>
      <t>营业外收入</t>
    </r>
    <r>
      <rPr>
        <sz val="10"/>
        <rFont val="Arial Narrow"/>
        <family val="2"/>
      </rPr>
      <t>—</t>
    </r>
    <r>
      <rPr>
        <sz val="10"/>
        <rFont val="楷体_GB2312"/>
        <family val="3"/>
        <charset val="134"/>
      </rPr>
      <t>其他</t>
    </r>
    <phoneticPr fontId="5" type="noConversion"/>
  </si>
  <si>
    <r>
      <rPr>
        <sz val="10"/>
        <rFont val="楷体_GB2312"/>
        <family val="3"/>
        <charset val="134"/>
      </rPr>
      <t>营业外收入</t>
    </r>
    <r>
      <rPr>
        <sz val="10"/>
        <rFont val="Arial Narrow"/>
        <family val="2"/>
      </rPr>
      <t>—</t>
    </r>
    <r>
      <rPr>
        <sz val="10"/>
        <rFont val="楷体_GB2312"/>
        <family val="3"/>
        <charset val="134"/>
      </rPr>
      <t>非流动资产处置利得</t>
    </r>
    <phoneticPr fontId="5" type="noConversion"/>
  </si>
  <si>
    <r>
      <rPr>
        <sz val="10"/>
        <rFont val="楷体_GB2312"/>
        <family val="3"/>
        <charset val="134"/>
      </rPr>
      <t>营业外收入</t>
    </r>
    <r>
      <rPr>
        <sz val="10"/>
        <rFont val="Arial Narrow"/>
        <family val="2"/>
      </rPr>
      <t>—</t>
    </r>
    <r>
      <rPr>
        <sz val="10"/>
        <rFont val="楷体_GB2312"/>
        <family val="3"/>
        <charset val="134"/>
      </rPr>
      <t>非货币性资产交换利得</t>
    </r>
    <phoneticPr fontId="5" type="noConversion"/>
  </si>
  <si>
    <r>
      <rPr>
        <sz val="10"/>
        <rFont val="楷体_GB2312"/>
        <family val="3"/>
        <charset val="134"/>
      </rPr>
      <t>营业外收入</t>
    </r>
    <r>
      <rPr>
        <sz val="10"/>
        <rFont val="Arial Narrow"/>
        <family val="2"/>
      </rPr>
      <t>—</t>
    </r>
    <r>
      <rPr>
        <sz val="10"/>
        <rFont val="楷体_GB2312"/>
        <family val="3"/>
        <charset val="134"/>
      </rPr>
      <t>政府补助</t>
    </r>
    <phoneticPr fontId="5" type="noConversion"/>
  </si>
  <si>
    <r>
      <t xml:space="preserve">               </t>
    </r>
    <r>
      <rPr>
        <sz val="10"/>
        <rFont val="楷体_GB2312"/>
        <family val="3"/>
        <charset val="134"/>
      </rPr>
      <t>债务重组利得</t>
    </r>
    <phoneticPr fontId="5" type="noConversion"/>
  </si>
  <si>
    <r>
      <rPr>
        <sz val="10"/>
        <rFont val="楷体_GB2312"/>
        <family val="3"/>
        <charset val="134"/>
      </rPr>
      <t>营业外收入</t>
    </r>
    <r>
      <rPr>
        <sz val="10"/>
        <rFont val="Arial Narrow"/>
        <family val="2"/>
      </rPr>
      <t>—</t>
    </r>
    <r>
      <rPr>
        <sz val="10"/>
        <rFont val="楷体_GB2312"/>
        <family val="3"/>
        <charset val="134"/>
      </rPr>
      <t>债务重组利得</t>
    </r>
    <phoneticPr fontId="5" type="noConversion"/>
  </si>
  <si>
    <r>
      <rPr>
        <sz val="10"/>
        <rFont val="楷体_GB2312"/>
        <family val="3"/>
        <charset val="134"/>
      </rPr>
      <t>营业外支出</t>
    </r>
    <phoneticPr fontId="5" type="noConversion"/>
  </si>
  <si>
    <r>
      <rPr>
        <sz val="10"/>
        <rFont val="楷体_GB2312"/>
        <family val="3"/>
        <charset val="134"/>
      </rPr>
      <t>营业外支出</t>
    </r>
    <r>
      <rPr>
        <sz val="10"/>
        <rFont val="Arial Narrow"/>
        <family val="2"/>
      </rPr>
      <t>—</t>
    </r>
    <r>
      <rPr>
        <sz val="10"/>
        <rFont val="楷体_GB2312"/>
        <family val="3"/>
        <charset val="134"/>
      </rPr>
      <t>其他</t>
    </r>
    <phoneticPr fontId="5" type="noConversion"/>
  </si>
  <si>
    <r>
      <rPr>
        <sz val="10"/>
        <rFont val="楷体_GB2312"/>
        <family val="3"/>
        <charset val="134"/>
      </rPr>
      <t>营业外支出</t>
    </r>
    <r>
      <rPr>
        <sz val="10"/>
        <rFont val="Arial Narrow"/>
        <family val="2"/>
      </rPr>
      <t>—</t>
    </r>
    <r>
      <rPr>
        <sz val="10"/>
        <rFont val="楷体_GB2312"/>
        <family val="3"/>
        <charset val="134"/>
      </rPr>
      <t>非流动资产处置损失</t>
    </r>
    <phoneticPr fontId="5" type="noConversion"/>
  </si>
  <si>
    <r>
      <rPr>
        <sz val="10"/>
        <rFont val="楷体_GB2312"/>
        <family val="3"/>
        <charset val="134"/>
      </rPr>
      <t>营业外支出</t>
    </r>
    <r>
      <rPr>
        <sz val="10"/>
        <rFont val="Arial Narrow"/>
        <family val="2"/>
      </rPr>
      <t>—</t>
    </r>
    <r>
      <rPr>
        <sz val="10"/>
        <rFont val="楷体_GB2312"/>
        <family val="3"/>
        <charset val="134"/>
      </rPr>
      <t>非货币性资产交换损失</t>
    </r>
    <phoneticPr fontId="5" type="noConversion"/>
  </si>
  <si>
    <r>
      <t xml:space="preserve">               </t>
    </r>
    <r>
      <rPr>
        <sz val="10"/>
        <rFont val="楷体_GB2312"/>
        <family val="3"/>
        <charset val="134"/>
      </rPr>
      <t>债务重组损失</t>
    </r>
    <phoneticPr fontId="5" type="noConversion"/>
  </si>
  <si>
    <r>
      <rPr>
        <sz val="10"/>
        <rFont val="楷体_GB2312"/>
        <family val="3"/>
        <charset val="134"/>
      </rPr>
      <t>营业外支出</t>
    </r>
    <r>
      <rPr>
        <sz val="10"/>
        <rFont val="Arial Narrow"/>
        <family val="2"/>
      </rPr>
      <t>—</t>
    </r>
    <r>
      <rPr>
        <sz val="10"/>
        <rFont val="楷体_GB2312"/>
        <family val="3"/>
        <charset val="134"/>
      </rPr>
      <t>债务重组损失</t>
    </r>
    <phoneticPr fontId="5" type="noConversion"/>
  </si>
  <si>
    <r>
      <rPr>
        <sz val="10"/>
        <rFont val="楷体_GB2312"/>
        <family val="3"/>
        <charset val="134"/>
      </rPr>
      <t>所得税费用</t>
    </r>
    <phoneticPr fontId="5" type="noConversion"/>
  </si>
  <si>
    <r>
      <rPr>
        <sz val="10"/>
        <rFont val="楷体_GB2312"/>
        <family val="3"/>
        <charset val="134"/>
      </rPr>
      <t>少数股东损益</t>
    </r>
  </si>
  <si>
    <r>
      <rPr>
        <sz val="10"/>
        <rFont val="楷体_GB2312"/>
        <family val="3"/>
        <charset val="134"/>
      </rPr>
      <t>（一）以后不能重分类进损益的其他综合收益</t>
    </r>
    <phoneticPr fontId="5" type="noConversion"/>
  </si>
  <si>
    <r>
      <rPr>
        <sz val="10"/>
        <rFont val="楷体_GB2312"/>
        <family val="3"/>
        <charset val="134"/>
      </rPr>
      <t>以后不能重分类进损益的其他综合收益</t>
    </r>
    <phoneticPr fontId="5" type="noConversion"/>
  </si>
  <si>
    <r>
      <rPr>
        <sz val="10"/>
        <rFont val="楷体_GB2312"/>
        <family val="3"/>
        <charset val="134"/>
      </rPr>
      <t>以后将重分类进损益的其他综合收益</t>
    </r>
    <phoneticPr fontId="5" type="noConversion"/>
  </si>
  <si>
    <r>
      <t xml:space="preserve">      2.</t>
    </r>
    <r>
      <rPr>
        <sz val="10"/>
        <rFont val="楷体_GB2312"/>
        <family val="3"/>
        <charset val="134"/>
      </rPr>
      <t>可供出售金融资产公允价值变动损益</t>
    </r>
    <phoneticPr fontId="5" type="noConversion"/>
  </si>
  <si>
    <r>
      <t xml:space="preserve">      3.</t>
    </r>
    <r>
      <rPr>
        <sz val="10"/>
        <rFont val="楷体_GB2312"/>
        <family val="3"/>
        <charset val="134"/>
      </rPr>
      <t>持有至到期投资重分类为可供出售金额资产损益</t>
    </r>
    <phoneticPr fontId="5" type="noConversion"/>
  </si>
  <si>
    <r>
      <rPr>
        <b/>
        <sz val="10"/>
        <rFont val="楷体_GB2312"/>
        <family val="3"/>
        <charset val="134"/>
      </rPr>
      <t>金额单位：人民币元</t>
    </r>
    <phoneticPr fontId="5" type="noConversion"/>
  </si>
  <si>
    <r>
      <rPr>
        <b/>
        <sz val="10"/>
        <rFont val="楷体_GB2312"/>
        <family val="3"/>
        <charset val="134"/>
      </rPr>
      <t>期末金额</t>
    </r>
    <phoneticPr fontId="5" type="noConversion"/>
  </si>
  <si>
    <r>
      <rPr>
        <b/>
        <sz val="10"/>
        <rFont val="楷体_GB2312"/>
        <family val="3"/>
        <charset val="134"/>
      </rPr>
      <t>年初金额</t>
    </r>
    <phoneticPr fontId="5" type="noConversion"/>
  </si>
  <si>
    <r>
      <rPr>
        <b/>
        <sz val="10"/>
        <rFont val="楷体_GB2312"/>
        <family val="3"/>
        <charset val="134"/>
      </rPr>
      <t>年初金额</t>
    </r>
    <phoneticPr fontId="5" type="noConversion"/>
  </si>
  <si>
    <r>
      <rPr>
        <b/>
        <sz val="10"/>
        <rFont val="楷体_GB2312"/>
        <family val="3"/>
        <charset val="134"/>
      </rPr>
      <t>金额单位：人民币元</t>
    </r>
    <phoneticPr fontId="5" type="noConversion"/>
  </si>
  <si>
    <r>
      <rPr>
        <b/>
        <sz val="10"/>
        <rFont val="楷体_GB2312"/>
        <family val="3"/>
        <charset val="134"/>
      </rPr>
      <t>注释</t>
    </r>
    <phoneticPr fontId="5" type="noConversion"/>
  </si>
  <si>
    <r>
      <t xml:space="preserve">    </t>
    </r>
    <r>
      <rPr>
        <sz val="10"/>
        <rFont val="楷体_GB2312"/>
        <family val="3"/>
        <charset val="134"/>
      </rPr>
      <t>其他权益工具</t>
    </r>
  </si>
  <si>
    <r>
      <t xml:space="preserve">        </t>
    </r>
    <r>
      <rPr>
        <sz val="10"/>
        <rFont val="楷体_GB2312"/>
        <family val="3"/>
        <charset val="134"/>
      </rPr>
      <t>其中：优先股</t>
    </r>
  </si>
  <si>
    <r>
      <t xml:space="preserve">              </t>
    </r>
    <r>
      <rPr>
        <sz val="10"/>
        <rFont val="楷体_GB2312"/>
        <family val="3"/>
        <charset val="134"/>
      </rPr>
      <t>永续债</t>
    </r>
  </si>
  <si>
    <r>
      <rPr>
        <sz val="10"/>
        <rFont val="宋体"/>
        <family val="3"/>
        <charset val="134"/>
      </rPr>
      <t>表内检验</t>
    </r>
    <phoneticPr fontId="5" type="noConversion"/>
  </si>
  <si>
    <r>
      <rPr>
        <sz val="10"/>
        <rFont val="宋体"/>
        <family val="3"/>
        <charset val="134"/>
      </rPr>
      <t>流动资产</t>
    </r>
    <phoneticPr fontId="5" type="noConversion"/>
  </si>
  <si>
    <r>
      <rPr>
        <sz val="10"/>
        <rFont val="宋体"/>
        <family val="3"/>
        <charset val="134"/>
      </rPr>
      <t>其他非流动资产</t>
    </r>
    <phoneticPr fontId="5" type="noConversion"/>
  </si>
  <si>
    <r>
      <rPr>
        <sz val="10"/>
        <rFont val="宋体"/>
        <family val="3"/>
        <charset val="134"/>
      </rPr>
      <t>资产与负债</t>
    </r>
    <phoneticPr fontId="5" type="noConversion"/>
  </si>
  <si>
    <r>
      <rPr>
        <sz val="10"/>
        <rFont val="宋体"/>
        <family val="3"/>
        <charset val="134"/>
      </rPr>
      <t>应交税费</t>
    </r>
    <phoneticPr fontId="5" type="noConversion"/>
  </si>
  <si>
    <r>
      <rPr>
        <sz val="10"/>
        <rFont val="宋体"/>
        <family val="3"/>
        <charset val="134"/>
      </rPr>
      <t>非流动负债</t>
    </r>
    <phoneticPr fontId="5" type="noConversion"/>
  </si>
  <si>
    <r>
      <rPr>
        <sz val="10"/>
        <rFont val="宋体"/>
        <family val="3"/>
        <charset val="134"/>
      </rPr>
      <t>其他非流动负债</t>
    </r>
    <phoneticPr fontId="5" type="noConversion"/>
  </si>
  <si>
    <r>
      <rPr>
        <sz val="10"/>
        <rFont val="宋体"/>
        <family val="3"/>
        <charset val="134"/>
      </rPr>
      <t>负债合计</t>
    </r>
    <phoneticPr fontId="5" type="noConversion"/>
  </si>
  <si>
    <r>
      <rPr>
        <sz val="10"/>
        <rFont val="宋体"/>
        <family val="3"/>
        <charset val="134"/>
      </rPr>
      <t>实收资本</t>
    </r>
    <phoneticPr fontId="5" type="noConversion"/>
  </si>
  <si>
    <r>
      <rPr>
        <sz val="10"/>
        <rFont val="宋体"/>
        <family val="3"/>
        <charset val="134"/>
      </rPr>
      <t>国有资本</t>
    </r>
    <phoneticPr fontId="5" type="noConversion"/>
  </si>
  <si>
    <r>
      <rPr>
        <sz val="10"/>
        <rFont val="宋体"/>
        <family val="3"/>
        <charset val="134"/>
      </rPr>
      <t>实收资本净额</t>
    </r>
    <phoneticPr fontId="5" type="noConversion"/>
  </si>
  <si>
    <r>
      <rPr>
        <sz val="10"/>
        <rFont val="宋体"/>
        <family val="3"/>
        <charset val="134"/>
      </rPr>
      <t>其他综合收益</t>
    </r>
    <phoneticPr fontId="5" type="noConversion"/>
  </si>
  <si>
    <r>
      <rPr>
        <sz val="10"/>
        <rFont val="宋体"/>
        <family val="3"/>
        <charset val="134"/>
      </rPr>
      <t>盈余公积</t>
    </r>
    <phoneticPr fontId="5" type="noConversion"/>
  </si>
  <si>
    <r>
      <rPr>
        <sz val="10"/>
        <rFont val="宋体"/>
        <family val="3"/>
        <charset val="134"/>
      </rPr>
      <t>负债和所有者权益总计</t>
    </r>
    <phoneticPr fontId="5" type="noConversion"/>
  </si>
  <si>
    <r>
      <rPr>
        <sz val="10"/>
        <rFont val="宋体"/>
        <family val="3"/>
        <charset val="134"/>
      </rPr>
      <t>应付福利费</t>
    </r>
    <phoneticPr fontId="5" type="noConversion"/>
  </si>
  <si>
    <r>
      <rPr>
        <sz val="10"/>
        <rFont val="宋体"/>
        <family val="3"/>
        <charset val="134"/>
      </rPr>
      <t>应付职工薪酬</t>
    </r>
    <phoneticPr fontId="5" type="noConversion"/>
  </si>
  <si>
    <r>
      <rPr>
        <sz val="10"/>
        <rFont val="宋体"/>
        <family val="3"/>
        <charset val="134"/>
      </rPr>
      <t>归属于母公司的所有者权益</t>
    </r>
    <phoneticPr fontId="5" type="noConversion"/>
  </si>
  <si>
    <r>
      <t xml:space="preserve">    </t>
    </r>
    <r>
      <rPr>
        <sz val="10"/>
        <rFont val="楷体_GB2312"/>
        <family val="3"/>
        <charset val="134"/>
      </rPr>
      <t>买入返售金融资产</t>
    </r>
    <phoneticPr fontId="5" type="noConversion"/>
  </si>
  <si>
    <r>
      <rPr>
        <b/>
        <sz val="10"/>
        <rFont val="楷体_GB2312"/>
        <family val="3"/>
        <charset val="134"/>
      </rPr>
      <t>注释</t>
    </r>
    <phoneticPr fontId="5" type="noConversion"/>
  </si>
  <si>
    <r>
      <t xml:space="preserve">    </t>
    </r>
    <r>
      <rPr>
        <sz val="10"/>
        <rFont val="楷体_GB2312"/>
        <family val="3"/>
        <charset val="134"/>
      </rPr>
      <t>拆入资金</t>
    </r>
    <phoneticPr fontId="5" type="noConversion"/>
  </si>
  <si>
    <r>
      <t xml:space="preserve">    </t>
    </r>
    <r>
      <rPr>
        <sz val="10"/>
        <rFont val="楷体_GB2312"/>
        <family val="3"/>
        <charset val="134"/>
      </rPr>
      <t>应付分保账款</t>
    </r>
    <phoneticPr fontId="5" type="noConversion"/>
  </si>
  <si>
    <r>
      <t xml:space="preserve">    </t>
    </r>
    <r>
      <rPr>
        <sz val="10"/>
        <rFont val="楷体_GB2312"/>
        <family val="3"/>
        <charset val="134"/>
      </rPr>
      <t>代理买卖证券款</t>
    </r>
    <phoneticPr fontId="5" type="noConversion"/>
  </si>
  <si>
    <r>
      <rPr>
        <sz val="10"/>
        <rFont val="宋体"/>
        <family val="3"/>
        <charset val="134"/>
      </rPr>
      <t>存货</t>
    </r>
    <phoneticPr fontId="5" type="noConversion"/>
  </si>
  <si>
    <r>
      <rPr>
        <b/>
        <sz val="10"/>
        <rFont val="楷体_GB2312"/>
        <family val="3"/>
        <charset val="134"/>
      </rPr>
      <t>项</t>
    </r>
    <r>
      <rPr>
        <b/>
        <sz val="10"/>
        <rFont val="Arial Narrow"/>
        <family val="2"/>
      </rPr>
      <t xml:space="preserve">        </t>
    </r>
    <r>
      <rPr>
        <b/>
        <sz val="10"/>
        <rFont val="楷体_GB2312"/>
        <family val="3"/>
        <charset val="134"/>
      </rPr>
      <t>目</t>
    </r>
    <phoneticPr fontId="5" type="noConversion"/>
  </si>
  <si>
    <r>
      <t xml:space="preserve">    </t>
    </r>
    <r>
      <rPr>
        <sz val="10"/>
        <rFont val="楷体_GB2312"/>
        <family val="3"/>
        <charset val="134"/>
      </rPr>
      <t>应收分保准备金</t>
    </r>
    <phoneticPr fontId="5" type="noConversion"/>
  </si>
  <si>
    <r>
      <t xml:space="preserve">    </t>
    </r>
    <r>
      <rPr>
        <sz val="10"/>
        <rFont val="楷体_GB2312"/>
        <family val="3"/>
        <charset val="134"/>
      </rPr>
      <t>其他应收款</t>
    </r>
    <phoneticPr fontId="5" type="noConversion"/>
  </si>
  <si>
    <r>
      <t xml:space="preserve">    </t>
    </r>
    <r>
      <rPr>
        <sz val="10"/>
        <rFont val="楷体_GB2312"/>
        <family val="3"/>
        <charset val="134"/>
      </rPr>
      <t>一年内到期的非流动资产</t>
    </r>
    <phoneticPr fontId="5" type="noConversion"/>
  </si>
  <si>
    <r>
      <t xml:space="preserve">    </t>
    </r>
    <r>
      <rPr>
        <sz val="10"/>
        <rFont val="楷体_GB2312"/>
        <family val="3"/>
        <charset val="134"/>
      </rPr>
      <t>长期应收款</t>
    </r>
    <phoneticPr fontId="5" type="noConversion"/>
  </si>
  <si>
    <r>
      <t xml:space="preserve">    </t>
    </r>
    <r>
      <rPr>
        <sz val="10"/>
        <rFont val="楷体_GB2312"/>
        <family val="3"/>
        <charset val="134"/>
      </rPr>
      <t>工程物资</t>
    </r>
    <phoneticPr fontId="5" type="noConversion"/>
  </si>
  <si>
    <r>
      <t xml:space="preserve">    </t>
    </r>
    <r>
      <rPr>
        <sz val="10"/>
        <rFont val="楷体_GB2312"/>
        <family val="3"/>
        <charset val="134"/>
      </rPr>
      <t>生产性生物资产</t>
    </r>
    <phoneticPr fontId="5" type="noConversion"/>
  </si>
  <si>
    <r>
      <t xml:space="preserve">    </t>
    </r>
    <r>
      <rPr>
        <sz val="10"/>
        <rFont val="楷体_GB2312"/>
        <family val="3"/>
        <charset val="134"/>
      </rPr>
      <t>递延所得税资产</t>
    </r>
    <phoneticPr fontId="5" type="noConversion"/>
  </si>
  <si>
    <r>
      <t xml:space="preserve">             </t>
    </r>
    <r>
      <rPr>
        <sz val="10"/>
        <rFont val="楷体_GB2312"/>
        <family val="3"/>
        <charset val="134"/>
      </rPr>
      <t>其中：应付工资</t>
    </r>
    <phoneticPr fontId="5" type="noConversion"/>
  </si>
  <si>
    <r>
      <t xml:space="preserve">             </t>
    </r>
    <r>
      <rPr>
        <sz val="10"/>
        <rFont val="楷体_GB2312"/>
        <family val="3"/>
        <charset val="134"/>
      </rPr>
      <t>其中：</t>
    </r>
    <r>
      <rPr>
        <sz val="10"/>
        <rFont val="Arial Narrow"/>
        <family val="2"/>
      </rPr>
      <t xml:space="preserve"> </t>
    </r>
    <r>
      <rPr>
        <sz val="10"/>
        <rFont val="楷体_GB2312"/>
        <family val="3"/>
        <charset val="134"/>
      </rPr>
      <t>个人资本</t>
    </r>
    <phoneticPr fontId="5" type="noConversion"/>
  </si>
  <si>
    <r>
      <t xml:space="preserve">      </t>
    </r>
    <r>
      <rPr>
        <sz val="10"/>
        <rFont val="楷体_GB2312"/>
        <family val="3"/>
        <charset val="134"/>
      </rPr>
      <t>其中：法定公积金</t>
    </r>
    <phoneticPr fontId="5" type="noConversion"/>
  </si>
  <si>
    <r>
      <t xml:space="preserve">            </t>
    </r>
    <r>
      <rPr>
        <sz val="10"/>
        <rFont val="楷体_GB2312"/>
        <family val="3"/>
        <charset val="134"/>
      </rPr>
      <t>储备基金</t>
    </r>
    <phoneticPr fontId="5" type="noConversion"/>
  </si>
  <si>
    <r>
      <t xml:space="preserve">    </t>
    </r>
    <r>
      <rPr>
        <sz val="10"/>
        <rFont val="楷体_GB2312"/>
        <family val="3"/>
        <charset val="134"/>
      </rPr>
      <t>未分配利润</t>
    </r>
    <phoneticPr fontId="5" type="noConversion"/>
  </si>
  <si>
    <r>
      <rPr>
        <sz val="10"/>
        <rFont val="宋体"/>
        <family val="3"/>
        <charset val="134"/>
      </rPr>
      <t>非流动资产</t>
    </r>
    <phoneticPr fontId="5" type="noConversion"/>
  </si>
  <si>
    <r>
      <rPr>
        <sz val="10"/>
        <rFont val="宋体"/>
        <family val="3"/>
        <charset val="134"/>
      </rPr>
      <t>所有者权益合计</t>
    </r>
    <phoneticPr fontId="5" type="noConversion"/>
  </si>
  <si>
    <r>
      <t xml:space="preserve">    </t>
    </r>
    <r>
      <rPr>
        <sz val="10"/>
        <rFont val="楷体_GB2312"/>
        <family val="3"/>
        <charset val="134"/>
      </rPr>
      <t>拆出资金</t>
    </r>
    <phoneticPr fontId="5" type="noConversion"/>
  </si>
  <si>
    <r>
      <t xml:space="preserve">            </t>
    </r>
    <r>
      <rPr>
        <sz val="10"/>
        <rFont val="楷体_GB2312"/>
        <family val="3"/>
        <charset val="134"/>
      </rPr>
      <t>减：累计折旧</t>
    </r>
    <phoneticPr fontId="5" type="noConversion"/>
  </si>
  <si>
    <r>
      <t xml:space="preserve">    </t>
    </r>
    <r>
      <rPr>
        <sz val="10"/>
        <rFont val="楷体_GB2312"/>
        <family val="3"/>
        <charset val="134"/>
      </rPr>
      <t>短期借款</t>
    </r>
    <phoneticPr fontId="5" type="noConversion"/>
  </si>
  <si>
    <r>
      <t xml:space="preserve">         </t>
    </r>
    <r>
      <rPr>
        <sz val="10"/>
        <rFont val="楷体_GB2312"/>
        <family val="3"/>
        <charset val="134"/>
      </rPr>
      <t>集体资本</t>
    </r>
    <phoneticPr fontId="5" type="noConversion"/>
  </si>
  <si>
    <r>
      <rPr>
        <sz val="10"/>
        <rFont val="宋体"/>
        <family val="3"/>
        <charset val="134"/>
      </rPr>
      <t>资产总计</t>
    </r>
    <phoneticPr fontId="5" type="noConversion"/>
  </si>
  <si>
    <r>
      <t xml:space="preserve">    </t>
    </r>
    <r>
      <rPr>
        <sz val="10"/>
        <rFont val="楷体_GB2312"/>
        <family val="3"/>
        <charset val="134"/>
      </rPr>
      <t>货币资金</t>
    </r>
    <phoneticPr fontId="5" type="noConversion"/>
  </si>
  <si>
    <r>
      <rPr>
        <b/>
        <sz val="12"/>
        <rFont val="楷体_GB2312"/>
        <family val="3"/>
        <charset val="134"/>
      </rPr>
      <t>所附财务报表附注为本财务报表的组成部分</t>
    </r>
    <phoneticPr fontId="5" type="noConversion"/>
  </si>
  <si>
    <r>
      <rPr>
        <sz val="10"/>
        <rFont val="宋体"/>
        <family val="3"/>
        <charset val="134"/>
      </rPr>
      <t>流动负债</t>
    </r>
    <phoneticPr fontId="5" type="noConversion"/>
  </si>
  <si>
    <r>
      <t xml:space="preserve">         </t>
    </r>
    <r>
      <rPr>
        <sz val="10"/>
        <rFont val="楷体_GB2312"/>
        <family val="3"/>
        <charset val="134"/>
      </rPr>
      <t>国有资本</t>
    </r>
    <phoneticPr fontId="5" type="noConversion"/>
  </si>
  <si>
    <r>
      <rPr>
        <b/>
        <sz val="12"/>
        <rFont val="楷体_GB2312"/>
        <family val="3"/>
        <charset val="134"/>
      </rPr>
      <t>单位负责人：</t>
    </r>
    <r>
      <rPr>
        <b/>
        <sz val="12"/>
        <rFont val="Arial Narrow"/>
        <family val="2"/>
      </rPr>
      <t xml:space="preserve">                           </t>
    </r>
    <r>
      <rPr>
        <b/>
        <sz val="12"/>
        <rFont val="楷体_GB2312"/>
        <family val="3"/>
        <charset val="134"/>
      </rPr>
      <t>主管会计工作的负责人：</t>
    </r>
    <r>
      <rPr>
        <b/>
        <sz val="12"/>
        <rFont val="Arial Narrow"/>
        <family val="2"/>
      </rPr>
      <t xml:space="preserve">                           </t>
    </r>
    <r>
      <rPr>
        <b/>
        <sz val="12"/>
        <rFont val="楷体_GB2312"/>
        <family val="3"/>
        <charset val="134"/>
      </rPr>
      <t>会计机构负责人：</t>
    </r>
    <phoneticPr fontId="5" type="noConversion"/>
  </si>
  <si>
    <r>
      <rPr>
        <sz val="10"/>
        <rFont val="宋体"/>
        <family val="3"/>
        <charset val="134"/>
      </rPr>
      <t>其他权益工具</t>
    </r>
    <phoneticPr fontId="5" type="noConversion"/>
  </si>
  <si>
    <r>
      <rPr>
        <b/>
        <sz val="10"/>
        <rFont val="楷体_GB2312"/>
        <family val="3"/>
        <charset val="134"/>
      </rPr>
      <t>本期金额</t>
    </r>
    <phoneticPr fontId="5" type="noConversion"/>
  </si>
  <si>
    <r>
      <rPr>
        <b/>
        <sz val="10"/>
        <rFont val="楷体_GB2312"/>
        <family val="3"/>
        <charset val="134"/>
      </rPr>
      <t>上期金额</t>
    </r>
    <phoneticPr fontId="5" type="noConversion"/>
  </si>
  <si>
    <r>
      <rPr>
        <sz val="10"/>
        <rFont val="楷体_GB2312"/>
        <family val="3"/>
        <charset val="134"/>
      </rPr>
      <t>（一）以后不能重分类进损益的其他综合收益</t>
    </r>
    <phoneticPr fontId="5" type="noConversion"/>
  </si>
  <si>
    <r>
      <rPr>
        <b/>
        <sz val="10"/>
        <rFont val="楷体_GB2312"/>
        <family val="3"/>
        <charset val="134"/>
      </rPr>
      <t>所附财务报表附注为本财务报表的组成部分</t>
    </r>
    <phoneticPr fontId="5" type="noConversion"/>
  </si>
  <si>
    <r>
      <rPr>
        <sz val="10"/>
        <rFont val="宋体"/>
        <family val="3"/>
        <charset val="134"/>
      </rPr>
      <t>营业收入</t>
    </r>
    <phoneticPr fontId="5" type="noConversion"/>
  </si>
  <si>
    <r>
      <rPr>
        <sz val="10"/>
        <rFont val="宋体"/>
        <family val="3"/>
        <charset val="134"/>
      </rPr>
      <t>营业总成本</t>
    </r>
    <phoneticPr fontId="5" type="noConversion"/>
  </si>
  <si>
    <r>
      <rPr>
        <sz val="10"/>
        <rFont val="宋体"/>
        <family val="3"/>
        <charset val="134"/>
      </rPr>
      <t>营业成本</t>
    </r>
    <phoneticPr fontId="5" type="noConversion"/>
  </si>
  <si>
    <r>
      <rPr>
        <sz val="10"/>
        <rFont val="宋体"/>
        <family val="3"/>
        <charset val="134"/>
      </rPr>
      <t>管理费用</t>
    </r>
    <phoneticPr fontId="5" type="noConversion"/>
  </si>
  <si>
    <r>
      <rPr>
        <sz val="10"/>
        <rFont val="宋体"/>
        <family val="3"/>
        <charset val="134"/>
      </rPr>
      <t>财务费用</t>
    </r>
    <phoneticPr fontId="5" type="noConversion"/>
  </si>
  <si>
    <r>
      <rPr>
        <sz val="10"/>
        <rFont val="宋体"/>
        <family val="3"/>
        <charset val="134"/>
      </rPr>
      <t>营业外收入</t>
    </r>
    <phoneticPr fontId="5" type="noConversion"/>
  </si>
  <si>
    <r>
      <rPr>
        <sz val="10"/>
        <rFont val="宋体"/>
        <family val="3"/>
        <charset val="134"/>
      </rPr>
      <t>营业外支出</t>
    </r>
    <phoneticPr fontId="5" type="noConversion"/>
  </si>
  <si>
    <r>
      <rPr>
        <sz val="10"/>
        <rFont val="宋体"/>
        <family val="3"/>
        <charset val="134"/>
      </rPr>
      <t>营业利润</t>
    </r>
    <phoneticPr fontId="5" type="noConversion"/>
  </si>
  <si>
    <r>
      <rPr>
        <sz val="10"/>
        <rFont val="宋体"/>
        <family val="3"/>
        <charset val="134"/>
      </rPr>
      <t>利润总额</t>
    </r>
    <phoneticPr fontId="5" type="noConversion"/>
  </si>
  <si>
    <r>
      <rPr>
        <sz val="10"/>
        <rFont val="宋体"/>
        <family val="3"/>
        <charset val="134"/>
      </rPr>
      <t>净利润</t>
    </r>
    <phoneticPr fontId="5" type="noConversion"/>
  </si>
  <si>
    <r>
      <rPr>
        <sz val="10"/>
        <rFont val="宋体"/>
        <family val="3"/>
        <charset val="134"/>
      </rPr>
      <t>归属于母公司净利润</t>
    </r>
    <phoneticPr fontId="5" type="noConversion"/>
  </si>
  <si>
    <r>
      <rPr>
        <sz val="10"/>
        <rFont val="宋体"/>
        <family val="3"/>
        <charset val="134"/>
      </rPr>
      <t>其他综合收益的税后净额</t>
    </r>
    <phoneticPr fontId="5" type="noConversion"/>
  </si>
  <si>
    <r>
      <rPr>
        <sz val="10"/>
        <rFont val="宋体"/>
        <family val="3"/>
        <charset val="134"/>
      </rPr>
      <t>以后不能重分类进损益的其他综合收益</t>
    </r>
    <phoneticPr fontId="5" type="noConversion"/>
  </si>
  <si>
    <r>
      <t xml:space="preserve">             </t>
    </r>
    <r>
      <rPr>
        <sz val="10"/>
        <rFont val="楷体_GB2312"/>
        <family val="3"/>
        <charset val="134"/>
      </rPr>
      <t>其中：主营业务收入</t>
    </r>
    <phoneticPr fontId="5" type="noConversion"/>
  </si>
  <si>
    <r>
      <t xml:space="preserve">            </t>
    </r>
    <r>
      <rPr>
        <sz val="10"/>
        <rFont val="楷体_GB2312"/>
        <family val="3"/>
        <charset val="134"/>
      </rPr>
      <t>赔付支出净额</t>
    </r>
    <phoneticPr fontId="5" type="noConversion"/>
  </si>
  <si>
    <r>
      <t xml:space="preserve">            </t>
    </r>
    <r>
      <rPr>
        <sz val="10"/>
        <rFont val="楷体_GB2312"/>
        <family val="3"/>
        <charset val="134"/>
      </rPr>
      <t>提取保险合同准备金净额</t>
    </r>
    <phoneticPr fontId="5" type="noConversion"/>
  </si>
  <si>
    <r>
      <t xml:space="preserve">             </t>
    </r>
    <r>
      <rPr>
        <sz val="10"/>
        <rFont val="楷体_GB2312"/>
        <family val="3"/>
        <charset val="134"/>
      </rPr>
      <t>非货币性资产交换利得</t>
    </r>
    <phoneticPr fontId="5" type="noConversion"/>
  </si>
  <si>
    <r>
      <t xml:space="preserve">      3.</t>
    </r>
    <r>
      <rPr>
        <sz val="10"/>
        <rFont val="楷体_GB2312"/>
        <family val="3"/>
        <charset val="134"/>
      </rPr>
      <t>持有至到期投资重分类为可供出售金额资产损益</t>
    </r>
    <phoneticPr fontId="5" type="noConversion"/>
  </si>
  <si>
    <r>
      <t xml:space="preserve">      5.</t>
    </r>
    <r>
      <rPr>
        <sz val="10"/>
        <rFont val="楷体_GB2312"/>
        <family val="3"/>
        <charset val="134"/>
      </rPr>
      <t>外币财务报表折算差额</t>
    </r>
    <phoneticPr fontId="5" type="noConversion"/>
  </si>
  <si>
    <r>
      <rPr>
        <b/>
        <sz val="10"/>
        <rFont val="楷体_GB2312"/>
        <family val="3"/>
        <charset val="134"/>
      </rPr>
      <t>八、综合收益总额</t>
    </r>
    <phoneticPr fontId="5" type="noConversion"/>
  </si>
  <si>
    <r>
      <rPr>
        <sz val="10"/>
        <rFont val="楷体_GB2312"/>
        <family val="3"/>
        <charset val="134"/>
      </rPr>
      <t>归属于母公司所有者的综合收益总额</t>
    </r>
    <phoneticPr fontId="5" type="noConversion"/>
  </si>
  <si>
    <r>
      <rPr>
        <b/>
        <sz val="10"/>
        <rFont val="楷体_GB2312"/>
        <family val="3"/>
        <charset val="134"/>
      </rPr>
      <t>所附财务报表附注为本财务报表的组成部分</t>
    </r>
    <phoneticPr fontId="5" type="noConversion"/>
  </si>
  <si>
    <r>
      <rPr>
        <sz val="10"/>
        <rFont val="宋体"/>
        <family val="3"/>
        <charset val="134"/>
      </rPr>
      <t>营业总收入</t>
    </r>
    <phoneticPr fontId="5" type="noConversion"/>
  </si>
  <si>
    <r>
      <rPr>
        <sz val="10"/>
        <rFont val="宋体"/>
        <family val="3"/>
        <charset val="134"/>
      </rPr>
      <t>以后将重分类进损益的其他综合收益</t>
    </r>
    <phoneticPr fontId="5" type="noConversion"/>
  </si>
  <si>
    <r>
      <rPr>
        <sz val="10"/>
        <rFont val="宋体"/>
        <family val="3"/>
        <charset val="134"/>
      </rPr>
      <t>综合收益</t>
    </r>
    <phoneticPr fontId="5" type="noConversion"/>
  </si>
  <si>
    <r>
      <t xml:space="preserve">          </t>
    </r>
    <r>
      <rPr>
        <sz val="10"/>
        <rFont val="楷体_GB2312"/>
        <family val="3"/>
        <charset val="134"/>
      </rPr>
      <t>资产减值损失</t>
    </r>
    <phoneticPr fontId="5" type="noConversion"/>
  </si>
  <si>
    <r>
      <rPr>
        <b/>
        <sz val="10"/>
        <rFont val="楷体_GB2312"/>
        <family val="3"/>
        <charset val="134"/>
      </rPr>
      <t>单位负责人：</t>
    </r>
    <r>
      <rPr>
        <b/>
        <sz val="10"/>
        <rFont val="Arial Narrow"/>
        <family val="2"/>
      </rPr>
      <t xml:space="preserve">                    </t>
    </r>
    <r>
      <rPr>
        <b/>
        <sz val="10"/>
        <rFont val="楷体_GB2312"/>
        <family val="3"/>
        <charset val="134"/>
      </rPr>
      <t>主管会计工作的负责人：</t>
    </r>
    <r>
      <rPr>
        <b/>
        <sz val="10"/>
        <rFont val="Arial Narrow"/>
        <family val="2"/>
      </rPr>
      <t xml:space="preserve">                     </t>
    </r>
    <r>
      <rPr>
        <b/>
        <sz val="10"/>
        <rFont val="楷体_GB2312"/>
        <family val="3"/>
        <charset val="134"/>
      </rPr>
      <t>会计机构负责人：</t>
    </r>
    <phoneticPr fontId="5" type="noConversion"/>
  </si>
  <si>
    <r>
      <rPr>
        <b/>
        <sz val="10"/>
        <rFont val="楷体_GB2312"/>
        <family val="3"/>
        <charset val="134"/>
      </rPr>
      <t>上期金额</t>
    </r>
    <phoneticPr fontId="5" type="noConversion"/>
  </si>
  <si>
    <r>
      <t xml:space="preserve">                </t>
    </r>
    <r>
      <rPr>
        <sz val="10"/>
        <rFont val="楷体_GB2312"/>
        <family val="3"/>
        <charset val="134"/>
      </rPr>
      <t>其中：主营业务成本</t>
    </r>
    <phoneticPr fontId="5" type="noConversion"/>
  </si>
  <si>
    <r>
      <t xml:space="preserve">            </t>
    </r>
    <r>
      <rPr>
        <sz val="10"/>
        <rFont val="楷体_GB2312"/>
        <family val="3"/>
        <charset val="134"/>
      </rPr>
      <t>销售费用</t>
    </r>
    <phoneticPr fontId="5" type="noConversion"/>
  </si>
  <si>
    <r>
      <t xml:space="preserve">           </t>
    </r>
    <r>
      <rPr>
        <sz val="10"/>
        <rFont val="楷体_GB2312"/>
        <family val="3"/>
        <charset val="134"/>
      </rPr>
      <t>加：公允价值变动收益（损失以</t>
    </r>
    <r>
      <rPr>
        <sz val="10"/>
        <rFont val="Arial Narrow"/>
        <family val="2"/>
      </rPr>
      <t>“-”</t>
    </r>
    <r>
      <rPr>
        <sz val="10"/>
        <rFont val="楷体_GB2312"/>
        <family val="3"/>
        <charset val="134"/>
      </rPr>
      <t>号填列）</t>
    </r>
    <phoneticPr fontId="5" type="noConversion"/>
  </si>
  <si>
    <r>
      <rPr>
        <sz val="10"/>
        <rFont val="楷体_GB2312"/>
        <family val="3"/>
        <charset val="134"/>
      </rPr>
      <t>其中：</t>
    </r>
    <r>
      <rPr>
        <sz val="10"/>
        <rFont val="Arial Narrow"/>
        <family val="2"/>
      </rPr>
      <t>1.</t>
    </r>
    <r>
      <rPr>
        <sz val="10"/>
        <rFont val="楷体_GB2312"/>
        <family val="3"/>
        <charset val="134"/>
      </rPr>
      <t>重新计量设定受益计划净负债或净资产的变动</t>
    </r>
    <phoneticPr fontId="5" type="noConversion"/>
  </si>
  <si>
    <r>
      <rPr>
        <sz val="10"/>
        <rFont val="宋体"/>
        <family val="3"/>
        <charset val="134"/>
      </rPr>
      <t>归属于母公司综合收益</t>
    </r>
    <phoneticPr fontId="5" type="noConversion"/>
  </si>
  <si>
    <r>
      <rPr>
        <b/>
        <sz val="10"/>
        <rFont val="楷体_GB2312"/>
        <family val="3"/>
        <charset val="134"/>
      </rPr>
      <t>单位负责人：</t>
    </r>
    <r>
      <rPr>
        <b/>
        <sz val="10"/>
        <rFont val="Arial Narrow"/>
        <family val="2"/>
      </rPr>
      <t xml:space="preserve">                      </t>
    </r>
    <r>
      <rPr>
        <b/>
        <sz val="10"/>
        <rFont val="楷体_GB2312"/>
        <family val="3"/>
        <charset val="134"/>
      </rPr>
      <t>主管会计工作的负责人：</t>
    </r>
    <r>
      <rPr>
        <b/>
        <sz val="10"/>
        <rFont val="Arial Narrow"/>
        <family val="2"/>
      </rPr>
      <t xml:space="preserve">                     </t>
    </r>
    <r>
      <rPr>
        <b/>
        <sz val="10"/>
        <rFont val="楷体_GB2312"/>
        <family val="3"/>
        <charset val="134"/>
      </rPr>
      <t>会计机构负责人：</t>
    </r>
    <phoneticPr fontId="5" type="noConversion"/>
  </si>
  <si>
    <r>
      <rPr>
        <sz val="10"/>
        <rFont val="宋体"/>
        <family val="3"/>
        <charset val="134"/>
      </rPr>
      <t>经营活动现金流入小计</t>
    </r>
  </si>
  <si>
    <r>
      <rPr>
        <sz val="10"/>
        <rFont val="宋体"/>
        <family val="3"/>
        <charset val="134"/>
      </rPr>
      <t>经营活动现金流出小计</t>
    </r>
  </si>
  <si>
    <r>
      <rPr>
        <sz val="10"/>
        <rFont val="宋体"/>
        <family val="3"/>
        <charset val="134"/>
      </rPr>
      <t>经营活动产生的现金流量净额</t>
    </r>
  </si>
  <si>
    <r>
      <rPr>
        <sz val="10"/>
        <rFont val="宋体"/>
        <family val="3"/>
        <charset val="134"/>
      </rPr>
      <t>投资活动现金流入小计</t>
    </r>
  </si>
  <si>
    <r>
      <rPr>
        <sz val="10"/>
        <rFont val="宋体"/>
        <family val="3"/>
        <charset val="134"/>
      </rPr>
      <t>投资活动现金流出小计</t>
    </r>
  </si>
  <si>
    <r>
      <rPr>
        <sz val="10"/>
        <rFont val="宋体"/>
        <family val="3"/>
        <charset val="134"/>
      </rPr>
      <t>投资活动产生的现金流量净额</t>
    </r>
  </si>
  <si>
    <r>
      <rPr>
        <sz val="10"/>
        <rFont val="宋体"/>
        <family val="3"/>
        <charset val="134"/>
      </rPr>
      <t>筹资活动现金流入小计</t>
    </r>
  </si>
  <si>
    <r>
      <rPr>
        <sz val="10"/>
        <rFont val="宋体"/>
        <family val="3"/>
        <charset val="134"/>
      </rPr>
      <t>筹资活动现金流出小计</t>
    </r>
  </si>
  <si>
    <r>
      <rPr>
        <sz val="10"/>
        <rFont val="宋体"/>
        <family val="3"/>
        <charset val="134"/>
      </rPr>
      <t>筹资活动产生的现金流量净额</t>
    </r>
  </si>
  <si>
    <r>
      <rPr>
        <sz val="10"/>
        <rFont val="宋体"/>
        <family val="3"/>
        <charset val="134"/>
      </rPr>
      <t>五、现金及现金等价物净增加额</t>
    </r>
  </si>
  <si>
    <r>
      <rPr>
        <sz val="10"/>
        <rFont val="宋体"/>
        <family val="3"/>
        <charset val="134"/>
      </rPr>
      <t>六、期末现金及现金等价物余额</t>
    </r>
  </si>
  <si>
    <r>
      <rPr>
        <b/>
        <sz val="10"/>
        <rFont val="楷体_GB2312"/>
        <family val="3"/>
        <charset val="134"/>
      </rPr>
      <t>注释</t>
    </r>
    <phoneticPr fontId="40" type="noConversion"/>
  </si>
  <si>
    <r>
      <t xml:space="preserve">    </t>
    </r>
    <r>
      <rPr>
        <sz val="10"/>
        <rFont val="楷体_GB2312"/>
        <family val="3"/>
        <charset val="134"/>
      </rPr>
      <t>处置以公允价值计量且其变动计入当期损益的金融资产净增加额</t>
    </r>
    <phoneticPr fontId="5" type="noConversion"/>
  </si>
  <si>
    <r>
      <t xml:space="preserve">    1.</t>
    </r>
    <r>
      <rPr>
        <sz val="10"/>
        <rFont val="楷体_GB2312"/>
        <family val="3"/>
        <charset val="134"/>
      </rPr>
      <t>所有者投入的普通股</t>
    </r>
    <phoneticPr fontId="5" type="noConversion"/>
  </si>
  <si>
    <r>
      <t xml:space="preserve">    2.</t>
    </r>
    <r>
      <rPr>
        <sz val="10"/>
        <rFont val="宋体"/>
        <family val="3"/>
        <charset val="134"/>
      </rPr>
      <t>其他权益工具持有者投入资本</t>
    </r>
    <phoneticPr fontId="5" type="noConversion"/>
  </si>
  <si>
    <r>
      <t xml:space="preserve">    3.</t>
    </r>
    <r>
      <rPr>
        <sz val="10"/>
        <rFont val="楷体_GB2312"/>
        <family val="3"/>
        <charset val="134"/>
      </rPr>
      <t>股份支付计入所有者权益的金额</t>
    </r>
    <phoneticPr fontId="5" type="noConversion"/>
  </si>
  <si>
    <r>
      <t xml:space="preserve">    4.</t>
    </r>
    <r>
      <rPr>
        <sz val="10"/>
        <rFont val="楷体_GB2312"/>
        <family val="3"/>
        <charset val="134"/>
      </rPr>
      <t>其他</t>
    </r>
    <phoneticPr fontId="5" type="noConversion"/>
  </si>
  <si>
    <r>
      <t xml:space="preserve">    1.</t>
    </r>
    <r>
      <rPr>
        <sz val="10"/>
        <rFont val="楷体_GB2312"/>
        <family val="3"/>
        <charset val="134"/>
      </rPr>
      <t>提取专项储备</t>
    </r>
    <phoneticPr fontId="5" type="noConversion"/>
  </si>
  <si>
    <r>
      <t xml:space="preserve">    2.</t>
    </r>
    <r>
      <rPr>
        <sz val="10"/>
        <rFont val="楷体_GB2312"/>
        <family val="3"/>
        <charset val="134"/>
      </rPr>
      <t>使用专项储备</t>
    </r>
    <phoneticPr fontId="5" type="noConversion"/>
  </si>
  <si>
    <r>
      <t xml:space="preserve">    1.</t>
    </r>
    <r>
      <rPr>
        <sz val="10"/>
        <rFont val="楷体_GB2312"/>
        <family val="3"/>
        <charset val="134"/>
      </rPr>
      <t>提取盈余公积</t>
    </r>
    <phoneticPr fontId="5" type="noConversion"/>
  </si>
  <si>
    <r>
      <t xml:space="preserve">             </t>
    </r>
    <r>
      <rPr>
        <sz val="10"/>
        <rFont val="楷体_GB2312"/>
        <family val="3"/>
        <charset val="134"/>
      </rPr>
      <t>储备基金</t>
    </r>
    <phoneticPr fontId="5" type="noConversion"/>
  </si>
  <si>
    <r>
      <t xml:space="preserve">             </t>
    </r>
    <r>
      <rPr>
        <sz val="10"/>
        <rFont val="楷体_GB2312"/>
        <family val="3"/>
        <charset val="134"/>
      </rPr>
      <t>企业发展基金</t>
    </r>
    <phoneticPr fontId="5" type="noConversion"/>
  </si>
  <si>
    <r>
      <t xml:space="preserve">             </t>
    </r>
    <r>
      <rPr>
        <sz val="10"/>
        <rFont val="楷体_GB2312"/>
        <family val="3"/>
        <charset val="134"/>
      </rPr>
      <t>利润归还投资</t>
    </r>
    <phoneticPr fontId="5" type="noConversion"/>
  </si>
  <si>
    <r>
      <t xml:space="preserve">    2.</t>
    </r>
    <r>
      <rPr>
        <sz val="10"/>
        <rFont val="楷体_GB2312"/>
        <family val="3"/>
        <charset val="134"/>
      </rPr>
      <t>提取一般风险准备</t>
    </r>
    <phoneticPr fontId="5" type="noConversion"/>
  </si>
  <si>
    <r>
      <t xml:space="preserve">    3.</t>
    </r>
    <r>
      <rPr>
        <sz val="10"/>
        <rFont val="楷体_GB2312"/>
        <family val="3"/>
        <charset val="134"/>
      </rPr>
      <t>对所有者的分配</t>
    </r>
    <phoneticPr fontId="5" type="noConversion"/>
  </si>
  <si>
    <r>
      <t xml:space="preserve">    1.</t>
    </r>
    <r>
      <rPr>
        <sz val="10"/>
        <rFont val="楷体_GB2312"/>
        <family val="3"/>
        <charset val="134"/>
      </rPr>
      <t>资本公积转增资本</t>
    </r>
    <phoneticPr fontId="5" type="noConversion"/>
  </si>
  <si>
    <r>
      <t xml:space="preserve">    2.</t>
    </r>
    <r>
      <rPr>
        <sz val="10"/>
        <rFont val="楷体_GB2312"/>
        <family val="3"/>
        <charset val="134"/>
      </rPr>
      <t>盈余公积转增资本</t>
    </r>
    <phoneticPr fontId="5" type="noConversion"/>
  </si>
  <si>
    <r>
      <t xml:space="preserve">    3.</t>
    </r>
    <r>
      <rPr>
        <sz val="10"/>
        <rFont val="楷体_GB2312"/>
        <family val="3"/>
        <charset val="134"/>
      </rPr>
      <t>盈余公积弥补亏损</t>
    </r>
    <phoneticPr fontId="5" type="noConversion"/>
  </si>
  <si>
    <r>
      <t xml:space="preserve">    4.</t>
    </r>
    <r>
      <rPr>
        <sz val="10"/>
        <rFont val="宋体"/>
        <family val="3"/>
        <charset val="134"/>
      </rPr>
      <t>结转重新计量设定受益计划净负债或净资产所产生的变动</t>
    </r>
    <phoneticPr fontId="5" type="noConversion"/>
  </si>
  <si>
    <r>
      <t xml:space="preserve">    5.</t>
    </r>
    <r>
      <rPr>
        <sz val="10"/>
        <rFont val="楷体_GB2312"/>
        <family val="3"/>
        <charset val="134"/>
      </rPr>
      <t>其他</t>
    </r>
    <phoneticPr fontId="5" type="noConversion"/>
  </si>
  <si>
    <r>
      <rPr>
        <b/>
        <sz val="10"/>
        <rFont val="楷体_GB2312"/>
        <family val="3"/>
        <charset val="134"/>
      </rPr>
      <t>金额单位：人民币元</t>
    </r>
  </si>
  <si>
    <r>
      <rPr>
        <b/>
        <sz val="10"/>
        <rFont val="楷体_GB2312"/>
        <family val="3"/>
        <charset val="134"/>
      </rPr>
      <t>本年金额</t>
    </r>
    <phoneticPr fontId="5" type="noConversion"/>
  </si>
  <si>
    <r>
      <rPr>
        <b/>
        <sz val="10"/>
        <rFont val="楷体_GB2312"/>
        <family val="3"/>
        <charset val="134"/>
      </rPr>
      <t>上年金额</t>
    </r>
    <phoneticPr fontId="5" type="noConversion"/>
  </si>
  <si>
    <r>
      <rPr>
        <b/>
        <sz val="10"/>
        <rFont val="楷体_GB2312"/>
        <family val="3"/>
        <charset val="134"/>
      </rPr>
      <t>归属于母公司所有者权益</t>
    </r>
    <phoneticPr fontId="5" type="noConversion"/>
  </si>
  <si>
    <r>
      <rPr>
        <b/>
        <sz val="10"/>
        <rFont val="楷体_GB2312"/>
        <family val="3"/>
        <charset val="134"/>
      </rPr>
      <t>少数股东
权益</t>
    </r>
    <phoneticPr fontId="5" type="noConversion"/>
  </si>
  <si>
    <r>
      <rPr>
        <b/>
        <sz val="10"/>
        <rFont val="楷体_GB2312"/>
        <family val="3"/>
        <charset val="134"/>
      </rPr>
      <t>所有者权益
合计</t>
    </r>
    <phoneticPr fontId="5" type="noConversion"/>
  </si>
  <si>
    <r>
      <rPr>
        <b/>
        <sz val="10"/>
        <rFont val="楷体_GB2312"/>
        <family val="3"/>
        <charset val="134"/>
      </rPr>
      <t>实收资本</t>
    </r>
    <phoneticPr fontId="5" type="noConversion"/>
  </si>
  <si>
    <r>
      <rPr>
        <b/>
        <sz val="10"/>
        <rFont val="楷体_GB2312"/>
        <family val="3"/>
        <charset val="134"/>
      </rPr>
      <t>其他权益工具</t>
    </r>
    <phoneticPr fontId="5" type="noConversion"/>
  </si>
  <si>
    <r>
      <rPr>
        <b/>
        <sz val="10"/>
        <rFont val="楷体_GB2312"/>
        <family val="3"/>
        <charset val="134"/>
      </rPr>
      <t>资本公积</t>
    </r>
    <phoneticPr fontId="5" type="noConversion"/>
  </si>
  <si>
    <r>
      <rPr>
        <b/>
        <sz val="10"/>
        <rFont val="楷体_GB2312"/>
        <family val="3"/>
        <charset val="134"/>
      </rPr>
      <t>减：库存股</t>
    </r>
    <phoneticPr fontId="5" type="noConversion"/>
  </si>
  <si>
    <r>
      <rPr>
        <b/>
        <sz val="10"/>
        <rFont val="楷体_GB2312"/>
        <family val="3"/>
        <charset val="134"/>
      </rPr>
      <t>其他综合收益</t>
    </r>
    <phoneticPr fontId="5" type="noConversion"/>
  </si>
  <si>
    <r>
      <rPr>
        <b/>
        <sz val="10"/>
        <rFont val="楷体_GB2312"/>
        <family val="3"/>
        <charset val="134"/>
      </rPr>
      <t>专项储备</t>
    </r>
    <phoneticPr fontId="5" type="noConversion"/>
  </si>
  <si>
    <r>
      <rPr>
        <b/>
        <sz val="10"/>
        <rFont val="楷体_GB2312"/>
        <family val="3"/>
        <charset val="134"/>
      </rPr>
      <t>盈余公积</t>
    </r>
    <phoneticPr fontId="5" type="noConversion"/>
  </si>
  <si>
    <r>
      <rPr>
        <b/>
        <sz val="10"/>
        <rFont val="楷体_GB2312"/>
        <family val="3"/>
        <charset val="134"/>
      </rPr>
      <t>一般风险准备</t>
    </r>
    <phoneticPr fontId="5" type="noConversion"/>
  </si>
  <si>
    <r>
      <rPr>
        <b/>
        <sz val="10"/>
        <rFont val="楷体_GB2312"/>
        <family val="3"/>
        <charset val="134"/>
      </rPr>
      <t>未分配利润</t>
    </r>
    <phoneticPr fontId="5" type="noConversion"/>
  </si>
  <si>
    <r>
      <rPr>
        <b/>
        <sz val="10"/>
        <rFont val="楷体_GB2312"/>
        <family val="3"/>
        <charset val="134"/>
      </rPr>
      <t>其他</t>
    </r>
    <phoneticPr fontId="5" type="noConversion"/>
  </si>
  <si>
    <r>
      <rPr>
        <b/>
        <sz val="10"/>
        <rFont val="楷体_GB2312"/>
        <family val="3"/>
        <charset val="134"/>
      </rPr>
      <t>小计</t>
    </r>
    <phoneticPr fontId="5" type="noConversion"/>
  </si>
  <si>
    <r>
      <rPr>
        <b/>
        <sz val="10"/>
        <rFont val="楷体_GB2312"/>
        <family val="3"/>
        <charset val="134"/>
      </rPr>
      <t>一、上年年末余额</t>
    </r>
    <phoneticPr fontId="5" type="noConversion"/>
  </si>
  <si>
    <r>
      <t xml:space="preserve">    </t>
    </r>
    <r>
      <rPr>
        <sz val="10"/>
        <rFont val="楷体_GB2312"/>
        <family val="3"/>
        <charset val="134"/>
      </rPr>
      <t>加：会计政策变更</t>
    </r>
    <phoneticPr fontId="5" type="noConversion"/>
  </si>
  <si>
    <r>
      <t xml:space="preserve">        </t>
    </r>
    <r>
      <rPr>
        <sz val="10"/>
        <rFont val="楷体_GB2312"/>
        <family val="3"/>
        <charset val="134"/>
      </rPr>
      <t>前期差错更正</t>
    </r>
    <phoneticPr fontId="5" type="noConversion"/>
  </si>
  <si>
    <r>
      <t xml:space="preserve">        </t>
    </r>
    <r>
      <rPr>
        <sz val="10"/>
        <rFont val="楷体_GB2312"/>
        <family val="3"/>
        <charset val="134"/>
      </rPr>
      <t>其他</t>
    </r>
    <phoneticPr fontId="5" type="noConversion"/>
  </si>
  <si>
    <r>
      <rPr>
        <b/>
        <sz val="10"/>
        <rFont val="楷体_GB2312"/>
        <family val="3"/>
        <charset val="134"/>
      </rPr>
      <t>二、本年年初余额</t>
    </r>
    <phoneticPr fontId="5" type="noConversion"/>
  </si>
  <si>
    <r>
      <rPr>
        <b/>
        <sz val="10"/>
        <rFont val="楷体_GB2312"/>
        <family val="3"/>
        <charset val="134"/>
      </rPr>
      <t>三、本年增减变动金额（减少以</t>
    </r>
    <r>
      <rPr>
        <b/>
        <sz val="10"/>
        <rFont val="Arial Narrow"/>
        <family val="2"/>
      </rPr>
      <t>“</t>
    </r>
    <r>
      <rPr>
        <b/>
        <sz val="10"/>
        <rFont val="楷体_GB2312"/>
        <family val="3"/>
        <charset val="134"/>
      </rPr>
      <t>－</t>
    </r>
    <r>
      <rPr>
        <b/>
        <sz val="10"/>
        <rFont val="Arial Narrow"/>
        <family val="2"/>
      </rPr>
      <t>”</t>
    </r>
    <r>
      <rPr>
        <b/>
        <sz val="10"/>
        <rFont val="楷体_GB2312"/>
        <family val="3"/>
        <charset val="134"/>
      </rPr>
      <t>号填列）</t>
    </r>
    <phoneticPr fontId="5" type="noConversion"/>
  </si>
  <si>
    <r>
      <t xml:space="preserve">   </t>
    </r>
    <r>
      <rPr>
        <sz val="10"/>
        <rFont val="楷体_GB2312"/>
        <family val="3"/>
        <charset val="134"/>
      </rPr>
      <t>（一）综合收益总额</t>
    </r>
    <phoneticPr fontId="5" type="noConversion"/>
  </si>
  <si>
    <r>
      <t xml:space="preserve">   </t>
    </r>
    <r>
      <rPr>
        <sz val="10"/>
        <rFont val="楷体_GB2312"/>
        <family val="3"/>
        <charset val="134"/>
      </rPr>
      <t>（二）所有者投入和减少资本</t>
    </r>
    <phoneticPr fontId="5" type="noConversion"/>
  </si>
  <si>
    <r>
      <t xml:space="preserve">   </t>
    </r>
    <r>
      <rPr>
        <sz val="10"/>
        <rFont val="楷体_GB2312"/>
        <family val="3"/>
        <charset val="134"/>
      </rPr>
      <t>（三）专项储备提取和使用</t>
    </r>
    <phoneticPr fontId="5" type="noConversion"/>
  </si>
  <si>
    <r>
      <t xml:space="preserve">   </t>
    </r>
    <r>
      <rPr>
        <sz val="10"/>
        <rFont val="楷体_GB2312"/>
        <family val="3"/>
        <charset val="134"/>
      </rPr>
      <t>（四）利润分配</t>
    </r>
    <phoneticPr fontId="5" type="noConversion"/>
  </si>
  <si>
    <r>
      <t xml:space="preserve">  </t>
    </r>
    <r>
      <rPr>
        <sz val="10"/>
        <rFont val="楷体_GB2312"/>
        <family val="3"/>
        <charset val="134"/>
      </rPr>
      <t>（五）所有者权益内部结转</t>
    </r>
    <phoneticPr fontId="5" type="noConversion"/>
  </si>
  <si>
    <r>
      <rPr>
        <b/>
        <sz val="10"/>
        <rFont val="楷体_GB2312"/>
        <family val="3"/>
        <charset val="134"/>
      </rPr>
      <t>四、本年年末余额</t>
    </r>
    <phoneticPr fontId="5" type="noConversion"/>
  </si>
  <si>
    <r>
      <rPr>
        <b/>
        <sz val="10"/>
        <rFont val="楷体_GB2312"/>
        <family val="3"/>
        <charset val="134"/>
      </rPr>
      <t>单位负责人：</t>
    </r>
    <r>
      <rPr>
        <b/>
        <sz val="10"/>
        <rFont val="Arial Narrow"/>
        <family val="2"/>
      </rPr>
      <t xml:space="preserve">                                                                           </t>
    </r>
    <r>
      <rPr>
        <b/>
        <sz val="10"/>
        <rFont val="楷体_GB2312"/>
        <family val="3"/>
        <charset val="134"/>
      </rPr>
      <t>主管会计工作的负责人：</t>
    </r>
    <r>
      <rPr>
        <b/>
        <sz val="10"/>
        <rFont val="Arial Narrow"/>
        <family val="2"/>
      </rPr>
      <t xml:space="preserve">                                                                           </t>
    </r>
    <r>
      <rPr>
        <b/>
        <sz val="10"/>
        <rFont val="楷体_GB2312"/>
        <family val="3"/>
        <charset val="134"/>
      </rPr>
      <t>会计机构负责人：</t>
    </r>
    <phoneticPr fontId="5" type="noConversion"/>
  </si>
  <si>
    <r>
      <rPr>
        <sz val="10"/>
        <rFont val="楷体_GB2312"/>
        <family val="3"/>
        <charset val="134"/>
      </rPr>
      <t>核对</t>
    </r>
    <phoneticPr fontId="5" type="noConversion"/>
  </si>
  <si>
    <r>
      <t>1-</t>
    </r>
    <r>
      <rPr>
        <sz val="10"/>
        <rFont val="楷体_GB2312"/>
        <family val="3"/>
        <charset val="134"/>
      </rPr>
      <t>本年年初与上年年末</t>
    </r>
    <phoneticPr fontId="5" type="noConversion"/>
  </si>
  <si>
    <r>
      <t>2-</t>
    </r>
    <r>
      <rPr>
        <sz val="10"/>
        <rFont val="楷体_GB2312"/>
        <family val="3"/>
        <charset val="134"/>
      </rPr>
      <t>本年年初与资产负债表年初数</t>
    </r>
    <phoneticPr fontId="5" type="noConversion"/>
  </si>
  <si>
    <r>
      <t>3-</t>
    </r>
    <r>
      <rPr>
        <sz val="10"/>
        <rFont val="楷体_GB2312"/>
        <family val="3"/>
        <charset val="134"/>
      </rPr>
      <t>本年年末与资产负债表年末数</t>
    </r>
    <phoneticPr fontId="5" type="noConversion"/>
  </si>
  <si>
    <r>
      <t>4-</t>
    </r>
    <r>
      <rPr>
        <sz val="10"/>
        <rFont val="楷体_GB2312"/>
        <family val="3"/>
        <charset val="134"/>
      </rPr>
      <t>权益变动表与利润表</t>
    </r>
    <phoneticPr fontId="5" type="noConversion"/>
  </si>
  <si>
    <r>
      <rPr>
        <sz val="10"/>
        <rFont val="楷体_GB2312"/>
        <family val="3"/>
        <charset val="134"/>
      </rPr>
      <t>表内关系勾稽</t>
    </r>
    <phoneticPr fontId="5" type="noConversion"/>
  </si>
  <si>
    <r>
      <rPr>
        <b/>
        <sz val="10"/>
        <rFont val="楷体_GB2312"/>
        <family val="3"/>
        <charset val="134"/>
      </rPr>
      <t>本期增加额</t>
    </r>
  </si>
  <si>
    <r>
      <rPr>
        <b/>
        <sz val="10"/>
        <rFont val="楷体_GB2312"/>
        <family val="3"/>
        <charset val="134"/>
      </rPr>
      <t>本期减少额</t>
    </r>
  </si>
  <si>
    <r>
      <rPr>
        <b/>
        <sz val="10"/>
        <rFont val="楷体_GB2312"/>
        <family val="3"/>
        <charset val="134"/>
      </rPr>
      <t>本期计提额</t>
    </r>
  </si>
  <si>
    <r>
      <rPr>
        <b/>
        <sz val="10"/>
        <rFont val="楷体_GB2312"/>
        <family val="3"/>
        <charset val="134"/>
      </rPr>
      <t>合并增加额</t>
    </r>
    <phoneticPr fontId="5" type="noConversion"/>
  </si>
  <si>
    <r>
      <rPr>
        <b/>
        <sz val="10"/>
        <rFont val="楷体_GB2312"/>
        <family val="3"/>
        <charset val="134"/>
      </rPr>
      <t>合计</t>
    </r>
    <phoneticPr fontId="5" type="noConversion"/>
  </si>
  <si>
    <r>
      <rPr>
        <b/>
        <sz val="10"/>
        <rFont val="楷体_GB2312"/>
        <family val="3"/>
        <charset val="134"/>
      </rPr>
      <t>合并减少额</t>
    </r>
    <phoneticPr fontId="5" type="noConversion"/>
  </si>
  <si>
    <r>
      <rPr>
        <b/>
        <sz val="10"/>
        <rFont val="楷体_GB2312"/>
        <family val="3"/>
        <charset val="134"/>
      </rPr>
      <t>年初账面余额</t>
    </r>
    <phoneticPr fontId="5" type="noConversion"/>
  </si>
  <si>
    <r>
      <rPr>
        <b/>
        <sz val="10"/>
        <rFont val="楷体_GB2312"/>
        <family val="3"/>
        <charset val="134"/>
      </rPr>
      <t>金额</t>
    </r>
    <phoneticPr fontId="5" type="noConversion"/>
  </si>
  <si>
    <r>
      <rPr>
        <b/>
        <sz val="10"/>
        <rFont val="楷体_GB2312"/>
        <family val="3"/>
        <charset val="134"/>
      </rPr>
      <t>其他原因增加额</t>
    </r>
    <phoneticPr fontId="5" type="noConversion"/>
  </si>
  <si>
    <r>
      <rPr>
        <b/>
        <sz val="10"/>
        <rFont val="楷体_GB2312"/>
        <family val="3"/>
        <charset val="134"/>
      </rPr>
      <t>转销额</t>
    </r>
    <phoneticPr fontId="5" type="noConversion"/>
  </si>
  <si>
    <r>
      <rPr>
        <b/>
        <sz val="10"/>
        <rFont val="楷体_GB2312"/>
        <family val="3"/>
        <charset val="134"/>
      </rPr>
      <t>其他原因减少额</t>
    </r>
    <phoneticPr fontId="5" type="noConversion"/>
  </si>
  <si>
    <r>
      <t xml:space="preserve">        </t>
    </r>
    <r>
      <rPr>
        <sz val="10"/>
        <rFont val="楷体_GB2312"/>
        <family val="3"/>
        <charset val="134"/>
      </rPr>
      <t>固定资产毁损、报废</t>
    </r>
    <phoneticPr fontId="5" type="noConversion"/>
  </si>
  <si>
    <r>
      <rPr>
        <sz val="10"/>
        <rFont val="楷体_GB2312"/>
        <family val="3"/>
        <charset val="134"/>
      </rPr>
      <t>其中：在当年损益中处理以前年度损失挂账</t>
    </r>
    <phoneticPr fontId="5" type="noConversion"/>
  </si>
  <si>
    <r>
      <rPr>
        <b/>
        <sz val="10"/>
        <rFont val="楷体_GB2312"/>
        <family val="3"/>
        <charset val="134"/>
      </rPr>
      <t>期末账面余额</t>
    </r>
    <phoneticPr fontId="5" type="noConversion"/>
  </si>
  <si>
    <r>
      <rPr>
        <b/>
        <sz val="10"/>
        <rFont val="楷体_GB2312"/>
        <family val="3"/>
        <charset val="134"/>
      </rPr>
      <t>一、待处理资产净损失</t>
    </r>
    <r>
      <rPr>
        <b/>
        <sz val="10"/>
        <rFont val="Arial Narrow"/>
        <family val="2"/>
      </rPr>
      <t>(</t>
    </r>
    <r>
      <rPr>
        <b/>
        <sz val="10"/>
        <rFont val="楷体_GB2312"/>
        <family val="3"/>
        <charset val="134"/>
      </rPr>
      <t>执行行业会计制度企业填列</t>
    </r>
    <r>
      <rPr>
        <b/>
        <sz val="10"/>
        <rFont val="Arial Narrow"/>
        <family val="2"/>
      </rPr>
      <t>)</t>
    </r>
    <phoneticPr fontId="5" type="noConversion"/>
  </si>
  <si>
    <r>
      <t xml:space="preserve">     (</t>
    </r>
    <r>
      <rPr>
        <sz val="10"/>
        <rFont val="楷体_GB2312"/>
        <family val="3"/>
        <charset val="134"/>
      </rPr>
      <t>二</t>
    </r>
    <r>
      <rPr>
        <sz val="10"/>
        <rFont val="Arial Narrow"/>
        <family val="2"/>
      </rPr>
      <t>)</t>
    </r>
    <r>
      <rPr>
        <sz val="10"/>
        <rFont val="楷体_GB2312"/>
        <family val="3"/>
        <charset val="134"/>
      </rPr>
      <t>固定资产净损失</t>
    </r>
    <phoneticPr fontId="5" type="noConversion"/>
  </si>
  <si>
    <r>
      <rPr>
        <b/>
        <sz val="10"/>
        <rFont val="楷体_GB2312"/>
        <family val="3"/>
        <charset val="134"/>
      </rPr>
      <t>单位负责人：</t>
    </r>
    <r>
      <rPr>
        <b/>
        <sz val="10"/>
        <rFont val="Arial Narrow"/>
        <family val="2"/>
      </rPr>
      <t xml:space="preserve">                                                     </t>
    </r>
    <r>
      <rPr>
        <b/>
        <sz val="10"/>
        <rFont val="楷体_GB2312"/>
        <family val="3"/>
        <charset val="134"/>
      </rPr>
      <t>主管会计工作的负责人：</t>
    </r>
    <r>
      <rPr>
        <b/>
        <sz val="10"/>
        <rFont val="Arial Narrow"/>
        <family val="2"/>
      </rPr>
      <t xml:space="preserve">                                                </t>
    </r>
    <r>
      <rPr>
        <b/>
        <sz val="10"/>
        <rFont val="楷体_GB2312"/>
        <family val="3"/>
        <charset val="134"/>
      </rPr>
      <t>会计机构负责人：</t>
    </r>
    <phoneticPr fontId="5" type="noConversion"/>
  </si>
  <si>
    <r>
      <t xml:space="preserve">     (</t>
    </r>
    <r>
      <rPr>
        <sz val="10"/>
        <rFont val="楷体_GB2312"/>
        <family val="3"/>
        <charset val="134"/>
      </rPr>
      <t>四</t>
    </r>
    <r>
      <rPr>
        <sz val="10"/>
        <rFont val="Arial Narrow"/>
        <family val="2"/>
      </rPr>
      <t>)</t>
    </r>
    <r>
      <rPr>
        <sz val="10"/>
        <rFont val="楷体_GB2312"/>
        <family val="3"/>
        <charset val="134"/>
      </rPr>
      <t>无形资产损失</t>
    </r>
    <phoneticPr fontId="5" type="noConversion"/>
  </si>
  <si>
    <r>
      <rPr>
        <b/>
        <sz val="10"/>
        <rFont val="楷体_GB2312"/>
        <family val="3"/>
        <charset val="134"/>
      </rPr>
      <t>合</t>
    </r>
    <r>
      <rPr>
        <b/>
        <sz val="10"/>
        <rFont val="Arial Narrow"/>
        <family val="2"/>
      </rPr>
      <t xml:space="preserve">     </t>
    </r>
    <r>
      <rPr>
        <b/>
        <sz val="10"/>
        <rFont val="楷体_GB2312"/>
        <family val="3"/>
        <charset val="134"/>
      </rPr>
      <t>计</t>
    </r>
    <phoneticPr fontId="5" type="noConversion"/>
  </si>
  <si>
    <r>
      <t xml:space="preserve">     </t>
    </r>
    <r>
      <rPr>
        <sz val="10"/>
        <rFont val="楷体_GB2312"/>
        <family val="3"/>
        <charset val="134"/>
      </rPr>
      <t>其中：坏账损失</t>
    </r>
    <phoneticPr fontId="5" type="noConversion"/>
  </si>
  <si>
    <r>
      <t xml:space="preserve">     (</t>
    </r>
    <r>
      <rPr>
        <sz val="10"/>
        <rFont val="楷体_GB2312"/>
        <family val="3"/>
        <charset val="134"/>
      </rPr>
      <t>三</t>
    </r>
    <r>
      <rPr>
        <sz val="10"/>
        <rFont val="Arial Narrow"/>
        <family val="2"/>
      </rPr>
      <t>)</t>
    </r>
    <r>
      <rPr>
        <sz val="10"/>
        <rFont val="楷体_GB2312"/>
        <family val="3"/>
        <charset val="134"/>
      </rPr>
      <t>长期投资损失</t>
    </r>
    <phoneticPr fontId="5" type="noConversion"/>
  </si>
  <si>
    <r>
      <rPr>
        <sz val="10"/>
        <rFont val="楷体_GB2312"/>
        <family val="3"/>
        <charset val="134"/>
      </rPr>
      <t>补充资料：</t>
    </r>
    <phoneticPr fontId="5" type="noConversion"/>
  </si>
  <si>
    <r>
      <t xml:space="preserve">    (</t>
    </r>
    <r>
      <rPr>
        <sz val="10"/>
        <rFont val="楷体_GB2312"/>
        <family val="3"/>
        <charset val="134"/>
      </rPr>
      <t>一</t>
    </r>
    <r>
      <rPr>
        <sz val="10"/>
        <rFont val="Arial Narrow"/>
        <family val="2"/>
      </rPr>
      <t>)</t>
    </r>
    <r>
      <rPr>
        <sz val="10"/>
        <rFont val="楷体_GB2312"/>
        <family val="3"/>
        <charset val="134"/>
      </rPr>
      <t>流动资产净损失</t>
    </r>
    <phoneticPr fontId="5" type="noConversion"/>
  </si>
  <si>
    <r>
      <t xml:space="preserve">        </t>
    </r>
    <r>
      <rPr>
        <sz val="10"/>
        <rFont val="楷体_GB2312"/>
        <family val="3"/>
        <charset val="134"/>
      </rPr>
      <t>存货损失</t>
    </r>
    <phoneticPr fontId="5" type="noConversion"/>
  </si>
  <si>
    <r>
      <t xml:space="preserve">        </t>
    </r>
    <r>
      <rPr>
        <sz val="10"/>
        <rFont val="楷体_GB2312"/>
        <family val="3"/>
        <charset val="134"/>
      </rPr>
      <t>短期投资损失</t>
    </r>
    <phoneticPr fontId="5" type="noConversion"/>
  </si>
  <si>
    <r>
      <t xml:space="preserve">     </t>
    </r>
    <r>
      <rPr>
        <sz val="10"/>
        <rFont val="楷体_GB2312"/>
        <family val="3"/>
        <charset val="134"/>
      </rPr>
      <t>其中：固定资产盘亏</t>
    </r>
    <phoneticPr fontId="5" type="noConversion"/>
  </si>
  <si>
    <r>
      <t xml:space="preserve">        </t>
    </r>
    <r>
      <rPr>
        <sz val="10"/>
        <rFont val="楷体_GB2312"/>
        <family val="3"/>
        <charset val="134"/>
      </rPr>
      <t>固定资产盘盈</t>
    </r>
    <phoneticPr fontId="5" type="noConversion"/>
  </si>
  <si>
    <r>
      <t xml:space="preserve">     (</t>
    </r>
    <r>
      <rPr>
        <sz val="10"/>
        <rFont val="楷体_GB2312"/>
        <family val="3"/>
        <charset val="134"/>
      </rPr>
      <t>五</t>
    </r>
    <r>
      <rPr>
        <sz val="10"/>
        <rFont val="Arial Narrow"/>
        <family val="2"/>
      </rPr>
      <t>)</t>
    </r>
    <r>
      <rPr>
        <sz val="10"/>
        <rFont val="楷体_GB2312"/>
        <family val="3"/>
        <charset val="134"/>
      </rPr>
      <t>在建工程损失</t>
    </r>
    <phoneticPr fontId="5" type="noConversion"/>
  </si>
  <si>
    <r>
      <t xml:space="preserve">     (</t>
    </r>
    <r>
      <rPr>
        <sz val="10"/>
        <rFont val="楷体_GB2312"/>
        <family val="3"/>
        <charset val="134"/>
      </rPr>
      <t>六</t>
    </r>
    <r>
      <rPr>
        <sz val="10"/>
        <rFont val="Arial Narrow"/>
        <family val="2"/>
      </rPr>
      <t>)</t>
    </r>
    <r>
      <rPr>
        <sz val="10"/>
        <rFont val="楷体_GB2312"/>
        <family val="3"/>
        <charset val="134"/>
      </rPr>
      <t>委托贷款损失</t>
    </r>
    <phoneticPr fontId="5" type="noConversion"/>
  </si>
  <si>
    <r>
      <rPr>
        <b/>
        <sz val="10"/>
        <rFont val="楷体_GB2312"/>
        <family val="3"/>
        <charset val="134"/>
      </rPr>
      <t>二、政策性挂账</t>
    </r>
    <phoneticPr fontId="5" type="noConversion"/>
  </si>
  <si>
    <r>
      <rPr>
        <b/>
        <sz val="10"/>
        <rFont val="楷体_GB2312"/>
        <family val="3"/>
        <charset val="134"/>
      </rPr>
      <t>三、当年处理以前年度损失和挂账</t>
    </r>
    <phoneticPr fontId="5" type="noConversion"/>
  </si>
  <si>
    <r>
      <rPr>
        <sz val="10"/>
        <rFont val="宋体"/>
        <family val="3"/>
        <charset val="134"/>
      </rPr>
      <t>涉及的会计科目</t>
    </r>
  </si>
  <si>
    <r>
      <rPr>
        <sz val="10"/>
        <rFont val="宋体"/>
        <family val="3"/>
        <charset val="134"/>
      </rPr>
      <t>财务费用（根据审计工作底稿）</t>
    </r>
  </si>
  <si>
    <r>
      <rPr>
        <sz val="10"/>
        <rFont val="宋体"/>
        <family val="3"/>
        <charset val="134"/>
      </rPr>
      <t>资产减值损失、坏账准备（根据审计工作底稿）</t>
    </r>
  </si>
  <si>
    <r>
      <rPr>
        <sz val="10"/>
        <rFont val="宋体"/>
        <family val="3"/>
        <charset val="134"/>
      </rPr>
      <t>应收票据（根据企业填列的明细表）</t>
    </r>
  </si>
  <si>
    <r>
      <rPr>
        <sz val="10"/>
        <rFont val="宋体"/>
        <family val="3"/>
        <charset val="134"/>
      </rPr>
      <t>应收账款（根据审计工作底稿）</t>
    </r>
  </si>
  <si>
    <r>
      <rPr>
        <sz val="10"/>
        <rFont val="宋体"/>
        <family val="3"/>
        <charset val="134"/>
      </rPr>
      <t>应收账款、应付账款（根据审计工作底稿）</t>
    </r>
  </si>
  <si>
    <r>
      <rPr>
        <sz val="10"/>
        <rFont val="宋体"/>
        <family val="3"/>
        <charset val="134"/>
      </rPr>
      <t>预提费用（根据企业提供的明细表</t>
    </r>
  </si>
  <si>
    <r>
      <rPr>
        <sz val="10"/>
        <rFont val="宋体"/>
        <family val="3"/>
        <charset val="134"/>
      </rPr>
      <t>应收账款、固定资产、应收票据（根据审计工作底稿）</t>
    </r>
  </si>
  <si>
    <r>
      <rPr>
        <sz val="10"/>
        <rFont val="宋体"/>
        <family val="3"/>
        <charset val="134"/>
      </rPr>
      <t>对方科目</t>
    </r>
  </si>
  <si>
    <r>
      <rPr>
        <sz val="10"/>
        <rFont val="宋体"/>
        <family val="3"/>
        <charset val="134"/>
      </rPr>
      <t>营业税金及附加、营业外收入、其他应收款</t>
    </r>
  </si>
  <si>
    <r>
      <rPr>
        <sz val="10"/>
        <rFont val="宋体"/>
        <family val="3"/>
        <charset val="134"/>
      </rPr>
      <t>存货的增加的非付现部分</t>
    </r>
  </si>
  <si>
    <r>
      <rPr>
        <sz val="10"/>
        <rFont val="宋体"/>
        <family val="3"/>
        <charset val="134"/>
      </rPr>
      <t>存货增加中的非付现部分</t>
    </r>
  </si>
  <si>
    <r>
      <rPr>
        <sz val="10"/>
        <rFont val="宋体"/>
        <family val="3"/>
        <charset val="134"/>
      </rPr>
      <t>交易性金额资产</t>
    </r>
  </si>
  <si>
    <r>
      <rPr>
        <sz val="10"/>
        <rFont val="宋体"/>
        <family val="3"/>
        <charset val="134"/>
      </rPr>
      <t>应收股利、投资收益</t>
    </r>
  </si>
  <si>
    <r>
      <rPr>
        <sz val="10"/>
        <rFont val="宋体"/>
        <family val="3"/>
        <charset val="134"/>
      </rPr>
      <t>应收利息、投资收益</t>
    </r>
  </si>
  <si>
    <r>
      <rPr>
        <sz val="10"/>
        <rFont val="宋体"/>
        <family val="3"/>
        <charset val="134"/>
      </rPr>
      <t>固定资产清理、无形资产、营业外收入</t>
    </r>
  </si>
  <si>
    <r>
      <rPr>
        <sz val="10"/>
        <rFont val="宋体"/>
        <family val="3"/>
        <charset val="134"/>
      </rPr>
      <t>固定资产清理、其他应收款</t>
    </r>
  </si>
  <si>
    <r>
      <rPr>
        <sz val="10"/>
        <rFont val="宋体"/>
        <family val="3"/>
        <charset val="134"/>
      </rPr>
      <t>固定资产、在建工程、工程物资、无形资产等科目</t>
    </r>
  </si>
  <si>
    <r>
      <rPr>
        <sz val="10"/>
        <rFont val="宋体"/>
        <family val="3"/>
        <charset val="134"/>
      </rPr>
      <t>应交增值税进项税</t>
    </r>
  </si>
  <si>
    <r>
      <rPr>
        <sz val="10"/>
        <rFont val="宋体"/>
        <family val="3"/>
        <charset val="134"/>
      </rPr>
      <t>固定资产、在建工程、无形资产等科目</t>
    </r>
  </si>
  <si>
    <r>
      <rPr>
        <sz val="10"/>
        <rFont val="宋体"/>
        <family val="3"/>
        <charset val="134"/>
      </rPr>
      <t>结合长期股权投资、非货性资产交换、债务重组审计工作抵稿填列</t>
    </r>
  </si>
  <si>
    <r>
      <rPr>
        <sz val="10"/>
        <rFont val="宋体"/>
        <family val="3"/>
        <charset val="134"/>
      </rPr>
      <t>结合审计工作底稿填列</t>
    </r>
  </si>
  <si>
    <r>
      <rPr>
        <sz val="10"/>
        <rFont val="宋体"/>
        <family val="3"/>
        <charset val="134"/>
      </rPr>
      <t>交易性金融资产、持有至到期投资、可供出售金融资产</t>
    </r>
  </si>
  <si>
    <r>
      <rPr>
        <sz val="10"/>
        <rFont val="宋体"/>
        <family val="3"/>
        <charset val="134"/>
      </rPr>
      <t>实收资本、资本公积</t>
    </r>
  </si>
  <si>
    <r>
      <rPr>
        <sz val="10"/>
        <rFont val="宋体"/>
        <family val="3"/>
        <charset val="134"/>
      </rPr>
      <t>短期借款</t>
    </r>
  </si>
  <si>
    <r>
      <rPr>
        <sz val="10"/>
        <rFont val="宋体"/>
        <family val="3"/>
        <charset val="134"/>
      </rPr>
      <t>应付股利、利润分配</t>
    </r>
  </si>
  <si>
    <r>
      <rPr>
        <sz val="10"/>
        <rFont val="宋体"/>
        <family val="3"/>
        <charset val="134"/>
      </rPr>
      <t>应付利息、利润分配</t>
    </r>
  </si>
  <si>
    <r>
      <rPr>
        <sz val="10"/>
        <rFont val="宋体"/>
        <family val="3"/>
        <charset val="134"/>
      </rPr>
      <t>财务费用、在建工程、研发费用、应付利息</t>
    </r>
  </si>
  <si>
    <r>
      <rPr>
        <sz val="10"/>
        <rFont val="宋体"/>
        <family val="3"/>
        <charset val="134"/>
      </rPr>
      <t>财务费用、在建工程、研发费用、应付债券</t>
    </r>
  </si>
  <si>
    <r>
      <rPr>
        <sz val="10"/>
        <rFont val="宋体"/>
        <family val="3"/>
        <charset val="134"/>
      </rPr>
      <t>管理费用等</t>
    </r>
  </si>
  <si>
    <r>
      <rPr>
        <sz val="10"/>
        <color theme="0"/>
        <rFont val="宋体"/>
        <family val="3"/>
        <charset val="134"/>
      </rPr>
      <t>说明：本复核表系根据所里现金流量工作底稿修改，以前该底稿多数项目组未做，或到归档时才做（质量也不行）。现将现金流量表的复核提前，有些数据直接链接调整系统主表或附注数据，同时在审计各科目时可将相关数据直接填列本表，以便提前发现现金流量表的异常并减少后期归档时现金流量工作底稿的工作量，所以请认真填列。</t>
    </r>
    <phoneticPr fontId="5" type="noConversion"/>
  </si>
  <si>
    <r>
      <rPr>
        <u/>
        <sz val="10"/>
        <color theme="2"/>
        <rFont val="宋体"/>
        <family val="3"/>
        <charset val="134"/>
      </rPr>
      <t>返回目录</t>
    </r>
  </si>
  <si>
    <r>
      <rPr>
        <b/>
        <sz val="10"/>
        <rFont val="Arial"/>
        <family val="2"/>
      </rPr>
      <t>被审计单位：</t>
    </r>
  </si>
  <si>
    <r>
      <rPr>
        <b/>
        <sz val="10"/>
        <rFont val="宋体"/>
        <family val="3"/>
        <charset val="134"/>
      </rPr>
      <t>索引号：</t>
    </r>
    <r>
      <rPr>
        <b/>
        <sz val="10"/>
        <rFont val="Arial Narrow"/>
        <family val="2"/>
      </rPr>
      <t xml:space="preserve"> </t>
    </r>
  </si>
  <si>
    <r>
      <rPr>
        <b/>
        <sz val="10"/>
        <rFont val="宋体"/>
        <family val="3"/>
        <charset val="134"/>
      </rPr>
      <t>编制人：</t>
    </r>
    <r>
      <rPr>
        <b/>
        <sz val="10"/>
        <rFont val="Arial Narrow"/>
        <family val="2"/>
      </rPr>
      <t xml:space="preserve"> </t>
    </r>
  </si>
  <si>
    <r>
      <rPr>
        <sz val="10"/>
        <rFont val="宋体"/>
        <family val="3"/>
        <charset val="134"/>
      </rPr>
      <t>行号</t>
    </r>
    <phoneticPr fontId="5" type="noConversion"/>
  </si>
  <si>
    <r>
      <rPr>
        <b/>
        <sz val="10"/>
        <rFont val="Arial"/>
        <family val="2"/>
      </rPr>
      <t>审计截止日期：</t>
    </r>
  </si>
  <si>
    <r>
      <rPr>
        <b/>
        <sz val="10"/>
        <rFont val="宋体"/>
        <family val="3"/>
        <charset val="134"/>
      </rPr>
      <t>复核人：</t>
    </r>
    <r>
      <rPr>
        <b/>
        <sz val="10"/>
        <rFont val="Arial Narrow"/>
        <family val="2"/>
      </rPr>
      <t xml:space="preserve"> </t>
    </r>
  </si>
  <si>
    <r>
      <rPr>
        <sz val="10"/>
        <rFont val="宋体"/>
        <family val="3"/>
        <charset val="134"/>
      </rPr>
      <t>各项差异明细</t>
    </r>
    <phoneticPr fontId="5" type="noConversion"/>
  </si>
  <si>
    <r>
      <rPr>
        <sz val="10"/>
        <rFont val="宋体"/>
        <family val="3"/>
        <charset val="134"/>
      </rPr>
      <t>编制说明：</t>
    </r>
    <phoneticPr fontId="5" type="noConversion"/>
  </si>
  <si>
    <r>
      <rPr>
        <u/>
        <sz val="10"/>
        <rFont val="宋体"/>
        <family val="3"/>
        <charset val="134"/>
      </rPr>
      <t>返回目录</t>
    </r>
  </si>
  <si>
    <r>
      <rPr>
        <sz val="10"/>
        <rFont val="宋体"/>
        <family val="3"/>
        <charset val="134"/>
      </rPr>
      <t>大类</t>
    </r>
    <phoneticPr fontId="5" type="noConversion"/>
  </si>
  <si>
    <r>
      <rPr>
        <sz val="10"/>
        <rFont val="宋体"/>
        <family val="3"/>
        <charset val="134"/>
      </rPr>
      <t>小类</t>
    </r>
    <phoneticPr fontId="5" type="noConversion"/>
  </si>
  <si>
    <r>
      <rPr>
        <sz val="10"/>
        <rFont val="宋体"/>
        <family val="3"/>
        <charset val="134"/>
      </rPr>
      <t>经营活动现金流入测试</t>
    </r>
  </si>
  <si>
    <r>
      <rPr>
        <b/>
        <sz val="10"/>
        <rFont val="宋体"/>
        <family val="3"/>
        <charset val="134"/>
      </rPr>
      <t>经营活动现金流入测试</t>
    </r>
    <phoneticPr fontId="5" type="noConversion"/>
  </si>
  <si>
    <r>
      <rPr>
        <sz val="10"/>
        <rFont val="宋体"/>
        <family val="3"/>
        <charset val="134"/>
      </rPr>
      <t>经营活动现金流入测试</t>
    </r>
    <phoneticPr fontId="5" type="noConversion"/>
  </si>
  <si>
    <r>
      <rPr>
        <sz val="10"/>
        <rFont val="宋体"/>
        <family val="3"/>
        <charset val="134"/>
      </rPr>
      <t>一、销售商品、提供劳务收到的现金测试</t>
    </r>
    <phoneticPr fontId="5" type="noConversion"/>
  </si>
  <si>
    <r>
      <rPr>
        <b/>
        <sz val="10"/>
        <rFont val="宋体"/>
        <family val="3"/>
        <charset val="134"/>
      </rPr>
      <t>一、销售商品、提供劳务收到的现金测试</t>
    </r>
    <phoneticPr fontId="5" type="noConversion"/>
  </si>
  <si>
    <r>
      <rPr>
        <sz val="10"/>
        <rFont val="宋体"/>
        <family val="3"/>
        <charset val="134"/>
      </rPr>
      <t>（</t>
    </r>
    <r>
      <rPr>
        <sz val="10"/>
        <rFont val="Arial Narrow"/>
        <family val="2"/>
      </rPr>
      <t>1</t>
    </r>
    <r>
      <rPr>
        <sz val="10"/>
        <rFont val="宋体"/>
        <family val="3"/>
        <charset val="134"/>
      </rPr>
      <t>）</t>
    </r>
  </si>
  <si>
    <r>
      <rPr>
        <sz val="10"/>
        <rFont val="宋体"/>
        <family val="3"/>
        <charset val="134"/>
      </rPr>
      <t>（</t>
    </r>
    <r>
      <rPr>
        <sz val="10"/>
        <rFont val="Arial Narrow"/>
        <family val="2"/>
      </rPr>
      <t>2</t>
    </r>
    <r>
      <rPr>
        <sz val="10"/>
        <rFont val="宋体"/>
        <family val="3"/>
        <charset val="134"/>
      </rPr>
      <t>）</t>
    </r>
  </si>
  <si>
    <r>
      <rPr>
        <sz val="10"/>
        <rFont val="宋体"/>
        <family val="3"/>
        <charset val="134"/>
      </rPr>
      <t>（</t>
    </r>
    <r>
      <rPr>
        <sz val="10"/>
        <rFont val="Arial Narrow"/>
        <family val="2"/>
      </rPr>
      <t>3</t>
    </r>
    <r>
      <rPr>
        <sz val="10"/>
        <rFont val="宋体"/>
        <family val="3"/>
        <charset val="134"/>
      </rPr>
      <t>）</t>
    </r>
  </si>
  <si>
    <r>
      <rPr>
        <sz val="10"/>
        <rFont val="宋体"/>
        <family val="3"/>
        <charset val="134"/>
      </rPr>
      <t>应交税金</t>
    </r>
    <r>
      <rPr>
        <sz val="10"/>
        <rFont val="Arial Narrow"/>
        <family val="2"/>
      </rPr>
      <t>-</t>
    </r>
    <r>
      <rPr>
        <sz val="10"/>
        <rFont val="宋体"/>
        <family val="3"/>
        <charset val="134"/>
      </rPr>
      <t>增值税销项</t>
    </r>
  </si>
  <si>
    <r>
      <rPr>
        <sz val="10"/>
        <rFont val="宋体"/>
        <family val="3"/>
        <charset val="134"/>
      </rPr>
      <t>一、销售商品、提供劳务收到的现金测试</t>
    </r>
    <phoneticPr fontId="5" type="noConversion"/>
  </si>
  <si>
    <r>
      <rPr>
        <sz val="10"/>
        <rFont val="宋体"/>
        <family val="3"/>
        <charset val="134"/>
      </rPr>
      <t>加：应收票据的减少</t>
    </r>
    <r>
      <rPr>
        <sz val="10"/>
        <rFont val="Arial Narrow"/>
        <family val="2"/>
      </rPr>
      <t>(</t>
    </r>
    <r>
      <rPr>
        <sz val="10"/>
        <rFont val="宋体"/>
        <family val="3"/>
        <charset val="134"/>
      </rPr>
      <t>期初－期末</t>
    </r>
    <r>
      <rPr>
        <sz val="10"/>
        <rFont val="Arial Narrow"/>
        <family val="2"/>
      </rPr>
      <t>)</t>
    </r>
  </si>
  <si>
    <r>
      <rPr>
        <sz val="10"/>
        <rFont val="宋体"/>
        <family val="3"/>
        <charset val="134"/>
      </rPr>
      <t>（</t>
    </r>
    <r>
      <rPr>
        <sz val="10"/>
        <rFont val="Arial Narrow"/>
        <family val="2"/>
      </rPr>
      <t>4</t>
    </r>
    <r>
      <rPr>
        <sz val="10"/>
        <rFont val="宋体"/>
        <family val="3"/>
        <charset val="134"/>
      </rPr>
      <t>）</t>
    </r>
  </si>
  <si>
    <r>
      <t xml:space="preserve">    </t>
    </r>
    <r>
      <rPr>
        <sz val="10"/>
        <rFont val="宋体"/>
        <family val="3"/>
        <charset val="134"/>
      </rPr>
      <t>应收账款的减少</t>
    </r>
    <r>
      <rPr>
        <sz val="10"/>
        <rFont val="Arial Narrow"/>
        <family val="2"/>
      </rPr>
      <t>(</t>
    </r>
    <r>
      <rPr>
        <sz val="10"/>
        <rFont val="宋体"/>
        <family val="3"/>
        <charset val="134"/>
      </rPr>
      <t>期初－期末</t>
    </r>
    <r>
      <rPr>
        <sz val="10"/>
        <rFont val="Arial Narrow"/>
        <family val="2"/>
      </rPr>
      <t>)</t>
    </r>
  </si>
  <si>
    <r>
      <rPr>
        <sz val="10"/>
        <rFont val="宋体"/>
        <family val="3"/>
        <charset val="134"/>
      </rPr>
      <t>（</t>
    </r>
    <r>
      <rPr>
        <sz val="10"/>
        <rFont val="Arial Narrow"/>
        <family val="2"/>
      </rPr>
      <t>5</t>
    </r>
    <r>
      <rPr>
        <sz val="10"/>
        <rFont val="宋体"/>
        <family val="3"/>
        <charset val="134"/>
      </rPr>
      <t>）</t>
    </r>
  </si>
  <si>
    <r>
      <t xml:space="preserve">    </t>
    </r>
    <r>
      <rPr>
        <sz val="10"/>
        <rFont val="宋体"/>
        <family val="3"/>
        <charset val="134"/>
      </rPr>
      <t>预收账款的增加</t>
    </r>
    <r>
      <rPr>
        <sz val="10"/>
        <rFont val="Arial Narrow"/>
        <family val="2"/>
      </rPr>
      <t>(</t>
    </r>
    <r>
      <rPr>
        <sz val="10"/>
        <rFont val="宋体"/>
        <family val="3"/>
        <charset val="134"/>
      </rPr>
      <t>期末－期初</t>
    </r>
    <r>
      <rPr>
        <sz val="10"/>
        <rFont val="Arial Narrow"/>
        <family val="2"/>
      </rPr>
      <t>)</t>
    </r>
  </si>
  <si>
    <r>
      <rPr>
        <sz val="10"/>
        <rFont val="宋体"/>
        <family val="3"/>
        <charset val="134"/>
      </rPr>
      <t>（</t>
    </r>
    <r>
      <rPr>
        <sz val="10"/>
        <rFont val="Arial Narrow"/>
        <family val="2"/>
      </rPr>
      <t>6</t>
    </r>
    <r>
      <rPr>
        <sz val="10"/>
        <rFont val="宋体"/>
        <family val="3"/>
        <charset val="134"/>
      </rPr>
      <t>）</t>
    </r>
  </si>
  <si>
    <r>
      <rPr>
        <sz val="10"/>
        <rFont val="宋体"/>
        <family val="3"/>
        <charset val="134"/>
      </rPr>
      <t>（</t>
    </r>
    <r>
      <rPr>
        <sz val="10"/>
        <rFont val="Arial Narrow"/>
        <family val="2"/>
      </rPr>
      <t>7</t>
    </r>
    <r>
      <rPr>
        <sz val="10"/>
        <rFont val="宋体"/>
        <family val="3"/>
        <charset val="134"/>
      </rPr>
      <t>）</t>
    </r>
  </si>
  <si>
    <r>
      <rPr>
        <sz val="10"/>
        <rFont val="宋体"/>
        <family val="3"/>
        <charset val="134"/>
      </rPr>
      <t>（</t>
    </r>
    <r>
      <rPr>
        <sz val="10"/>
        <rFont val="Arial Narrow"/>
        <family val="2"/>
      </rPr>
      <t>8</t>
    </r>
    <r>
      <rPr>
        <sz val="10"/>
        <rFont val="宋体"/>
        <family val="3"/>
        <charset val="134"/>
      </rPr>
      <t>）</t>
    </r>
  </si>
  <si>
    <r>
      <rPr>
        <sz val="10"/>
        <rFont val="宋体"/>
        <family val="3"/>
        <charset val="134"/>
      </rPr>
      <t>（</t>
    </r>
    <r>
      <rPr>
        <sz val="10"/>
        <rFont val="Arial Narrow"/>
        <family val="2"/>
      </rPr>
      <t>9</t>
    </r>
    <r>
      <rPr>
        <sz val="10"/>
        <rFont val="宋体"/>
        <family val="3"/>
        <charset val="134"/>
      </rPr>
      <t>）</t>
    </r>
  </si>
  <si>
    <r>
      <rPr>
        <sz val="10"/>
        <rFont val="宋体"/>
        <family val="3"/>
        <charset val="134"/>
      </rPr>
      <t>（</t>
    </r>
    <r>
      <rPr>
        <sz val="10"/>
        <rFont val="Arial Narrow"/>
        <family val="2"/>
      </rPr>
      <t>10</t>
    </r>
    <r>
      <rPr>
        <sz val="10"/>
        <rFont val="宋体"/>
        <family val="3"/>
        <charset val="134"/>
      </rPr>
      <t>）</t>
    </r>
  </si>
  <si>
    <r>
      <rPr>
        <sz val="10"/>
        <rFont val="宋体"/>
        <family val="3"/>
        <charset val="134"/>
      </rPr>
      <t>（</t>
    </r>
    <r>
      <rPr>
        <sz val="10"/>
        <rFont val="Arial Narrow"/>
        <family val="2"/>
      </rPr>
      <t>11</t>
    </r>
    <r>
      <rPr>
        <sz val="10"/>
        <rFont val="宋体"/>
        <family val="3"/>
        <charset val="134"/>
      </rPr>
      <t>）</t>
    </r>
  </si>
  <si>
    <r>
      <rPr>
        <sz val="10"/>
        <rFont val="宋体"/>
        <family val="3"/>
        <charset val="134"/>
      </rPr>
      <t>（</t>
    </r>
    <r>
      <rPr>
        <sz val="10"/>
        <rFont val="Arial Narrow"/>
        <family val="2"/>
      </rPr>
      <t>12</t>
    </r>
    <r>
      <rPr>
        <sz val="10"/>
        <rFont val="宋体"/>
        <family val="3"/>
        <charset val="134"/>
      </rPr>
      <t>）</t>
    </r>
  </si>
  <si>
    <r>
      <t xml:space="preserve">    </t>
    </r>
    <r>
      <rPr>
        <sz val="10"/>
        <rFont val="宋体"/>
        <family val="3"/>
        <charset val="134"/>
      </rPr>
      <t>预收账款的预提费用的增加额</t>
    </r>
    <r>
      <rPr>
        <sz val="10"/>
        <rFont val="Arial Narrow"/>
        <family val="2"/>
      </rPr>
      <t>(</t>
    </r>
    <r>
      <rPr>
        <sz val="10"/>
        <rFont val="宋体"/>
        <family val="3"/>
        <charset val="134"/>
      </rPr>
      <t>减少额为负数表示</t>
    </r>
    <r>
      <rPr>
        <sz val="10"/>
        <rFont val="Arial Narrow"/>
        <family val="2"/>
      </rPr>
      <t>)</t>
    </r>
  </si>
  <si>
    <r>
      <rPr>
        <sz val="10"/>
        <rFont val="宋体"/>
        <family val="3"/>
        <charset val="134"/>
      </rPr>
      <t>（</t>
    </r>
    <r>
      <rPr>
        <sz val="10"/>
        <rFont val="Arial Narrow"/>
        <family val="2"/>
      </rPr>
      <t>13</t>
    </r>
    <r>
      <rPr>
        <sz val="10"/>
        <rFont val="宋体"/>
        <family val="3"/>
        <charset val="134"/>
      </rPr>
      <t>）</t>
    </r>
  </si>
  <si>
    <r>
      <rPr>
        <sz val="10"/>
        <rFont val="宋体"/>
        <family val="3"/>
        <charset val="134"/>
      </rPr>
      <t>一、销售商品、提供劳务收到的现金测试</t>
    </r>
    <phoneticPr fontId="5" type="noConversion"/>
  </si>
  <si>
    <r>
      <rPr>
        <sz val="10"/>
        <rFont val="宋体"/>
        <family val="3"/>
        <charset val="134"/>
      </rPr>
      <t>（</t>
    </r>
    <r>
      <rPr>
        <sz val="10"/>
        <rFont val="Arial Narrow"/>
        <family val="2"/>
      </rPr>
      <t>14</t>
    </r>
    <r>
      <rPr>
        <sz val="10"/>
        <rFont val="宋体"/>
        <family val="3"/>
        <charset val="134"/>
      </rPr>
      <t>）</t>
    </r>
  </si>
  <si>
    <r>
      <rPr>
        <sz val="10"/>
        <rFont val="宋体"/>
        <family val="3"/>
        <charset val="134"/>
      </rPr>
      <t>（</t>
    </r>
    <r>
      <rPr>
        <sz val="10"/>
        <rFont val="Arial Narrow"/>
        <family val="2"/>
      </rPr>
      <t>15</t>
    </r>
    <r>
      <rPr>
        <sz val="10"/>
        <rFont val="宋体"/>
        <family val="3"/>
        <charset val="134"/>
      </rPr>
      <t>）</t>
    </r>
  </si>
  <si>
    <r>
      <rPr>
        <sz val="10"/>
        <rFont val="宋体"/>
        <family val="3"/>
        <charset val="134"/>
      </rPr>
      <t>测试差异：</t>
    </r>
    <phoneticPr fontId="5" type="noConversion"/>
  </si>
  <si>
    <r>
      <rPr>
        <sz val="10"/>
        <rFont val="宋体"/>
        <family val="3"/>
        <charset val="134"/>
      </rPr>
      <t>二、</t>
    </r>
    <r>
      <rPr>
        <sz val="10"/>
        <rFont val="Arial Narrow"/>
        <family val="2"/>
      </rPr>
      <t xml:space="preserve"> </t>
    </r>
    <r>
      <rPr>
        <sz val="10"/>
        <rFont val="宋体"/>
        <family val="3"/>
        <charset val="134"/>
      </rPr>
      <t>收到的税费返还的现金测试</t>
    </r>
  </si>
  <si>
    <r>
      <rPr>
        <b/>
        <sz val="10"/>
        <rFont val="宋体"/>
        <family val="3"/>
        <charset val="134"/>
      </rPr>
      <t>二、</t>
    </r>
    <r>
      <rPr>
        <b/>
        <sz val="10"/>
        <rFont val="Arial Narrow"/>
        <family val="2"/>
      </rPr>
      <t xml:space="preserve"> </t>
    </r>
    <r>
      <rPr>
        <b/>
        <sz val="10"/>
        <rFont val="宋体"/>
        <family val="3"/>
        <charset val="134"/>
      </rPr>
      <t>收到的税费返还的现金测试</t>
    </r>
    <phoneticPr fontId="5" type="noConversion"/>
  </si>
  <si>
    <r>
      <rPr>
        <sz val="10"/>
        <rFont val="宋体"/>
        <family val="3"/>
        <charset val="134"/>
      </rPr>
      <t>三、收到的其他与经营活动有关的现金测试</t>
    </r>
  </si>
  <si>
    <r>
      <rPr>
        <b/>
        <sz val="10"/>
        <rFont val="宋体"/>
        <family val="3"/>
        <charset val="134"/>
      </rPr>
      <t>三、收到的其他与经营活动有关的现金测试</t>
    </r>
    <phoneticPr fontId="5" type="noConversion"/>
  </si>
  <si>
    <r>
      <rPr>
        <sz val="10"/>
        <rFont val="宋体"/>
        <family val="3"/>
        <charset val="134"/>
      </rPr>
      <t>财务费用</t>
    </r>
    <r>
      <rPr>
        <sz val="10"/>
        <rFont val="Arial Narrow"/>
        <family val="2"/>
      </rPr>
      <t>--</t>
    </r>
    <r>
      <rPr>
        <sz val="10"/>
        <rFont val="宋体"/>
        <family val="3"/>
        <charset val="134"/>
      </rPr>
      <t>利息收入</t>
    </r>
  </si>
  <si>
    <r>
      <rPr>
        <sz val="10"/>
        <rFont val="宋体"/>
        <family val="3"/>
        <charset val="134"/>
      </rPr>
      <t>其他合计：</t>
    </r>
    <phoneticPr fontId="5" type="noConversion"/>
  </si>
  <si>
    <r>
      <rPr>
        <sz val="10"/>
        <rFont val="宋体"/>
        <family val="3"/>
        <charset val="134"/>
      </rPr>
      <t>其他</t>
    </r>
    <r>
      <rPr>
        <sz val="10"/>
        <rFont val="Arial Narrow"/>
        <family val="2"/>
      </rPr>
      <t>--1</t>
    </r>
    <phoneticPr fontId="5" type="noConversion"/>
  </si>
  <si>
    <r>
      <rPr>
        <sz val="10"/>
        <rFont val="宋体"/>
        <family val="3"/>
        <charset val="134"/>
      </rPr>
      <t>其他</t>
    </r>
    <r>
      <rPr>
        <sz val="10"/>
        <rFont val="Arial Narrow"/>
        <family val="2"/>
      </rPr>
      <t>--2</t>
    </r>
    <phoneticPr fontId="5" type="noConversion"/>
  </si>
  <si>
    <r>
      <rPr>
        <sz val="10"/>
        <rFont val="宋体"/>
        <family val="3"/>
        <charset val="134"/>
      </rPr>
      <t>其他</t>
    </r>
    <r>
      <rPr>
        <sz val="10"/>
        <rFont val="Arial Narrow"/>
        <family val="2"/>
      </rPr>
      <t>--3</t>
    </r>
  </si>
  <si>
    <r>
      <rPr>
        <sz val="10"/>
        <rFont val="宋体"/>
        <family val="3"/>
        <charset val="134"/>
      </rPr>
      <t>经营活动现金流出测试</t>
    </r>
  </si>
  <si>
    <r>
      <rPr>
        <b/>
        <sz val="10"/>
        <rFont val="宋体"/>
        <family val="3"/>
        <charset val="134"/>
      </rPr>
      <t>经营活动现金流出测试</t>
    </r>
    <phoneticPr fontId="5" type="noConversion"/>
  </si>
  <si>
    <r>
      <rPr>
        <sz val="10"/>
        <rFont val="宋体"/>
        <family val="3"/>
        <charset val="134"/>
      </rPr>
      <t>一、购买商品、接受劳务支付的现金测试</t>
    </r>
  </si>
  <si>
    <r>
      <rPr>
        <b/>
        <sz val="10"/>
        <rFont val="宋体"/>
        <family val="3"/>
        <charset val="134"/>
      </rPr>
      <t>一、购买商品、接受劳务支付的现金测试</t>
    </r>
    <phoneticPr fontId="5" type="noConversion"/>
  </si>
  <si>
    <r>
      <rPr>
        <sz val="10"/>
        <rFont val="宋体"/>
        <family val="3"/>
        <charset val="134"/>
      </rPr>
      <t>加</t>
    </r>
    <r>
      <rPr>
        <sz val="10"/>
        <rFont val="Arial Narrow"/>
        <family val="2"/>
      </rPr>
      <t>:</t>
    </r>
    <r>
      <rPr>
        <sz val="10"/>
        <rFont val="宋体"/>
        <family val="3"/>
        <charset val="134"/>
      </rPr>
      <t>存货的增加（期末－期初）</t>
    </r>
  </si>
  <si>
    <r>
      <rPr>
        <sz val="10"/>
        <rFont val="宋体"/>
        <family val="3"/>
        <charset val="134"/>
      </rPr>
      <t>加</t>
    </r>
    <r>
      <rPr>
        <sz val="10"/>
        <rFont val="Arial Narrow"/>
        <family val="2"/>
      </rPr>
      <t>:</t>
    </r>
    <r>
      <rPr>
        <sz val="10"/>
        <rFont val="宋体"/>
        <family val="3"/>
        <charset val="134"/>
      </rPr>
      <t>当期计提的存货跌价准备</t>
    </r>
  </si>
  <si>
    <r>
      <rPr>
        <sz val="10"/>
        <rFont val="宋体"/>
        <family val="3"/>
        <charset val="134"/>
      </rPr>
      <t>减</t>
    </r>
    <r>
      <rPr>
        <sz val="10"/>
        <rFont val="Arial Narrow"/>
        <family val="2"/>
      </rPr>
      <t>:</t>
    </r>
    <r>
      <rPr>
        <sz val="10"/>
        <rFont val="宋体"/>
        <family val="3"/>
        <charset val="134"/>
      </rPr>
      <t>投资投入、非货币性交换、债务重组等非购入增加存货的价税合计</t>
    </r>
  </si>
  <si>
    <r>
      <rPr>
        <sz val="10"/>
        <rFont val="宋体"/>
        <family val="3"/>
        <charset val="134"/>
      </rPr>
      <t>（</t>
    </r>
    <r>
      <rPr>
        <sz val="10"/>
        <rFont val="Arial Narrow"/>
        <family val="2"/>
      </rPr>
      <t>10</t>
    </r>
    <r>
      <rPr>
        <sz val="10"/>
        <rFont val="宋体"/>
        <family val="3"/>
        <charset val="134"/>
      </rPr>
      <t>）</t>
    </r>
    <r>
      <rPr>
        <sz val="10"/>
        <rFont val="Arial Narrow"/>
        <family val="2"/>
      </rPr>
      <t>=(1)+(2)+….+(6)-(7)-(8)-(9)</t>
    </r>
  </si>
  <si>
    <r>
      <rPr>
        <sz val="10"/>
        <rFont val="宋体"/>
        <family val="3"/>
        <charset val="134"/>
      </rPr>
      <t>加</t>
    </r>
    <r>
      <rPr>
        <sz val="10"/>
        <rFont val="Arial Narrow"/>
        <family val="2"/>
      </rPr>
      <t>:</t>
    </r>
    <r>
      <rPr>
        <sz val="10"/>
        <rFont val="宋体"/>
        <family val="3"/>
        <charset val="134"/>
      </rPr>
      <t>应付账款的减少</t>
    </r>
    <r>
      <rPr>
        <sz val="10"/>
        <rFont val="Arial Narrow"/>
        <family val="2"/>
      </rPr>
      <t>(</t>
    </r>
    <r>
      <rPr>
        <sz val="10"/>
        <rFont val="宋体"/>
        <family val="3"/>
        <charset val="134"/>
      </rPr>
      <t>期初－期末</t>
    </r>
    <r>
      <rPr>
        <sz val="10"/>
        <rFont val="Arial Narrow"/>
        <family val="2"/>
      </rPr>
      <t>)</t>
    </r>
  </si>
  <si>
    <r>
      <rPr>
        <sz val="10"/>
        <rFont val="宋体"/>
        <family val="3"/>
        <charset val="134"/>
      </rPr>
      <t>加</t>
    </r>
    <r>
      <rPr>
        <sz val="10"/>
        <rFont val="Arial Narrow"/>
        <family val="2"/>
      </rPr>
      <t>:</t>
    </r>
    <r>
      <rPr>
        <sz val="10"/>
        <rFont val="宋体"/>
        <family val="3"/>
        <charset val="134"/>
      </rPr>
      <t>应付票据的减少</t>
    </r>
    <r>
      <rPr>
        <sz val="10"/>
        <rFont val="Arial Narrow"/>
        <family val="2"/>
      </rPr>
      <t>(</t>
    </r>
    <r>
      <rPr>
        <sz val="10"/>
        <rFont val="宋体"/>
        <family val="3"/>
        <charset val="134"/>
      </rPr>
      <t>期初－期末</t>
    </r>
    <r>
      <rPr>
        <sz val="10"/>
        <rFont val="Arial Narrow"/>
        <family val="2"/>
      </rPr>
      <t>)</t>
    </r>
  </si>
  <si>
    <r>
      <rPr>
        <sz val="10"/>
        <rFont val="宋体"/>
        <family val="3"/>
        <charset val="134"/>
      </rPr>
      <t>加</t>
    </r>
    <r>
      <rPr>
        <sz val="10"/>
        <rFont val="Arial Narrow"/>
        <family val="2"/>
      </rPr>
      <t>:</t>
    </r>
    <r>
      <rPr>
        <sz val="10"/>
        <rFont val="宋体"/>
        <family val="3"/>
        <charset val="134"/>
      </rPr>
      <t>预付账款的增加</t>
    </r>
    <r>
      <rPr>
        <sz val="10"/>
        <rFont val="Arial Narrow"/>
        <family val="2"/>
      </rPr>
      <t>(</t>
    </r>
    <r>
      <rPr>
        <sz val="10"/>
        <rFont val="宋体"/>
        <family val="3"/>
        <charset val="134"/>
      </rPr>
      <t>期末－期初</t>
    </r>
    <r>
      <rPr>
        <sz val="10"/>
        <rFont val="Arial Narrow"/>
        <family val="2"/>
      </rPr>
      <t>)</t>
    </r>
  </si>
  <si>
    <r>
      <rPr>
        <sz val="10"/>
        <rFont val="宋体"/>
        <family val="3"/>
        <charset val="134"/>
      </rPr>
      <t>减</t>
    </r>
    <r>
      <rPr>
        <sz val="10"/>
        <rFont val="Arial Narrow"/>
        <family val="2"/>
      </rPr>
      <t>:</t>
    </r>
    <r>
      <rPr>
        <sz val="10"/>
        <rFont val="宋体"/>
        <family val="3"/>
        <charset val="134"/>
      </rPr>
      <t>以非现金资产抵债减少的应付账款</t>
    </r>
  </si>
  <si>
    <r>
      <rPr>
        <sz val="10"/>
        <rFont val="宋体"/>
        <family val="3"/>
        <charset val="134"/>
      </rPr>
      <t>减</t>
    </r>
    <r>
      <rPr>
        <sz val="10"/>
        <rFont val="Arial Narrow"/>
        <family val="2"/>
      </rPr>
      <t>:</t>
    </r>
    <r>
      <rPr>
        <sz val="10"/>
        <rFont val="宋体"/>
        <family val="3"/>
        <charset val="134"/>
      </rPr>
      <t>应收抵应付</t>
    </r>
  </si>
  <si>
    <r>
      <rPr>
        <sz val="10"/>
        <rFont val="宋体"/>
        <family val="3"/>
        <charset val="134"/>
      </rPr>
      <t>减</t>
    </r>
    <r>
      <rPr>
        <sz val="10"/>
        <rFont val="Arial Narrow"/>
        <family val="2"/>
      </rPr>
      <t>:</t>
    </r>
    <r>
      <rPr>
        <sz val="10"/>
        <rFont val="宋体"/>
        <family val="3"/>
        <charset val="134"/>
      </rPr>
      <t>应付票据中的利息</t>
    </r>
  </si>
  <si>
    <r>
      <rPr>
        <sz val="10"/>
        <rFont val="宋体"/>
        <family val="3"/>
        <charset val="134"/>
      </rPr>
      <t>（</t>
    </r>
    <r>
      <rPr>
        <sz val="10"/>
        <rFont val="Arial Narrow"/>
        <family val="2"/>
      </rPr>
      <t>16</t>
    </r>
    <r>
      <rPr>
        <sz val="10"/>
        <rFont val="宋体"/>
        <family val="3"/>
        <charset val="134"/>
      </rPr>
      <t>）</t>
    </r>
  </si>
  <si>
    <r>
      <rPr>
        <sz val="10"/>
        <rFont val="宋体"/>
        <family val="3"/>
        <charset val="134"/>
      </rPr>
      <t>减</t>
    </r>
    <r>
      <rPr>
        <sz val="10"/>
        <rFont val="Arial Narrow"/>
        <family val="2"/>
      </rPr>
      <t>:</t>
    </r>
    <r>
      <rPr>
        <sz val="10"/>
        <rFont val="宋体"/>
        <family val="3"/>
        <charset val="134"/>
      </rPr>
      <t>应付账款的核销</t>
    </r>
  </si>
  <si>
    <r>
      <rPr>
        <sz val="10"/>
        <rFont val="宋体"/>
        <family val="3"/>
        <charset val="134"/>
      </rPr>
      <t>（</t>
    </r>
    <r>
      <rPr>
        <sz val="10"/>
        <rFont val="Arial Narrow"/>
        <family val="2"/>
      </rPr>
      <t>17</t>
    </r>
    <r>
      <rPr>
        <sz val="10"/>
        <rFont val="宋体"/>
        <family val="3"/>
        <charset val="134"/>
      </rPr>
      <t>）</t>
    </r>
  </si>
  <si>
    <r>
      <rPr>
        <sz val="10"/>
        <rFont val="宋体"/>
        <family val="3"/>
        <charset val="134"/>
      </rPr>
      <t>（</t>
    </r>
    <r>
      <rPr>
        <sz val="10"/>
        <rFont val="Arial Narrow"/>
        <family val="2"/>
      </rPr>
      <t>18</t>
    </r>
    <r>
      <rPr>
        <sz val="10"/>
        <rFont val="宋体"/>
        <family val="3"/>
        <charset val="134"/>
      </rPr>
      <t>）</t>
    </r>
    <r>
      <rPr>
        <sz val="10"/>
        <rFont val="Arial Narrow"/>
        <family val="2"/>
      </rPr>
      <t>=(19)+(20)+(21)</t>
    </r>
  </si>
  <si>
    <r>
      <t xml:space="preserve">    </t>
    </r>
    <r>
      <rPr>
        <sz val="10"/>
        <rFont val="宋体"/>
        <family val="3"/>
        <charset val="134"/>
      </rPr>
      <t>应付工程及设备款（期初</t>
    </r>
    <r>
      <rPr>
        <sz val="10"/>
        <rFont val="Arial Narrow"/>
        <family val="2"/>
      </rPr>
      <t>-</t>
    </r>
    <r>
      <rPr>
        <sz val="10"/>
        <rFont val="宋体"/>
        <family val="3"/>
        <charset val="134"/>
      </rPr>
      <t>期末）</t>
    </r>
  </si>
  <si>
    <r>
      <rPr>
        <sz val="10"/>
        <rFont val="宋体"/>
        <family val="3"/>
        <charset val="134"/>
      </rPr>
      <t>（</t>
    </r>
    <r>
      <rPr>
        <sz val="10"/>
        <rFont val="Arial Narrow"/>
        <family val="2"/>
      </rPr>
      <t>19</t>
    </r>
    <r>
      <rPr>
        <sz val="10"/>
        <rFont val="宋体"/>
        <family val="3"/>
        <charset val="134"/>
      </rPr>
      <t>）</t>
    </r>
  </si>
  <si>
    <r>
      <t xml:space="preserve">    </t>
    </r>
    <r>
      <rPr>
        <sz val="10"/>
        <rFont val="宋体"/>
        <family val="3"/>
        <charset val="134"/>
      </rPr>
      <t>预付工程及设备款</t>
    </r>
    <r>
      <rPr>
        <sz val="10"/>
        <rFont val="Arial Narrow"/>
        <family val="2"/>
      </rPr>
      <t>(</t>
    </r>
    <r>
      <rPr>
        <sz val="10"/>
        <rFont val="宋体"/>
        <family val="3"/>
        <charset val="134"/>
      </rPr>
      <t>期末－期初</t>
    </r>
    <r>
      <rPr>
        <sz val="10"/>
        <rFont val="Arial Narrow"/>
        <family val="2"/>
      </rPr>
      <t>)</t>
    </r>
  </si>
  <si>
    <r>
      <rPr>
        <sz val="10"/>
        <rFont val="宋体"/>
        <family val="3"/>
        <charset val="134"/>
      </rPr>
      <t>（</t>
    </r>
    <r>
      <rPr>
        <sz val="10"/>
        <rFont val="Arial Narrow"/>
        <family val="2"/>
      </rPr>
      <t>20</t>
    </r>
    <r>
      <rPr>
        <sz val="10"/>
        <rFont val="宋体"/>
        <family val="3"/>
        <charset val="134"/>
      </rPr>
      <t>）</t>
    </r>
  </si>
  <si>
    <r>
      <rPr>
        <sz val="10"/>
        <rFont val="宋体"/>
        <family val="3"/>
        <charset val="134"/>
      </rPr>
      <t>（</t>
    </r>
    <r>
      <rPr>
        <sz val="10"/>
        <rFont val="Arial Narrow"/>
        <family val="2"/>
      </rPr>
      <t>21</t>
    </r>
    <r>
      <rPr>
        <sz val="10"/>
        <rFont val="宋体"/>
        <family val="3"/>
        <charset val="134"/>
      </rPr>
      <t>）</t>
    </r>
  </si>
  <si>
    <r>
      <rPr>
        <sz val="10"/>
        <rFont val="宋体"/>
        <family val="3"/>
        <charset val="134"/>
      </rPr>
      <t>加：预收账款中预提费用的增加额</t>
    </r>
    <r>
      <rPr>
        <sz val="10"/>
        <rFont val="Arial Narrow"/>
        <family val="2"/>
      </rPr>
      <t>(</t>
    </r>
    <r>
      <rPr>
        <sz val="10"/>
        <rFont val="宋体"/>
        <family val="3"/>
        <charset val="134"/>
      </rPr>
      <t>期初－期末</t>
    </r>
    <r>
      <rPr>
        <sz val="10"/>
        <rFont val="Arial Narrow"/>
        <family val="2"/>
      </rPr>
      <t>)</t>
    </r>
  </si>
  <si>
    <r>
      <rPr>
        <sz val="10"/>
        <rFont val="宋体"/>
        <family val="3"/>
        <charset val="134"/>
      </rPr>
      <t>（</t>
    </r>
    <r>
      <rPr>
        <sz val="10"/>
        <rFont val="Arial Narrow"/>
        <family val="2"/>
      </rPr>
      <t>22</t>
    </r>
    <r>
      <rPr>
        <sz val="10"/>
        <rFont val="宋体"/>
        <family val="3"/>
        <charset val="134"/>
      </rPr>
      <t>）</t>
    </r>
  </si>
  <si>
    <r>
      <rPr>
        <sz val="10"/>
        <rFont val="宋体"/>
        <family val="3"/>
        <charset val="134"/>
      </rPr>
      <t>二、支付给职工以及为职工支付的现金测试</t>
    </r>
  </si>
  <si>
    <r>
      <rPr>
        <b/>
        <sz val="10"/>
        <rFont val="宋体"/>
        <family val="3"/>
        <charset val="134"/>
      </rPr>
      <t>二、支付给职工以及为职工支付的现金测试</t>
    </r>
    <phoneticPr fontId="5" type="noConversion"/>
  </si>
  <si>
    <r>
      <rPr>
        <sz val="10"/>
        <rFont val="宋体"/>
        <family val="3"/>
        <charset val="134"/>
      </rPr>
      <t>加：应付职工薪酬的减少（期初</t>
    </r>
    <r>
      <rPr>
        <sz val="10"/>
        <rFont val="Arial Narrow"/>
        <family val="2"/>
      </rPr>
      <t>-</t>
    </r>
    <r>
      <rPr>
        <sz val="10"/>
        <rFont val="宋体"/>
        <family val="3"/>
        <charset val="134"/>
      </rPr>
      <t>期末）</t>
    </r>
    <phoneticPr fontId="5" type="noConversion"/>
  </si>
  <si>
    <r>
      <rPr>
        <sz val="10"/>
        <rFont val="宋体"/>
        <family val="3"/>
        <charset val="134"/>
      </rPr>
      <t>减：应付职工薪酬</t>
    </r>
    <r>
      <rPr>
        <sz val="10"/>
        <rFont val="Arial Narrow"/>
        <family val="2"/>
      </rPr>
      <t>(</t>
    </r>
    <r>
      <rPr>
        <sz val="10"/>
        <rFont val="宋体"/>
        <family val="3"/>
        <charset val="134"/>
      </rPr>
      <t>在建工程</t>
    </r>
    <r>
      <rPr>
        <sz val="10"/>
        <rFont val="Arial Narrow"/>
        <family val="2"/>
      </rPr>
      <t>)</t>
    </r>
    <r>
      <rPr>
        <sz val="10"/>
        <rFont val="宋体"/>
        <family val="3"/>
        <charset val="134"/>
      </rPr>
      <t>的减少（期初</t>
    </r>
    <r>
      <rPr>
        <sz val="10"/>
        <rFont val="Arial Narrow"/>
        <family val="2"/>
      </rPr>
      <t>-</t>
    </r>
    <r>
      <rPr>
        <sz val="10"/>
        <rFont val="宋体"/>
        <family val="3"/>
        <charset val="134"/>
      </rPr>
      <t>期末）</t>
    </r>
  </si>
  <si>
    <r>
      <rPr>
        <sz val="10"/>
        <rFont val="宋体"/>
        <family val="3"/>
        <charset val="134"/>
      </rPr>
      <t>核对公式</t>
    </r>
    <r>
      <rPr>
        <sz val="10"/>
        <rFont val="Arial Narrow"/>
        <family val="2"/>
      </rPr>
      <t>-2</t>
    </r>
    <phoneticPr fontId="5" type="noConversion"/>
  </si>
  <si>
    <r>
      <rPr>
        <sz val="10"/>
        <rFont val="宋体"/>
        <family val="3"/>
        <charset val="134"/>
      </rPr>
      <t>应付职工薪酬借方发生额（附注本年支付额，企业所有人员的工资均通过应付职工薪酬核算。）</t>
    </r>
    <phoneticPr fontId="5" type="noConversion"/>
  </si>
  <si>
    <r>
      <rPr>
        <sz val="10"/>
        <rFont val="宋体"/>
        <family val="3"/>
        <charset val="134"/>
      </rPr>
      <t>减：工会经费（附注本年支付额）</t>
    </r>
    <phoneticPr fontId="5" type="noConversion"/>
  </si>
  <si>
    <r>
      <rPr>
        <sz val="10"/>
        <rFont val="宋体"/>
        <family val="3"/>
        <charset val="134"/>
      </rPr>
      <t>减：支付的离退休人员的各项费用</t>
    </r>
    <phoneticPr fontId="5" type="noConversion"/>
  </si>
  <si>
    <r>
      <rPr>
        <sz val="10"/>
        <rFont val="宋体"/>
        <family val="3"/>
        <charset val="134"/>
      </rPr>
      <t>（</t>
    </r>
    <r>
      <rPr>
        <sz val="10"/>
        <rFont val="Arial Narrow"/>
        <family val="2"/>
      </rPr>
      <t>3</t>
    </r>
    <r>
      <rPr>
        <sz val="10"/>
        <rFont val="Arial"/>
        <family val="2"/>
      </rPr>
      <t>）</t>
    </r>
    <r>
      <rPr>
        <sz val="10"/>
        <rFont val="宋体"/>
        <family val="3"/>
        <charset val="134"/>
      </rPr>
      <t/>
    </r>
  </si>
  <si>
    <r>
      <rPr>
        <sz val="10"/>
        <rFont val="宋体"/>
        <family val="3"/>
        <charset val="134"/>
      </rPr>
      <t>减：支付给在建工程人员的工资</t>
    </r>
    <phoneticPr fontId="5" type="noConversion"/>
  </si>
  <si>
    <r>
      <rPr>
        <sz val="10"/>
        <rFont val="宋体"/>
        <family val="3"/>
        <charset val="134"/>
      </rPr>
      <t>（</t>
    </r>
    <r>
      <rPr>
        <sz val="10"/>
        <rFont val="Arial Narrow"/>
        <family val="2"/>
      </rPr>
      <t>4</t>
    </r>
    <r>
      <rPr>
        <sz val="10"/>
        <rFont val="Arial"/>
        <family val="2"/>
      </rPr>
      <t>）</t>
    </r>
    <r>
      <rPr>
        <sz val="10"/>
        <rFont val="宋体"/>
        <family val="3"/>
        <charset val="134"/>
      </rPr>
      <t/>
    </r>
  </si>
  <si>
    <r>
      <rPr>
        <sz val="10"/>
        <rFont val="宋体"/>
        <family val="3"/>
        <charset val="134"/>
      </rPr>
      <t>（</t>
    </r>
    <r>
      <rPr>
        <sz val="10"/>
        <rFont val="Arial Narrow"/>
        <family val="2"/>
      </rPr>
      <t>5</t>
    </r>
    <r>
      <rPr>
        <sz val="10"/>
        <rFont val="Arial"/>
        <family val="2"/>
      </rPr>
      <t>）</t>
    </r>
    <r>
      <rPr>
        <sz val="10"/>
        <rFont val="宋体"/>
        <family val="3"/>
        <charset val="134"/>
      </rPr>
      <t/>
    </r>
  </si>
  <si>
    <r>
      <rPr>
        <sz val="10"/>
        <rFont val="宋体"/>
        <family val="3"/>
        <charset val="134"/>
      </rPr>
      <t>测试结果</t>
    </r>
    <r>
      <rPr>
        <sz val="10"/>
        <rFont val="Arial Narrow"/>
        <family val="2"/>
      </rPr>
      <t>2</t>
    </r>
    <r>
      <rPr>
        <sz val="10"/>
        <rFont val="宋体"/>
        <family val="3"/>
        <charset val="134"/>
      </rPr>
      <t>：</t>
    </r>
    <phoneticPr fontId="5" type="noConversion"/>
  </si>
  <si>
    <r>
      <rPr>
        <sz val="10"/>
        <rFont val="宋体"/>
        <family val="3"/>
        <charset val="134"/>
      </rPr>
      <t>（</t>
    </r>
    <r>
      <rPr>
        <sz val="10"/>
        <rFont val="Arial Narrow"/>
        <family val="2"/>
      </rPr>
      <t>6</t>
    </r>
    <r>
      <rPr>
        <sz val="10"/>
        <rFont val="Arial"/>
        <family val="2"/>
      </rPr>
      <t>）</t>
    </r>
    <r>
      <rPr>
        <sz val="10"/>
        <rFont val="宋体"/>
        <family val="3"/>
        <charset val="134"/>
      </rPr>
      <t/>
    </r>
  </si>
  <si>
    <r>
      <rPr>
        <sz val="10"/>
        <rFont val="宋体"/>
        <family val="3"/>
        <charset val="134"/>
      </rPr>
      <t>测试差异</t>
    </r>
    <r>
      <rPr>
        <sz val="10"/>
        <rFont val="Arial Narrow"/>
        <family val="2"/>
      </rPr>
      <t>2</t>
    </r>
    <r>
      <rPr>
        <sz val="10"/>
        <rFont val="宋体"/>
        <family val="3"/>
        <charset val="134"/>
      </rPr>
      <t>：</t>
    </r>
    <phoneticPr fontId="5" type="noConversion"/>
  </si>
  <si>
    <r>
      <rPr>
        <sz val="10"/>
        <rFont val="宋体"/>
        <family val="3"/>
        <charset val="134"/>
      </rPr>
      <t>三、支付的各项税费的现金测试</t>
    </r>
  </si>
  <si>
    <r>
      <rPr>
        <b/>
        <sz val="10"/>
        <rFont val="宋体"/>
        <family val="3"/>
        <charset val="134"/>
      </rPr>
      <t>三、支付的各项税费的现金测试</t>
    </r>
    <phoneticPr fontId="5" type="noConversion"/>
  </si>
  <si>
    <r>
      <t>"</t>
    </r>
    <r>
      <rPr>
        <sz val="10"/>
        <rFont val="宋体"/>
        <family val="3"/>
        <charset val="134"/>
      </rPr>
      <t>应交税费</t>
    </r>
    <r>
      <rPr>
        <sz val="10"/>
        <rFont val="Arial Narrow"/>
        <family val="2"/>
      </rPr>
      <t>"</t>
    </r>
    <r>
      <rPr>
        <sz val="10"/>
        <rFont val="宋体"/>
        <family val="3"/>
        <charset val="134"/>
      </rPr>
      <t>的借方发生额</t>
    </r>
    <r>
      <rPr>
        <sz val="10"/>
        <rFont val="Arial Narrow"/>
        <family val="2"/>
      </rPr>
      <t>(</t>
    </r>
    <r>
      <rPr>
        <sz val="10"/>
        <rFont val="宋体"/>
        <family val="3"/>
        <charset val="134"/>
      </rPr>
      <t>除增值税外</t>
    </r>
    <r>
      <rPr>
        <sz val="10"/>
        <rFont val="Arial Narrow"/>
        <family val="2"/>
      </rPr>
      <t>)</t>
    </r>
  </si>
  <si>
    <r>
      <rPr>
        <sz val="10"/>
        <rFont val="宋体"/>
        <family val="3"/>
        <charset val="134"/>
      </rPr>
      <t>直接通过</t>
    </r>
    <r>
      <rPr>
        <sz val="10"/>
        <rFont val="Arial Narrow"/>
        <family val="2"/>
      </rPr>
      <t>“</t>
    </r>
    <r>
      <rPr>
        <sz val="10"/>
        <rFont val="宋体"/>
        <family val="3"/>
        <charset val="134"/>
      </rPr>
      <t>管理费用</t>
    </r>
    <r>
      <rPr>
        <sz val="10"/>
        <rFont val="Arial Narrow"/>
        <family val="2"/>
      </rPr>
      <t>”</t>
    </r>
    <r>
      <rPr>
        <sz val="10"/>
        <rFont val="宋体"/>
        <family val="3"/>
        <charset val="134"/>
      </rPr>
      <t>科目、不通过</t>
    </r>
    <r>
      <rPr>
        <sz val="10"/>
        <rFont val="Arial Narrow"/>
        <family val="2"/>
      </rPr>
      <t>“</t>
    </r>
    <r>
      <rPr>
        <sz val="10"/>
        <rFont val="宋体"/>
        <family val="3"/>
        <charset val="134"/>
      </rPr>
      <t>应交税金</t>
    </r>
    <r>
      <rPr>
        <sz val="10"/>
        <rFont val="Arial Narrow"/>
        <family val="2"/>
      </rPr>
      <t>”</t>
    </r>
    <r>
      <rPr>
        <sz val="10"/>
        <rFont val="宋体"/>
        <family val="3"/>
        <charset val="134"/>
      </rPr>
      <t>科目核算的印花税</t>
    </r>
  </si>
  <si>
    <r>
      <rPr>
        <sz val="10"/>
        <rFont val="宋体"/>
        <family val="3"/>
        <charset val="134"/>
      </rPr>
      <t>减</t>
    </r>
    <r>
      <rPr>
        <sz val="10"/>
        <rFont val="Arial Narrow"/>
        <family val="2"/>
      </rPr>
      <t>:</t>
    </r>
    <r>
      <rPr>
        <sz val="10"/>
        <rFont val="宋体"/>
        <family val="3"/>
        <charset val="134"/>
      </rPr>
      <t>由在建工程负担的耕地占用税的付现额</t>
    </r>
  </si>
  <si>
    <r>
      <rPr>
        <sz val="10"/>
        <rFont val="宋体"/>
        <family val="3"/>
        <charset val="134"/>
      </rPr>
      <t>减</t>
    </r>
    <r>
      <rPr>
        <sz val="10"/>
        <rFont val="Arial Narrow"/>
        <family val="2"/>
      </rPr>
      <t>:</t>
    </r>
    <r>
      <rPr>
        <sz val="10"/>
        <rFont val="宋体"/>
        <family val="3"/>
        <charset val="134"/>
      </rPr>
      <t>处置固定资产无形资产营业税税金现的付现额</t>
    </r>
  </si>
  <si>
    <r>
      <rPr>
        <sz val="10"/>
        <rFont val="宋体"/>
        <family val="3"/>
        <charset val="134"/>
      </rPr>
      <t>应交税费借方发生额（附注本年已交数）</t>
    </r>
    <phoneticPr fontId="5" type="noConversion"/>
  </si>
  <si>
    <r>
      <rPr>
        <sz val="10"/>
        <rFont val="宋体"/>
        <family val="3"/>
        <charset val="134"/>
      </rPr>
      <t>减：应交税费</t>
    </r>
    <r>
      <rPr>
        <sz val="10"/>
        <rFont val="Arial Narrow"/>
        <family val="2"/>
      </rPr>
      <t>—</t>
    </r>
    <r>
      <rPr>
        <sz val="10"/>
        <rFont val="宋体"/>
        <family val="3"/>
        <charset val="134"/>
      </rPr>
      <t>个人所得税本年已交（附注本年已交数）</t>
    </r>
    <phoneticPr fontId="5" type="noConversion"/>
  </si>
  <si>
    <r>
      <rPr>
        <sz val="10"/>
        <rFont val="宋体"/>
        <family val="3"/>
        <charset val="134"/>
      </rPr>
      <t>减：其他</t>
    </r>
    <r>
      <rPr>
        <sz val="10"/>
        <rFont val="Arial Narrow"/>
        <family val="2"/>
      </rPr>
      <t>—1</t>
    </r>
    <phoneticPr fontId="5" type="noConversion"/>
  </si>
  <si>
    <r>
      <rPr>
        <sz val="10"/>
        <rFont val="宋体"/>
        <family val="3"/>
        <charset val="134"/>
      </rPr>
      <t>减：其他</t>
    </r>
    <r>
      <rPr>
        <sz val="10"/>
        <rFont val="Arial Narrow"/>
        <family val="2"/>
      </rPr>
      <t>—2</t>
    </r>
    <r>
      <rPr>
        <sz val="11"/>
        <color theme="1"/>
        <rFont val="宋体"/>
        <family val="2"/>
        <charset val="134"/>
        <scheme val="minor"/>
      </rPr>
      <t/>
    </r>
  </si>
  <si>
    <r>
      <rPr>
        <sz val="10"/>
        <rFont val="宋体"/>
        <family val="3"/>
        <charset val="134"/>
      </rPr>
      <t>四、支付的其他与经营活动有关收到的现金测试</t>
    </r>
    <phoneticPr fontId="5" type="noConversion"/>
  </si>
  <si>
    <r>
      <rPr>
        <b/>
        <sz val="10"/>
        <rFont val="宋体"/>
        <family val="3"/>
        <charset val="134"/>
      </rPr>
      <t>四、支付的其他与经营活动有关收到的现金测试</t>
    </r>
    <phoneticPr fontId="5" type="noConversion"/>
  </si>
  <si>
    <r>
      <rPr>
        <sz val="10"/>
        <rFont val="宋体"/>
        <family val="3"/>
        <charset val="134"/>
      </rPr>
      <t>四、支付的其他与经营活动有关收到的现金测试</t>
    </r>
    <phoneticPr fontId="5" type="noConversion"/>
  </si>
  <si>
    <r>
      <t xml:space="preserve">   </t>
    </r>
    <r>
      <rPr>
        <sz val="10"/>
        <rFont val="宋体"/>
        <family val="3"/>
        <charset val="134"/>
      </rPr>
      <t>银行手续费</t>
    </r>
    <phoneticPr fontId="5" type="noConversion"/>
  </si>
  <si>
    <r>
      <rPr>
        <sz val="10"/>
        <rFont val="宋体"/>
        <family val="3"/>
        <charset val="134"/>
      </rPr>
      <t>（</t>
    </r>
    <r>
      <rPr>
        <sz val="10"/>
        <rFont val="Arial Narrow"/>
        <family val="2"/>
      </rPr>
      <t>1</t>
    </r>
    <r>
      <rPr>
        <sz val="10"/>
        <rFont val="宋体"/>
        <family val="3"/>
        <charset val="134"/>
      </rPr>
      <t>）</t>
    </r>
    <phoneticPr fontId="5" type="noConversion"/>
  </si>
  <si>
    <r>
      <t xml:space="preserve">   </t>
    </r>
    <r>
      <rPr>
        <sz val="10"/>
        <rFont val="宋体"/>
        <family val="3"/>
        <charset val="134"/>
      </rPr>
      <t>其他</t>
    </r>
    <phoneticPr fontId="5" type="noConversion"/>
  </si>
  <si>
    <r>
      <rPr>
        <sz val="10"/>
        <rFont val="宋体"/>
        <family val="3"/>
        <charset val="134"/>
      </rPr>
      <t>（</t>
    </r>
    <r>
      <rPr>
        <sz val="10"/>
        <rFont val="Arial Narrow"/>
        <family val="2"/>
      </rPr>
      <t>2</t>
    </r>
    <r>
      <rPr>
        <sz val="10"/>
        <rFont val="宋体"/>
        <family val="3"/>
        <charset val="134"/>
      </rPr>
      <t>）</t>
    </r>
    <phoneticPr fontId="5" type="noConversion"/>
  </si>
  <si>
    <r>
      <rPr>
        <sz val="10"/>
        <rFont val="宋体"/>
        <family val="3"/>
        <charset val="134"/>
      </rPr>
      <t>销售费用中的付现费用</t>
    </r>
    <phoneticPr fontId="5" type="noConversion"/>
  </si>
  <si>
    <r>
      <t xml:space="preserve">             </t>
    </r>
    <r>
      <rPr>
        <sz val="10"/>
        <rFont val="宋体"/>
        <family val="3"/>
        <charset val="134"/>
      </rPr>
      <t>业务招待费</t>
    </r>
    <phoneticPr fontId="5" type="noConversion"/>
  </si>
  <si>
    <r>
      <rPr>
        <sz val="10"/>
        <rFont val="宋体"/>
        <family val="3"/>
        <charset val="134"/>
      </rPr>
      <t>（</t>
    </r>
    <r>
      <rPr>
        <sz val="10"/>
        <rFont val="Arial Narrow"/>
        <family val="2"/>
      </rPr>
      <t>1</t>
    </r>
    <r>
      <rPr>
        <sz val="10"/>
        <rFont val="宋体"/>
        <family val="3"/>
        <charset val="134"/>
      </rPr>
      <t>）</t>
    </r>
    <phoneticPr fontId="5" type="noConversion"/>
  </si>
  <si>
    <r>
      <rPr>
        <sz val="10"/>
        <rFont val="宋体"/>
        <family val="3"/>
        <charset val="134"/>
      </rPr>
      <t>（</t>
    </r>
    <r>
      <rPr>
        <sz val="10"/>
        <rFont val="Arial Narrow"/>
        <family val="2"/>
      </rPr>
      <t>8</t>
    </r>
    <r>
      <rPr>
        <sz val="10"/>
        <rFont val="Arial"/>
        <family val="2"/>
      </rPr>
      <t>）</t>
    </r>
    <r>
      <rPr>
        <sz val="10"/>
        <rFont val="宋体"/>
        <family val="3"/>
        <charset val="134"/>
      </rPr>
      <t/>
    </r>
  </si>
  <si>
    <r>
      <rPr>
        <sz val="10"/>
        <rFont val="宋体"/>
        <family val="3"/>
        <charset val="134"/>
      </rPr>
      <t>（</t>
    </r>
    <r>
      <rPr>
        <sz val="10"/>
        <rFont val="Arial Narrow"/>
        <family val="2"/>
      </rPr>
      <t>10</t>
    </r>
    <r>
      <rPr>
        <sz val="10"/>
        <rFont val="Arial"/>
        <family val="2"/>
      </rPr>
      <t>）</t>
    </r>
    <r>
      <rPr>
        <sz val="10"/>
        <rFont val="宋体"/>
        <family val="3"/>
        <charset val="134"/>
      </rPr>
      <t/>
    </r>
  </si>
  <si>
    <r>
      <rPr>
        <sz val="10"/>
        <rFont val="宋体"/>
        <family val="3"/>
        <charset val="134"/>
      </rPr>
      <t>（</t>
    </r>
    <r>
      <rPr>
        <sz val="10"/>
        <rFont val="Arial Narrow"/>
        <family val="2"/>
      </rPr>
      <t>12</t>
    </r>
    <r>
      <rPr>
        <sz val="10"/>
        <rFont val="Arial"/>
        <family val="2"/>
      </rPr>
      <t>）</t>
    </r>
    <r>
      <rPr>
        <sz val="10"/>
        <rFont val="宋体"/>
        <family val="3"/>
        <charset val="134"/>
      </rPr>
      <t/>
    </r>
  </si>
  <si>
    <r>
      <rPr>
        <sz val="10"/>
        <rFont val="宋体"/>
        <family val="3"/>
        <charset val="134"/>
      </rPr>
      <t>（</t>
    </r>
    <r>
      <rPr>
        <sz val="10"/>
        <rFont val="Arial Narrow"/>
        <family val="2"/>
      </rPr>
      <t>14</t>
    </r>
    <r>
      <rPr>
        <sz val="10"/>
        <rFont val="Arial"/>
        <family val="2"/>
      </rPr>
      <t>）</t>
    </r>
    <r>
      <rPr>
        <sz val="10"/>
        <rFont val="宋体"/>
        <family val="3"/>
        <charset val="134"/>
      </rPr>
      <t/>
    </r>
  </si>
  <si>
    <r>
      <rPr>
        <sz val="10"/>
        <rFont val="宋体"/>
        <family val="3"/>
        <charset val="134"/>
      </rPr>
      <t>管理费用中的付现费用</t>
    </r>
    <phoneticPr fontId="5" type="noConversion"/>
  </si>
  <si>
    <r>
      <rPr>
        <sz val="10"/>
        <rFont val="宋体"/>
        <family val="3"/>
        <charset val="134"/>
      </rPr>
      <t>其他往来等合计：</t>
    </r>
    <phoneticPr fontId="5" type="noConversion"/>
  </si>
  <si>
    <r>
      <rPr>
        <sz val="10"/>
        <rFont val="宋体"/>
        <family val="3"/>
        <charset val="134"/>
      </rPr>
      <t>其他</t>
    </r>
    <r>
      <rPr>
        <sz val="10"/>
        <rFont val="Arial Narrow"/>
        <family val="2"/>
      </rPr>
      <t>--2</t>
    </r>
    <r>
      <rPr>
        <sz val="11"/>
        <color theme="1"/>
        <rFont val="宋体"/>
        <family val="2"/>
        <charset val="134"/>
        <scheme val="minor"/>
      </rPr>
      <t/>
    </r>
  </si>
  <si>
    <r>
      <rPr>
        <sz val="10"/>
        <rFont val="宋体"/>
        <family val="3"/>
        <charset val="134"/>
      </rPr>
      <t>其他</t>
    </r>
    <r>
      <rPr>
        <sz val="10"/>
        <rFont val="Arial Narrow"/>
        <family val="2"/>
      </rPr>
      <t>--3</t>
    </r>
    <r>
      <rPr>
        <sz val="11"/>
        <color theme="1"/>
        <rFont val="宋体"/>
        <family val="2"/>
        <charset val="134"/>
        <scheme val="minor"/>
      </rPr>
      <t/>
    </r>
  </si>
  <si>
    <r>
      <rPr>
        <sz val="10"/>
        <rFont val="宋体"/>
        <family val="3"/>
        <charset val="134"/>
      </rPr>
      <t>投资活动现金流入测试</t>
    </r>
  </si>
  <si>
    <r>
      <rPr>
        <b/>
        <sz val="10"/>
        <rFont val="宋体"/>
        <family val="3"/>
        <charset val="134"/>
      </rPr>
      <t>投资活动现金流入测试</t>
    </r>
    <phoneticPr fontId="5" type="noConversion"/>
  </si>
  <si>
    <r>
      <rPr>
        <sz val="10"/>
        <rFont val="宋体"/>
        <family val="3"/>
        <charset val="134"/>
      </rPr>
      <t>一、收回投资收到的现金测试</t>
    </r>
  </si>
  <si>
    <r>
      <rPr>
        <b/>
        <sz val="10"/>
        <rFont val="宋体"/>
        <family val="3"/>
        <charset val="134"/>
      </rPr>
      <t>一、收回投资收到的现金测试</t>
    </r>
    <phoneticPr fontId="5" type="noConversion"/>
  </si>
  <si>
    <r>
      <rPr>
        <sz val="10"/>
        <rFont val="宋体"/>
        <family val="3"/>
        <charset val="134"/>
      </rPr>
      <t>二、取得投资收益收到的现金测试</t>
    </r>
  </si>
  <si>
    <r>
      <rPr>
        <b/>
        <sz val="10"/>
        <rFont val="宋体"/>
        <family val="3"/>
        <charset val="134"/>
      </rPr>
      <t>二、取得投资收益收到的现金测试</t>
    </r>
    <phoneticPr fontId="5" type="noConversion"/>
  </si>
  <si>
    <r>
      <rPr>
        <sz val="10"/>
        <rFont val="宋体"/>
        <family val="3"/>
        <charset val="134"/>
      </rPr>
      <t>三、处置固定资产、无形资产和其他资产收回的现金净额测试</t>
    </r>
  </si>
  <si>
    <r>
      <rPr>
        <b/>
        <sz val="10"/>
        <rFont val="宋体"/>
        <family val="3"/>
        <charset val="134"/>
      </rPr>
      <t>三、处置固定资产、无形资产和其他资产收回的现金净额测试</t>
    </r>
    <phoneticPr fontId="5" type="noConversion"/>
  </si>
  <si>
    <r>
      <rPr>
        <sz val="10"/>
        <rFont val="宋体"/>
        <family val="3"/>
        <charset val="134"/>
      </rPr>
      <t>四、处置子公司及其他经营单位收到的现金净额测试</t>
    </r>
  </si>
  <si>
    <r>
      <rPr>
        <b/>
        <sz val="10"/>
        <rFont val="宋体"/>
        <family val="3"/>
        <charset val="134"/>
      </rPr>
      <t>四、处置子公司及其他经营单位收到的现金净额测试</t>
    </r>
    <phoneticPr fontId="5" type="noConversion"/>
  </si>
  <si>
    <r>
      <rPr>
        <sz val="10"/>
        <rFont val="宋体"/>
        <family val="3"/>
        <charset val="134"/>
      </rPr>
      <t>五、收到的其他与投资活动有关的现金测试</t>
    </r>
  </si>
  <si>
    <r>
      <rPr>
        <b/>
        <sz val="10"/>
        <rFont val="宋体"/>
        <family val="3"/>
        <charset val="134"/>
      </rPr>
      <t>五、收到的其他与投资活动有关的现金测试</t>
    </r>
    <phoneticPr fontId="5" type="noConversion"/>
  </si>
  <si>
    <r>
      <rPr>
        <sz val="10"/>
        <rFont val="宋体"/>
        <family val="3"/>
        <charset val="134"/>
      </rPr>
      <t>投资活动现金流出测试</t>
    </r>
  </si>
  <si>
    <r>
      <rPr>
        <b/>
        <sz val="10"/>
        <rFont val="宋体"/>
        <family val="3"/>
        <charset val="134"/>
      </rPr>
      <t>投资活动现金流出测试</t>
    </r>
    <phoneticPr fontId="5" type="noConversion"/>
  </si>
  <si>
    <r>
      <rPr>
        <sz val="10"/>
        <rFont val="宋体"/>
        <family val="3"/>
        <charset val="134"/>
      </rPr>
      <t>一、购建固定资产、无形资产和其他长期资产支付的现金测试</t>
    </r>
  </si>
  <si>
    <r>
      <rPr>
        <b/>
        <sz val="10"/>
        <rFont val="宋体"/>
        <family val="3"/>
        <charset val="134"/>
      </rPr>
      <t>一、购建固定资产、无形资产和其他长期资产支付的现金测试</t>
    </r>
    <phoneticPr fontId="5" type="noConversion"/>
  </si>
  <si>
    <r>
      <rPr>
        <sz val="10"/>
        <rFont val="宋体"/>
        <family val="3"/>
        <charset val="134"/>
      </rPr>
      <t>加：应付工程及设备款（期初</t>
    </r>
    <r>
      <rPr>
        <sz val="10"/>
        <rFont val="Arial Narrow"/>
        <family val="2"/>
      </rPr>
      <t>-</t>
    </r>
    <r>
      <rPr>
        <sz val="10"/>
        <rFont val="宋体"/>
        <family val="3"/>
        <charset val="134"/>
      </rPr>
      <t>期末）</t>
    </r>
  </si>
  <si>
    <r>
      <rPr>
        <sz val="10"/>
        <rFont val="宋体"/>
        <family val="3"/>
        <charset val="134"/>
      </rPr>
      <t>加：预付工程及设备款（期末</t>
    </r>
    <r>
      <rPr>
        <sz val="10"/>
        <rFont val="Arial Narrow"/>
        <family val="2"/>
      </rPr>
      <t>-</t>
    </r>
    <r>
      <rPr>
        <sz val="10"/>
        <rFont val="宋体"/>
        <family val="3"/>
        <charset val="134"/>
      </rPr>
      <t>期初）</t>
    </r>
  </si>
  <si>
    <r>
      <rPr>
        <sz val="10"/>
        <rFont val="宋体"/>
        <family val="3"/>
        <charset val="134"/>
      </rPr>
      <t>加：应付职工薪酬</t>
    </r>
    <r>
      <rPr>
        <sz val="10"/>
        <rFont val="Arial Narrow"/>
        <family val="2"/>
      </rPr>
      <t>(</t>
    </r>
    <r>
      <rPr>
        <sz val="10"/>
        <rFont val="宋体"/>
        <family val="3"/>
        <charset val="134"/>
      </rPr>
      <t>在建工程</t>
    </r>
    <r>
      <rPr>
        <sz val="10"/>
        <rFont val="Arial Narrow"/>
        <family val="2"/>
      </rPr>
      <t>)</t>
    </r>
    <r>
      <rPr>
        <sz val="10"/>
        <rFont val="宋体"/>
        <family val="3"/>
        <charset val="134"/>
      </rPr>
      <t>（期初</t>
    </r>
    <r>
      <rPr>
        <sz val="10"/>
        <rFont val="Arial Narrow"/>
        <family val="2"/>
      </rPr>
      <t>-</t>
    </r>
    <r>
      <rPr>
        <sz val="10"/>
        <rFont val="宋体"/>
        <family val="3"/>
        <charset val="134"/>
      </rPr>
      <t>期末）</t>
    </r>
  </si>
  <si>
    <r>
      <rPr>
        <sz val="10"/>
        <rFont val="宋体"/>
        <family val="3"/>
        <charset val="134"/>
      </rPr>
      <t>减</t>
    </r>
    <r>
      <rPr>
        <sz val="10"/>
        <rFont val="Arial Narrow"/>
        <family val="2"/>
      </rPr>
      <t>:</t>
    </r>
    <r>
      <rPr>
        <sz val="10"/>
        <rFont val="宋体"/>
        <family val="3"/>
        <charset val="134"/>
      </rPr>
      <t>融资租入增加的固定资产</t>
    </r>
  </si>
  <si>
    <r>
      <t>=(1)+(2)+(3)+(4)+(5)-(6)-(7)-</t>
    </r>
    <r>
      <rPr>
        <sz val="10"/>
        <rFont val="宋体"/>
        <family val="3"/>
        <charset val="134"/>
      </rPr>
      <t>（</t>
    </r>
    <r>
      <rPr>
        <sz val="10"/>
        <rFont val="Arial Narrow"/>
        <family val="2"/>
      </rPr>
      <t>8</t>
    </r>
    <r>
      <rPr>
        <sz val="10"/>
        <rFont val="宋体"/>
        <family val="3"/>
        <charset val="134"/>
      </rPr>
      <t>）</t>
    </r>
  </si>
  <si>
    <r>
      <rPr>
        <sz val="10"/>
        <rFont val="宋体"/>
        <family val="3"/>
        <charset val="134"/>
      </rPr>
      <t>二、投资所支付的现金测试</t>
    </r>
  </si>
  <si>
    <r>
      <rPr>
        <b/>
        <sz val="10"/>
        <rFont val="宋体"/>
        <family val="3"/>
        <charset val="134"/>
      </rPr>
      <t>二、投资所支付的现金测试</t>
    </r>
    <phoneticPr fontId="5" type="noConversion"/>
  </si>
  <si>
    <r>
      <rPr>
        <sz val="10"/>
        <rFont val="宋体"/>
        <family val="3"/>
        <charset val="134"/>
      </rPr>
      <t>对子公司投资的长期股权投资支付的现金</t>
    </r>
    <phoneticPr fontId="5" type="noConversion"/>
  </si>
  <si>
    <r>
      <rPr>
        <sz val="10"/>
        <rFont val="宋体"/>
        <family val="3"/>
        <charset val="134"/>
      </rPr>
      <t>长期股权投资</t>
    </r>
    <r>
      <rPr>
        <sz val="10"/>
        <rFont val="Arial Narrow"/>
        <family val="2"/>
      </rPr>
      <t>_</t>
    </r>
    <r>
      <rPr>
        <sz val="10"/>
        <rFont val="宋体"/>
        <family val="3"/>
        <charset val="134"/>
      </rPr>
      <t>对合并范围内（合并现金流量表底稿可不填此行，母公司及单户需填）</t>
    </r>
    <phoneticPr fontId="5" type="noConversion"/>
  </si>
  <si>
    <r>
      <rPr>
        <sz val="10"/>
        <rFont val="宋体"/>
        <family val="3"/>
        <charset val="134"/>
      </rPr>
      <t>长期股权投资</t>
    </r>
    <r>
      <rPr>
        <sz val="10"/>
        <rFont val="Arial Narrow"/>
        <family val="2"/>
      </rPr>
      <t>_</t>
    </r>
    <r>
      <rPr>
        <sz val="10"/>
        <rFont val="宋体"/>
        <family val="3"/>
        <charset val="134"/>
      </rPr>
      <t>对合并范围外</t>
    </r>
    <phoneticPr fontId="5" type="noConversion"/>
  </si>
  <si>
    <r>
      <rPr>
        <sz val="10"/>
        <rFont val="宋体"/>
        <family val="3"/>
        <charset val="134"/>
      </rPr>
      <t>（</t>
    </r>
    <r>
      <rPr>
        <sz val="10"/>
        <rFont val="Arial Narrow"/>
        <family val="2"/>
      </rPr>
      <t>4</t>
    </r>
    <r>
      <rPr>
        <sz val="10"/>
        <rFont val="宋体"/>
        <family val="3"/>
        <charset val="134"/>
      </rPr>
      <t>）</t>
    </r>
    <phoneticPr fontId="5" type="noConversion"/>
  </si>
  <si>
    <r>
      <rPr>
        <sz val="10"/>
        <rFont val="宋体"/>
        <family val="3"/>
        <charset val="134"/>
      </rPr>
      <t>三、取得子公司及其他营业单位支付的现金净额测试</t>
    </r>
  </si>
  <si>
    <r>
      <rPr>
        <b/>
        <sz val="10"/>
        <rFont val="宋体"/>
        <family val="3"/>
        <charset val="134"/>
      </rPr>
      <t>三、取得子公司及其他营业单位支付的现金净额测试</t>
    </r>
    <phoneticPr fontId="5" type="noConversion"/>
  </si>
  <si>
    <r>
      <rPr>
        <sz val="10"/>
        <rFont val="宋体"/>
        <family val="3"/>
        <charset val="134"/>
      </rPr>
      <t>四、支付的其他与投资活动有关的现金测试</t>
    </r>
  </si>
  <si>
    <r>
      <rPr>
        <b/>
        <sz val="10"/>
        <rFont val="宋体"/>
        <family val="3"/>
        <charset val="134"/>
      </rPr>
      <t>四、支付的其他与投资活动有关的现金测试</t>
    </r>
    <phoneticPr fontId="5" type="noConversion"/>
  </si>
  <si>
    <r>
      <rPr>
        <sz val="10"/>
        <rFont val="宋体"/>
        <family val="3"/>
        <charset val="134"/>
      </rPr>
      <t>筹资活动现金流入测试</t>
    </r>
  </si>
  <si>
    <r>
      <rPr>
        <b/>
        <sz val="10"/>
        <rFont val="宋体"/>
        <family val="3"/>
        <charset val="134"/>
      </rPr>
      <t>筹资活动现金流入测试</t>
    </r>
    <phoneticPr fontId="5" type="noConversion"/>
  </si>
  <si>
    <r>
      <rPr>
        <sz val="10"/>
        <rFont val="宋体"/>
        <family val="3"/>
        <charset val="134"/>
      </rPr>
      <t>一、吸收投资所收到的现金测试</t>
    </r>
  </si>
  <si>
    <r>
      <rPr>
        <b/>
        <sz val="10"/>
        <rFont val="宋体"/>
        <family val="3"/>
        <charset val="134"/>
      </rPr>
      <t>一、吸收投资所收到的现金测试</t>
    </r>
    <phoneticPr fontId="5" type="noConversion"/>
  </si>
  <si>
    <r>
      <rPr>
        <sz val="10"/>
        <rFont val="宋体"/>
        <family val="3"/>
        <charset val="134"/>
      </rPr>
      <t>一般增资收到的现金净额</t>
    </r>
    <phoneticPr fontId="5" type="noConversion"/>
  </si>
  <si>
    <r>
      <rPr>
        <sz val="10"/>
        <rFont val="宋体"/>
        <family val="3"/>
        <charset val="134"/>
      </rPr>
      <t>（</t>
    </r>
    <r>
      <rPr>
        <sz val="10"/>
        <rFont val="Arial Narrow"/>
        <family val="2"/>
      </rPr>
      <t>3</t>
    </r>
    <r>
      <rPr>
        <sz val="10"/>
        <rFont val="宋体"/>
        <family val="3"/>
        <charset val="134"/>
      </rPr>
      <t>）</t>
    </r>
    <phoneticPr fontId="5" type="noConversion"/>
  </si>
  <si>
    <r>
      <rPr>
        <sz val="10"/>
        <rFont val="宋体"/>
        <family val="3"/>
        <charset val="134"/>
      </rPr>
      <t>二、取得借款收到的现金测试</t>
    </r>
  </si>
  <si>
    <r>
      <rPr>
        <b/>
        <sz val="10"/>
        <rFont val="宋体"/>
        <family val="3"/>
        <charset val="134"/>
      </rPr>
      <t>二、取得借款收到的现金测试</t>
    </r>
    <phoneticPr fontId="5" type="noConversion"/>
  </si>
  <si>
    <r>
      <rPr>
        <sz val="10"/>
        <rFont val="宋体"/>
        <family val="3"/>
        <charset val="134"/>
      </rPr>
      <t>长期借款</t>
    </r>
    <phoneticPr fontId="5" type="noConversion"/>
  </si>
  <si>
    <r>
      <rPr>
        <sz val="10"/>
        <rFont val="宋体"/>
        <family val="3"/>
        <charset val="134"/>
      </rPr>
      <t>短期借款</t>
    </r>
    <phoneticPr fontId="5" type="noConversion"/>
  </si>
  <si>
    <r>
      <rPr>
        <sz val="10"/>
        <rFont val="宋体"/>
        <family val="3"/>
        <charset val="134"/>
      </rPr>
      <t>三、收到的其他与筹资活动有关的现金测试</t>
    </r>
  </si>
  <si>
    <r>
      <rPr>
        <b/>
        <sz val="10"/>
        <rFont val="宋体"/>
        <family val="3"/>
        <charset val="134"/>
      </rPr>
      <t>三、收到的其他与筹资活动有关的现金测试</t>
    </r>
    <phoneticPr fontId="5" type="noConversion"/>
  </si>
  <si>
    <r>
      <rPr>
        <sz val="10"/>
        <rFont val="宋体"/>
        <family val="3"/>
        <charset val="134"/>
      </rPr>
      <t>筹资活动活动现金流出测试</t>
    </r>
  </si>
  <si>
    <r>
      <rPr>
        <b/>
        <sz val="10"/>
        <rFont val="宋体"/>
        <family val="3"/>
        <charset val="134"/>
      </rPr>
      <t>筹资活动活动现金流出测试</t>
    </r>
    <phoneticPr fontId="5" type="noConversion"/>
  </si>
  <si>
    <r>
      <rPr>
        <sz val="10"/>
        <rFont val="宋体"/>
        <family val="3"/>
        <charset val="134"/>
      </rPr>
      <t>一、偿还债务所支付的现金测试</t>
    </r>
  </si>
  <si>
    <r>
      <rPr>
        <b/>
        <sz val="10"/>
        <rFont val="宋体"/>
        <family val="3"/>
        <charset val="134"/>
      </rPr>
      <t>一、偿还债务所支付的现金测试</t>
    </r>
    <phoneticPr fontId="5" type="noConversion"/>
  </si>
  <si>
    <r>
      <rPr>
        <sz val="10"/>
        <rFont val="宋体"/>
        <family val="3"/>
        <charset val="134"/>
      </rPr>
      <t>二、分配股利、利润或偿付利息所支付的现金测试</t>
    </r>
  </si>
  <si>
    <r>
      <rPr>
        <b/>
        <sz val="10"/>
        <rFont val="宋体"/>
        <family val="3"/>
        <charset val="134"/>
      </rPr>
      <t>二、分配股利、利润或偿付利息所支付的现金测试</t>
    </r>
    <phoneticPr fontId="5" type="noConversion"/>
  </si>
  <si>
    <r>
      <rPr>
        <sz val="10"/>
        <rFont val="宋体"/>
        <family val="3"/>
        <charset val="134"/>
      </rPr>
      <t>三、支付的其他与筹资活动有关的现金测试</t>
    </r>
  </si>
  <si>
    <r>
      <rPr>
        <b/>
        <sz val="10"/>
        <rFont val="宋体"/>
        <family val="3"/>
        <charset val="134"/>
      </rPr>
      <t>三、支付的其他与筹资活动有关的现金测试</t>
    </r>
    <phoneticPr fontId="5" type="noConversion"/>
  </si>
  <si>
    <r>
      <t>=(1)+(2)+(3)+</t>
    </r>
    <r>
      <rPr>
        <sz val="10"/>
        <rFont val="宋体"/>
        <family val="3"/>
        <charset val="134"/>
      </rPr>
      <t>（</t>
    </r>
    <r>
      <rPr>
        <sz val="10"/>
        <rFont val="Arial Narrow"/>
        <family val="2"/>
      </rPr>
      <t>4)</t>
    </r>
  </si>
  <si>
    <r>
      <rPr>
        <sz val="10"/>
        <rFont val="宋体"/>
        <family val="3"/>
        <charset val="134"/>
      </rPr>
      <t>现金流量表补充资料测试</t>
    </r>
  </si>
  <si>
    <r>
      <rPr>
        <b/>
        <sz val="10"/>
        <rFont val="宋体"/>
        <family val="3"/>
        <charset val="134"/>
      </rPr>
      <t>现金流量表补充资料测试</t>
    </r>
    <phoneticPr fontId="5" type="noConversion"/>
  </si>
  <si>
    <r>
      <rPr>
        <b/>
        <sz val="10"/>
        <rFont val="宋体"/>
        <family val="3"/>
        <charset val="134"/>
      </rPr>
      <t>一、财务费用</t>
    </r>
    <phoneticPr fontId="5" type="noConversion"/>
  </si>
  <si>
    <r>
      <rPr>
        <sz val="10"/>
        <rFont val="宋体"/>
        <family val="3"/>
        <charset val="134"/>
      </rPr>
      <t>二、存货的减少（</t>
    </r>
    <r>
      <rPr>
        <sz val="10"/>
        <rFont val="Arial Narrow"/>
        <family val="2"/>
      </rPr>
      <t>“</t>
    </r>
    <r>
      <rPr>
        <sz val="10"/>
        <rFont val="宋体"/>
        <family val="3"/>
        <charset val="134"/>
      </rPr>
      <t>一</t>
    </r>
    <r>
      <rPr>
        <sz val="10"/>
        <rFont val="Arial Narrow"/>
        <family val="2"/>
      </rPr>
      <t>”</t>
    </r>
    <r>
      <rPr>
        <sz val="10"/>
        <rFont val="宋体"/>
        <family val="3"/>
        <charset val="134"/>
      </rPr>
      <t>增加）</t>
    </r>
  </si>
  <si>
    <r>
      <rPr>
        <b/>
        <sz val="10"/>
        <rFont val="宋体"/>
        <family val="3"/>
        <charset val="134"/>
      </rPr>
      <t>二、存货的减少（</t>
    </r>
    <r>
      <rPr>
        <b/>
        <sz val="10"/>
        <rFont val="Arial Narrow"/>
        <family val="2"/>
      </rPr>
      <t>“</t>
    </r>
    <r>
      <rPr>
        <b/>
        <sz val="10"/>
        <rFont val="宋体"/>
        <family val="3"/>
        <charset val="134"/>
      </rPr>
      <t>一</t>
    </r>
    <r>
      <rPr>
        <b/>
        <sz val="10"/>
        <rFont val="Arial Narrow"/>
        <family val="2"/>
      </rPr>
      <t>”</t>
    </r>
    <r>
      <rPr>
        <b/>
        <sz val="10"/>
        <rFont val="宋体"/>
        <family val="3"/>
        <charset val="134"/>
      </rPr>
      <t>增加）</t>
    </r>
    <phoneticPr fontId="5" type="noConversion"/>
  </si>
  <si>
    <r>
      <rPr>
        <sz val="10"/>
        <rFont val="宋体"/>
        <family val="3"/>
        <charset val="134"/>
      </rPr>
      <t>减</t>
    </r>
    <r>
      <rPr>
        <sz val="10"/>
        <rFont val="Arial Narrow"/>
        <family val="2"/>
      </rPr>
      <t>:</t>
    </r>
    <r>
      <rPr>
        <sz val="10"/>
        <rFont val="宋体"/>
        <family val="3"/>
        <charset val="134"/>
      </rPr>
      <t>投资投入、非货币性交换、债务重组等非购入增加存货</t>
    </r>
  </si>
  <si>
    <r>
      <rPr>
        <sz val="10"/>
        <rFont val="宋体"/>
        <family val="3"/>
        <charset val="134"/>
      </rPr>
      <t>三、经营性应收的减少（</t>
    </r>
    <r>
      <rPr>
        <sz val="10"/>
        <rFont val="Arial Narrow"/>
        <family val="2"/>
      </rPr>
      <t>“</t>
    </r>
    <r>
      <rPr>
        <sz val="10"/>
        <rFont val="宋体"/>
        <family val="3"/>
        <charset val="134"/>
      </rPr>
      <t>一</t>
    </r>
    <r>
      <rPr>
        <sz val="10"/>
        <rFont val="Arial Narrow"/>
        <family val="2"/>
      </rPr>
      <t>”</t>
    </r>
    <r>
      <rPr>
        <sz val="10"/>
        <rFont val="宋体"/>
        <family val="3"/>
        <charset val="134"/>
      </rPr>
      <t>增加）</t>
    </r>
  </si>
  <si>
    <r>
      <rPr>
        <b/>
        <sz val="10"/>
        <rFont val="宋体"/>
        <family val="3"/>
        <charset val="134"/>
      </rPr>
      <t>三、经营性应收的减少（</t>
    </r>
    <r>
      <rPr>
        <b/>
        <sz val="10"/>
        <rFont val="Arial Narrow"/>
        <family val="2"/>
      </rPr>
      <t>“</t>
    </r>
    <r>
      <rPr>
        <b/>
        <sz val="10"/>
        <rFont val="宋体"/>
        <family val="3"/>
        <charset val="134"/>
      </rPr>
      <t>一</t>
    </r>
    <r>
      <rPr>
        <b/>
        <sz val="10"/>
        <rFont val="Arial Narrow"/>
        <family val="2"/>
      </rPr>
      <t>”</t>
    </r>
    <r>
      <rPr>
        <b/>
        <sz val="10"/>
        <rFont val="宋体"/>
        <family val="3"/>
        <charset val="134"/>
      </rPr>
      <t>增加）</t>
    </r>
    <phoneticPr fontId="5" type="noConversion"/>
  </si>
  <si>
    <r>
      <t xml:space="preserve">    </t>
    </r>
    <r>
      <rPr>
        <sz val="10"/>
        <rFont val="宋体"/>
        <family val="3"/>
        <charset val="134"/>
      </rPr>
      <t>其他应收款的减少</t>
    </r>
    <r>
      <rPr>
        <sz val="10"/>
        <rFont val="Arial Narrow"/>
        <family val="2"/>
      </rPr>
      <t>(</t>
    </r>
    <r>
      <rPr>
        <sz val="10"/>
        <rFont val="宋体"/>
        <family val="3"/>
        <charset val="134"/>
      </rPr>
      <t>期初－期末</t>
    </r>
    <r>
      <rPr>
        <sz val="10"/>
        <rFont val="Arial Narrow"/>
        <family val="2"/>
      </rPr>
      <t>)</t>
    </r>
  </si>
  <si>
    <r>
      <t xml:space="preserve">    </t>
    </r>
    <r>
      <rPr>
        <sz val="10"/>
        <rFont val="宋体"/>
        <family val="3"/>
        <charset val="134"/>
      </rPr>
      <t>应收票据的减少</t>
    </r>
    <r>
      <rPr>
        <sz val="10"/>
        <rFont val="Arial Narrow"/>
        <family val="2"/>
      </rPr>
      <t>(</t>
    </r>
    <r>
      <rPr>
        <sz val="10"/>
        <rFont val="宋体"/>
        <family val="3"/>
        <charset val="134"/>
      </rPr>
      <t>期初－期末</t>
    </r>
    <r>
      <rPr>
        <sz val="10"/>
        <rFont val="Arial Narrow"/>
        <family val="2"/>
      </rPr>
      <t>)</t>
    </r>
  </si>
  <si>
    <r>
      <t xml:space="preserve">    </t>
    </r>
    <r>
      <rPr>
        <sz val="10"/>
        <rFont val="宋体"/>
        <family val="3"/>
        <charset val="134"/>
      </rPr>
      <t>预付账款的减少</t>
    </r>
    <r>
      <rPr>
        <sz val="10"/>
        <rFont val="Arial Narrow"/>
        <family val="2"/>
      </rPr>
      <t>(</t>
    </r>
    <r>
      <rPr>
        <sz val="10"/>
        <rFont val="宋体"/>
        <family val="3"/>
        <charset val="134"/>
      </rPr>
      <t>期初－期末</t>
    </r>
    <r>
      <rPr>
        <sz val="10"/>
        <rFont val="Arial Narrow"/>
        <family val="2"/>
      </rPr>
      <t>)</t>
    </r>
  </si>
  <si>
    <r>
      <t xml:space="preserve">    </t>
    </r>
    <r>
      <rPr>
        <sz val="10"/>
        <rFont val="宋体"/>
        <family val="3"/>
        <charset val="134"/>
      </rPr>
      <t>预付工程及设备款的减少（期初</t>
    </r>
    <r>
      <rPr>
        <sz val="10"/>
        <rFont val="Arial Narrow"/>
        <family val="2"/>
      </rPr>
      <t>-</t>
    </r>
    <r>
      <rPr>
        <sz val="10"/>
        <rFont val="宋体"/>
        <family val="3"/>
        <charset val="134"/>
      </rPr>
      <t>期末）</t>
    </r>
  </si>
  <si>
    <r>
      <rPr>
        <sz val="10"/>
        <rFont val="宋体"/>
        <family val="3"/>
        <charset val="134"/>
      </rPr>
      <t>四、经营性应付的增加（</t>
    </r>
    <r>
      <rPr>
        <sz val="10"/>
        <rFont val="Arial Narrow"/>
        <family val="2"/>
      </rPr>
      <t>“-”</t>
    </r>
    <r>
      <rPr>
        <sz val="10"/>
        <rFont val="宋体"/>
        <family val="3"/>
        <charset val="134"/>
      </rPr>
      <t>减少）</t>
    </r>
  </si>
  <si>
    <r>
      <rPr>
        <b/>
        <sz val="10"/>
        <rFont val="宋体"/>
        <family val="3"/>
        <charset val="134"/>
      </rPr>
      <t>四、经营性应付的增加（</t>
    </r>
    <r>
      <rPr>
        <b/>
        <sz val="10"/>
        <rFont val="Arial Narrow"/>
        <family val="2"/>
      </rPr>
      <t>“-”</t>
    </r>
    <r>
      <rPr>
        <b/>
        <sz val="10"/>
        <rFont val="宋体"/>
        <family val="3"/>
        <charset val="134"/>
      </rPr>
      <t>减少）</t>
    </r>
    <phoneticPr fontId="5" type="noConversion"/>
  </si>
  <si>
    <r>
      <rPr>
        <sz val="10"/>
        <rFont val="宋体"/>
        <family val="3"/>
        <charset val="134"/>
      </rPr>
      <t>应付账款的增加</t>
    </r>
    <r>
      <rPr>
        <sz val="10"/>
        <rFont val="Arial Narrow"/>
        <family val="2"/>
      </rPr>
      <t>(</t>
    </r>
    <r>
      <rPr>
        <sz val="10"/>
        <rFont val="宋体"/>
        <family val="3"/>
        <charset val="134"/>
      </rPr>
      <t>期末－期初</t>
    </r>
    <r>
      <rPr>
        <sz val="10"/>
        <rFont val="Arial Narrow"/>
        <family val="2"/>
      </rPr>
      <t>)</t>
    </r>
  </si>
  <si>
    <r>
      <rPr>
        <sz val="10"/>
        <rFont val="宋体"/>
        <family val="3"/>
        <charset val="134"/>
      </rPr>
      <t>应付票据的增加</t>
    </r>
    <r>
      <rPr>
        <sz val="10"/>
        <rFont val="Arial Narrow"/>
        <family val="2"/>
      </rPr>
      <t>(</t>
    </r>
    <r>
      <rPr>
        <sz val="10"/>
        <rFont val="宋体"/>
        <family val="3"/>
        <charset val="134"/>
      </rPr>
      <t>期末－期初</t>
    </r>
    <r>
      <rPr>
        <sz val="10"/>
        <rFont val="Arial Narrow"/>
        <family val="2"/>
      </rPr>
      <t>)</t>
    </r>
  </si>
  <si>
    <r>
      <rPr>
        <sz val="10"/>
        <rFont val="宋体"/>
        <family val="3"/>
        <charset val="134"/>
      </rPr>
      <t>预收账款的增加</t>
    </r>
    <r>
      <rPr>
        <sz val="10"/>
        <rFont val="Arial Narrow"/>
        <family val="2"/>
      </rPr>
      <t>(</t>
    </r>
    <r>
      <rPr>
        <sz val="10"/>
        <rFont val="宋体"/>
        <family val="3"/>
        <charset val="134"/>
      </rPr>
      <t>期末－期初</t>
    </r>
    <r>
      <rPr>
        <sz val="10"/>
        <rFont val="Arial Narrow"/>
        <family val="2"/>
      </rPr>
      <t>)</t>
    </r>
  </si>
  <si>
    <r>
      <rPr>
        <sz val="10"/>
        <rFont val="宋体"/>
        <family val="3"/>
        <charset val="134"/>
      </rPr>
      <t>其他应付款的增加</t>
    </r>
    <r>
      <rPr>
        <sz val="10"/>
        <rFont val="Arial Narrow"/>
        <family val="2"/>
      </rPr>
      <t>(</t>
    </r>
    <r>
      <rPr>
        <sz val="10"/>
        <rFont val="宋体"/>
        <family val="3"/>
        <charset val="134"/>
      </rPr>
      <t>期末－期初</t>
    </r>
    <r>
      <rPr>
        <sz val="10"/>
        <rFont val="Arial Narrow"/>
        <family val="2"/>
      </rPr>
      <t>)</t>
    </r>
  </si>
  <si>
    <r>
      <rPr>
        <sz val="10"/>
        <rFont val="宋体"/>
        <family val="3"/>
        <charset val="134"/>
      </rPr>
      <t>应交税费的增加</t>
    </r>
    <r>
      <rPr>
        <sz val="10"/>
        <rFont val="Arial Narrow"/>
        <family val="2"/>
      </rPr>
      <t>(</t>
    </r>
    <r>
      <rPr>
        <sz val="10"/>
        <rFont val="宋体"/>
        <family val="3"/>
        <charset val="134"/>
      </rPr>
      <t>期末－期初</t>
    </r>
    <r>
      <rPr>
        <sz val="10"/>
        <rFont val="Arial Narrow"/>
        <family val="2"/>
      </rPr>
      <t>)</t>
    </r>
  </si>
  <si>
    <r>
      <rPr>
        <sz val="10"/>
        <rFont val="宋体"/>
        <family val="3"/>
        <charset val="134"/>
      </rPr>
      <t>应付应付职工薪酬的增加</t>
    </r>
    <r>
      <rPr>
        <sz val="10"/>
        <rFont val="Arial Narrow"/>
        <family val="2"/>
      </rPr>
      <t>(</t>
    </r>
    <r>
      <rPr>
        <sz val="10"/>
        <rFont val="宋体"/>
        <family val="3"/>
        <charset val="134"/>
      </rPr>
      <t>期末－期初</t>
    </r>
    <r>
      <rPr>
        <sz val="10"/>
        <rFont val="Arial Narrow"/>
        <family val="2"/>
      </rPr>
      <t>)</t>
    </r>
  </si>
  <si>
    <r>
      <rPr>
        <sz val="10"/>
        <rFont val="宋体"/>
        <family val="3"/>
        <charset val="134"/>
      </rPr>
      <t>减：应付工程及设备款（期末</t>
    </r>
    <r>
      <rPr>
        <sz val="10"/>
        <rFont val="Arial Narrow"/>
        <family val="2"/>
      </rPr>
      <t xml:space="preserve">- </t>
    </r>
    <r>
      <rPr>
        <sz val="10"/>
        <rFont val="宋体"/>
        <family val="3"/>
        <charset val="134"/>
      </rPr>
      <t>期初）</t>
    </r>
    <r>
      <rPr>
        <sz val="10"/>
        <rFont val="Arial Narrow"/>
        <family val="2"/>
      </rPr>
      <t xml:space="preserve">    </t>
    </r>
  </si>
  <si>
    <r>
      <rPr>
        <sz val="10"/>
        <rFont val="宋体"/>
        <family val="3"/>
        <charset val="134"/>
      </rPr>
      <t>减：应付职工薪酬</t>
    </r>
    <r>
      <rPr>
        <sz val="10"/>
        <rFont val="Arial Narrow"/>
        <family val="2"/>
      </rPr>
      <t>(</t>
    </r>
    <r>
      <rPr>
        <sz val="10"/>
        <rFont val="宋体"/>
        <family val="3"/>
        <charset val="134"/>
      </rPr>
      <t>在建工程</t>
    </r>
    <r>
      <rPr>
        <sz val="10"/>
        <rFont val="Arial Narrow"/>
        <family val="2"/>
      </rPr>
      <t>)</t>
    </r>
    <r>
      <rPr>
        <sz val="10"/>
        <rFont val="宋体"/>
        <family val="3"/>
        <charset val="134"/>
      </rPr>
      <t>的增加</t>
    </r>
    <r>
      <rPr>
        <sz val="10"/>
        <rFont val="Arial Narrow"/>
        <family val="2"/>
      </rPr>
      <t>(</t>
    </r>
    <r>
      <rPr>
        <sz val="10"/>
        <rFont val="宋体"/>
        <family val="3"/>
        <charset val="134"/>
      </rPr>
      <t>期末－期初</t>
    </r>
    <r>
      <rPr>
        <sz val="10"/>
        <rFont val="Arial Narrow"/>
        <family val="2"/>
      </rPr>
      <t>)</t>
    </r>
  </si>
  <si>
    <r>
      <rPr>
        <sz val="10"/>
        <rFont val="宋体"/>
        <family val="3"/>
        <charset val="134"/>
      </rPr>
      <t>减：应交税增加中非经营性活动税费变化</t>
    </r>
    <r>
      <rPr>
        <sz val="10"/>
        <rFont val="Arial Narrow"/>
        <family val="2"/>
      </rPr>
      <t>(</t>
    </r>
    <r>
      <rPr>
        <sz val="10"/>
        <rFont val="宋体"/>
        <family val="3"/>
        <charset val="134"/>
      </rPr>
      <t>期末－期初</t>
    </r>
    <r>
      <rPr>
        <sz val="10"/>
        <rFont val="Arial Narrow"/>
        <family val="2"/>
      </rPr>
      <t>)</t>
    </r>
  </si>
  <si>
    <r>
      <rPr>
        <sz val="10"/>
        <rFont val="宋体"/>
        <family val="3"/>
        <charset val="134"/>
      </rPr>
      <t>加</t>
    </r>
    <r>
      <rPr>
        <sz val="10"/>
        <rFont val="Arial Narrow"/>
        <family val="2"/>
      </rPr>
      <t>:</t>
    </r>
    <r>
      <rPr>
        <sz val="10"/>
        <rFont val="宋体"/>
        <family val="3"/>
        <charset val="134"/>
      </rPr>
      <t>以非现金资产抵债减少的应付账款</t>
    </r>
  </si>
  <si>
    <r>
      <rPr>
        <sz val="10"/>
        <rFont val="宋体"/>
        <family val="3"/>
        <charset val="134"/>
      </rPr>
      <t>加</t>
    </r>
    <r>
      <rPr>
        <sz val="10"/>
        <rFont val="Arial Narrow"/>
        <family val="2"/>
      </rPr>
      <t>:</t>
    </r>
    <r>
      <rPr>
        <sz val="10"/>
        <rFont val="宋体"/>
        <family val="3"/>
        <charset val="134"/>
      </rPr>
      <t>应收抵应付</t>
    </r>
  </si>
  <si>
    <r>
      <rPr>
        <b/>
        <sz val="10"/>
        <rFont val="宋体"/>
        <family val="3"/>
        <charset val="134"/>
      </rPr>
      <t>五、计提的减值准备</t>
    </r>
    <phoneticPr fontId="5" type="noConversion"/>
  </si>
  <si>
    <r>
      <rPr>
        <sz val="10"/>
        <rFont val="Arial"/>
        <family val="2"/>
      </rPr>
      <t>坏账损失</t>
    </r>
  </si>
  <si>
    <r>
      <rPr>
        <sz val="10"/>
        <rFont val="Arial"/>
        <family val="2"/>
      </rPr>
      <t>存货跌价损失</t>
    </r>
  </si>
  <si>
    <r>
      <rPr>
        <sz val="10"/>
        <rFont val="Arial"/>
        <family val="2"/>
      </rPr>
      <t>可供出售金融资产减值损失</t>
    </r>
  </si>
  <si>
    <r>
      <rPr>
        <sz val="10"/>
        <rFont val="Arial"/>
        <family val="2"/>
      </rPr>
      <t>持有至到期投资减值损失</t>
    </r>
  </si>
  <si>
    <r>
      <rPr>
        <sz val="10"/>
        <rFont val="Arial"/>
        <family val="2"/>
      </rPr>
      <t>长期股权投资减值损失</t>
    </r>
  </si>
  <si>
    <r>
      <rPr>
        <sz val="10"/>
        <rFont val="Arial"/>
        <family val="2"/>
      </rPr>
      <t>投资性房地产减值损失</t>
    </r>
  </si>
  <si>
    <r>
      <rPr>
        <sz val="10"/>
        <rFont val="Arial"/>
        <family val="2"/>
      </rPr>
      <t>固定资产减值损失</t>
    </r>
  </si>
  <si>
    <r>
      <rPr>
        <sz val="10"/>
        <rFont val="宋体"/>
        <family val="3"/>
        <charset val="134"/>
      </rPr>
      <t>（</t>
    </r>
    <r>
      <rPr>
        <sz val="10"/>
        <rFont val="Arial Narrow"/>
        <family val="2"/>
      </rPr>
      <t>7</t>
    </r>
    <r>
      <rPr>
        <sz val="10"/>
        <rFont val="Arial"/>
        <family val="2"/>
      </rPr>
      <t>）</t>
    </r>
    <r>
      <rPr>
        <sz val="10"/>
        <rFont val="宋体"/>
        <family val="3"/>
        <charset val="134"/>
      </rPr>
      <t/>
    </r>
  </si>
  <si>
    <r>
      <rPr>
        <sz val="10"/>
        <rFont val="Arial"/>
        <family val="2"/>
      </rPr>
      <t>工程物资减值损失</t>
    </r>
  </si>
  <si>
    <r>
      <rPr>
        <sz val="10"/>
        <rFont val="Arial"/>
        <family val="2"/>
      </rPr>
      <t>在建工程减值损失</t>
    </r>
  </si>
  <si>
    <r>
      <rPr>
        <sz val="10"/>
        <rFont val="宋体"/>
        <family val="3"/>
        <charset val="134"/>
      </rPr>
      <t>（</t>
    </r>
    <r>
      <rPr>
        <sz val="10"/>
        <rFont val="Arial Narrow"/>
        <family val="2"/>
      </rPr>
      <t>9</t>
    </r>
    <r>
      <rPr>
        <sz val="10"/>
        <rFont val="Arial"/>
        <family val="2"/>
      </rPr>
      <t>）</t>
    </r>
    <r>
      <rPr>
        <sz val="10"/>
        <rFont val="宋体"/>
        <family val="3"/>
        <charset val="134"/>
      </rPr>
      <t/>
    </r>
  </si>
  <si>
    <r>
      <rPr>
        <sz val="10"/>
        <rFont val="Arial"/>
        <family val="2"/>
      </rPr>
      <t>生产性生物资产减值损失</t>
    </r>
  </si>
  <si>
    <r>
      <rPr>
        <sz val="10"/>
        <rFont val="Arial"/>
        <family val="2"/>
      </rPr>
      <t>油气资产减值损失</t>
    </r>
  </si>
  <si>
    <r>
      <rPr>
        <sz val="10"/>
        <rFont val="宋体"/>
        <family val="3"/>
        <charset val="134"/>
      </rPr>
      <t>（</t>
    </r>
    <r>
      <rPr>
        <sz val="10"/>
        <rFont val="Arial Narrow"/>
        <family val="2"/>
      </rPr>
      <t>11</t>
    </r>
    <r>
      <rPr>
        <sz val="10"/>
        <rFont val="Arial"/>
        <family val="2"/>
      </rPr>
      <t>）</t>
    </r>
    <r>
      <rPr>
        <sz val="10"/>
        <rFont val="宋体"/>
        <family val="3"/>
        <charset val="134"/>
      </rPr>
      <t/>
    </r>
  </si>
  <si>
    <r>
      <rPr>
        <sz val="10"/>
        <rFont val="Arial"/>
        <family val="2"/>
      </rPr>
      <t>无形资产减值损失</t>
    </r>
  </si>
  <si>
    <r>
      <rPr>
        <sz val="10"/>
        <rFont val="Arial"/>
        <family val="2"/>
      </rPr>
      <t>商誉减值损失</t>
    </r>
  </si>
  <si>
    <r>
      <rPr>
        <sz val="10"/>
        <rFont val="宋体"/>
        <family val="3"/>
        <charset val="134"/>
      </rPr>
      <t>（</t>
    </r>
    <r>
      <rPr>
        <sz val="10"/>
        <rFont val="Arial Narrow"/>
        <family val="2"/>
      </rPr>
      <t>13</t>
    </r>
    <r>
      <rPr>
        <sz val="10"/>
        <rFont val="Arial"/>
        <family val="2"/>
      </rPr>
      <t>）</t>
    </r>
    <r>
      <rPr>
        <sz val="10"/>
        <rFont val="宋体"/>
        <family val="3"/>
        <charset val="134"/>
      </rPr>
      <t/>
    </r>
  </si>
  <si>
    <r>
      <rPr>
        <sz val="10"/>
        <rFont val="Arial"/>
        <family val="2"/>
      </rPr>
      <t>其他</t>
    </r>
  </si>
  <si>
    <r>
      <rPr>
        <sz val="10"/>
        <rFont val="宋体"/>
        <family val="3"/>
        <charset val="134"/>
      </rPr>
      <t>各项差异</t>
    </r>
    <phoneticPr fontId="5" type="noConversion"/>
  </si>
  <si>
    <r>
      <rPr>
        <sz val="10"/>
        <rFont val="宋体"/>
        <family val="3"/>
        <charset val="134"/>
      </rPr>
      <t>经营活动：</t>
    </r>
    <phoneticPr fontId="5" type="noConversion"/>
  </si>
  <si>
    <r>
      <rPr>
        <sz val="10"/>
        <rFont val="宋体"/>
        <family val="3"/>
        <charset val="134"/>
      </rPr>
      <t>二、</t>
    </r>
    <r>
      <rPr>
        <sz val="10"/>
        <rFont val="Arial Narrow"/>
        <family val="2"/>
      </rPr>
      <t xml:space="preserve"> </t>
    </r>
    <r>
      <rPr>
        <sz val="10"/>
        <rFont val="宋体"/>
        <family val="3"/>
        <charset val="134"/>
      </rPr>
      <t>收到的税费返还的现金测试</t>
    </r>
    <phoneticPr fontId="5" type="noConversion"/>
  </si>
  <si>
    <r>
      <rPr>
        <sz val="10"/>
        <rFont val="宋体"/>
        <family val="3"/>
        <charset val="134"/>
      </rPr>
      <t>三、收到的其他与经营活动有关的现金测试</t>
    </r>
    <phoneticPr fontId="5" type="noConversion"/>
  </si>
  <si>
    <r>
      <rPr>
        <sz val="10"/>
        <rFont val="宋体"/>
        <family val="3"/>
        <charset val="134"/>
      </rPr>
      <t>一、购买商品、接受劳务支付的现金测试</t>
    </r>
    <phoneticPr fontId="5" type="noConversion"/>
  </si>
  <si>
    <r>
      <rPr>
        <sz val="10"/>
        <rFont val="宋体"/>
        <family val="3"/>
        <charset val="134"/>
      </rPr>
      <t>二、支付给职工以及为职工支付的现金测试</t>
    </r>
    <phoneticPr fontId="5" type="noConversion"/>
  </si>
  <si>
    <r>
      <rPr>
        <sz val="10"/>
        <rFont val="宋体"/>
        <family val="3"/>
        <charset val="134"/>
      </rPr>
      <t>二、支付给职工以及为职工支付的现金测试</t>
    </r>
    <r>
      <rPr>
        <sz val="10"/>
        <rFont val="Arial Narrow"/>
        <family val="2"/>
      </rPr>
      <t>—</t>
    </r>
    <r>
      <rPr>
        <sz val="10"/>
        <rFont val="宋体"/>
        <family val="3"/>
        <charset val="134"/>
      </rPr>
      <t>公式</t>
    </r>
    <r>
      <rPr>
        <sz val="10"/>
        <rFont val="Arial Narrow"/>
        <family val="2"/>
      </rPr>
      <t>2</t>
    </r>
    <phoneticPr fontId="5" type="noConversion"/>
  </si>
  <si>
    <r>
      <rPr>
        <sz val="10"/>
        <rFont val="宋体"/>
        <family val="3"/>
        <charset val="134"/>
      </rPr>
      <t>三、支付的各项税费的现金测试</t>
    </r>
    <phoneticPr fontId="5" type="noConversion"/>
  </si>
  <si>
    <r>
      <rPr>
        <sz val="10"/>
        <rFont val="宋体"/>
        <family val="3"/>
        <charset val="134"/>
      </rPr>
      <t>三、支付的各项税费的现金测试</t>
    </r>
    <r>
      <rPr>
        <sz val="10"/>
        <rFont val="Arial Narrow"/>
        <family val="2"/>
      </rPr>
      <t>—</t>
    </r>
    <r>
      <rPr>
        <sz val="10"/>
        <rFont val="宋体"/>
        <family val="3"/>
        <charset val="134"/>
      </rPr>
      <t>公式</t>
    </r>
    <r>
      <rPr>
        <sz val="10"/>
        <rFont val="Arial Narrow"/>
        <family val="2"/>
      </rPr>
      <t>2</t>
    </r>
    <phoneticPr fontId="5" type="noConversion"/>
  </si>
  <si>
    <r>
      <rPr>
        <sz val="10"/>
        <rFont val="宋体"/>
        <family val="3"/>
        <charset val="134"/>
      </rPr>
      <t>投资活动：</t>
    </r>
    <phoneticPr fontId="5" type="noConversion"/>
  </si>
  <si>
    <r>
      <rPr>
        <sz val="10"/>
        <rFont val="宋体"/>
        <family val="3"/>
        <charset val="134"/>
      </rPr>
      <t>一、收回投资收到的现金测试</t>
    </r>
    <phoneticPr fontId="5" type="noConversion"/>
  </si>
  <si>
    <r>
      <rPr>
        <sz val="10"/>
        <rFont val="宋体"/>
        <family val="3"/>
        <charset val="134"/>
      </rPr>
      <t>二、取得投资收益收到的现金测试</t>
    </r>
    <phoneticPr fontId="5" type="noConversion"/>
  </si>
  <si>
    <r>
      <rPr>
        <sz val="10"/>
        <rFont val="宋体"/>
        <family val="3"/>
        <charset val="134"/>
      </rPr>
      <t>三、处置固定资产、无形资产和其他资产收回的现金净额测试</t>
    </r>
    <phoneticPr fontId="5" type="noConversion"/>
  </si>
  <si>
    <r>
      <rPr>
        <sz val="10"/>
        <rFont val="宋体"/>
        <family val="3"/>
        <charset val="134"/>
      </rPr>
      <t>四、处置子公司及其他经营单位收到的现金净额测试</t>
    </r>
    <phoneticPr fontId="5" type="noConversion"/>
  </si>
  <si>
    <r>
      <rPr>
        <sz val="10"/>
        <rFont val="宋体"/>
        <family val="3"/>
        <charset val="134"/>
      </rPr>
      <t>五、收到的其他与投资活动有关的现金测试</t>
    </r>
    <phoneticPr fontId="5" type="noConversion"/>
  </si>
  <si>
    <r>
      <rPr>
        <sz val="10"/>
        <rFont val="宋体"/>
        <family val="3"/>
        <charset val="134"/>
      </rPr>
      <t>一、购建固定资产、无形资产和其他长期资产支付的现金测试</t>
    </r>
    <phoneticPr fontId="5" type="noConversion"/>
  </si>
  <si>
    <r>
      <rPr>
        <sz val="10"/>
        <rFont val="宋体"/>
        <family val="3"/>
        <charset val="134"/>
      </rPr>
      <t>二、投资所支付的现金测试</t>
    </r>
    <phoneticPr fontId="5" type="noConversion"/>
  </si>
  <si>
    <r>
      <rPr>
        <sz val="10"/>
        <rFont val="宋体"/>
        <family val="3"/>
        <charset val="134"/>
      </rPr>
      <t>三、取得子公司及其他营业单位支付的现金净额测试</t>
    </r>
    <phoneticPr fontId="5" type="noConversion"/>
  </si>
  <si>
    <r>
      <rPr>
        <sz val="10"/>
        <rFont val="宋体"/>
        <family val="3"/>
        <charset val="134"/>
      </rPr>
      <t>四、支付的其他与投资活动有关的现金测试</t>
    </r>
    <phoneticPr fontId="5" type="noConversion"/>
  </si>
  <si>
    <r>
      <rPr>
        <sz val="10"/>
        <rFont val="宋体"/>
        <family val="3"/>
        <charset val="134"/>
      </rPr>
      <t>筹资活动：</t>
    </r>
    <phoneticPr fontId="5" type="noConversion"/>
  </si>
  <si>
    <r>
      <rPr>
        <sz val="10"/>
        <rFont val="宋体"/>
        <family val="3"/>
        <charset val="134"/>
      </rPr>
      <t>一、吸收投资所收到的现金测试</t>
    </r>
    <phoneticPr fontId="5" type="noConversion"/>
  </si>
  <si>
    <r>
      <rPr>
        <sz val="10"/>
        <rFont val="宋体"/>
        <family val="3"/>
        <charset val="134"/>
      </rPr>
      <t>二、取得借款收到的现金测试</t>
    </r>
    <phoneticPr fontId="5" type="noConversion"/>
  </si>
  <si>
    <r>
      <rPr>
        <sz val="10"/>
        <rFont val="宋体"/>
        <family val="3"/>
        <charset val="134"/>
      </rPr>
      <t>三、收到的其他与筹资活动有关的现金测试</t>
    </r>
    <phoneticPr fontId="5" type="noConversion"/>
  </si>
  <si>
    <r>
      <rPr>
        <sz val="10"/>
        <rFont val="宋体"/>
        <family val="3"/>
        <charset val="134"/>
      </rPr>
      <t>一、偿还债务所支付的现金测试</t>
    </r>
    <phoneticPr fontId="5" type="noConversion"/>
  </si>
  <si>
    <r>
      <rPr>
        <sz val="10"/>
        <rFont val="宋体"/>
        <family val="3"/>
        <charset val="134"/>
      </rPr>
      <t>二、分配股利、利润或偿付利息所支付的现金测试</t>
    </r>
    <phoneticPr fontId="5" type="noConversion"/>
  </si>
  <si>
    <r>
      <rPr>
        <sz val="10"/>
        <rFont val="宋体"/>
        <family val="3"/>
        <charset val="134"/>
      </rPr>
      <t>三、支付的其他与筹资活动有关的现金测试</t>
    </r>
    <phoneticPr fontId="5" type="noConversion"/>
  </si>
  <si>
    <r>
      <rPr>
        <sz val="10"/>
        <rFont val="宋体"/>
        <family val="3"/>
        <charset val="134"/>
      </rPr>
      <t>另：借款净增加额核对</t>
    </r>
    <phoneticPr fontId="5" type="noConversion"/>
  </si>
  <si>
    <r>
      <rPr>
        <sz val="10"/>
        <rFont val="宋体"/>
        <family val="3"/>
        <charset val="134"/>
      </rPr>
      <t>现金流量表补充资料：</t>
    </r>
    <phoneticPr fontId="5" type="noConversion"/>
  </si>
  <si>
    <r>
      <rPr>
        <sz val="10"/>
        <rFont val="宋体"/>
        <family val="3"/>
        <charset val="134"/>
      </rPr>
      <t>编制说明：</t>
    </r>
    <phoneticPr fontId="5" type="noConversion"/>
  </si>
  <si>
    <r>
      <t xml:space="preserve">    1</t>
    </r>
    <r>
      <rPr>
        <sz val="10"/>
        <rFont val="宋体"/>
        <family val="3"/>
        <charset val="134"/>
      </rPr>
      <t>、对差异较大的情况（如超过</t>
    </r>
    <r>
      <rPr>
        <sz val="10"/>
        <rFont val="Arial Narrow"/>
        <family val="2"/>
      </rPr>
      <t>10%</t>
    </r>
    <r>
      <rPr>
        <sz val="10"/>
        <rFont val="宋体"/>
        <family val="3"/>
        <charset val="134"/>
      </rPr>
      <t>），应查明差异形成的原因。</t>
    </r>
    <phoneticPr fontId="5" type="noConversion"/>
  </si>
  <si>
    <r>
      <t xml:space="preserve">    2</t>
    </r>
    <r>
      <rPr>
        <sz val="10"/>
        <rFont val="宋体"/>
        <family val="3"/>
        <charset val="134"/>
      </rPr>
      <t>、此测算表仅真对常规情况，具体测算时应结合企业具体情况予以考虑。</t>
    </r>
  </si>
  <si>
    <r>
      <t xml:space="preserve">    3</t>
    </r>
    <r>
      <rPr>
        <sz val="10"/>
        <rFont val="宋体"/>
        <family val="3"/>
        <charset val="134"/>
      </rPr>
      <t>、会计监管风险提示第</t>
    </r>
    <r>
      <rPr>
        <sz val="10"/>
        <rFont val="Arial Narrow"/>
        <family val="2"/>
      </rPr>
      <t>4</t>
    </r>
    <r>
      <rPr>
        <sz val="10"/>
        <rFont val="宋体"/>
        <family val="3"/>
        <charset val="134"/>
      </rPr>
      <t>号（证监办发</t>
    </r>
    <r>
      <rPr>
        <sz val="10"/>
        <rFont val="Arial Narrow"/>
        <family val="2"/>
      </rPr>
      <t>[2012]89</t>
    </r>
    <r>
      <rPr>
        <sz val="10"/>
        <rFont val="宋体"/>
        <family val="3"/>
        <charset val="134"/>
      </rPr>
      <t>号）特别要求：对于</t>
    </r>
    <r>
      <rPr>
        <sz val="10"/>
        <rFont val="Arial Narrow"/>
        <family val="2"/>
      </rPr>
      <t>IPO</t>
    </r>
    <r>
      <rPr>
        <sz val="10"/>
        <rFont val="宋体"/>
        <family val="3"/>
        <charset val="134"/>
      </rPr>
      <t>项目，如果发行人经营性现金流量与利润严重不匹配，审计人员应要求发行人分析经营性现金流量与净利润之间产生差异的原因，并逐项核对差异是否合理。对于其他项目，审计人员可以参考执行。</t>
    </r>
    <phoneticPr fontId="5" type="noConversion"/>
  </si>
  <si>
    <r>
      <t xml:space="preserve">  </t>
    </r>
    <r>
      <rPr>
        <sz val="10"/>
        <rFont val="宋体"/>
        <family val="3"/>
        <charset val="134"/>
      </rPr>
      <t>项</t>
    </r>
    <r>
      <rPr>
        <sz val="10"/>
        <rFont val="Arial"/>
        <family val="2"/>
      </rPr>
      <t xml:space="preserve">    </t>
    </r>
    <r>
      <rPr>
        <sz val="10"/>
        <rFont val="宋体"/>
        <family val="3"/>
        <charset val="134"/>
      </rPr>
      <t>目</t>
    </r>
  </si>
  <si>
    <r>
      <t xml:space="preserve"> </t>
    </r>
    <r>
      <rPr>
        <sz val="10"/>
        <rFont val="宋体"/>
        <family val="3"/>
        <charset val="134"/>
      </rPr>
      <t>外币金额</t>
    </r>
    <r>
      <rPr>
        <sz val="10"/>
        <rFont val="Arial"/>
        <family val="2"/>
      </rPr>
      <t xml:space="preserve"> </t>
    </r>
  </si>
  <si>
    <r>
      <t>折算率</t>
    </r>
    <r>
      <rPr>
        <sz val="10"/>
        <rFont val="Arial"/>
        <family val="2"/>
      </rPr>
      <t xml:space="preserve"> </t>
    </r>
  </si>
  <si>
    <r>
      <t xml:space="preserve"> </t>
    </r>
    <r>
      <rPr>
        <sz val="10"/>
        <rFont val="宋体"/>
        <family val="3"/>
        <charset val="134"/>
      </rPr>
      <t>合</t>
    </r>
    <r>
      <rPr>
        <sz val="10"/>
        <rFont val="Arial"/>
        <family val="2"/>
      </rPr>
      <t xml:space="preserve">  </t>
    </r>
    <r>
      <rPr>
        <sz val="10"/>
        <rFont val="宋体"/>
        <family val="3"/>
        <charset val="134"/>
      </rPr>
      <t>计</t>
    </r>
    <r>
      <rPr>
        <sz val="10"/>
        <rFont val="Arial"/>
        <family val="2"/>
      </rPr>
      <t xml:space="preserve"> </t>
    </r>
  </si>
  <si>
    <r>
      <t>其他货币资金：</t>
    </r>
    <r>
      <rPr>
        <sz val="10"/>
        <rFont val="Arial"/>
        <family val="2"/>
      </rPr>
      <t xml:space="preserve"> </t>
    </r>
    <phoneticPr fontId="5" type="noConversion"/>
  </si>
  <si>
    <r>
      <rPr>
        <b/>
        <sz val="10"/>
        <rFont val="宋体"/>
        <family val="3"/>
        <charset val="134"/>
      </rPr>
      <t>其他货币资金：</t>
    </r>
    <r>
      <rPr>
        <b/>
        <sz val="10"/>
        <rFont val="Arial"/>
        <family val="2"/>
      </rPr>
      <t xml:space="preserve"> </t>
    </r>
    <phoneticPr fontId="5" type="noConversion"/>
  </si>
  <si>
    <t>其中：存放在境外的款项总额</t>
    <phoneticPr fontId="5" type="noConversion"/>
  </si>
  <si>
    <r>
      <t>——</t>
    </r>
    <r>
      <rPr>
        <b/>
        <sz val="10"/>
        <rFont val="楷体"/>
        <family val="3"/>
        <charset val="134"/>
      </rPr>
      <t>以公允价值计量且其变动计入当期损益的金融资产</t>
    </r>
    <phoneticPr fontId="5" type="noConversion"/>
  </si>
  <si>
    <r>
      <rPr>
        <sz val="10"/>
        <rFont val="宋体"/>
        <family val="3"/>
        <charset val="134"/>
      </rPr>
      <t>期初</t>
    </r>
    <phoneticPr fontId="5" type="noConversion"/>
  </si>
  <si>
    <r>
      <rPr>
        <sz val="10"/>
        <rFont val="宋体"/>
        <family val="3"/>
        <charset val="134"/>
      </rPr>
      <t>期末</t>
    </r>
    <phoneticPr fontId="5" type="noConversion"/>
  </si>
  <si>
    <r>
      <rPr>
        <sz val="10"/>
        <rFont val="宋体"/>
        <family val="3"/>
        <charset val="134"/>
      </rPr>
      <t>报表数</t>
    </r>
    <phoneticPr fontId="5" type="noConversion"/>
  </si>
  <si>
    <r>
      <rPr>
        <sz val="10"/>
        <rFont val="宋体"/>
        <family val="3"/>
        <charset val="134"/>
      </rPr>
      <t>与报表核对</t>
    </r>
    <phoneticPr fontId="5" type="noConversion"/>
  </si>
  <si>
    <r>
      <rPr>
        <sz val="10"/>
        <rFont val="宋体"/>
        <family val="3"/>
        <charset val="134"/>
      </rPr>
      <t>期初</t>
    </r>
    <phoneticPr fontId="5" type="noConversion"/>
  </si>
  <si>
    <r>
      <rPr>
        <sz val="10"/>
        <rFont val="宋体"/>
        <family val="3"/>
        <charset val="134"/>
      </rPr>
      <t>期末</t>
    </r>
    <phoneticPr fontId="5" type="noConversion"/>
  </si>
  <si>
    <r>
      <rPr>
        <sz val="10"/>
        <rFont val="宋体"/>
        <family val="3"/>
        <charset val="134"/>
      </rPr>
      <t>与报表核对</t>
    </r>
    <phoneticPr fontId="5" type="noConversion"/>
  </si>
  <si>
    <r>
      <t>——</t>
    </r>
    <r>
      <rPr>
        <b/>
        <sz val="10"/>
        <rFont val="楷体"/>
        <family val="3"/>
        <charset val="134"/>
      </rPr>
      <t>衍生金融资产</t>
    </r>
    <phoneticPr fontId="5" type="noConversion"/>
  </si>
  <si>
    <r>
      <rPr>
        <sz val="10"/>
        <rFont val="宋体"/>
        <family val="3"/>
        <charset val="134"/>
      </rPr>
      <t>总行号</t>
    </r>
    <phoneticPr fontId="5" type="noConversion"/>
  </si>
  <si>
    <r>
      <t>——</t>
    </r>
    <r>
      <rPr>
        <b/>
        <sz val="10"/>
        <rFont val="楷体"/>
        <family val="3"/>
        <charset val="134"/>
      </rPr>
      <t>抵消的金融资产和负债</t>
    </r>
    <phoneticPr fontId="5" type="noConversion"/>
  </si>
  <si>
    <r>
      <rPr>
        <sz val="10"/>
        <rFont val="宋体"/>
        <family val="3"/>
        <charset val="134"/>
      </rPr>
      <t>以公允价值计量且其变动计入当期损益的金融资产</t>
    </r>
  </si>
  <si>
    <r>
      <rPr>
        <sz val="10"/>
        <rFont val="宋体"/>
        <family val="3"/>
        <charset val="134"/>
      </rPr>
      <t>持有至到期投资</t>
    </r>
    <phoneticPr fontId="5" type="noConversion"/>
  </si>
  <si>
    <r>
      <rPr>
        <sz val="10"/>
        <rFont val="宋体"/>
        <family val="3"/>
        <charset val="134"/>
      </rPr>
      <t>以公允价值计量且其变动计入当期损益的金融负债</t>
    </r>
    <phoneticPr fontId="5" type="noConversion"/>
  </si>
  <si>
    <r>
      <t>1.</t>
    </r>
    <r>
      <rPr>
        <sz val="10"/>
        <rFont val="宋体"/>
        <family val="3"/>
        <charset val="134"/>
      </rPr>
      <t>已确定的金融资产总额</t>
    </r>
    <phoneticPr fontId="5" type="noConversion"/>
  </si>
  <si>
    <r>
      <t>3.</t>
    </r>
    <r>
      <rPr>
        <sz val="10"/>
        <rFont val="宋体"/>
        <family val="3"/>
        <charset val="134"/>
      </rPr>
      <t>按准则规定抵消的金额</t>
    </r>
    <phoneticPr fontId="5" type="noConversion"/>
  </si>
  <si>
    <r>
      <t>4.</t>
    </r>
    <r>
      <rPr>
        <sz val="10"/>
        <rFont val="宋体"/>
        <family val="3"/>
        <charset val="134"/>
      </rPr>
      <t>在资产负债表中列示的净额</t>
    </r>
    <phoneticPr fontId="5" type="noConversion"/>
  </si>
  <si>
    <r>
      <t>6.</t>
    </r>
    <r>
      <rPr>
        <sz val="10"/>
        <rFont val="宋体"/>
        <family val="3"/>
        <charset val="134"/>
      </rPr>
      <t>在资产负债表中列示的净额扣除未抵销数</t>
    </r>
    <phoneticPr fontId="5" type="noConversion"/>
  </si>
  <si>
    <r>
      <rPr>
        <sz val="10"/>
        <rFont val="宋体"/>
        <family val="3"/>
        <charset val="134"/>
      </rPr>
      <t>可供出售金融资产</t>
    </r>
    <phoneticPr fontId="5" type="noConversion"/>
  </si>
  <si>
    <r>
      <t>2.</t>
    </r>
    <r>
      <rPr>
        <sz val="10"/>
        <rFont val="宋体"/>
        <family val="3"/>
        <charset val="134"/>
      </rPr>
      <t>已确定的金融负债总额</t>
    </r>
    <phoneticPr fontId="5" type="noConversion"/>
  </si>
  <si>
    <r>
      <t>5.</t>
    </r>
    <r>
      <rPr>
        <sz val="10"/>
        <rFont val="宋体"/>
        <family val="3"/>
        <charset val="134"/>
      </rPr>
      <t>可执行的总互抵协议或类似协议确定的金额中，未抵销数</t>
    </r>
    <phoneticPr fontId="5" type="noConversion"/>
  </si>
  <si>
    <t>票据种类</t>
  </si>
  <si>
    <t>（3） 年末已背书或贴现且在资产负债表日尚未到期的应收票据</t>
    <phoneticPr fontId="5" type="noConversion"/>
  </si>
  <si>
    <r>
      <t>种</t>
    </r>
    <r>
      <rPr>
        <sz val="10"/>
        <rFont val="Arial"/>
        <family val="2"/>
      </rPr>
      <t xml:space="preserve">  </t>
    </r>
    <r>
      <rPr>
        <sz val="10"/>
        <rFont val="宋体"/>
        <family val="3"/>
        <charset val="134"/>
      </rPr>
      <t>类</t>
    </r>
  </si>
  <si>
    <r>
      <t>合</t>
    </r>
    <r>
      <rPr>
        <sz val="10"/>
        <rFont val="Arial"/>
        <family val="2"/>
      </rPr>
      <t xml:space="preserve">  </t>
    </r>
    <r>
      <rPr>
        <sz val="10"/>
        <rFont val="宋体"/>
        <family val="3"/>
        <charset val="134"/>
      </rPr>
      <t>计</t>
    </r>
  </si>
  <si>
    <t>（4） 年末因出票人未履约而将其转应收账款的票据</t>
    <phoneticPr fontId="5" type="noConversion"/>
  </si>
  <si>
    <t>（2） 年末已质押的应收票据情况</t>
    <phoneticPr fontId="5" type="noConversion"/>
  </si>
  <si>
    <r>
      <rPr>
        <sz val="10"/>
        <rFont val="宋体"/>
        <family val="3"/>
        <charset val="134"/>
      </rPr>
      <t>年初金额</t>
    </r>
    <phoneticPr fontId="5" type="noConversion"/>
  </si>
  <si>
    <r>
      <rPr>
        <sz val="10"/>
        <rFont val="宋体"/>
        <family val="3"/>
        <charset val="134"/>
      </rPr>
      <t>年末已质押金额</t>
    </r>
  </si>
  <si>
    <r>
      <rPr>
        <sz val="10"/>
        <rFont val="宋体"/>
        <family val="3"/>
        <charset val="134"/>
      </rPr>
      <t>年末终止确认金额</t>
    </r>
  </si>
  <si>
    <r>
      <rPr>
        <sz val="10"/>
        <rFont val="宋体"/>
        <family val="3"/>
        <charset val="134"/>
      </rPr>
      <t>年末未终止确认金额</t>
    </r>
  </si>
  <si>
    <r>
      <rPr>
        <sz val="10"/>
        <rFont val="宋体"/>
        <family val="3"/>
        <charset val="134"/>
      </rPr>
      <t>年末转应收账款金额</t>
    </r>
  </si>
  <si>
    <r>
      <rPr>
        <sz val="10"/>
        <rFont val="宋体"/>
        <family val="3"/>
        <charset val="134"/>
      </rPr>
      <t>年末数</t>
    </r>
  </si>
  <si>
    <r>
      <rPr>
        <sz val="10"/>
        <rFont val="宋体"/>
        <family val="3"/>
        <charset val="134"/>
      </rPr>
      <t>年末金额</t>
    </r>
    <phoneticPr fontId="5" type="noConversion"/>
  </si>
  <si>
    <r>
      <t xml:space="preserve"> </t>
    </r>
    <r>
      <rPr>
        <b/>
        <sz val="10"/>
        <rFont val="宋体"/>
        <family val="3"/>
        <charset val="134"/>
      </rPr>
      <t>③采用其他方法计提坏账准备的应收账款</t>
    </r>
  </si>
  <si>
    <r>
      <rPr>
        <sz val="10"/>
        <rFont val="楷体_GB2312"/>
        <family val="3"/>
        <charset val="134"/>
      </rPr>
      <t>期末数</t>
    </r>
  </si>
  <si>
    <r>
      <rPr>
        <sz val="10"/>
        <rFont val="楷体_GB2312"/>
        <family val="3"/>
        <charset val="134"/>
      </rPr>
      <t>期初数</t>
    </r>
  </si>
  <si>
    <r>
      <rPr>
        <sz val="10"/>
        <rFont val="宋体"/>
        <family val="3"/>
        <charset val="134"/>
      </rPr>
      <t>年末数</t>
    </r>
    <phoneticPr fontId="5" type="noConversion"/>
  </si>
  <si>
    <r>
      <rPr>
        <sz val="10"/>
        <rFont val="宋体"/>
        <family val="3"/>
        <charset val="134"/>
      </rPr>
      <t>按信用风险特征组合计提坏账准备的应收账款</t>
    </r>
    <phoneticPr fontId="5" type="noConversion"/>
  </si>
  <si>
    <r>
      <t xml:space="preserve">       </t>
    </r>
    <r>
      <rPr>
        <sz val="10"/>
        <rFont val="宋体"/>
        <family val="3"/>
        <charset val="134"/>
      </rPr>
      <t>无风险组合</t>
    </r>
    <phoneticPr fontId="5" type="noConversion"/>
  </si>
  <si>
    <r>
      <rPr>
        <sz val="10"/>
        <rFont val="宋体"/>
        <family val="3"/>
        <charset val="134"/>
      </rPr>
      <t>年末比例</t>
    </r>
    <phoneticPr fontId="5" type="noConversion"/>
  </si>
  <si>
    <r>
      <rPr>
        <sz val="10"/>
        <rFont val="宋体"/>
        <family val="3"/>
        <charset val="134"/>
      </rPr>
      <t>年初比例</t>
    </r>
    <phoneticPr fontId="5" type="noConversion"/>
  </si>
  <si>
    <r>
      <rPr>
        <b/>
        <sz val="10"/>
        <rFont val="宋体"/>
        <family val="3"/>
        <charset val="134"/>
      </rPr>
      <t>（</t>
    </r>
    <r>
      <rPr>
        <b/>
        <sz val="10"/>
        <rFont val="Arial Narrow"/>
        <family val="2"/>
      </rPr>
      <t>1</t>
    </r>
    <r>
      <rPr>
        <b/>
        <sz val="10"/>
        <rFont val="宋体"/>
        <family val="3"/>
        <charset val="134"/>
      </rPr>
      <t>）按组合计提坏账准备的应收账款</t>
    </r>
  </si>
  <si>
    <r>
      <rPr>
        <sz val="10"/>
        <rFont val="宋体"/>
        <family val="3"/>
        <charset val="134"/>
      </rPr>
      <t>期末数</t>
    </r>
    <phoneticPr fontId="5" type="noConversion"/>
  </si>
  <si>
    <r>
      <rPr>
        <sz val="10"/>
        <rFont val="宋体"/>
        <family val="3"/>
        <charset val="134"/>
      </rPr>
      <t>账龄设置（</t>
    </r>
    <r>
      <rPr>
        <sz val="10"/>
        <rFont val="Arial Narrow"/>
        <family val="2"/>
      </rPr>
      <t>%</t>
    </r>
    <r>
      <rPr>
        <sz val="10"/>
        <rFont val="宋体"/>
        <family val="3"/>
        <charset val="134"/>
      </rPr>
      <t>）</t>
    </r>
    <phoneticPr fontId="5" type="noConversion"/>
  </si>
  <si>
    <r>
      <rPr>
        <sz val="10"/>
        <rFont val="宋体"/>
        <family val="3"/>
        <charset val="134"/>
      </rPr>
      <t>期末计提校验</t>
    </r>
    <phoneticPr fontId="5" type="noConversion"/>
  </si>
  <si>
    <r>
      <rPr>
        <sz val="10"/>
        <rFont val="宋体"/>
        <family val="3"/>
        <charset val="134"/>
      </rPr>
      <t>期初计提校验</t>
    </r>
    <phoneticPr fontId="5" type="noConversion"/>
  </si>
  <si>
    <r>
      <rPr>
        <sz val="10"/>
        <rFont val="宋体"/>
        <family val="3"/>
        <charset val="134"/>
      </rPr>
      <t>账龄检查</t>
    </r>
    <phoneticPr fontId="5" type="noConversion"/>
  </si>
  <si>
    <r>
      <rPr>
        <sz val="10"/>
        <rFont val="宋体"/>
        <family val="3"/>
        <charset val="134"/>
      </rPr>
      <t>核对</t>
    </r>
    <phoneticPr fontId="5" type="noConversion"/>
  </si>
  <si>
    <r>
      <rPr>
        <b/>
        <sz val="10"/>
        <rFont val="宋体"/>
        <family val="3"/>
        <charset val="134"/>
      </rPr>
      <t>②采用余额百分比法计提坏账准备的应收账款</t>
    </r>
    <phoneticPr fontId="5" type="noConversion"/>
  </si>
  <si>
    <r>
      <rPr>
        <sz val="10"/>
        <rFont val="宋体"/>
        <family val="3"/>
        <charset val="134"/>
      </rPr>
      <t>组合名称</t>
    </r>
  </si>
  <si>
    <r>
      <rPr>
        <sz val="10"/>
        <rFont val="宋体"/>
        <family val="3"/>
        <charset val="134"/>
      </rPr>
      <t>计提比例（</t>
    </r>
    <r>
      <rPr>
        <sz val="10"/>
        <rFont val="Arial Narrow"/>
        <family val="2"/>
      </rPr>
      <t>%</t>
    </r>
    <r>
      <rPr>
        <sz val="10"/>
        <rFont val="宋体"/>
        <family val="3"/>
        <charset val="134"/>
      </rPr>
      <t>）</t>
    </r>
    <phoneticPr fontId="5" type="noConversion"/>
  </si>
  <si>
    <r>
      <rPr>
        <sz val="10"/>
        <rFont val="宋体"/>
        <family val="3"/>
        <charset val="134"/>
      </rPr>
      <t>组合名称</t>
    </r>
    <phoneticPr fontId="5" type="noConversion"/>
  </si>
  <si>
    <r>
      <rPr>
        <sz val="10"/>
        <rFont val="宋体"/>
        <family val="3"/>
        <charset val="134"/>
      </rPr>
      <t>无风险组合</t>
    </r>
    <phoneticPr fontId="5" type="noConversion"/>
  </si>
  <si>
    <r>
      <rPr>
        <b/>
        <sz val="10"/>
        <rFont val="宋体"/>
        <family val="3"/>
        <charset val="134"/>
      </rPr>
      <t>（</t>
    </r>
    <r>
      <rPr>
        <b/>
        <sz val="10"/>
        <rFont val="Arial Narrow"/>
        <family val="2"/>
      </rPr>
      <t>2</t>
    </r>
    <r>
      <rPr>
        <b/>
        <sz val="10"/>
        <rFont val="宋体"/>
        <family val="3"/>
        <charset val="134"/>
      </rPr>
      <t>）单项计提坏账准备的应收账款</t>
    </r>
  </si>
  <si>
    <r>
      <rPr>
        <b/>
        <sz val="10"/>
        <rFont val="宋体"/>
        <family val="3"/>
        <charset val="134"/>
      </rPr>
      <t>①年末单项金额重大并单项计提坏账准备的应收账款</t>
    </r>
  </si>
  <si>
    <r>
      <rPr>
        <sz val="10"/>
        <rFont val="宋体"/>
        <family val="3"/>
        <charset val="134"/>
      </rPr>
      <t>账龄明细，不用粘贴到审计报表附注中，仅作为报告核对及久其核对之用</t>
    </r>
    <phoneticPr fontId="5" type="noConversion"/>
  </si>
  <si>
    <r>
      <rPr>
        <sz val="10"/>
        <rFont val="宋体"/>
        <family val="3"/>
        <charset val="134"/>
      </rPr>
      <t>余额核对</t>
    </r>
    <phoneticPr fontId="5" type="noConversion"/>
  </si>
  <si>
    <r>
      <rPr>
        <sz val="10"/>
        <rFont val="宋体"/>
        <family val="3"/>
        <charset val="134"/>
      </rPr>
      <t>债务人名称</t>
    </r>
  </si>
  <si>
    <r>
      <rPr>
        <sz val="10"/>
        <rFont val="宋体"/>
        <family val="3"/>
        <charset val="134"/>
      </rPr>
      <t>账龄</t>
    </r>
    <phoneticPr fontId="5" type="noConversion"/>
  </si>
  <si>
    <r>
      <rPr>
        <sz val="10"/>
        <rFont val="宋体"/>
        <family val="3"/>
        <charset val="134"/>
      </rPr>
      <t>计提理由</t>
    </r>
  </si>
  <si>
    <r>
      <rPr>
        <b/>
        <sz val="10"/>
        <rFont val="宋体"/>
        <family val="3"/>
        <charset val="134"/>
      </rPr>
      <t>②年末单项金额虽不重大但单项计提坏账准备的应收账款</t>
    </r>
  </si>
  <si>
    <r>
      <rPr>
        <b/>
        <sz val="10"/>
        <rFont val="宋体"/>
        <family val="3"/>
        <charset val="134"/>
      </rPr>
      <t>（</t>
    </r>
    <r>
      <rPr>
        <b/>
        <sz val="10"/>
        <rFont val="Arial Narrow"/>
        <family val="2"/>
      </rPr>
      <t>3</t>
    </r>
    <r>
      <rPr>
        <b/>
        <sz val="10"/>
        <rFont val="宋体"/>
        <family val="3"/>
        <charset val="134"/>
      </rPr>
      <t>）本年转回或收回的情况</t>
    </r>
  </si>
  <si>
    <r>
      <rPr>
        <sz val="10"/>
        <rFont val="宋体"/>
        <family val="3"/>
        <charset val="134"/>
      </rPr>
      <t>转回或收回前累计已计提坏账准备金额</t>
    </r>
  </si>
  <si>
    <r>
      <rPr>
        <sz val="10"/>
        <rFont val="宋体"/>
        <family val="3"/>
        <charset val="134"/>
      </rPr>
      <t>转回或收回金额</t>
    </r>
  </si>
  <si>
    <r>
      <t xml:space="preserve"> </t>
    </r>
    <r>
      <rPr>
        <sz val="10"/>
        <rFont val="宋体"/>
        <family val="3"/>
        <charset val="134"/>
      </rPr>
      <t>合　计</t>
    </r>
    <r>
      <rPr>
        <sz val="10"/>
        <rFont val="Arial Narrow"/>
        <family val="2"/>
      </rPr>
      <t xml:space="preserve"> </t>
    </r>
  </si>
  <si>
    <r>
      <rPr>
        <b/>
        <sz val="10"/>
        <rFont val="宋体"/>
        <family val="3"/>
        <charset val="134"/>
      </rPr>
      <t>（</t>
    </r>
    <r>
      <rPr>
        <b/>
        <sz val="10"/>
        <rFont val="Arial Narrow"/>
        <family val="2"/>
      </rPr>
      <t>4</t>
    </r>
    <r>
      <rPr>
        <b/>
        <sz val="10"/>
        <rFont val="宋体"/>
        <family val="3"/>
        <charset val="134"/>
      </rPr>
      <t>）本年实际核销的应收账款情况</t>
    </r>
  </si>
  <si>
    <r>
      <rPr>
        <sz val="10"/>
        <rFont val="宋体"/>
        <family val="3"/>
        <charset val="134"/>
      </rPr>
      <t>应收账款性质</t>
    </r>
  </si>
  <si>
    <r>
      <rPr>
        <sz val="10"/>
        <rFont val="宋体"/>
        <family val="3"/>
        <charset val="134"/>
      </rPr>
      <t>核销金额</t>
    </r>
  </si>
  <si>
    <r>
      <rPr>
        <sz val="10"/>
        <rFont val="宋体"/>
        <family val="3"/>
        <charset val="134"/>
      </rPr>
      <t>核销原因</t>
    </r>
  </si>
  <si>
    <r>
      <rPr>
        <sz val="10"/>
        <rFont val="宋体"/>
        <family val="3"/>
        <charset val="134"/>
      </rPr>
      <t>是否因关联交易产生</t>
    </r>
  </si>
  <si>
    <r>
      <rPr>
        <sz val="10"/>
        <rFont val="宋体"/>
        <family val="3"/>
        <charset val="134"/>
      </rPr>
      <t>合　计</t>
    </r>
  </si>
  <si>
    <r>
      <rPr>
        <b/>
        <sz val="10"/>
        <rFont val="宋体"/>
        <family val="3"/>
        <charset val="134"/>
      </rPr>
      <t>（</t>
    </r>
    <r>
      <rPr>
        <b/>
        <sz val="10"/>
        <rFont val="Arial Narrow"/>
        <family val="2"/>
      </rPr>
      <t>5</t>
    </r>
    <r>
      <rPr>
        <b/>
        <sz val="10"/>
        <rFont val="宋体"/>
        <family val="3"/>
        <charset val="134"/>
      </rPr>
      <t>）按欠款方归集的年末金额前五名的应收账款情况</t>
    </r>
    <phoneticPr fontId="5" type="noConversion"/>
  </si>
  <si>
    <r>
      <rPr>
        <b/>
        <sz val="10"/>
        <rFont val="黑体"/>
        <family val="3"/>
        <charset val="134"/>
      </rPr>
      <t>（</t>
    </r>
    <r>
      <rPr>
        <b/>
        <sz val="10"/>
        <rFont val="Arial Narrow"/>
        <family val="2"/>
      </rPr>
      <t>6</t>
    </r>
    <r>
      <rPr>
        <b/>
        <sz val="10"/>
        <rFont val="黑体"/>
        <family val="3"/>
        <charset val="134"/>
      </rPr>
      <t>）应收账款按账龄列示</t>
    </r>
    <phoneticPr fontId="5" type="noConversion"/>
  </si>
  <si>
    <r>
      <rPr>
        <sz val="10"/>
        <rFont val="楷体_GB2312"/>
        <family val="3"/>
        <charset val="134"/>
      </rPr>
      <t>注意：先修改计提比例</t>
    </r>
    <phoneticPr fontId="5" type="noConversion"/>
  </si>
  <si>
    <r>
      <rPr>
        <sz val="10"/>
        <rFont val="楷体_GB2312"/>
        <family val="3"/>
        <charset val="134"/>
      </rPr>
      <t>账龄稽核</t>
    </r>
    <phoneticPr fontId="57" type="noConversion"/>
  </si>
  <si>
    <r>
      <rPr>
        <sz val="10"/>
        <rFont val="楷体_GB2312"/>
        <family val="3"/>
        <charset val="134"/>
      </rPr>
      <t>坏账准备计提比例</t>
    </r>
    <phoneticPr fontId="57" type="noConversion"/>
  </si>
  <si>
    <r>
      <rPr>
        <sz val="10"/>
        <rFont val="楷体_GB2312"/>
        <family val="3"/>
        <charset val="134"/>
      </rPr>
      <t>坏账准备稽核（期末）</t>
    </r>
    <phoneticPr fontId="57" type="noConversion"/>
  </si>
  <si>
    <r>
      <rPr>
        <sz val="10"/>
        <rFont val="楷体_GB2312"/>
        <family val="3"/>
        <charset val="134"/>
      </rPr>
      <t>坏账准备稽核（期初）</t>
    </r>
    <phoneticPr fontId="57" type="noConversion"/>
  </si>
  <si>
    <r>
      <rPr>
        <sz val="10"/>
        <rFont val="楷体_GB2312"/>
        <family val="3"/>
        <charset val="134"/>
      </rPr>
      <t>表间核对</t>
    </r>
    <phoneticPr fontId="5" type="noConversion"/>
  </si>
  <si>
    <r>
      <rPr>
        <sz val="10"/>
        <rFont val="楷体_GB2312"/>
        <family val="3"/>
        <charset val="134"/>
      </rPr>
      <t>与主表核对</t>
    </r>
    <phoneticPr fontId="5" type="noConversion"/>
  </si>
  <si>
    <r>
      <rPr>
        <sz val="10"/>
        <rFont val="楷体_GB2312"/>
        <family val="3"/>
        <charset val="134"/>
      </rPr>
      <t>表间核对</t>
    </r>
    <phoneticPr fontId="5" type="noConversion"/>
  </si>
  <si>
    <r>
      <rPr>
        <b/>
        <sz val="10"/>
        <rFont val="宋体"/>
        <family val="3"/>
        <charset val="134"/>
      </rPr>
      <t>①采用账龄分析法计提坏账准备的其他应收款</t>
    </r>
    <phoneticPr fontId="5" type="noConversion"/>
  </si>
  <si>
    <r>
      <rPr>
        <u/>
        <sz val="10"/>
        <rFont val="宋体"/>
        <family val="3"/>
        <charset val="134"/>
      </rPr>
      <t>返回减值准备表</t>
    </r>
    <phoneticPr fontId="5" type="noConversion"/>
  </si>
  <si>
    <r>
      <rPr>
        <sz val="10"/>
        <rFont val="宋体"/>
        <family val="3"/>
        <charset val="134"/>
      </rPr>
      <t>借款单位</t>
    </r>
  </si>
  <si>
    <r>
      <rPr>
        <sz val="10"/>
        <rFont val="宋体"/>
        <family val="3"/>
        <charset val="134"/>
      </rPr>
      <t>逾期原因</t>
    </r>
  </si>
  <si>
    <r>
      <rPr>
        <sz val="10"/>
        <rFont val="宋体"/>
        <family val="3"/>
        <charset val="134"/>
      </rPr>
      <t>是否发生减值及其判断依据</t>
    </r>
  </si>
  <si>
    <r>
      <t>——</t>
    </r>
    <r>
      <rPr>
        <b/>
        <sz val="10"/>
        <rFont val="楷体"/>
        <family val="3"/>
        <charset val="134"/>
      </rPr>
      <t>应收利息</t>
    </r>
    <phoneticPr fontId="5" type="noConversion"/>
  </si>
  <si>
    <r>
      <rPr>
        <sz val="10"/>
        <rFont val="宋体"/>
        <family val="3"/>
        <charset val="134"/>
      </rPr>
      <t>年末</t>
    </r>
    <phoneticPr fontId="5" type="noConversion"/>
  </si>
  <si>
    <r>
      <rPr>
        <sz val="10"/>
        <rFont val="宋体"/>
        <family val="3"/>
        <charset val="134"/>
      </rPr>
      <t>年初</t>
    </r>
    <phoneticPr fontId="5" type="noConversion"/>
  </si>
  <si>
    <r>
      <rPr>
        <b/>
        <sz val="10"/>
        <rFont val="宋体"/>
        <family val="3"/>
        <charset val="134"/>
      </rPr>
      <t>重要逾期利息</t>
    </r>
    <phoneticPr fontId="5" type="noConversion"/>
  </si>
  <si>
    <r>
      <rPr>
        <sz val="10"/>
        <rFont val="宋体"/>
        <family val="3"/>
        <charset val="134"/>
      </rPr>
      <t>单项金额重大并单项计提坏账准备的其他应收款</t>
    </r>
    <phoneticPr fontId="5" type="noConversion"/>
  </si>
  <si>
    <r>
      <rPr>
        <sz val="10"/>
        <rFont val="宋体"/>
        <family val="3"/>
        <charset val="134"/>
      </rPr>
      <t>按信用风险特征组合计提坏账准备的其他应收款</t>
    </r>
    <phoneticPr fontId="5" type="noConversion"/>
  </si>
  <si>
    <r>
      <rPr>
        <sz val="10"/>
        <rFont val="宋体"/>
        <family val="3"/>
        <charset val="134"/>
      </rPr>
      <t>单项金额虽不重大但单项计提坏账准备的其他应收款</t>
    </r>
    <phoneticPr fontId="5" type="noConversion"/>
  </si>
  <si>
    <r>
      <rPr>
        <b/>
        <sz val="10"/>
        <rFont val="宋体"/>
        <family val="3"/>
        <charset val="134"/>
      </rPr>
      <t>（</t>
    </r>
    <r>
      <rPr>
        <b/>
        <sz val="10"/>
        <rFont val="Arial Narrow"/>
        <family val="2"/>
      </rPr>
      <t>1</t>
    </r>
    <r>
      <rPr>
        <b/>
        <sz val="10"/>
        <rFont val="宋体"/>
        <family val="3"/>
        <charset val="134"/>
      </rPr>
      <t>）按组合计提坏账准备的其他应收款</t>
    </r>
    <phoneticPr fontId="5" type="noConversion"/>
  </si>
  <si>
    <r>
      <rPr>
        <b/>
        <sz val="10"/>
        <rFont val="宋体"/>
        <family val="3"/>
        <charset val="134"/>
      </rPr>
      <t>②采用余额百分比法计提坏账准备的其他应收款</t>
    </r>
    <phoneticPr fontId="5" type="noConversion"/>
  </si>
  <si>
    <r>
      <rPr>
        <b/>
        <sz val="10"/>
        <rFont val="宋体"/>
        <family val="3"/>
        <charset val="134"/>
      </rPr>
      <t>③采用其他方法计提坏账准备的其他应收款</t>
    </r>
    <phoneticPr fontId="5" type="noConversion"/>
  </si>
  <si>
    <r>
      <rPr>
        <b/>
        <sz val="10"/>
        <rFont val="宋体"/>
        <family val="3"/>
        <charset val="134"/>
      </rPr>
      <t>（</t>
    </r>
    <r>
      <rPr>
        <b/>
        <sz val="10"/>
        <rFont val="Arial Narrow"/>
        <family val="2"/>
      </rPr>
      <t>2</t>
    </r>
    <r>
      <rPr>
        <b/>
        <sz val="10"/>
        <rFont val="宋体"/>
        <family val="3"/>
        <charset val="134"/>
      </rPr>
      <t>）单项计提坏账准备的其他应收款</t>
    </r>
    <phoneticPr fontId="5" type="noConversion"/>
  </si>
  <si>
    <r>
      <rPr>
        <b/>
        <sz val="10"/>
        <rFont val="宋体"/>
        <family val="3"/>
        <charset val="134"/>
      </rPr>
      <t>①年末单项金额重大并单项计提坏账准备的其他应收款</t>
    </r>
    <phoneticPr fontId="5" type="noConversion"/>
  </si>
  <si>
    <r>
      <rPr>
        <sz val="10"/>
        <rFont val="宋体"/>
        <family val="3"/>
        <charset val="134"/>
      </rPr>
      <t>计提比例</t>
    </r>
    <r>
      <rPr>
        <sz val="10"/>
        <rFont val="Arial Narrow"/>
        <family val="2"/>
      </rPr>
      <t>(%)</t>
    </r>
    <phoneticPr fontId="5" type="noConversion"/>
  </si>
  <si>
    <r>
      <rPr>
        <b/>
        <sz val="10"/>
        <rFont val="宋体"/>
        <family val="3"/>
        <charset val="134"/>
      </rPr>
      <t>②年末单项金额虽不重大但单项计提坏账准备的其他应收款</t>
    </r>
    <phoneticPr fontId="5" type="noConversion"/>
  </si>
  <si>
    <r>
      <rPr>
        <b/>
        <sz val="10"/>
        <rFont val="宋体"/>
        <family val="3"/>
        <charset val="134"/>
      </rPr>
      <t>（</t>
    </r>
    <r>
      <rPr>
        <b/>
        <sz val="10"/>
        <rFont val="Arial Narrow"/>
        <family val="2"/>
      </rPr>
      <t>3</t>
    </r>
    <r>
      <rPr>
        <b/>
        <sz val="10"/>
        <rFont val="宋体"/>
        <family val="3"/>
        <charset val="134"/>
      </rPr>
      <t>）本年转回或收回情况</t>
    </r>
    <phoneticPr fontId="5" type="noConversion"/>
  </si>
  <si>
    <r>
      <rPr>
        <b/>
        <sz val="10"/>
        <rFont val="宋体"/>
        <family val="3"/>
        <charset val="134"/>
      </rPr>
      <t>（</t>
    </r>
    <r>
      <rPr>
        <b/>
        <sz val="10"/>
        <rFont val="Arial Narrow"/>
        <family val="2"/>
      </rPr>
      <t>4</t>
    </r>
    <r>
      <rPr>
        <b/>
        <sz val="10"/>
        <rFont val="宋体"/>
        <family val="3"/>
        <charset val="134"/>
      </rPr>
      <t>）本年实际核销的其他应收款情况</t>
    </r>
    <phoneticPr fontId="5" type="noConversion"/>
  </si>
  <si>
    <r>
      <rPr>
        <sz val="10"/>
        <rFont val="宋体"/>
        <family val="3"/>
        <charset val="134"/>
      </rPr>
      <t>其他应收款性质</t>
    </r>
  </si>
  <si>
    <r>
      <rPr>
        <b/>
        <sz val="10"/>
        <rFont val="黑体"/>
        <family val="3"/>
        <charset val="134"/>
      </rPr>
      <t>（</t>
    </r>
    <r>
      <rPr>
        <b/>
        <sz val="10"/>
        <rFont val="Arial Narrow"/>
        <family val="2"/>
      </rPr>
      <t>6</t>
    </r>
    <r>
      <rPr>
        <b/>
        <sz val="10"/>
        <rFont val="黑体"/>
        <family val="3"/>
        <charset val="134"/>
      </rPr>
      <t>）其他应收款按账龄列示</t>
    </r>
    <phoneticPr fontId="5" type="noConversion"/>
  </si>
  <si>
    <r>
      <t>1-2</t>
    </r>
    <r>
      <rPr>
        <sz val="10"/>
        <rFont val="楷体_GB2312"/>
        <family val="3"/>
        <charset val="134"/>
      </rPr>
      <t>年（含</t>
    </r>
    <r>
      <rPr>
        <sz val="10"/>
        <rFont val="Arial Narrow"/>
        <family val="2"/>
      </rPr>
      <t>2</t>
    </r>
    <r>
      <rPr>
        <sz val="10"/>
        <rFont val="楷体_GB2312"/>
        <family val="3"/>
        <charset val="134"/>
      </rPr>
      <t>年）</t>
    </r>
  </si>
  <si>
    <r>
      <rPr>
        <sz val="10"/>
        <rFont val="宋体"/>
        <family val="3"/>
        <charset val="134"/>
      </rPr>
      <t>可供出售权益</t>
    </r>
  </si>
  <si>
    <r>
      <rPr>
        <sz val="10"/>
        <rFont val="宋体"/>
        <family val="3"/>
        <charset val="134"/>
      </rPr>
      <t>减值准备</t>
    </r>
  </si>
  <si>
    <r>
      <rPr>
        <sz val="10"/>
        <rFont val="宋体"/>
        <family val="3"/>
        <charset val="134"/>
      </rPr>
      <t>账面价值</t>
    </r>
  </si>
  <si>
    <r>
      <rPr>
        <sz val="10"/>
        <rFont val="宋体"/>
        <family val="3"/>
        <charset val="134"/>
      </rPr>
      <t>可供出售权益工具</t>
    </r>
    <r>
      <rPr>
        <sz val="10"/>
        <rFont val="Arial Narrow"/>
        <family val="2"/>
      </rPr>
      <t>-</t>
    </r>
    <r>
      <rPr>
        <sz val="10"/>
        <rFont val="宋体"/>
        <family val="3"/>
        <charset val="134"/>
      </rPr>
      <t>按公允价值计量的</t>
    </r>
    <phoneticPr fontId="5" type="noConversion"/>
  </si>
  <si>
    <r>
      <rPr>
        <sz val="10"/>
        <rFont val="宋体"/>
        <family val="3"/>
        <charset val="134"/>
      </rPr>
      <t>可供出售权益工具</t>
    </r>
    <r>
      <rPr>
        <sz val="10"/>
        <rFont val="Arial Narrow"/>
        <family val="2"/>
      </rPr>
      <t>-</t>
    </r>
    <r>
      <rPr>
        <sz val="10"/>
        <rFont val="宋体"/>
        <family val="3"/>
        <charset val="134"/>
      </rPr>
      <t>其他</t>
    </r>
    <phoneticPr fontId="5" type="noConversion"/>
  </si>
  <si>
    <r>
      <rPr>
        <sz val="10"/>
        <rFont val="宋体"/>
        <family val="3"/>
        <charset val="134"/>
      </rPr>
      <t>项目</t>
    </r>
    <r>
      <rPr>
        <sz val="10"/>
        <rFont val="Arial Narrow"/>
        <family val="2"/>
      </rPr>
      <t>1</t>
    </r>
    <phoneticPr fontId="5" type="noConversion"/>
  </si>
  <si>
    <r>
      <rPr>
        <sz val="10"/>
        <rFont val="宋体"/>
        <family val="3"/>
        <charset val="134"/>
      </rPr>
      <t>单位</t>
    </r>
    <r>
      <rPr>
        <sz val="10"/>
        <rFont val="Arial Narrow"/>
        <family val="2"/>
      </rPr>
      <t>1</t>
    </r>
    <phoneticPr fontId="5" type="noConversion"/>
  </si>
  <si>
    <r>
      <rPr>
        <sz val="10"/>
        <rFont val="宋体"/>
        <family val="3"/>
        <charset val="134"/>
      </rPr>
      <t>项目</t>
    </r>
    <r>
      <rPr>
        <sz val="10"/>
        <rFont val="Arial Narrow"/>
        <family val="2"/>
      </rPr>
      <t>2</t>
    </r>
  </si>
  <si>
    <r>
      <rPr>
        <sz val="10"/>
        <rFont val="宋体"/>
        <family val="3"/>
        <charset val="134"/>
      </rPr>
      <t>单位</t>
    </r>
    <r>
      <rPr>
        <sz val="10"/>
        <rFont val="Arial Narrow"/>
        <family val="2"/>
      </rPr>
      <t>2</t>
    </r>
  </si>
  <si>
    <r>
      <rPr>
        <sz val="10"/>
        <rFont val="宋体"/>
        <family val="3"/>
        <charset val="134"/>
      </rPr>
      <t>项目</t>
    </r>
    <r>
      <rPr>
        <sz val="10"/>
        <rFont val="Arial Narrow"/>
        <family val="2"/>
      </rPr>
      <t>3</t>
    </r>
  </si>
  <si>
    <r>
      <rPr>
        <sz val="10"/>
        <rFont val="宋体"/>
        <family val="3"/>
        <charset val="134"/>
      </rPr>
      <t>单位</t>
    </r>
    <r>
      <rPr>
        <sz val="10"/>
        <rFont val="Arial Narrow"/>
        <family val="2"/>
      </rPr>
      <t>3</t>
    </r>
  </si>
  <si>
    <r>
      <rPr>
        <sz val="10"/>
        <rFont val="宋体"/>
        <family val="3"/>
        <charset val="134"/>
      </rPr>
      <t>项目</t>
    </r>
    <r>
      <rPr>
        <sz val="10"/>
        <rFont val="Arial Narrow"/>
        <family val="2"/>
      </rPr>
      <t>4</t>
    </r>
  </si>
  <si>
    <r>
      <rPr>
        <sz val="10"/>
        <rFont val="宋体"/>
        <family val="3"/>
        <charset val="134"/>
      </rPr>
      <t>单位</t>
    </r>
    <r>
      <rPr>
        <sz val="10"/>
        <rFont val="Arial Narrow"/>
        <family val="2"/>
      </rPr>
      <t>4</t>
    </r>
  </si>
  <si>
    <r>
      <rPr>
        <sz val="10"/>
        <rFont val="宋体"/>
        <family val="3"/>
        <charset val="134"/>
      </rPr>
      <t>项目</t>
    </r>
    <r>
      <rPr>
        <sz val="10"/>
        <rFont val="Arial Narrow"/>
        <family val="2"/>
      </rPr>
      <t>5</t>
    </r>
  </si>
  <si>
    <r>
      <rPr>
        <sz val="10"/>
        <rFont val="宋体"/>
        <family val="3"/>
        <charset val="134"/>
      </rPr>
      <t>单位</t>
    </r>
    <r>
      <rPr>
        <sz val="10"/>
        <rFont val="Arial Narrow"/>
        <family val="2"/>
      </rPr>
      <t>5</t>
    </r>
  </si>
  <si>
    <r>
      <rPr>
        <sz val="10"/>
        <rFont val="宋体"/>
        <family val="3"/>
        <charset val="134"/>
      </rPr>
      <t>项目</t>
    </r>
    <r>
      <rPr>
        <sz val="10"/>
        <rFont val="Arial Narrow"/>
        <family val="2"/>
      </rPr>
      <t>6</t>
    </r>
  </si>
  <si>
    <r>
      <rPr>
        <sz val="10"/>
        <rFont val="宋体"/>
        <family val="3"/>
        <charset val="134"/>
      </rPr>
      <t>单位</t>
    </r>
    <r>
      <rPr>
        <sz val="10"/>
        <rFont val="Arial Narrow"/>
        <family val="2"/>
      </rPr>
      <t>6</t>
    </r>
  </si>
  <si>
    <r>
      <rPr>
        <sz val="10"/>
        <rFont val="宋体"/>
        <family val="3"/>
        <charset val="134"/>
      </rPr>
      <t>项目</t>
    </r>
    <r>
      <rPr>
        <sz val="10"/>
        <rFont val="Arial Narrow"/>
        <family val="2"/>
      </rPr>
      <t>7</t>
    </r>
  </si>
  <si>
    <r>
      <rPr>
        <sz val="10"/>
        <rFont val="宋体"/>
        <family val="3"/>
        <charset val="134"/>
      </rPr>
      <t>单位</t>
    </r>
    <r>
      <rPr>
        <sz val="10"/>
        <rFont val="Arial Narrow"/>
        <family val="2"/>
      </rPr>
      <t>7</t>
    </r>
  </si>
  <si>
    <r>
      <rPr>
        <sz val="10"/>
        <rFont val="宋体"/>
        <family val="3"/>
        <charset val="134"/>
      </rPr>
      <t>项目</t>
    </r>
    <r>
      <rPr>
        <sz val="10"/>
        <rFont val="Arial Narrow"/>
        <family val="2"/>
      </rPr>
      <t>8</t>
    </r>
  </si>
  <si>
    <r>
      <rPr>
        <sz val="10"/>
        <rFont val="宋体"/>
        <family val="3"/>
        <charset val="134"/>
      </rPr>
      <t>单位</t>
    </r>
    <r>
      <rPr>
        <sz val="10"/>
        <rFont val="Arial Narrow"/>
        <family val="2"/>
      </rPr>
      <t>8</t>
    </r>
  </si>
  <si>
    <r>
      <rPr>
        <sz val="10"/>
        <rFont val="宋体"/>
        <family val="3"/>
        <charset val="134"/>
      </rPr>
      <t>项目</t>
    </r>
    <r>
      <rPr>
        <sz val="10"/>
        <rFont val="Arial Narrow"/>
        <family val="2"/>
      </rPr>
      <t>9</t>
    </r>
  </si>
  <si>
    <r>
      <rPr>
        <sz val="10"/>
        <rFont val="宋体"/>
        <family val="3"/>
        <charset val="134"/>
      </rPr>
      <t>单位</t>
    </r>
    <r>
      <rPr>
        <sz val="10"/>
        <rFont val="Arial Narrow"/>
        <family val="2"/>
      </rPr>
      <t>9</t>
    </r>
  </si>
  <si>
    <r>
      <rPr>
        <sz val="10"/>
        <rFont val="宋体"/>
        <family val="3"/>
        <charset val="134"/>
      </rPr>
      <t>项目</t>
    </r>
    <r>
      <rPr>
        <sz val="10"/>
        <rFont val="Arial Narrow"/>
        <family val="2"/>
      </rPr>
      <t>10</t>
    </r>
  </si>
  <si>
    <r>
      <rPr>
        <sz val="10"/>
        <rFont val="宋体"/>
        <family val="3"/>
        <charset val="134"/>
      </rPr>
      <t>单位</t>
    </r>
    <r>
      <rPr>
        <sz val="10"/>
        <rFont val="Arial Narrow"/>
        <family val="2"/>
      </rPr>
      <t>10</t>
    </r>
  </si>
  <si>
    <r>
      <rPr>
        <sz val="10"/>
        <rFont val="宋体"/>
        <family val="3"/>
        <charset val="134"/>
      </rPr>
      <t>单位</t>
    </r>
    <r>
      <rPr>
        <sz val="10"/>
        <rFont val="Arial Narrow"/>
        <family val="2"/>
      </rPr>
      <t>11</t>
    </r>
  </si>
  <si>
    <r>
      <rPr>
        <sz val="10"/>
        <rFont val="宋体"/>
        <family val="3"/>
        <charset val="134"/>
      </rPr>
      <t>可供出售权益工具</t>
    </r>
    <r>
      <rPr>
        <sz val="10"/>
        <rFont val="Arial Narrow"/>
        <family val="2"/>
      </rPr>
      <t>-</t>
    </r>
    <r>
      <rPr>
        <sz val="10"/>
        <rFont val="宋体"/>
        <family val="3"/>
        <charset val="134"/>
      </rPr>
      <t>按成本计量的</t>
    </r>
    <phoneticPr fontId="5" type="noConversion"/>
  </si>
  <si>
    <r>
      <rPr>
        <sz val="10"/>
        <rFont val="宋体"/>
        <family val="3"/>
        <charset val="134"/>
      </rPr>
      <t>单位</t>
    </r>
    <r>
      <rPr>
        <sz val="10"/>
        <rFont val="Arial Narrow"/>
        <family val="2"/>
      </rPr>
      <t>12</t>
    </r>
  </si>
  <si>
    <r>
      <rPr>
        <sz val="10"/>
        <rFont val="宋体"/>
        <family val="3"/>
        <charset val="134"/>
      </rPr>
      <t>单位</t>
    </r>
    <r>
      <rPr>
        <sz val="10"/>
        <rFont val="Arial Narrow"/>
        <family val="2"/>
      </rPr>
      <t>13</t>
    </r>
  </si>
  <si>
    <r>
      <rPr>
        <sz val="10"/>
        <rFont val="宋体"/>
        <family val="3"/>
        <charset val="134"/>
      </rPr>
      <t>单位</t>
    </r>
    <r>
      <rPr>
        <sz val="10"/>
        <rFont val="Arial Narrow"/>
        <family val="2"/>
      </rPr>
      <t>14</t>
    </r>
  </si>
  <si>
    <r>
      <rPr>
        <sz val="10"/>
        <rFont val="宋体"/>
        <family val="3"/>
        <charset val="134"/>
      </rPr>
      <t>单位</t>
    </r>
    <r>
      <rPr>
        <sz val="10"/>
        <rFont val="Arial Narrow"/>
        <family val="2"/>
      </rPr>
      <t>15</t>
    </r>
  </si>
  <si>
    <r>
      <rPr>
        <sz val="10"/>
        <rFont val="宋体"/>
        <family val="3"/>
        <charset val="134"/>
      </rPr>
      <t>单位</t>
    </r>
    <r>
      <rPr>
        <sz val="10"/>
        <rFont val="Arial Narrow"/>
        <family val="2"/>
      </rPr>
      <t>16</t>
    </r>
  </si>
  <si>
    <r>
      <rPr>
        <sz val="10"/>
        <rFont val="宋体"/>
        <family val="3"/>
        <charset val="134"/>
      </rPr>
      <t>单位</t>
    </r>
    <r>
      <rPr>
        <sz val="10"/>
        <rFont val="Arial Narrow"/>
        <family val="2"/>
      </rPr>
      <t>17</t>
    </r>
  </si>
  <si>
    <r>
      <rPr>
        <sz val="10"/>
        <rFont val="宋体"/>
        <family val="3"/>
        <charset val="134"/>
      </rPr>
      <t>单位</t>
    </r>
    <r>
      <rPr>
        <sz val="10"/>
        <rFont val="Arial Narrow"/>
        <family val="2"/>
      </rPr>
      <t>18</t>
    </r>
  </si>
  <si>
    <r>
      <rPr>
        <sz val="10"/>
        <rFont val="宋体"/>
        <family val="3"/>
        <charset val="134"/>
      </rPr>
      <t>单位</t>
    </r>
    <r>
      <rPr>
        <sz val="10"/>
        <rFont val="Arial Narrow"/>
        <family val="2"/>
      </rPr>
      <t>19</t>
    </r>
  </si>
  <si>
    <r>
      <rPr>
        <sz val="10"/>
        <rFont val="宋体"/>
        <family val="3"/>
        <charset val="134"/>
      </rPr>
      <t>单位</t>
    </r>
    <r>
      <rPr>
        <sz val="10"/>
        <rFont val="Arial Narrow"/>
        <family val="2"/>
      </rPr>
      <t>20</t>
    </r>
  </si>
  <si>
    <r>
      <rPr>
        <sz val="10"/>
        <rFont val="宋体"/>
        <family val="3"/>
        <charset val="134"/>
      </rPr>
      <t>单位</t>
    </r>
    <r>
      <rPr>
        <sz val="10"/>
        <rFont val="Arial Narrow"/>
        <family val="2"/>
      </rPr>
      <t>21</t>
    </r>
  </si>
  <si>
    <r>
      <rPr>
        <sz val="10"/>
        <rFont val="宋体"/>
        <family val="3"/>
        <charset val="134"/>
      </rPr>
      <t>单位</t>
    </r>
    <r>
      <rPr>
        <sz val="10"/>
        <rFont val="Arial Narrow"/>
        <family val="2"/>
      </rPr>
      <t>22</t>
    </r>
  </si>
  <si>
    <r>
      <rPr>
        <sz val="10"/>
        <rFont val="宋体"/>
        <family val="3"/>
        <charset val="134"/>
      </rPr>
      <t>可供出售债务工具</t>
    </r>
  </si>
  <si>
    <r>
      <rPr>
        <sz val="10"/>
        <rFont val="宋体"/>
        <family val="3"/>
        <charset val="134"/>
      </rPr>
      <t>可供出售权益工具</t>
    </r>
  </si>
  <si>
    <r>
      <rPr>
        <sz val="10"/>
        <rFont val="宋体"/>
        <family val="3"/>
        <charset val="134"/>
      </rPr>
      <t>可供出售权益工具</t>
    </r>
    <phoneticPr fontId="5" type="noConversion"/>
  </si>
  <si>
    <r>
      <rPr>
        <sz val="10"/>
        <rFont val="宋体"/>
        <family val="3"/>
        <charset val="134"/>
      </rPr>
      <t>权益工具的成本</t>
    </r>
    <r>
      <rPr>
        <sz val="10"/>
        <rFont val="Arial Narrow"/>
        <family val="2"/>
      </rPr>
      <t>/</t>
    </r>
    <r>
      <rPr>
        <sz val="10"/>
        <rFont val="宋体"/>
        <family val="3"/>
        <charset val="134"/>
      </rPr>
      <t>债务工具的摊余成本</t>
    </r>
  </si>
  <si>
    <r>
      <rPr>
        <sz val="10"/>
        <rFont val="宋体"/>
        <family val="3"/>
        <charset val="134"/>
      </rPr>
      <t>公允价值</t>
    </r>
  </si>
  <si>
    <r>
      <rPr>
        <sz val="10"/>
        <rFont val="宋体"/>
        <family val="3"/>
        <charset val="134"/>
      </rPr>
      <t>累计计入其他综合收益的公允价值变动金额</t>
    </r>
  </si>
  <si>
    <r>
      <rPr>
        <sz val="10"/>
        <rFont val="宋体"/>
        <family val="3"/>
        <charset val="134"/>
      </rPr>
      <t>已计提减值金额</t>
    </r>
  </si>
  <si>
    <r>
      <rPr>
        <sz val="10"/>
        <rFont val="宋体"/>
        <family val="3"/>
        <charset val="134"/>
      </rPr>
      <t>公允价值相对于成本的下跌幅度（</t>
    </r>
    <r>
      <rPr>
        <sz val="10"/>
        <rFont val="Arial Narrow"/>
        <family val="2"/>
      </rPr>
      <t>%</t>
    </r>
    <r>
      <rPr>
        <sz val="10"/>
        <rFont val="宋体"/>
        <family val="3"/>
        <charset val="134"/>
      </rPr>
      <t>）</t>
    </r>
  </si>
  <si>
    <r>
      <rPr>
        <sz val="10"/>
        <rFont val="宋体"/>
        <family val="3"/>
        <charset val="134"/>
      </rPr>
      <t>持续下跌时间（个月）</t>
    </r>
  </si>
  <si>
    <r>
      <rPr>
        <sz val="10"/>
        <rFont val="宋体"/>
        <family val="3"/>
        <charset val="134"/>
      </rPr>
      <t>未计提减值原因</t>
    </r>
  </si>
  <si>
    <r>
      <rPr>
        <sz val="10"/>
        <rFont val="宋体"/>
        <family val="3"/>
        <charset val="134"/>
      </rPr>
      <t>可供出售债务工具</t>
    </r>
    <phoneticPr fontId="5" type="noConversion"/>
  </si>
  <si>
    <r>
      <rPr>
        <b/>
        <sz val="10"/>
        <rFont val="宋体"/>
        <family val="3"/>
        <charset val="134"/>
      </rPr>
      <t>可供出售权益工具年末公允价值严重下跌或非暂时性下跌但未计提减值准备的相关说明</t>
    </r>
    <phoneticPr fontId="5" type="noConversion"/>
  </si>
  <si>
    <r>
      <rPr>
        <sz val="9"/>
        <rFont val="宋体"/>
        <family val="3"/>
        <charset val="134"/>
      </rPr>
      <t>融资租赁</t>
    </r>
  </si>
  <si>
    <r>
      <rPr>
        <sz val="9"/>
        <rFont val="宋体"/>
        <family val="3"/>
        <charset val="134"/>
      </rPr>
      <t>其中：未实现融资收益</t>
    </r>
    <phoneticPr fontId="5" type="noConversion"/>
  </si>
  <si>
    <r>
      <rPr>
        <sz val="9"/>
        <rFont val="宋体"/>
        <family val="3"/>
        <charset val="134"/>
      </rPr>
      <t>分期收款销售商品</t>
    </r>
  </si>
  <si>
    <r>
      <rPr>
        <sz val="9"/>
        <rFont val="宋体"/>
        <family val="3"/>
        <charset val="134"/>
      </rPr>
      <t>分期收款提供劳务</t>
    </r>
  </si>
  <si>
    <r>
      <rPr>
        <sz val="9"/>
        <rFont val="宋体"/>
        <family val="3"/>
        <charset val="134"/>
      </rPr>
      <t>期初</t>
    </r>
    <phoneticPr fontId="5" type="noConversion"/>
  </si>
  <si>
    <r>
      <rPr>
        <sz val="9"/>
        <rFont val="宋体"/>
        <family val="3"/>
        <charset val="134"/>
      </rPr>
      <t>期末</t>
    </r>
    <phoneticPr fontId="5" type="noConversion"/>
  </si>
  <si>
    <r>
      <rPr>
        <sz val="9"/>
        <rFont val="宋体"/>
        <family val="3"/>
        <charset val="134"/>
      </rPr>
      <t>报表数</t>
    </r>
    <phoneticPr fontId="5" type="noConversion"/>
  </si>
  <si>
    <r>
      <rPr>
        <sz val="9"/>
        <rFont val="宋体"/>
        <family val="3"/>
        <charset val="134"/>
      </rPr>
      <t>与报表核对</t>
    </r>
    <phoneticPr fontId="5" type="noConversion"/>
  </si>
  <si>
    <r>
      <rPr>
        <sz val="9"/>
        <rFont val="宋体"/>
        <family val="3"/>
        <charset val="134"/>
      </rPr>
      <t>合</t>
    </r>
    <r>
      <rPr>
        <sz val="9"/>
        <rFont val="Arial Narrow"/>
        <family val="2"/>
      </rPr>
      <t xml:space="preserve">   </t>
    </r>
    <r>
      <rPr>
        <sz val="9"/>
        <rFont val="宋体"/>
        <family val="3"/>
        <charset val="134"/>
      </rPr>
      <t>计</t>
    </r>
  </si>
  <si>
    <r>
      <rPr>
        <sz val="9"/>
        <rFont val="宋体"/>
        <family val="3"/>
        <charset val="134"/>
      </rPr>
      <t>总行号</t>
    </r>
    <phoneticPr fontId="5" type="noConversion"/>
  </si>
  <si>
    <r>
      <rPr>
        <sz val="9"/>
        <rFont val="宋体"/>
        <family val="3"/>
        <charset val="134"/>
      </rPr>
      <t>项目</t>
    </r>
    <r>
      <rPr>
        <sz val="9"/>
        <rFont val="Arial Narrow"/>
        <family val="2"/>
      </rPr>
      <t>1</t>
    </r>
    <phoneticPr fontId="5" type="noConversion"/>
  </si>
  <si>
    <r>
      <rPr>
        <sz val="9"/>
        <rFont val="宋体"/>
        <family val="3"/>
        <charset val="134"/>
      </rPr>
      <t>项目</t>
    </r>
    <r>
      <rPr>
        <sz val="9"/>
        <rFont val="Arial Narrow"/>
        <family val="2"/>
      </rPr>
      <t>2</t>
    </r>
    <r>
      <rPr>
        <sz val="11"/>
        <color theme="1"/>
        <rFont val="宋体"/>
        <family val="2"/>
        <charset val="134"/>
        <scheme val="minor"/>
      </rPr>
      <t/>
    </r>
  </si>
  <si>
    <r>
      <rPr>
        <sz val="9"/>
        <rFont val="宋体"/>
        <family val="3"/>
        <charset val="134"/>
      </rPr>
      <t>项目</t>
    </r>
    <r>
      <rPr>
        <sz val="9"/>
        <rFont val="Arial Narrow"/>
        <family val="2"/>
      </rPr>
      <t>3</t>
    </r>
    <r>
      <rPr>
        <sz val="11"/>
        <color theme="1"/>
        <rFont val="宋体"/>
        <family val="2"/>
        <charset val="134"/>
        <scheme val="minor"/>
      </rPr>
      <t/>
    </r>
  </si>
  <si>
    <r>
      <rPr>
        <sz val="9"/>
        <rFont val="宋体"/>
        <family val="3"/>
        <charset val="134"/>
      </rPr>
      <t>项目</t>
    </r>
    <r>
      <rPr>
        <sz val="9"/>
        <rFont val="Arial Narrow"/>
        <family val="2"/>
      </rPr>
      <t>4</t>
    </r>
    <r>
      <rPr>
        <sz val="11"/>
        <color theme="1"/>
        <rFont val="宋体"/>
        <family val="2"/>
        <charset val="134"/>
        <scheme val="minor"/>
      </rPr>
      <t/>
    </r>
  </si>
  <si>
    <r>
      <rPr>
        <sz val="9"/>
        <rFont val="宋体"/>
        <family val="3"/>
        <charset val="134"/>
      </rPr>
      <t>项目</t>
    </r>
    <r>
      <rPr>
        <sz val="9"/>
        <rFont val="Arial Narrow"/>
        <family val="2"/>
      </rPr>
      <t>5</t>
    </r>
    <r>
      <rPr>
        <sz val="11"/>
        <color theme="1"/>
        <rFont val="宋体"/>
        <family val="2"/>
        <charset val="134"/>
        <scheme val="minor"/>
      </rPr>
      <t/>
    </r>
  </si>
  <si>
    <r>
      <rPr>
        <sz val="9"/>
        <rFont val="宋体"/>
        <family val="3"/>
        <charset val="134"/>
      </rPr>
      <t>项目</t>
    </r>
    <r>
      <rPr>
        <sz val="9"/>
        <rFont val="Arial Narrow"/>
        <family val="2"/>
      </rPr>
      <t>6</t>
    </r>
    <r>
      <rPr>
        <sz val="11"/>
        <color theme="1"/>
        <rFont val="宋体"/>
        <family val="2"/>
        <charset val="134"/>
        <scheme val="minor"/>
      </rPr>
      <t/>
    </r>
  </si>
  <si>
    <r>
      <rPr>
        <sz val="9"/>
        <rFont val="宋体"/>
        <family val="3"/>
        <charset val="134"/>
      </rPr>
      <t>项目</t>
    </r>
    <r>
      <rPr>
        <sz val="9"/>
        <rFont val="Arial Narrow"/>
        <family val="2"/>
      </rPr>
      <t>7</t>
    </r>
    <r>
      <rPr>
        <sz val="11"/>
        <color theme="1"/>
        <rFont val="宋体"/>
        <family val="2"/>
        <charset val="134"/>
        <scheme val="minor"/>
      </rPr>
      <t/>
    </r>
  </si>
  <si>
    <r>
      <rPr>
        <sz val="9"/>
        <rFont val="宋体"/>
        <family val="3"/>
        <charset val="134"/>
      </rPr>
      <t>项目</t>
    </r>
    <r>
      <rPr>
        <sz val="9"/>
        <rFont val="Arial Narrow"/>
        <family val="2"/>
      </rPr>
      <t>8</t>
    </r>
    <r>
      <rPr>
        <sz val="11"/>
        <color theme="1"/>
        <rFont val="宋体"/>
        <family val="2"/>
        <charset val="134"/>
        <scheme val="minor"/>
      </rPr>
      <t/>
    </r>
  </si>
  <si>
    <r>
      <rPr>
        <sz val="9"/>
        <rFont val="宋体"/>
        <family val="3"/>
        <charset val="134"/>
      </rPr>
      <t>项目</t>
    </r>
    <r>
      <rPr>
        <sz val="9"/>
        <rFont val="Arial Narrow"/>
        <family val="2"/>
      </rPr>
      <t>9</t>
    </r>
    <r>
      <rPr>
        <sz val="11"/>
        <color theme="1"/>
        <rFont val="宋体"/>
        <family val="2"/>
        <charset val="134"/>
        <scheme val="minor"/>
      </rPr>
      <t/>
    </r>
  </si>
  <si>
    <r>
      <rPr>
        <sz val="9"/>
        <rFont val="宋体"/>
        <family val="3"/>
        <charset val="134"/>
      </rPr>
      <t>项目</t>
    </r>
    <r>
      <rPr>
        <sz val="9"/>
        <rFont val="Arial Narrow"/>
        <family val="2"/>
      </rPr>
      <t>10</t>
    </r>
    <r>
      <rPr>
        <sz val="11"/>
        <color theme="1"/>
        <rFont val="宋体"/>
        <family val="2"/>
        <charset val="134"/>
        <scheme val="minor"/>
      </rPr>
      <t/>
    </r>
  </si>
  <si>
    <r>
      <rPr>
        <u/>
        <sz val="10"/>
        <rFont val="宋体"/>
        <family val="3"/>
        <charset val="134"/>
      </rPr>
      <t>使用说明</t>
    </r>
  </si>
  <si>
    <r>
      <rPr>
        <sz val="10"/>
        <rFont val="宋体"/>
        <family val="3"/>
        <charset val="134"/>
      </rPr>
      <t>合计</t>
    </r>
    <phoneticPr fontId="5" type="noConversion"/>
  </si>
  <si>
    <r>
      <rPr>
        <sz val="10"/>
        <rFont val="宋体"/>
        <family val="3"/>
        <charset val="134"/>
      </rPr>
      <t>所有权和使用权受限制的资产</t>
    </r>
  </si>
  <si>
    <r>
      <rPr>
        <sz val="10"/>
        <rFont val="宋体"/>
        <family val="3"/>
        <charset val="134"/>
      </rPr>
      <t>长期应付职工薪酬</t>
    </r>
  </si>
  <si>
    <r>
      <rPr>
        <sz val="10"/>
        <rFont val="宋体"/>
        <family val="3"/>
        <charset val="134"/>
      </rPr>
      <t>外币货币性项目</t>
    </r>
  </si>
  <si>
    <t>返回减值准备表</t>
    <phoneticPr fontId="5" type="noConversion"/>
  </si>
  <si>
    <t>返回减值准备表</t>
    <phoneticPr fontId="5" type="noConversion"/>
  </si>
  <si>
    <r>
      <t>——</t>
    </r>
    <r>
      <rPr>
        <b/>
        <sz val="10"/>
        <rFont val="宋体"/>
        <family val="3"/>
        <charset val="134"/>
      </rPr>
      <t>应收账款</t>
    </r>
    <phoneticPr fontId="5" type="noConversion"/>
  </si>
  <si>
    <r>
      <t xml:space="preserve">       </t>
    </r>
    <r>
      <rPr>
        <sz val="10"/>
        <rFont val="宋体"/>
        <family val="3"/>
        <charset val="134"/>
      </rPr>
      <t>无风险组合</t>
    </r>
    <phoneticPr fontId="5" type="noConversion"/>
  </si>
  <si>
    <r>
      <rPr>
        <sz val="10"/>
        <rFont val="宋体"/>
        <family val="3"/>
        <charset val="134"/>
      </rPr>
      <t>比例核对</t>
    </r>
    <phoneticPr fontId="5" type="noConversion"/>
  </si>
  <si>
    <r>
      <rPr>
        <sz val="10"/>
        <rFont val="宋体"/>
        <family val="3"/>
        <charset val="134"/>
      </rPr>
      <t>年初数</t>
    </r>
    <phoneticPr fontId="5" type="noConversion"/>
  </si>
  <si>
    <r>
      <rPr>
        <sz val="10"/>
        <rFont val="宋体"/>
        <family val="3"/>
        <charset val="134"/>
      </rPr>
      <t>账龄设置（</t>
    </r>
    <r>
      <rPr>
        <sz val="10"/>
        <rFont val="Arial Narrow"/>
        <family val="2"/>
      </rPr>
      <t>%</t>
    </r>
    <r>
      <rPr>
        <sz val="10"/>
        <rFont val="宋体"/>
        <family val="3"/>
        <charset val="134"/>
      </rPr>
      <t>）</t>
    </r>
    <phoneticPr fontId="5" type="noConversion"/>
  </si>
  <si>
    <r>
      <rPr>
        <sz val="10"/>
        <rFont val="宋体"/>
        <family val="3"/>
        <charset val="134"/>
      </rPr>
      <t>期末计提校验</t>
    </r>
    <phoneticPr fontId="5" type="noConversion"/>
  </si>
  <si>
    <r>
      <rPr>
        <sz val="10"/>
        <rFont val="宋体"/>
        <family val="3"/>
        <charset val="134"/>
      </rPr>
      <t>坏账准备</t>
    </r>
    <phoneticPr fontId="5" type="noConversion"/>
  </si>
  <si>
    <r>
      <rPr>
        <sz val="10"/>
        <rFont val="宋体"/>
        <family val="3"/>
        <charset val="134"/>
      </rPr>
      <t>期初计提校验</t>
    </r>
    <phoneticPr fontId="5" type="noConversion"/>
  </si>
  <si>
    <r>
      <rPr>
        <sz val="10"/>
        <rFont val="宋体"/>
        <family val="3"/>
        <charset val="134"/>
      </rPr>
      <t>无风险组合</t>
    </r>
    <phoneticPr fontId="5" type="noConversion"/>
  </si>
  <si>
    <r>
      <rPr>
        <sz val="10"/>
        <rFont val="宋体"/>
        <family val="3"/>
        <charset val="134"/>
      </rPr>
      <t>账龄明细，不用粘贴到审计报表附注中，仅作为报告核对及久其核对之用</t>
    </r>
    <phoneticPr fontId="5" type="noConversion"/>
  </si>
  <si>
    <r>
      <rPr>
        <sz val="10"/>
        <rFont val="宋体"/>
        <family val="3"/>
        <charset val="134"/>
      </rPr>
      <t>账龄</t>
    </r>
    <phoneticPr fontId="5" type="noConversion"/>
  </si>
  <si>
    <r>
      <t>1</t>
    </r>
    <r>
      <rPr>
        <sz val="10"/>
        <rFont val="宋体"/>
        <family val="3"/>
        <charset val="134"/>
      </rPr>
      <t>年以内（含</t>
    </r>
    <r>
      <rPr>
        <sz val="10"/>
        <rFont val="Arial Narrow"/>
        <family val="2"/>
      </rPr>
      <t>1</t>
    </r>
    <r>
      <rPr>
        <sz val="10"/>
        <rFont val="宋体"/>
        <family val="3"/>
        <charset val="134"/>
      </rPr>
      <t>年）</t>
    </r>
    <phoneticPr fontId="5" type="noConversion"/>
  </si>
  <si>
    <r>
      <t>1-2</t>
    </r>
    <r>
      <rPr>
        <sz val="10"/>
        <rFont val="宋体"/>
        <family val="3"/>
        <charset val="134"/>
      </rPr>
      <t>年（含</t>
    </r>
    <r>
      <rPr>
        <sz val="10"/>
        <rFont val="Arial Narrow"/>
        <family val="2"/>
      </rPr>
      <t>2</t>
    </r>
    <r>
      <rPr>
        <sz val="10"/>
        <rFont val="宋体"/>
        <family val="3"/>
        <charset val="134"/>
      </rPr>
      <t>年）</t>
    </r>
    <phoneticPr fontId="5" type="noConversion"/>
  </si>
  <si>
    <r>
      <t>2-3</t>
    </r>
    <r>
      <rPr>
        <sz val="10"/>
        <rFont val="宋体"/>
        <family val="3"/>
        <charset val="134"/>
      </rPr>
      <t>年（含</t>
    </r>
    <r>
      <rPr>
        <sz val="10"/>
        <rFont val="Arial Narrow"/>
        <family val="2"/>
      </rPr>
      <t>3</t>
    </r>
    <r>
      <rPr>
        <sz val="10"/>
        <rFont val="宋体"/>
        <family val="3"/>
        <charset val="134"/>
      </rPr>
      <t>年）</t>
    </r>
  </si>
  <si>
    <r>
      <t>3-4</t>
    </r>
    <r>
      <rPr>
        <sz val="10"/>
        <rFont val="宋体"/>
        <family val="3"/>
        <charset val="134"/>
      </rPr>
      <t>年（含</t>
    </r>
    <r>
      <rPr>
        <sz val="10"/>
        <rFont val="Arial Narrow"/>
        <family val="2"/>
      </rPr>
      <t>4</t>
    </r>
    <r>
      <rPr>
        <sz val="10"/>
        <rFont val="宋体"/>
        <family val="3"/>
        <charset val="134"/>
      </rPr>
      <t>年）</t>
    </r>
  </si>
  <si>
    <r>
      <t>4-5</t>
    </r>
    <r>
      <rPr>
        <sz val="10"/>
        <rFont val="宋体"/>
        <family val="3"/>
        <charset val="134"/>
      </rPr>
      <t>年（含</t>
    </r>
    <r>
      <rPr>
        <sz val="10"/>
        <rFont val="Arial Narrow"/>
        <family val="2"/>
      </rPr>
      <t>5</t>
    </r>
    <r>
      <rPr>
        <sz val="10"/>
        <rFont val="宋体"/>
        <family val="3"/>
        <charset val="134"/>
      </rPr>
      <t>年）</t>
    </r>
  </si>
  <si>
    <r>
      <rPr>
        <sz val="10"/>
        <rFont val="宋体"/>
        <family val="3"/>
        <charset val="134"/>
      </rPr>
      <t>余额核对</t>
    </r>
    <phoneticPr fontId="5" type="noConversion"/>
  </si>
  <si>
    <r>
      <t>1-2</t>
    </r>
    <r>
      <rPr>
        <sz val="10"/>
        <rFont val="宋体"/>
        <family val="3"/>
        <charset val="134"/>
      </rPr>
      <t>年（含</t>
    </r>
    <r>
      <rPr>
        <sz val="10"/>
        <rFont val="Arial Narrow"/>
        <family val="2"/>
      </rPr>
      <t>2</t>
    </r>
    <r>
      <rPr>
        <sz val="10"/>
        <rFont val="宋体"/>
        <family val="3"/>
        <charset val="134"/>
      </rPr>
      <t>年）</t>
    </r>
    <phoneticPr fontId="5" type="noConversion"/>
  </si>
  <si>
    <r>
      <t>——</t>
    </r>
    <r>
      <rPr>
        <b/>
        <sz val="11"/>
        <rFont val="宋体"/>
        <family val="3"/>
        <charset val="134"/>
      </rPr>
      <t>预付账款</t>
    </r>
    <phoneticPr fontId="5" type="noConversion"/>
  </si>
  <si>
    <r>
      <rPr>
        <sz val="9"/>
        <rFont val="宋体"/>
        <family val="3"/>
        <charset val="134"/>
      </rPr>
      <t>年末数</t>
    </r>
    <phoneticPr fontId="5" type="noConversion"/>
  </si>
  <si>
    <r>
      <rPr>
        <sz val="9"/>
        <rFont val="宋体"/>
        <family val="3"/>
        <charset val="134"/>
      </rPr>
      <t>年初数</t>
    </r>
  </si>
  <si>
    <r>
      <rPr>
        <sz val="9"/>
        <rFont val="宋体"/>
        <family val="3"/>
        <charset val="134"/>
      </rPr>
      <t>坏账准备</t>
    </r>
  </si>
  <si>
    <r>
      <rPr>
        <sz val="9"/>
        <rFont val="宋体"/>
        <family val="3"/>
        <charset val="134"/>
      </rPr>
      <t>账龄检查</t>
    </r>
    <phoneticPr fontId="5" type="noConversion"/>
  </si>
  <si>
    <r>
      <t>3</t>
    </r>
    <r>
      <rPr>
        <sz val="9"/>
        <rFont val="宋体"/>
        <family val="3"/>
        <charset val="134"/>
      </rPr>
      <t>年以上</t>
    </r>
    <phoneticPr fontId="5" type="noConversion"/>
  </si>
  <si>
    <r>
      <rPr>
        <sz val="9"/>
        <rFont val="宋体"/>
        <family val="3"/>
        <charset val="134"/>
      </rPr>
      <t>年初</t>
    </r>
    <phoneticPr fontId="5" type="noConversion"/>
  </si>
  <si>
    <r>
      <rPr>
        <sz val="9"/>
        <rFont val="宋体"/>
        <family val="3"/>
        <charset val="134"/>
      </rPr>
      <t>年末</t>
    </r>
    <phoneticPr fontId="5" type="noConversion"/>
  </si>
  <si>
    <r>
      <rPr>
        <sz val="9"/>
        <rFont val="宋体"/>
        <family val="3"/>
        <charset val="134"/>
      </rPr>
      <t>比例尾数核对</t>
    </r>
    <phoneticPr fontId="5" type="noConversion"/>
  </si>
  <si>
    <r>
      <rPr>
        <sz val="9"/>
        <rFont val="宋体"/>
        <family val="3"/>
        <charset val="134"/>
      </rPr>
      <t>债权单位</t>
    </r>
  </si>
  <si>
    <r>
      <rPr>
        <sz val="9"/>
        <rFont val="宋体"/>
        <family val="3"/>
        <charset val="134"/>
      </rPr>
      <t>债务单位</t>
    </r>
  </si>
  <si>
    <r>
      <rPr>
        <sz val="9"/>
        <rFont val="宋体"/>
        <family val="3"/>
        <charset val="134"/>
      </rPr>
      <t>账龄</t>
    </r>
  </si>
  <si>
    <r>
      <rPr>
        <sz val="9"/>
        <rFont val="宋体"/>
        <family val="3"/>
        <charset val="134"/>
      </rPr>
      <t>未结算原因</t>
    </r>
  </si>
  <si>
    <r>
      <rPr>
        <sz val="9"/>
        <rFont val="宋体"/>
        <family val="3"/>
        <charset val="134"/>
      </rPr>
      <t>合计</t>
    </r>
    <phoneticPr fontId="5" type="noConversion"/>
  </si>
  <si>
    <r>
      <rPr>
        <sz val="9"/>
        <rFont val="宋体"/>
        <family val="3"/>
        <charset val="134"/>
      </rPr>
      <t>期末数</t>
    </r>
    <phoneticPr fontId="5" type="noConversion"/>
  </si>
  <si>
    <r>
      <rPr>
        <sz val="9"/>
        <rFont val="宋体"/>
        <family val="3"/>
        <charset val="134"/>
      </rPr>
      <t>账</t>
    </r>
    <r>
      <rPr>
        <sz val="9"/>
        <rFont val="Arial Narrow"/>
        <family val="2"/>
      </rPr>
      <t xml:space="preserve"> </t>
    </r>
    <r>
      <rPr>
        <sz val="9"/>
        <rFont val="宋体"/>
        <family val="3"/>
        <charset val="134"/>
      </rPr>
      <t>龄</t>
    </r>
  </si>
  <si>
    <r>
      <rPr>
        <sz val="9"/>
        <rFont val="宋体"/>
        <family val="3"/>
        <charset val="134"/>
      </rPr>
      <t>金</t>
    </r>
    <r>
      <rPr>
        <sz val="9"/>
        <rFont val="Arial Narrow"/>
        <family val="2"/>
      </rPr>
      <t xml:space="preserve">   </t>
    </r>
    <r>
      <rPr>
        <sz val="9"/>
        <rFont val="宋体"/>
        <family val="3"/>
        <charset val="134"/>
      </rPr>
      <t>额</t>
    </r>
  </si>
  <si>
    <r>
      <rPr>
        <sz val="9"/>
        <rFont val="宋体"/>
        <family val="3"/>
        <charset val="134"/>
      </rPr>
      <t>比例（</t>
    </r>
    <r>
      <rPr>
        <sz val="9"/>
        <rFont val="Arial Narrow"/>
        <family val="2"/>
      </rPr>
      <t>%</t>
    </r>
    <r>
      <rPr>
        <sz val="9"/>
        <rFont val="宋体"/>
        <family val="3"/>
        <charset val="134"/>
      </rPr>
      <t>）</t>
    </r>
  </si>
  <si>
    <r>
      <t>1</t>
    </r>
    <r>
      <rPr>
        <sz val="9"/>
        <rFont val="宋体"/>
        <family val="3"/>
        <charset val="134"/>
      </rPr>
      <t>年以内</t>
    </r>
    <r>
      <rPr>
        <sz val="9"/>
        <rFont val="Arial Narrow"/>
        <family val="2"/>
      </rPr>
      <t>(</t>
    </r>
    <r>
      <rPr>
        <sz val="9"/>
        <rFont val="宋体"/>
        <family val="3"/>
        <charset val="134"/>
      </rPr>
      <t>含</t>
    </r>
    <r>
      <rPr>
        <sz val="9"/>
        <rFont val="Arial Narrow"/>
        <family val="2"/>
      </rPr>
      <t>1</t>
    </r>
    <r>
      <rPr>
        <sz val="9"/>
        <rFont val="宋体"/>
        <family val="3"/>
        <charset val="134"/>
      </rPr>
      <t>年</t>
    </r>
    <r>
      <rPr>
        <sz val="9"/>
        <rFont val="Arial Narrow"/>
        <family val="2"/>
      </rPr>
      <t>)</t>
    </r>
  </si>
  <si>
    <r>
      <t>1-2</t>
    </r>
    <r>
      <rPr>
        <sz val="9"/>
        <rFont val="宋体"/>
        <family val="3"/>
        <charset val="134"/>
      </rPr>
      <t>年</t>
    </r>
    <r>
      <rPr>
        <sz val="9"/>
        <rFont val="Arial Narrow"/>
        <family val="2"/>
      </rPr>
      <t>(</t>
    </r>
    <r>
      <rPr>
        <sz val="9"/>
        <rFont val="宋体"/>
        <family val="3"/>
        <charset val="134"/>
      </rPr>
      <t>含</t>
    </r>
    <r>
      <rPr>
        <sz val="9"/>
        <rFont val="Arial Narrow"/>
        <family val="2"/>
      </rPr>
      <t>2</t>
    </r>
    <r>
      <rPr>
        <sz val="9"/>
        <rFont val="宋体"/>
        <family val="3"/>
        <charset val="134"/>
      </rPr>
      <t>年</t>
    </r>
    <r>
      <rPr>
        <sz val="9"/>
        <rFont val="Arial Narrow"/>
        <family val="2"/>
      </rPr>
      <t>)</t>
    </r>
  </si>
  <si>
    <r>
      <t>2-3</t>
    </r>
    <r>
      <rPr>
        <sz val="9"/>
        <rFont val="宋体"/>
        <family val="3"/>
        <charset val="134"/>
      </rPr>
      <t>年</t>
    </r>
    <r>
      <rPr>
        <sz val="9"/>
        <rFont val="Arial Narrow"/>
        <family val="2"/>
      </rPr>
      <t>(</t>
    </r>
    <r>
      <rPr>
        <sz val="9"/>
        <rFont val="宋体"/>
        <family val="3"/>
        <charset val="134"/>
      </rPr>
      <t>含</t>
    </r>
    <r>
      <rPr>
        <sz val="9"/>
        <rFont val="Arial Narrow"/>
        <family val="2"/>
      </rPr>
      <t>3</t>
    </r>
    <r>
      <rPr>
        <sz val="9"/>
        <rFont val="宋体"/>
        <family val="3"/>
        <charset val="134"/>
      </rPr>
      <t>年</t>
    </r>
    <r>
      <rPr>
        <sz val="9"/>
        <rFont val="Arial Narrow"/>
        <family val="2"/>
      </rPr>
      <t>)</t>
    </r>
  </si>
  <si>
    <r>
      <rPr>
        <sz val="9"/>
        <rFont val="宋体"/>
        <family val="3"/>
        <charset val="134"/>
      </rPr>
      <t>合</t>
    </r>
    <r>
      <rPr>
        <sz val="9"/>
        <rFont val="Arial Narrow"/>
        <family val="2"/>
      </rPr>
      <t xml:space="preserve"> </t>
    </r>
    <r>
      <rPr>
        <sz val="9"/>
        <rFont val="宋体"/>
        <family val="3"/>
        <charset val="134"/>
      </rPr>
      <t>计</t>
    </r>
  </si>
  <si>
    <r>
      <rPr>
        <b/>
        <sz val="9"/>
        <rFont val="宋体"/>
        <family val="3"/>
        <charset val="134"/>
      </rPr>
      <t>账龄超过</t>
    </r>
    <r>
      <rPr>
        <b/>
        <sz val="9"/>
        <rFont val="Arial Narrow"/>
        <family val="2"/>
      </rPr>
      <t>1</t>
    </r>
    <r>
      <rPr>
        <b/>
        <sz val="9"/>
        <rFont val="宋体"/>
        <family val="3"/>
        <charset val="134"/>
      </rPr>
      <t>年的大额预付款项情况</t>
    </r>
    <phoneticPr fontId="5" type="noConversion"/>
  </si>
  <si>
    <r>
      <rPr>
        <sz val="9"/>
        <rFont val="宋体"/>
        <family val="3"/>
        <charset val="134"/>
      </rPr>
      <t>账龄超过一年大额预付款占比（</t>
    </r>
    <r>
      <rPr>
        <sz val="9"/>
        <rFont val="Arial Narrow"/>
        <family val="2"/>
      </rPr>
      <t>%</t>
    </r>
    <r>
      <rPr>
        <sz val="9"/>
        <rFont val="宋体"/>
        <family val="3"/>
        <charset val="134"/>
      </rPr>
      <t>）</t>
    </r>
    <phoneticPr fontId="5" type="noConversion"/>
  </si>
  <si>
    <r>
      <rPr>
        <sz val="9"/>
        <rFont val="宋体"/>
        <family val="3"/>
        <charset val="134"/>
      </rPr>
      <t>账龄超过一年的预付款总额</t>
    </r>
    <phoneticPr fontId="5" type="noConversion"/>
  </si>
  <si>
    <r>
      <rPr>
        <sz val="10"/>
        <rFont val="宋体"/>
        <family val="3"/>
        <charset val="134"/>
      </rPr>
      <t>年末余额</t>
    </r>
    <phoneticPr fontId="5" type="noConversion"/>
  </si>
  <si>
    <r>
      <rPr>
        <sz val="10"/>
        <rFont val="宋体"/>
        <family val="3"/>
        <charset val="134"/>
      </rPr>
      <t>与报表核对</t>
    </r>
    <phoneticPr fontId="5" type="noConversion"/>
  </si>
  <si>
    <r>
      <rPr>
        <sz val="10"/>
        <rFont val="宋体"/>
        <family val="3"/>
        <charset val="134"/>
      </rPr>
      <t>总行号</t>
    </r>
    <phoneticPr fontId="5" type="noConversion"/>
  </si>
  <si>
    <r>
      <rPr>
        <sz val="10"/>
        <rFont val="宋体"/>
        <family val="3"/>
        <charset val="134"/>
      </rPr>
      <t>年末</t>
    </r>
    <phoneticPr fontId="5" type="noConversion"/>
  </si>
  <si>
    <r>
      <rPr>
        <sz val="10"/>
        <rFont val="宋体"/>
        <family val="3"/>
        <charset val="134"/>
      </rPr>
      <t>年初</t>
    </r>
    <phoneticPr fontId="5" type="noConversion"/>
  </si>
  <si>
    <r>
      <rPr>
        <sz val="10"/>
        <rFont val="宋体"/>
        <family val="3"/>
        <charset val="134"/>
      </rPr>
      <t>报表数</t>
    </r>
    <phoneticPr fontId="5" type="noConversion"/>
  </si>
  <si>
    <r>
      <rPr>
        <sz val="9"/>
        <rFont val="宋体"/>
        <family val="3"/>
        <charset val="134"/>
      </rPr>
      <t>本年增加</t>
    </r>
  </si>
  <si>
    <r>
      <rPr>
        <sz val="9"/>
        <rFont val="宋体"/>
        <family val="3"/>
        <charset val="134"/>
      </rPr>
      <t>本年减少</t>
    </r>
  </si>
  <si>
    <r>
      <rPr>
        <sz val="9"/>
        <rFont val="宋体"/>
        <family val="3"/>
        <charset val="134"/>
      </rPr>
      <t>总行号</t>
    </r>
    <phoneticPr fontId="5" type="noConversion"/>
  </si>
  <si>
    <r>
      <rPr>
        <u/>
        <sz val="9"/>
        <rFont val="宋体"/>
        <family val="3"/>
        <charset val="134"/>
      </rPr>
      <t>返回目录</t>
    </r>
  </si>
  <si>
    <r>
      <t>——</t>
    </r>
    <r>
      <rPr>
        <b/>
        <sz val="10"/>
        <rFont val="楷体"/>
        <family val="3"/>
        <charset val="134"/>
      </rPr>
      <t>应收股利</t>
    </r>
    <phoneticPr fontId="5" type="noConversion"/>
  </si>
  <si>
    <r>
      <rPr>
        <sz val="10"/>
        <rFont val="宋体"/>
        <family val="3"/>
        <charset val="134"/>
      </rPr>
      <t>本年增加</t>
    </r>
  </si>
  <si>
    <r>
      <rPr>
        <sz val="10"/>
        <rFont val="宋体"/>
        <family val="3"/>
        <charset val="134"/>
      </rPr>
      <t>本年减少</t>
    </r>
  </si>
  <si>
    <r>
      <rPr>
        <sz val="10"/>
        <rFont val="宋体"/>
        <family val="3"/>
        <charset val="134"/>
      </rPr>
      <t>未收回的原因</t>
    </r>
  </si>
  <si>
    <r>
      <rPr>
        <sz val="10"/>
        <rFont val="宋体"/>
        <family val="3"/>
        <charset val="134"/>
      </rPr>
      <t>账龄一年以内的应收股利</t>
    </r>
    <phoneticPr fontId="5" type="noConversion"/>
  </si>
  <si>
    <r>
      <rPr>
        <sz val="10"/>
        <rFont val="宋体"/>
        <family val="3"/>
        <charset val="134"/>
      </rPr>
      <t>其中</t>
    </r>
    <r>
      <rPr>
        <sz val="10"/>
        <rFont val="Arial Narrow"/>
        <family val="2"/>
      </rPr>
      <t>:(1)</t>
    </r>
    <phoneticPr fontId="5" type="noConversion"/>
  </si>
  <si>
    <r>
      <rPr>
        <sz val="10"/>
        <rFont val="宋体"/>
        <family val="3"/>
        <charset val="134"/>
      </rPr>
      <t>账龄一年以上的应收股利</t>
    </r>
    <phoneticPr fontId="5" type="noConversion"/>
  </si>
  <si>
    <r>
      <rPr>
        <sz val="10"/>
        <rFont val="宋体"/>
        <family val="3"/>
        <charset val="134"/>
      </rPr>
      <t>其中</t>
    </r>
    <r>
      <rPr>
        <sz val="10"/>
        <rFont val="Arial Narrow"/>
        <family val="2"/>
      </rPr>
      <t>:(1)</t>
    </r>
    <phoneticPr fontId="5" type="noConversion"/>
  </si>
  <si>
    <r>
      <rPr>
        <sz val="10"/>
        <rFont val="宋体"/>
        <family val="3"/>
        <charset val="134"/>
      </rPr>
      <t>总行号</t>
    </r>
    <phoneticPr fontId="5" type="noConversion"/>
  </si>
  <si>
    <r>
      <t>——</t>
    </r>
    <r>
      <rPr>
        <b/>
        <sz val="10"/>
        <rFont val="宋体"/>
        <family val="3"/>
        <charset val="134"/>
      </rPr>
      <t>其他应收款</t>
    </r>
    <phoneticPr fontId="5" type="noConversion"/>
  </si>
  <si>
    <r>
      <rPr>
        <sz val="10"/>
        <rFont val="宋体"/>
        <family val="3"/>
        <charset val="134"/>
      </rPr>
      <t>账龄设置（</t>
    </r>
    <r>
      <rPr>
        <sz val="10"/>
        <rFont val="Arial Narrow"/>
        <family val="2"/>
      </rPr>
      <t>%</t>
    </r>
    <r>
      <rPr>
        <sz val="10"/>
        <rFont val="宋体"/>
        <family val="3"/>
        <charset val="134"/>
      </rPr>
      <t>）</t>
    </r>
    <phoneticPr fontId="5" type="noConversion"/>
  </si>
  <si>
    <r>
      <rPr>
        <sz val="10"/>
        <rFont val="宋体"/>
        <family val="3"/>
        <charset val="134"/>
      </rPr>
      <t>账龄检查</t>
    </r>
    <phoneticPr fontId="5" type="noConversion"/>
  </si>
  <si>
    <r>
      <rPr>
        <u/>
        <sz val="10"/>
        <rFont val="宋体"/>
        <family val="3"/>
        <charset val="134"/>
      </rPr>
      <t>返回减值准备表</t>
    </r>
    <phoneticPr fontId="5" type="noConversion"/>
  </si>
  <si>
    <r>
      <rPr>
        <sz val="10"/>
        <rFont val="宋体"/>
        <family val="3"/>
        <charset val="134"/>
      </rPr>
      <t>账面余额</t>
    </r>
    <phoneticPr fontId="5" type="noConversion"/>
  </si>
  <si>
    <r>
      <rPr>
        <sz val="10"/>
        <rFont val="宋体"/>
        <family val="3"/>
        <charset val="134"/>
      </rPr>
      <t>计提比例（</t>
    </r>
    <r>
      <rPr>
        <sz val="10"/>
        <rFont val="Arial Narrow"/>
        <family val="2"/>
      </rPr>
      <t>%</t>
    </r>
    <r>
      <rPr>
        <sz val="10"/>
        <rFont val="宋体"/>
        <family val="3"/>
        <charset val="134"/>
      </rPr>
      <t>）</t>
    </r>
    <phoneticPr fontId="5" type="noConversion"/>
  </si>
  <si>
    <r>
      <rPr>
        <sz val="10"/>
        <rFont val="宋体"/>
        <family val="3"/>
        <charset val="134"/>
      </rPr>
      <t>中轻集团</t>
    </r>
    <phoneticPr fontId="5" type="noConversion"/>
  </si>
  <si>
    <r>
      <rPr>
        <sz val="10"/>
        <rFont val="宋体"/>
        <family val="3"/>
        <charset val="134"/>
      </rPr>
      <t>期末计提校验</t>
    </r>
    <phoneticPr fontId="5" type="noConversion"/>
  </si>
  <si>
    <r>
      <rPr>
        <sz val="10"/>
        <rFont val="宋体"/>
        <family val="3"/>
        <charset val="134"/>
      </rPr>
      <t>期初计提校验</t>
    </r>
    <phoneticPr fontId="5" type="noConversion"/>
  </si>
  <si>
    <r>
      <rPr>
        <b/>
        <sz val="10"/>
        <rFont val="宋体"/>
        <family val="3"/>
        <charset val="134"/>
      </rPr>
      <t>（</t>
    </r>
    <r>
      <rPr>
        <b/>
        <sz val="10"/>
        <rFont val="Arial Narrow"/>
        <family val="2"/>
      </rPr>
      <t>5</t>
    </r>
    <r>
      <rPr>
        <b/>
        <sz val="10"/>
        <rFont val="宋体"/>
        <family val="3"/>
        <charset val="134"/>
      </rPr>
      <t>）按欠款方归集的年末金额前五名的其他应收款情况</t>
    </r>
    <phoneticPr fontId="5" type="noConversion"/>
  </si>
  <si>
    <r>
      <rPr>
        <sz val="9"/>
        <rFont val="宋体"/>
        <family val="3"/>
        <charset val="134"/>
      </rPr>
      <t>账面余额</t>
    </r>
    <phoneticPr fontId="5" type="noConversion"/>
  </si>
  <si>
    <r>
      <rPr>
        <sz val="9"/>
        <rFont val="宋体"/>
        <family val="3"/>
        <charset val="134"/>
      </rPr>
      <t>跌价准备</t>
    </r>
    <phoneticPr fontId="5" type="noConversion"/>
  </si>
  <si>
    <r>
      <rPr>
        <sz val="9"/>
        <rFont val="宋体"/>
        <family val="3"/>
        <charset val="134"/>
      </rPr>
      <t>账面价值</t>
    </r>
    <phoneticPr fontId="5" type="noConversion"/>
  </si>
  <si>
    <r>
      <rPr>
        <sz val="9"/>
        <rFont val="宋体"/>
        <family val="3"/>
        <charset val="134"/>
      </rPr>
      <t>原材料</t>
    </r>
  </si>
  <si>
    <r>
      <rPr>
        <sz val="9"/>
        <rFont val="宋体"/>
        <family val="3"/>
        <charset val="134"/>
      </rPr>
      <t>自制半成品及在产品</t>
    </r>
  </si>
  <si>
    <r>
      <rPr>
        <sz val="9"/>
        <rFont val="宋体"/>
        <family val="3"/>
        <charset val="134"/>
      </rPr>
      <t>库存商品（产成品）</t>
    </r>
  </si>
  <si>
    <r>
      <rPr>
        <sz val="9"/>
        <rFont val="宋体"/>
        <family val="3"/>
        <charset val="134"/>
      </rPr>
      <t>周转材料（包装物、低值易耗品等）</t>
    </r>
  </si>
  <si>
    <r>
      <rPr>
        <sz val="9"/>
        <rFont val="宋体"/>
        <family val="3"/>
        <charset val="134"/>
      </rPr>
      <t>消耗性生物资产</t>
    </r>
  </si>
  <si>
    <r>
      <rPr>
        <sz val="9"/>
        <rFont val="宋体"/>
        <family val="3"/>
        <charset val="134"/>
      </rPr>
      <t>（续）</t>
    </r>
  </si>
  <si>
    <r>
      <rPr>
        <sz val="9"/>
        <rFont val="宋体"/>
        <family val="3"/>
        <charset val="134"/>
      </rPr>
      <t>年初数</t>
    </r>
    <phoneticPr fontId="5" type="noConversion"/>
  </si>
  <si>
    <r>
      <rPr>
        <sz val="9"/>
        <rFont val="宋体"/>
        <family val="3"/>
        <charset val="134"/>
      </rPr>
      <t>消耗性生物资产（详见下表）</t>
    </r>
  </si>
  <si>
    <r>
      <rPr>
        <b/>
        <sz val="9"/>
        <rFont val="宋体"/>
        <family val="3"/>
        <charset val="134"/>
      </rPr>
      <t>其中，年末消耗性生物资产情况：</t>
    </r>
  </si>
  <si>
    <r>
      <rPr>
        <sz val="9"/>
        <rFont val="宋体"/>
        <family val="3"/>
        <charset val="134"/>
      </rPr>
      <t>本年减少额</t>
    </r>
  </si>
  <si>
    <r>
      <rPr>
        <sz val="9"/>
        <rFont val="宋体"/>
        <family val="3"/>
        <charset val="134"/>
      </rPr>
      <t>期末余额</t>
    </r>
    <phoneticPr fontId="5" type="noConversion"/>
  </si>
  <si>
    <r>
      <rPr>
        <sz val="9"/>
        <rFont val="宋体"/>
        <family val="3"/>
        <charset val="134"/>
      </rPr>
      <t>①种植业　</t>
    </r>
  </si>
  <si>
    <r>
      <rPr>
        <sz val="9"/>
        <rFont val="宋体"/>
        <family val="3"/>
        <charset val="134"/>
      </rPr>
      <t>②畜牧养殖业</t>
    </r>
  </si>
  <si>
    <r>
      <rPr>
        <sz val="9"/>
        <rFont val="宋体"/>
        <family val="3"/>
        <charset val="134"/>
      </rPr>
      <t>③林业</t>
    </r>
  </si>
  <si>
    <r>
      <rPr>
        <sz val="9"/>
        <rFont val="宋体"/>
        <family val="3"/>
        <charset val="134"/>
      </rPr>
      <t>④水产业</t>
    </r>
  </si>
  <si>
    <r>
      <rPr>
        <sz val="9"/>
        <rFont val="宋体"/>
        <family val="3"/>
        <charset val="134"/>
      </rPr>
      <t>年初余额</t>
    </r>
    <phoneticPr fontId="5" type="noConversion"/>
  </si>
  <si>
    <r>
      <rPr>
        <sz val="9"/>
        <rFont val="宋体"/>
        <family val="3"/>
        <charset val="134"/>
      </rPr>
      <t>其中项核对报表数</t>
    </r>
    <phoneticPr fontId="5" type="noConversion"/>
  </si>
  <si>
    <r>
      <rPr>
        <sz val="9"/>
        <rFont val="宋体"/>
        <family val="3"/>
        <charset val="134"/>
      </rPr>
      <t>报表原材料</t>
    </r>
    <phoneticPr fontId="5" type="noConversion"/>
  </si>
  <si>
    <r>
      <rPr>
        <sz val="9"/>
        <rFont val="宋体"/>
        <family val="3"/>
        <charset val="134"/>
      </rPr>
      <t>减值准备表余额</t>
    </r>
    <phoneticPr fontId="5" type="noConversion"/>
  </si>
  <si>
    <r>
      <rPr>
        <sz val="9"/>
        <rFont val="宋体"/>
        <family val="3"/>
        <charset val="134"/>
      </rPr>
      <t>核对</t>
    </r>
    <phoneticPr fontId="5" type="noConversion"/>
  </si>
  <si>
    <r>
      <rPr>
        <sz val="9"/>
        <rFont val="宋体"/>
        <family val="3"/>
        <charset val="134"/>
      </rPr>
      <t>报表库存商品</t>
    </r>
    <phoneticPr fontId="5" type="noConversion"/>
  </si>
  <si>
    <r>
      <rPr>
        <sz val="9"/>
        <rFont val="宋体"/>
        <family val="3"/>
        <charset val="134"/>
      </rPr>
      <t>期末</t>
    </r>
    <phoneticPr fontId="5" type="noConversion"/>
  </si>
  <si>
    <r>
      <rPr>
        <sz val="9"/>
        <rFont val="宋体"/>
        <family val="3"/>
        <charset val="134"/>
      </rPr>
      <t>工程施工</t>
    </r>
    <r>
      <rPr>
        <sz val="9"/>
        <rFont val="Arial Narrow"/>
        <family val="2"/>
      </rPr>
      <t>(</t>
    </r>
    <r>
      <rPr>
        <sz val="9"/>
        <rFont val="宋体"/>
        <family val="3"/>
        <charset val="134"/>
      </rPr>
      <t>已完工未结算款</t>
    </r>
    <r>
      <rPr>
        <sz val="9"/>
        <rFont val="Arial Narrow"/>
        <family val="2"/>
      </rPr>
      <t>)</t>
    </r>
  </si>
  <si>
    <r>
      <rPr>
        <sz val="9"/>
        <rFont val="宋体"/>
        <family val="3"/>
        <charset val="134"/>
      </rPr>
      <t>合</t>
    </r>
    <r>
      <rPr>
        <sz val="9"/>
        <rFont val="Arial Narrow"/>
        <family val="2"/>
      </rPr>
      <t xml:space="preserve">    </t>
    </r>
    <r>
      <rPr>
        <sz val="9"/>
        <rFont val="宋体"/>
        <family val="3"/>
        <charset val="134"/>
      </rPr>
      <t>计</t>
    </r>
  </si>
  <si>
    <r>
      <t xml:space="preserve"> </t>
    </r>
    <r>
      <rPr>
        <sz val="9"/>
        <rFont val="宋体"/>
        <family val="3"/>
        <charset val="134"/>
      </rPr>
      <t>合　计</t>
    </r>
    <r>
      <rPr>
        <sz val="9"/>
        <rFont val="Arial Narrow"/>
        <family val="2"/>
      </rPr>
      <t xml:space="preserve"> </t>
    </r>
  </si>
  <si>
    <r>
      <rPr>
        <b/>
        <sz val="9"/>
        <rFont val="宋体"/>
        <family val="3"/>
        <charset val="134"/>
      </rPr>
      <t>（</t>
    </r>
    <r>
      <rPr>
        <b/>
        <sz val="9"/>
        <rFont val="Arial Narrow"/>
        <family val="2"/>
      </rPr>
      <t>2</t>
    </r>
    <r>
      <rPr>
        <b/>
        <sz val="9"/>
        <rFont val="宋体"/>
        <family val="3"/>
        <charset val="134"/>
      </rPr>
      <t>）年末余额中借款费用资本化情况</t>
    </r>
  </si>
  <si>
    <r>
      <rPr>
        <sz val="9"/>
        <rFont val="宋体"/>
        <family val="3"/>
        <charset val="134"/>
      </rPr>
      <t>总行号</t>
    </r>
    <phoneticPr fontId="5" type="noConversion"/>
  </si>
  <si>
    <r>
      <t>——</t>
    </r>
    <r>
      <rPr>
        <b/>
        <sz val="11"/>
        <rFont val="楷体"/>
        <family val="3"/>
        <charset val="134"/>
      </rPr>
      <t>存货</t>
    </r>
    <phoneticPr fontId="5" type="noConversion"/>
  </si>
  <si>
    <r>
      <rPr>
        <b/>
        <sz val="9"/>
        <rFont val="宋体"/>
        <family val="3"/>
        <charset val="134"/>
      </rPr>
      <t>（</t>
    </r>
    <r>
      <rPr>
        <b/>
        <sz val="9"/>
        <rFont val="Arial Narrow"/>
        <family val="2"/>
      </rPr>
      <t>1</t>
    </r>
    <r>
      <rPr>
        <b/>
        <sz val="9"/>
        <rFont val="宋体"/>
        <family val="3"/>
        <charset val="134"/>
      </rPr>
      <t>）存货分类</t>
    </r>
    <phoneticPr fontId="5" type="noConversion"/>
  </si>
  <si>
    <r>
      <rPr>
        <u/>
        <sz val="9"/>
        <rFont val="宋体"/>
        <family val="3"/>
        <charset val="134"/>
      </rPr>
      <t>返回减值准备表</t>
    </r>
    <phoneticPr fontId="5" type="noConversion"/>
  </si>
  <si>
    <r>
      <rPr>
        <sz val="9"/>
        <rFont val="宋体"/>
        <family val="3"/>
        <charset val="134"/>
      </rPr>
      <t>期初</t>
    </r>
    <phoneticPr fontId="5" type="noConversion"/>
  </si>
  <si>
    <r>
      <rPr>
        <sz val="9"/>
        <rFont val="宋体"/>
        <family val="3"/>
        <charset val="134"/>
      </rPr>
      <t>附注与报表核对</t>
    </r>
    <r>
      <rPr>
        <sz val="9"/>
        <rFont val="Arial Narrow"/>
        <family val="2"/>
      </rPr>
      <t>——</t>
    </r>
    <r>
      <rPr>
        <sz val="9"/>
        <rFont val="宋体"/>
        <family val="3"/>
        <charset val="134"/>
      </rPr>
      <t>原材料</t>
    </r>
    <phoneticPr fontId="5" type="noConversion"/>
  </si>
  <si>
    <r>
      <rPr>
        <sz val="9"/>
        <rFont val="宋体"/>
        <family val="3"/>
        <charset val="134"/>
      </rPr>
      <t>附注与报表核对</t>
    </r>
    <r>
      <rPr>
        <sz val="9"/>
        <rFont val="Arial Narrow"/>
        <family val="2"/>
      </rPr>
      <t>——</t>
    </r>
    <r>
      <rPr>
        <sz val="9"/>
        <rFont val="宋体"/>
        <family val="3"/>
        <charset val="134"/>
      </rPr>
      <t>库存商品</t>
    </r>
    <phoneticPr fontId="5" type="noConversion"/>
  </si>
  <si>
    <r>
      <rPr>
        <sz val="9"/>
        <rFont val="宋体"/>
        <family val="3"/>
        <charset val="134"/>
      </rPr>
      <t>期末</t>
    </r>
    <phoneticPr fontId="5" type="noConversion"/>
  </si>
  <si>
    <r>
      <rPr>
        <sz val="9"/>
        <rFont val="宋体"/>
        <family val="3"/>
        <charset val="134"/>
      </rPr>
      <t>与减值准备余额表</t>
    </r>
    <r>
      <rPr>
        <sz val="9"/>
        <rFont val="Arial Narrow"/>
        <family val="2"/>
      </rPr>
      <t xml:space="preserve"> </t>
    </r>
    <r>
      <rPr>
        <sz val="9"/>
        <rFont val="宋体"/>
        <family val="3"/>
        <charset val="134"/>
      </rPr>
      <t>核对</t>
    </r>
    <phoneticPr fontId="5" type="noConversion"/>
  </si>
  <si>
    <r>
      <rPr>
        <sz val="9"/>
        <rFont val="宋体"/>
        <family val="3"/>
        <charset val="134"/>
      </rPr>
      <t>项</t>
    </r>
    <r>
      <rPr>
        <sz val="9"/>
        <rFont val="Arial Narrow"/>
        <family val="2"/>
      </rPr>
      <t xml:space="preserve">      </t>
    </r>
    <r>
      <rPr>
        <sz val="9"/>
        <rFont val="宋体"/>
        <family val="3"/>
        <charset val="134"/>
      </rPr>
      <t>目</t>
    </r>
  </si>
  <si>
    <r>
      <rPr>
        <b/>
        <sz val="9"/>
        <rFont val="宋体"/>
        <family val="3"/>
        <charset val="134"/>
      </rPr>
      <t>合</t>
    </r>
    <r>
      <rPr>
        <b/>
        <sz val="9"/>
        <rFont val="Arial Narrow"/>
        <family val="2"/>
      </rPr>
      <t xml:space="preserve">     </t>
    </r>
    <r>
      <rPr>
        <b/>
        <sz val="9"/>
        <rFont val="宋体"/>
        <family val="3"/>
        <charset val="134"/>
      </rPr>
      <t>计</t>
    </r>
  </si>
  <si>
    <r>
      <rPr>
        <sz val="10"/>
        <rFont val="宋体"/>
        <family val="3"/>
        <charset val="134"/>
      </rPr>
      <t>项</t>
    </r>
    <r>
      <rPr>
        <sz val="10"/>
        <rFont val="Arial Narrow"/>
        <family val="2"/>
      </rPr>
      <t xml:space="preserve">      </t>
    </r>
    <r>
      <rPr>
        <sz val="10"/>
        <rFont val="宋体"/>
        <family val="3"/>
        <charset val="134"/>
      </rPr>
      <t>目</t>
    </r>
  </si>
  <si>
    <r>
      <rPr>
        <sz val="10"/>
        <rFont val="宋体"/>
        <family val="3"/>
        <charset val="134"/>
      </rPr>
      <t>期末价值</t>
    </r>
    <phoneticPr fontId="5" type="noConversion"/>
  </si>
  <si>
    <r>
      <rPr>
        <sz val="10"/>
        <rFont val="宋体"/>
        <family val="3"/>
        <charset val="134"/>
      </rPr>
      <t>年初价值</t>
    </r>
    <phoneticPr fontId="5" type="noConversion"/>
  </si>
  <si>
    <r>
      <rPr>
        <b/>
        <sz val="10"/>
        <rFont val="宋体"/>
        <family val="3"/>
        <charset val="134"/>
      </rPr>
      <t>合</t>
    </r>
    <r>
      <rPr>
        <b/>
        <sz val="10"/>
        <rFont val="Arial Narrow"/>
        <family val="2"/>
      </rPr>
      <t xml:space="preserve">     </t>
    </r>
    <r>
      <rPr>
        <b/>
        <sz val="10"/>
        <rFont val="宋体"/>
        <family val="3"/>
        <charset val="134"/>
      </rPr>
      <t>计</t>
    </r>
  </si>
  <si>
    <r>
      <rPr>
        <sz val="10"/>
        <rFont val="宋体"/>
        <family val="3"/>
        <charset val="134"/>
      </rPr>
      <t>注：以公允价值减处置费用计量，应当披露确认依据</t>
    </r>
    <phoneticPr fontId="5" type="noConversion"/>
  </si>
  <si>
    <r>
      <rPr>
        <sz val="9"/>
        <rFont val="宋体"/>
        <family val="3"/>
        <charset val="134"/>
      </rPr>
      <t>年末账面价值</t>
    </r>
  </si>
  <si>
    <r>
      <rPr>
        <sz val="9"/>
        <rFont val="宋体"/>
        <family val="3"/>
        <charset val="134"/>
      </rPr>
      <t>年初账面价值</t>
    </r>
  </si>
  <si>
    <r>
      <t>——</t>
    </r>
    <r>
      <rPr>
        <b/>
        <sz val="10"/>
        <rFont val="楷体"/>
        <family val="3"/>
        <charset val="134"/>
      </rPr>
      <t>一年内到期的非流动资产</t>
    </r>
    <phoneticPr fontId="5" type="noConversion"/>
  </si>
  <si>
    <r>
      <rPr>
        <sz val="10"/>
        <rFont val="宋体"/>
        <family val="3"/>
        <charset val="134"/>
      </rPr>
      <t>年末账面价值</t>
    </r>
  </si>
  <si>
    <r>
      <rPr>
        <sz val="10"/>
        <rFont val="宋体"/>
        <family val="3"/>
        <charset val="134"/>
      </rPr>
      <t>年初账面价值</t>
    </r>
  </si>
  <si>
    <r>
      <t>——</t>
    </r>
    <r>
      <rPr>
        <b/>
        <sz val="11"/>
        <rFont val="宋体"/>
        <family val="3"/>
        <charset val="134"/>
      </rPr>
      <t>其他流动资产</t>
    </r>
    <phoneticPr fontId="5" type="noConversion"/>
  </si>
  <si>
    <r>
      <t>——</t>
    </r>
    <r>
      <rPr>
        <b/>
        <sz val="10"/>
        <rFont val="宋体"/>
        <family val="3"/>
        <charset val="134"/>
      </rPr>
      <t>可供出售金融资产</t>
    </r>
    <phoneticPr fontId="5" type="noConversion"/>
  </si>
  <si>
    <r>
      <rPr>
        <sz val="10"/>
        <rFont val="宋体"/>
        <family val="3"/>
        <charset val="134"/>
      </rPr>
      <t>年末余额</t>
    </r>
    <phoneticPr fontId="5" type="noConversion"/>
  </si>
  <si>
    <r>
      <rPr>
        <sz val="10"/>
        <rFont val="宋体"/>
        <family val="3"/>
        <charset val="134"/>
      </rPr>
      <t>可供出售权益工具请在附表中填写明细</t>
    </r>
    <phoneticPr fontId="5" type="noConversion"/>
  </si>
  <si>
    <r>
      <rPr>
        <b/>
        <sz val="10"/>
        <rFont val="宋体"/>
        <family val="3"/>
        <charset val="134"/>
      </rPr>
      <t>年末按公允价值计量的可供出售金融资产</t>
    </r>
    <phoneticPr fontId="5" type="noConversion"/>
  </si>
  <si>
    <r>
      <rPr>
        <sz val="10"/>
        <rFont val="宋体"/>
        <family val="3"/>
        <charset val="134"/>
      </rPr>
      <t>投资成本</t>
    </r>
    <phoneticPr fontId="5" type="noConversion"/>
  </si>
  <si>
    <r>
      <rPr>
        <sz val="10"/>
        <rFont val="宋体"/>
        <family val="3"/>
        <charset val="134"/>
      </rPr>
      <t>年末公允价值</t>
    </r>
    <phoneticPr fontId="5" type="noConversion"/>
  </si>
  <si>
    <r>
      <rPr>
        <sz val="10"/>
        <rFont val="宋体"/>
        <family val="3"/>
        <charset val="134"/>
      </rPr>
      <t>已计提减值金额</t>
    </r>
    <phoneticPr fontId="5" type="noConversion"/>
  </si>
  <si>
    <r>
      <t>——</t>
    </r>
    <r>
      <rPr>
        <b/>
        <sz val="11"/>
        <rFont val="宋体"/>
        <family val="3"/>
        <charset val="134"/>
      </rPr>
      <t>持有至到期投资</t>
    </r>
    <phoneticPr fontId="5" type="noConversion"/>
  </si>
  <si>
    <r>
      <rPr>
        <sz val="9"/>
        <rFont val="宋体"/>
        <family val="3"/>
        <charset val="134"/>
      </rPr>
      <t>委托贷款</t>
    </r>
  </si>
  <si>
    <r>
      <rPr>
        <sz val="9"/>
        <rFont val="宋体"/>
        <family val="3"/>
        <charset val="134"/>
      </rPr>
      <t>国债投资</t>
    </r>
  </si>
  <si>
    <r>
      <rPr>
        <b/>
        <sz val="9"/>
        <rFont val="宋体"/>
        <family val="3"/>
        <charset val="134"/>
      </rPr>
      <t>年末重要的持有至到期投资</t>
    </r>
    <phoneticPr fontId="5" type="noConversion"/>
  </si>
  <si>
    <r>
      <rPr>
        <sz val="9"/>
        <rFont val="宋体"/>
        <family val="3"/>
        <charset val="134"/>
      </rPr>
      <t>债券项目</t>
    </r>
  </si>
  <si>
    <r>
      <rPr>
        <sz val="9"/>
        <rFont val="宋体"/>
        <family val="3"/>
        <charset val="134"/>
      </rPr>
      <t>面值</t>
    </r>
  </si>
  <si>
    <r>
      <rPr>
        <sz val="9"/>
        <rFont val="宋体"/>
        <family val="3"/>
        <charset val="134"/>
      </rPr>
      <t>票面利率</t>
    </r>
  </si>
  <si>
    <r>
      <rPr>
        <sz val="9"/>
        <rFont val="宋体"/>
        <family val="3"/>
        <charset val="134"/>
      </rPr>
      <t>实际利率</t>
    </r>
  </si>
  <si>
    <r>
      <rPr>
        <sz val="9"/>
        <rFont val="宋体"/>
        <family val="3"/>
        <charset val="134"/>
      </rPr>
      <t>到期日</t>
    </r>
  </si>
  <si>
    <r>
      <rPr>
        <sz val="9"/>
        <rFont val="宋体"/>
        <family val="3"/>
        <charset val="134"/>
      </rPr>
      <t>其他</t>
    </r>
    <r>
      <rPr>
        <sz val="9"/>
        <rFont val="Arial Narrow"/>
        <family val="2"/>
      </rPr>
      <t>-1</t>
    </r>
  </si>
  <si>
    <r>
      <rPr>
        <sz val="9"/>
        <rFont val="宋体"/>
        <family val="3"/>
        <charset val="134"/>
      </rPr>
      <t>其他</t>
    </r>
    <r>
      <rPr>
        <sz val="9"/>
        <rFont val="Arial Narrow"/>
        <family val="2"/>
      </rPr>
      <t>-2</t>
    </r>
  </si>
  <si>
    <r>
      <rPr>
        <sz val="9"/>
        <rFont val="宋体"/>
        <family val="3"/>
        <charset val="134"/>
      </rPr>
      <t>其他</t>
    </r>
    <r>
      <rPr>
        <sz val="9"/>
        <rFont val="Arial Narrow"/>
        <family val="2"/>
      </rPr>
      <t>-3</t>
    </r>
  </si>
  <si>
    <r>
      <rPr>
        <sz val="9"/>
        <rFont val="宋体"/>
        <family val="3"/>
        <charset val="134"/>
      </rPr>
      <t>其他</t>
    </r>
    <r>
      <rPr>
        <sz val="9"/>
        <rFont val="Arial Narrow"/>
        <family val="2"/>
      </rPr>
      <t>-4</t>
    </r>
  </si>
  <si>
    <r>
      <rPr>
        <sz val="9"/>
        <rFont val="宋体"/>
        <family val="3"/>
        <charset val="134"/>
      </rPr>
      <t>其他</t>
    </r>
    <r>
      <rPr>
        <sz val="9"/>
        <rFont val="Arial Narrow"/>
        <family val="2"/>
      </rPr>
      <t>-5</t>
    </r>
  </si>
  <si>
    <r>
      <rPr>
        <sz val="9"/>
        <rFont val="宋体"/>
        <family val="3"/>
        <charset val="134"/>
      </rPr>
      <t>其他</t>
    </r>
    <r>
      <rPr>
        <sz val="9"/>
        <rFont val="Arial Narrow"/>
        <family val="2"/>
      </rPr>
      <t>-6</t>
    </r>
  </si>
  <si>
    <r>
      <rPr>
        <sz val="9"/>
        <rFont val="宋体"/>
        <family val="3"/>
        <charset val="134"/>
      </rPr>
      <t>其他</t>
    </r>
    <r>
      <rPr>
        <sz val="9"/>
        <rFont val="Arial Narrow"/>
        <family val="2"/>
      </rPr>
      <t>-7</t>
    </r>
  </si>
  <si>
    <r>
      <rPr>
        <sz val="9"/>
        <rFont val="宋体"/>
        <family val="3"/>
        <charset val="134"/>
      </rPr>
      <t>其他</t>
    </r>
    <r>
      <rPr>
        <sz val="9"/>
        <rFont val="Arial Narrow"/>
        <family val="2"/>
      </rPr>
      <t>-8</t>
    </r>
  </si>
  <si>
    <r>
      <rPr>
        <sz val="9"/>
        <rFont val="宋体"/>
        <family val="3"/>
        <charset val="134"/>
      </rPr>
      <t>其他</t>
    </r>
    <r>
      <rPr>
        <sz val="9"/>
        <rFont val="Arial Narrow"/>
        <family val="2"/>
      </rPr>
      <t>-9</t>
    </r>
  </si>
  <si>
    <r>
      <rPr>
        <sz val="9"/>
        <rFont val="宋体"/>
        <family val="3"/>
        <charset val="134"/>
      </rPr>
      <t>其他</t>
    </r>
    <r>
      <rPr>
        <sz val="9"/>
        <rFont val="Arial Narrow"/>
        <family val="2"/>
      </rPr>
      <t>-10</t>
    </r>
  </si>
  <si>
    <r>
      <rPr>
        <sz val="9"/>
        <rFont val="宋体"/>
        <family val="3"/>
        <charset val="134"/>
      </rPr>
      <t>其他</t>
    </r>
    <r>
      <rPr>
        <sz val="9"/>
        <rFont val="Arial Narrow"/>
        <family val="2"/>
      </rPr>
      <t>-11</t>
    </r>
  </si>
  <si>
    <r>
      <rPr>
        <sz val="9"/>
        <rFont val="宋体"/>
        <family val="3"/>
        <charset val="134"/>
      </rPr>
      <t>其他</t>
    </r>
    <r>
      <rPr>
        <sz val="9"/>
        <rFont val="Arial Narrow"/>
        <family val="2"/>
      </rPr>
      <t>-12</t>
    </r>
  </si>
  <si>
    <r>
      <rPr>
        <sz val="9"/>
        <rFont val="宋体"/>
        <family val="3"/>
        <charset val="134"/>
      </rPr>
      <t>其他</t>
    </r>
    <r>
      <rPr>
        <sz val="9"/>
        <rFont val="Arial Narrow"/>
        <family val="2"/>
      </rPr>
      <t>-13</t>
    </r>
  </si>
  <si>
    <r>
      <rPr>
        <sz val="10"/>
        <rFont val="宋体"/>
        <family val="3"/>
        <charset val="134"/>
      </rPr>
      <t>项目</t>
    </r>
    <r>
      <rPr>
        <sz val="10"/>
        <rFont val="Arial Narrow"/>
        <family val="2"/>
      </rPr>
      <t>2</t>
    </r>
    <phoneticPr fontId="5" type="noConversion"/>
  </si>
  <si>
    <r>
      <t>——</t>
    </r>
    <r>
      <rPr>
        <b/>
        <sz val="11"/>
        <rFont val="宋体"/>
        <family val="3"/>
        <charset val="134"/>
      </rPr>
      <t>长期应收款</t>
    </r>
    <phoneticPr fontId="5" type="noConversion"/>
  </si>
  <si>
    <r>
      <rPr>
        <sz val="9"/>
        <rFont val="宋体"/>
        <family val="3"/>
        <charset val="134"/>
      </rPr>
      <t>年末余额</t>
    </r>
    <phoneticPr fontId="5" type="noConversion"/>
  </si>
  <si>
    <r>
      <rPr>
        <b/>
        <sz val="10"/>
        <rFont val="宋体"/>
        <family val="3"/>
        <charset val="134"/>
      </rPr>
      <t>（</t>
    </r>
    <r>
      <rPr>
        <b/>
        <sz val="10"/>
        <rFont val="Arial Narrow"/>
        <family val="2"/>
      </rPr>
      <t>5</t>
    </r>
    <r>
      <rPr>
        <b/>
        <sz val="10"/>
        <rFont val="宋体"/>
        <family val="3"/>
        <charset val="134"/>
      </rPr>
      <t>）长期股权投资减值准备（审计报告附注可不粘贴）</t>
    </r>
    <phoneticPr fontId="5" type="noConversion"/>
  </si>
  <si>
    <r>
      <t>——</t>
    </r>
    <r>
      <rPr>
        <b/>
        <sz val="10"/>
        <rFont val="宋体"/>
        <family val="3"/>
        <charset val="134"/>
      </rPr>
      <t>长期股权投资</t>
    </r>
    <phoneticPr fontId="5" type="noConversion"/>
  </si>
  <si>
    <r>
      <t xml:space="preserve"> </t>
    </r>
    <r>
      <rPr>
        <sz val="10"/>
        <rFont val="宋体"/>
        <family val="3"/>
        <charset val="134"/>
      </rPr>
      <t>年初余额</t>
    </r>
    <r>
      <rPr>
        <sz val="10"/>
        <rFont val="Arial Narrow"/>
        <family val="2"/>
      </rPr>
      <t xml:space="preserve"> </t>
    </r>
  </si>
  <si>
    <r>
      <t xml:space="preserve"> </t>
    </r>
    <r>
      <rPr>
        <sz val="10"/>
        <rFont val="宋体"/>
        <family val="3"/>
        <charset val="134"/>
      </rPr>
      <t>本年增加</t>
    </r>
    <r>
      <rPr>
        <sz val="10"/>
        <rFont val="Arial Narrow"/>
        <family val="2"/>
      </rPr>
      <t xml:space="preserve"> </t>
    </r>
  </si>
  <si>
    <r>
      <t xml:space="preserve"> </t>
    </r>
    <r>
      <rPr>
        <sz val="10"/>
        <rFont val="宋体"/>
        <family val="3"/>
        <charset val="134"/>
      </rPr>
      <t>本年减少</t>
    </r>
    <r>
      <rPr>
        <sz val="10"/>
        <rFont val="Arial Narrow"/>
        <family val="2"/>
      </rPr>
      <t xml:space="preserve"> </t>
    </r>
  </si>
  <si>
    <r>
      <t xml:space="preserve"> </t>
    </r>
    <r>
      <rPr>
        <sz val="10"/>
        <rFont val="宋体"/>
        <family val="3"/>
        <charset val="134"/>
      </rPr>
      <t>年末余额</t>
    </r>
    <r>
      <rPr>
        <sz val="10"/>
        <rFont val="Arial Narrow"/>
        <family val="2"/>
      </rPr>
      <t xml:space="preserve"> </t>
    </r>
  </si>
  <si>
    <r>
      <rPr>
        <sz val="10"/>
        <rFont val="宋体"/>
        <family val="3"/>
        <charset val="134"/>
      </rPr>
      <t>期末</t>
    </r>
    <phoneticPr fontId="5" type="noConversion"/>
  </si>
  <si>
    <r>
      <rPr>
        <b/>
        <sz val="10"/>
        <rFont val="宋体"/>
        <family val="3"/>
        <charset val="134"/>
      </rPr>
      <t>（</t>
    </r>
    <r>
      <rPr>
        <b/>
        <sz val="10"/>
        <rFont val="Arial Narrow"/>
        <family val="2"/>
      </rPr>
      <t>2</t>
    </r>
    <r>
      <rPr>
        <b/>
        <sz val="10"/>
        <rFont val="宋体"/>
        <family val="3"/>
        <charset val="134"/>
      </rPr>
      <t>）长期股权投资明细</t>
    </r>
  </si>
  <si>
    <r>
      <rPr>
        <sz val="10"/>
        <rFont val="宋体"/>
        <family val="3"/>
        <charset val="134"/>
      </rPr>
      <t>被投资单位</t>
    </r>
  </si>
  <si>
    <r>
      <rPr>
        <sz val="10"/>
        <rFont val="宋体"/>
        <family val="3"/>
        <charset val="134"/>
      </rPr>
      <t>投资成本</t>
    </r>
  </si>
  <si>
    <r>
      <rPr>
        <sz val="10"/>
        <rFont val="宋体"/>
        <family val="3"/>
        <charset val="134"/>
      </rPr>
      <t>追加投资</t>
    </r>
  </si>
  <si>
    <r>
      <rPr>
        <sz val="10"/>
        <rFont val="宋体"/>
        <family val="3"/>
        <charset val="134"/>
      </rPr>
      <t>减少投资</t>
    </r>
  </si>
  <si>
    <r>
      <rPr>
        <sz val="10"/>
        <rFont val="宋体"/>
        <family val="3"/>
        <charset val="134"/>
      </rPr>
      <t>权益法下确认的投资损益</t>
    </r>
  </si>
  <si>
    <r>
      <rPr>
        <sz val="10"/>
        <rFont val="宋体"/>
        <family val="3"/>
        <charset val="134"/>
      </rPr>
      <t>其他综合收益调整</t>
    </r>
  </si>
  <si>
    <r>
      <t>1.</t>
    </r>
    <r>
      <rPr>
        <sz val="10"/>
        <rFont val="宋体"/>
        <family val="3"/>
        <charset val="134"/>
      </rPr>
      <t>子企业</t>
    </r>
    <phoneticPr fontId="5" type="noConversion"/>
  </si>
  <si>
    <r>
      <t>2.</t>
    </r>
    <r>
      <rPr>
        <sz val="10"/>
        <rFont val="宋体"/>
        <family val="3"/>
        <charset val="134"/>
      </rPr>
      <t>合营企业</t>
    </r>
    <phoneticPr fontId="5" type="noConversion"/>
  </si>
  <si>
    <r>
      <t>3.</t>
    </r>
    <r>
      <rPr>
        <sz val="10"/>
        <rFont val="宋体"/>
        <family val="3"/>
        <charset val="134"/>
      </rPr>
      <t>联营企业</t>
    </r>
    <phoneticPr fontId="5" type="noConversion"/>
  </si>
  <si>
    <r>
      <rPr>
        <sz val="10"/>
        <rFont val="宋体"/>
        <family val="3"/>
        <charset val="134"/>
      </rPr>
      <t>（续）</t>
    </r>
  </si>
  <si>
    <r>
      <rPr>
        <sz val="10"/>
        <rFont val="宋体"/>
        <family val="3"/>
        <charset val="134"/>
      </rPr>
      <t>其他权益变动</t>
    </r>
  </si>
  <si>
    <r>
      <rPr>
        <sz val="10"/>
        <rFont val="宋体"/>
        <family val="3"/>
        <charset val="134"/>
      </rPr>
      <t>宣告发放现金股利或利润</t>
    </r>
  </si>
  <si>
    <r>
      <rPr>
        <sz val="10"/>
        <rFont val="宋体"/>
        <family val="3"/>
        <charset val="134"/>
      </rPr>
      <t>计提减值准备</t>
    </r>
  </si>
  <si>
    <r>
      <rPr>
        <sz val="10"/>
        <rFont val="宋体"/>
        <family val="3"/>
        <charset val="134"/>
      </rPr>
      <t>减值准备年末余额</t>
    </r>
    <phoneticPr fontId="5" type="noConversion"/>
  </si>
  <si>
    <r>
      <rPr>
        <b/>
        <sz val="10"/>
        <rFont val="宋体"/>
        <family val="3"/>
        <charset val="134"/>
      </rPr>
      <t>（</t>
    </r>
    <r>
      <rPr>
        <b/>
        <sz val="10"/>
        <rFont val="Arial Narrow"/>
        <family val="2"/>
      </rPr>
      <t>3</t>
    </r>
    <r>
      <rPr>
        <b/>
        <sz val="10"/>
        <rFont val="宋体"/>
        <family val="3"/>
        <charset val="134"/>
      </rPr>
      <t>）重要合营企业的主要财务信息</t>
    </r>
    <phoneticPr fontId="5" type="noConversion"/>
  </si>
  <si>
    <r>
      <rPr>
        <sz val="10"/>
        <rFont val="宋体"/>
        <family val="3"/>
        <charset val="134"/>
      </rPr>
      <t>项目</t>
    </r>
    <phoneticPr fontId="5" type="noConversion"/>
  </si>
  <si>
    <r>
      <rPr>
        <sz val="10"/>
        <rFont val="宋体"/>
        <family val="3"/>
        <charset val="134"/>
      </rPr>
      <t>本期数</t>
    </r>
    <phoneticPr fontId="5" type="noConversion"/>
  </si>
  <si>
    <r>
      <rPr>
        <sz val="10"/>
        <rFont val="宋体"/>
        <family val="3"/>
        <charset val="134"/>
      </rPr>
      <t>企业</t>
    </r>
    <r>
      <rPr>
        <sz val="10"/>
        <rFont val="Arial Narrow"/>
        <family val="2"/>
      </rPr>
      <t>1</t>
    </r>
    <phoneticPr fontId="5" type="noConversion"/>
  </si>
  <si>
    <r>
      <rPr>
        <sz val="10"/>
        <rFont val="宋体"/>
        <family val="3"/>
        <charset val="134"/>
      </rPr>
      <t>企业</t>
    </r>
    <r>
      <rPr>
        <sz val="10"/>
        <rFont val="Arial Narrow"/>
        <family val="2"/>
      </rPr>
      <t>2</t>
    </r>
    <phoneticPr fontId="5" type="noConversion"/>
  </si>
  <si>
    <r>
      <rPr>
        <sz val="10"/>
        <rFont val="宋体"/>
        <family val="3"/>
        <charset val="134"/>
      </rPr>
      <t>企业</t>
    </r>
    <r>
      <rPr>
        <sz val="10"/>
        <rFont val="Arial Narrow"/>
        <family val="2"/>
      </rPr>
      <t>3</t>
    </r>
  </si>
  <si>
    <r>
      <rPr>
        <sz val="10"/>
        <rFont val="宋体"/>
        <family val="3"/>
        <charset val="134"/>
      </rPr>
      <t>企业</t>
    </r>
    <r>
      <rPr>
        <sz val="10"/>
        <rFont val="Arial Narrow"/>
        <family val="2"/>
      </rPr>
      <t>4</t>
    </r>
  </si>
  <si>
    <r>
      <rPr>
        <sz val="10"/>
        <rFont val="宋体"/>
        <family val="3"/>
        <charset val="134"/>
      </rPr>
      <t>企业</t>
    </r>
    <r>
      <rPr>
        <sz val="10"/>
        <rFont val="Arial Narrow"/>
        <family val="2"/>
      </rPr>
      <t>5</t>
    </r>
  </si>
  <si>
    <r>
      <rPr>
        <sz val="10"/>
        <rFont val="宋体"/>
        <family val="3"/>
        <charset val="134"/>
      </rPr>
      <t>资产合计</t>
    </r>
    <phoneticPr fontId="5" type="noConversion"/>
  </si>
  <si>
    <r>
      <rPr>
        <sz val="10"/>
        <rFont val="宋体"/>
        <family val="3"/>
        <charset val="134"/>
      </rPr>
      <t>净资产</t>
    </r>
    <phoneticPr fontId="5" type="noConversion"/>
  </si>
  <si>
    <r>
      <rPr>
        <sz val="10"/>
        <rFont val="宋体"/>
        <family val="3"/>
        <charset val="134"/>
      </rPr>
      <t>按持股比例计算的净资产份额</t>
    </r>
    <phoneticPr fontId="5" type="noConversion"/>
  </si>
  <si>
    <r>
      <rPr>
        <sz val="10"/>
        <rFont val="宋体"/>
        <family val="3"/>
        <charset val="134"/>
      </rPr>
      <t>请自行核对净资产份额</t>
    </r>
    <phoneticPr fontId="5" type="noConversion"/>
  </si>
  <si>
    <r>
      <rPr>
        <sz val="10"/>
        <rFont val="宋体"/>
        <family val="3"/>
        <charset val="134"/>
      </rPr>
      <t>调整事项</t>
    </r>
    <phoneticPr fontId="5" type="noConversion"/>
  </si>
  <si>
    <r>
      <rPr>
        <sz val="10"/>
        <rFont val="宋体"/>
        <family val="3"/>
        <charset val="134"/>
      </rPr>
      <t>对合营企业权益投资的账面价值</t>
    </r>
    <phoneticPr fontId="5" type="noConversion"/>
  </si>
  <si>
    <r>
      <rPr>
        <sz val="10"/>
        <rFont val="宋体"/>
        <family val="3"/>
        <charset val="134"/>
      </rPr>
      <t>请自行核对相应账面价值</t>
    </r>
    <phoneticPr fontId="5" type="noConversion"/>
  </si>
  <si>
    <r>
      <rPr>
        <sz val="10"/>
        <rFont val="宋体"/>
        <family val="3"/>
        <charset val="134"/>
      </rPr>
      <t>存在公开报价的权益投资的公允价值</t>
    </r>
    <phoneticPr fontId="5" type="noConversion"/>
  </si>
  <si>
    <r>
      <rPr>
        <sz val="10"/>
        <rFont val="宋体"/>
        <family val="3"/>
        <charset val="134"/>
      </rPr>
      <t>所得税费用</t>
    </r>
    <phoneticPr fontId="5" type="noConversion"/>
  </si>
  <si>
    <r>
      <rPr>
        <sz val="10"/>
        <rFont val="宋体"/>
        <family val="3"/>
        <charset val="134"/>
      </rPr>
      <t>综合收益总额</t>
    </r>
    <phoneticPr fontId="5" type="noConversion"/>
  </si>
  <si>
    <r>
      <rPr>
        <sz val="10"/>
        <rFont val="宋体"/>
        <family val="3"/>
        <charset val="134"/>
      </rPr>
      <t>企业本期收到的来自合营企业的股利</t>
    </r>
    <phoneticPr fontId="5" type="noConversion"/>
  </si>
  <si>
    <r>
      <rPr>
        <sz val="10"/>
        <rFont val="宋体"/>
        <family val="3"/>
        <charset val="134"/>
      </rPr>
      <t>注：存在终止经营的净利润的，应在本表中单列项目披露</t>
    </r>
    <phoneticPr fontId="5" type="noConversion"/>
  </si>
  <si>
    <r>
      <rPr>
        <sz val="10"/>
        <rFont val="宋体"/>
        <family val="3"/>
        <charset val="134"/>
      </rPr>
      <t>（续）</t>
    </r>
    <phoneticPr fontId="5" type="noConversion"/>
  </si>
  <si>
    <r>
      <rPr>
        <sz val="10"/>
        <rFont val="宋体"/>
        <family val="3"/>
        <charset val="134"/>
      </rPr>
      <t>项目</t>
    </r>
    <phoneticPr fontId="5" type="noConversion"/>
  </si>
  <si>
    <r>
      <rPr>
        <sz val="10"/>
        <rFont val="宋体"/>
        <family val="3"/>
        <charset val="134"/>
      </rPr>
      <t>上年数</t>
    </r>
    <phoneticPr fontId="5" type="noConversion"/>
  </si>
  <si>
    <r>
      <rPr>
        <sz val="10"/>
        <rFont val="宋体"/>
        <family val="3"/>
        <charset val="134"/>
      </rPr>
      <t>非流动资产</t>
    </r>
    <phoneticPr fontId="5" type="noConversion"/>
  </si>
  <si>
    <r>
      <rPr>
        <sz val="10"/>
        <rFont val="宋体"/>
        <family val="3"/>
        <charset val="134"/>
      </rPr>
      <t>调整事项</t>
    </r>
    <phoneticPr fontId="5" type="noConversion"/>
  </si>
  <si>
    <r>
      <rPr>
        <sz val="10"/>
        <rFont val="宋体"/>
        <family val="3"/>
        <charset val="134"/>
      </rPr>
      <t>请自行核对相应账面价值</t>
    </r>
    <phoneticPr fontId="5" type="noConversion"/>
  </si>
  <si>
    <r>
      <rPr>
        <sz val="10"/>
        <rFont val="宋体"/>
        <family val="3"/>
        <charset val="134"/>
      </rPr>
      <t>净利润</t>
    </r>
    <phoneticPr fontId="5" type="noConversion"/>
  </si>
  <si>
    <r>
      <rPr>
        <sz val="10"/>
        <rFont val="宋体"/>
        <family val="3"/>
        <charset val="134"/>
      </rPr>
      <t>其他综合收益</t>
    </r>
    <phoneticPr fontId="5" type="noConversion"/>
  </si>
  <si>
    <r>
      <rPr>
        <sz val="10"/>
        <rFont val="宋体"/>
        <family val="3"/>
        <charset val="134"/>
      </rPr>
      <t>企业本期收到的来自合营企业的股利</t>
    </r>
    <phoneticPr fontId="5" type="noConversion"/>
  </si>
  <si>
    <r>
      <rPr>
        <b/>
        <sz val="10"/>
        <rFont val="宋体"/>
        <family val="3"/>
        <charset val="134"/>
      </rPr>
      <t>（</t>
    </r>
    <r>
      <rPr>
        <b/>
        <sz val="10"/>
        <rFont val="Arial Narrow"/>
        <family val="2"/>
      </rPr>
      <t>4</t>
    </r>
    <r>
      <rPr>
        <b/>
        <sz val="10"/>
        <rFont val="宋体"/>
        <family val="3"/>
        <charset val="134"/>
      </rPr>
      <t>）重要联营企业的主要财务信息</t>
    </r>
    <phoneticPr fontId="5" type="noConversion"/>
  </si>
  <si>
    <r>
      <rPr>
        <sz val="10"/>
        <rFont val="宋体"/>
        <family val="3"/>
        <charset val="134"/>
      </rPr>
      <t>本期数</t>
    </r>
    <phoneticPr fontId="5" type="noConversion"/>
  </si>
  <si>
    <r>
      <rPr>
        <sz val="10"/>
        <rFont val="宋体"/>
        <family val="3"/>
        <charset val="134"/>
      </rPr>
      <t>流动负债</t>
    </r>
    <phoneticPr fontId="5" type="noConversion"/>
  </si>
  <si>
    <r>
      <rPr>
        <sz val="10"/>
        <rFont val="宋体"/>
        <family val="3"/>
        <charset val="134"/>
      </rPr>
      <t>对联营企业权益投资的账面价值</t>
    </r>
    <phoneticPr fontId="5" type="noConversion"/>
  </si>
  <si>
    <r>
      <rPr>
        <sz val="10"/>
        <rFont val="宋体"/>
        <family val="3"/>
        <charset val="134"/>
      </rPr>
      <t>所得税费用</t>
    </r>
    <phoneticPr fontId="5" type="noConversion"/>
  </si>
  <si>
    <r>
      <rPr>
        <sz val="10"/>
        <rFont val="宋体"/>
        <family val="3"/>
        <charset val="134"/>
      </rPr>
      <t>综合收益总额</t>
    </r>
    <phoneticPr fontId="5" type="noConversion"/>
  </si>
  <si>
    <r>
      <rPr>
        <sz val="10"/>
        <rFont val="宋体"/>
        <family val="3"/>
        <charset val="134"/>
      </rPr>
      <t>企业本期收到的来自联营企业的股利</t>
    </r>
    <phoneticPr fontId="5" type="noConversion"/>
  </si>
  <si>
    <r>
      <rPr>
        <sz val="10"/>
        <rFont val="宋体"/>
        <family val="3"/>
        <charset val="134"/>
      </rPr>
      <t>陈</t>
    </r>
    <phoneticPr fontId="5" type="noConversion"/>
  </si>
  <si>
    <r>
      <rPr>
        <sz val="10"/>
        <rFont val="宋体"/>
        <family val="3"/>
        <charset val="134"/>
      </rPr>
      <t>项目</t>
    </r>
    <phoneticPr fontId="5" type="noConversion"/>
  </si>
  <si>
    <r>
      <rPr>
        <sz val="10"/>
        <rFont val="宋体"/>
        <family val="3"/>
        <charset val="134"/>
      </rPr>
      <t>净资产</t>
    </r>
    <phoneticPr fontId="5" type="noConversion"/>
  </si>
  <si>
    <r>
      <rPr>
        <sz val="10"/>
        <rFont val="宋体"/>
        <family val="3"/>
        <charset val="134"/>
      </rPr>
      <t>财务费用</t>
    </r>
    <phoneticPr fontId="5" type="noConversion"/>
  </si>
  <si>
    <r>
      <rPr>
        <b/>
        <sz val="10"/>
        <rFont val="宋体"/>
        <family val="3"/>
        <charset val="134"/>
      </rPr>
      <t>（</t>
    </r>
    <r>
      <rPr>
        <b/>
        <sz val="10"/>
        <rFont val="Arial Narrow"/>
        <family val="2"/>
      </rPr>
      <t>5</t>
    </r>
    <r>
      <rPr>
        <b/>
        <sz val="10"/>
        <rFont val="宋体"/>
        <family val="3"/>
        <charset val="134"/>
      </rPr>
      <t>）不重要合营企业和联营企业的汇总信息</t>
    </r>
    <phoneticPr fontId="5" type="noConversion"/>
  </si>
  <si>
    <r>
      <rPr>
        <b/>
        <sz val="10"/>
        <rFont val="宋体"/>
        <family val="3"/>
        <charset val="134"/>
      </rPr>
      <t>合营企业</t>
    </r>
    <phoneticPr fontId="5" type="noConversion"/>
  </si>
  <si>
    <r>
      <rPr>
        <sz val="10"/>
        <rFont val="宋体"/>
        <family val="3"/>
        <charset val="134"/>
      </rPr>
      <t>投资账面价值合计</t>
    </r>
    <phoneticPr fontId="5" type="noConversion"/>
  </si>
  <si>
    <r>
      <rPr>
        <sz val="10"/>
        <rFont val="宋体"/>
        <family val="3"/>
        <charset val="134"/>
      </rPr>
      <t>下列各项按持股比例计算的合计数</t>
    </r>
    <phoneticPr fontId="5" type="noConversion"/>
  </si>
  <si>
    <r>
      <rPr>
        <sz val="10"/>
        <rFont val="宋体"/>
        <family val="3"/>
        <charset val="134"/>
      </rPr>
      <t>净利润</t>
    </r>
    <phoneticPr fontId="5" type="noConversion"/>
  </si>
  <si>
    <r>
      <rPr>
        <b/>
        <sz val="10"/>
        <rFont val="宋体"/>
        <family val="3"/>
        <charset val="134"/>
      </rPr>
      <t>联营企业</t>
    </r>
    <phoneticPr fontId="5" type="noConversion"/>
  </si>
  <si>
    <r>
      <rPr>
        <sz val="10"/>
        <rFont val="宋体"/>
        <family val="3"/>
        <charset val="134"/>
      </rPr>
      <t>投资账面价值合计</t>
    </r>
    <phoneticPr fontId="5" type="noConversion"/>
  </si>
  <si>
    <r>
      <rPr>
        <b/>
        <sz val="10"/>
        <rFont val="宋体"/>
        <family val="3"/>
        <charset val="134"/>
      </rPr>
      <t>（</t>
    </r>
    <r>
      <rPr>
        <b/>
        <sz val="10"/>
        <rFont val="Arial Narrow"/>
        <family val="2"/>
      </rPr>
      <t>6</t>
    </r>
    <r>
      <rPr>
        <b/>
        <sz val="10"/>
        <rFont val="宋体"/>
        <family val="3"/>
        <charset val="134"/>
      </rPr>
      <t>）在合营企业和联营企业中权益的相关风险</t>
    </r>
    <phoneticPr fontId="5" type="noConversion"/>
  </si>
  <si>
    <r>
      <rPr>
        <sz val="10"/>
        <rFont val="宋体"/>
        <family val="3"/>
        <charset val="134"/>
      </rPr>
      <t>包括对转移资金能力的重大限制，超额亏损，对合营企业投资相关的未确认承诺，或有负债等</t>
    </r>
    <phoneticPr fontId="5" type="noConversion"/>
  </si>
  <si>
    <r>
      <rPr>
        <sz val="10"/>
        <rFont val="宋体"/>
        <family val="3"/>
        <charset val="134"/>
      </rPr>
      <t>年末</t>
    </r>
    <phoneticPr fontId="5" type="noConversion"/>
  </si>
  <si>
    <r>
      <rPr>
        <sz val="10"/>
        <rFont val="宋体"/>
        <family val="3"/>
        <charset val="134"/>
      </rPr>
      <t>年初</t>
    </r>
    <phoneticPr fontId="5" type="noConversion"/>
  </si>
  <si>
    <r>
      <rPr>
        <sz val="10"/>
        <rFont val="宋体"/>
        <family val="3"/>
        <charset val="134"/>
      </rPr>
      <t>减值准备表余额</t>
    </r>
    <phoneticPr fontId="5" type="noConversion"/>
  </si>
  <si>
    <r>
      <rPr>
        <sz val="10"/>
        <rFont val="宋体"/>
        <family val="3"/>
        <charset val="134"/>
      </rPr>
      <t>与减值准备余额表</t>
    </r>
    <r>
      <rPr>
        <sz val="10"/>
        <rFont val="Arial Narrow"/>
        <family val="2"/>
      </rPr>
      <t xml:space="preserve"> </t>
    </r>
    <r>
      <rPr>
        <sz val="10"/>
        <rFont val="宋体"/>
        <family val="3"/>
        <charset val="134"/>
      </rPr>
      <t>核对</t>
    </r>
    <phoneticPr fontId="5" type="noConversion"/>
  </si>
  <si>
    <r>
      <rPr>
        <sz val="10"/>
        <rFont val="宋体"/>
        <family val="3"/>
        <charset val="134"/>
      </rPr>
      <t>项</t>
    </r>
    <r>
      <rPr>
        <sz val="10"/>
        <rFont val="Arial Narrow"/>
        <family val="2"/>
      </rPr>
      <t xml:space="preserve">     </t>
    </r>
    <r>
      <rPr>
        <sz val="10"/>
        <rFont val="宋体"/>
        <family val="3"/>
        <charset val="134"/>
      </rPr>
      <t>目</t>
    </r>
    <phoneticPr fontId="5" type="noConversion"/>
  </si>
  <si>
    <r>
      <rPr>
        <sz val="10"/>
        <rFont val="宋体"/>
        <family val="3"/>
        <charset val="134"/>
      </rPr>
      <t>本年增加数</t>
    </r>
    <phoneticPr fontId="5" type="noConversion"/>
  </si>
  <si>
    <r>
      <rPr>
        <sz val="10"/>
        <rFont val="宋体"/>
        <family val="3"/>
        <charset val="134"/>
      </rPr>
      <t>本年减少数</t>
    </r>
    <phoneticPr fontId="5" type="noConversion"/>
  </si>
  <si>
    <r>
      <rPr>
        <sz val="10"/>
        <rFont val="宋体"/>
        <family val="3"/>
        <charset val="134"/>
      </rPr>
      <t>减少金额</t>
    </r>
  </si>
  <si>
    <r>
      <rPr>
        <sz val="10"/>
        <rFont val="宋体"/>
        <family val="3"/>
        <charset val="134"/>
      </rPr>
      <t>原因</t>
    </r>
    <phoneticPr fontId="5" type="noConversion"/>
  </si>
  <si>
    <r>
      <rPr>
        <sz val="10"/>
        <rFont val="宋体"/>
        <family val="3"/>
        <charset val="134"/>
      </rPr>
      <t>核对</t>
    </r>
    <r>
      <rPr>
        <sz val="10"/>
        <rFont val="Arial Narrow"/>
        <family val="2"/>
      </rPr>
      <t>1</t>
    </r>
    <phoneticPr fontId="5" type="noConversion"/>
  </si>
  <si>
    <r>
      <rPr>
        <sz val="10"/>
        <rFont val="宋体"/>
        <family val="3"/>
        <charset val="134"/>
      </rPr>
      <t>核对</t>
    </r>
    <r>
      <rPr>
        <sz val="10"/>
        <rFont val="Arial Narrow"/>
        <family val="2"/>
      </rPr>
      <t>2</t>
    </r>
    <phoneticPr fontId="5" type="noConversion"/>
  </si>
  <si>
    <r>
      <rPr>
        <u/>
        <sz val="10"/>
        <rFont val="宋体"/>
        <family val="3"/>
        <charset val="134"/>
      </rPr>
      <t>返回减值准备表</t>
    </r>
    <phoneticPr fontId="5" type="noConversion"/>
  </si>
  <si>
    <r>
      <rPr>
        <sz val="9"/>
        <rFont val="宋体"/>
        <family val="3"/>
        <charset val="134"/>
      </rPr>
      <t>本年减少</t>
    </r>
    <phoneticPr fontId="5" type="noConversion"/>
  </si>
  <si>
    <r>
      <rPr>
        <u/>
        <sz val="10"/>
        <rFont val="宋体"/>
        <family val="3"/>
        <charset val="134"/>
      </rPr>
      <t>到间接法</t>
    </r>
    <phoneticPr fontId="5" type="noConversion"/>
  </si>
  <si>
    <r>
      <rPr>
        <sz val="9"/>
        <rFont val="宋体"/>
        <family val="3"/>
        <charset val="134"/>
      </rPr>
      <t>本年增加</t>
    </r>
    <phoneticPr fontId="5" type="noConversion"/>
  </si>
  <si>
    <r>
      <rPr>
        <sz val="9"/>
        <rFont val="宋体"/>
        <family val="3"/>
        <charset val="134"/>
      </rPr>
      <t>项</t>
    </r>
    <r>
      <rPr>
        <sz val="9"/>
        <rFont val="Arial Narrow"/>
        <family val="2"/>
      </rPr>
      <t xml:space="preserve">   </t>
    </r>
    <r>
      <rPr>
        <sz val="9"/>
        <rFont val="宋体"/>
        <family val="3"/>
        <charset val="134"/>
      </rPr>
      <t>目</t>
    </r>
    <phoneticPr fontId="5" type="noConversion"/>
  </si>
  <si>
    <r>
      <rPr>
        <sz val="10"/>
        <rFont val="宋体"/>
        <family val="3"/>
        <charset val="134"/>
      </rPr>
      <t>②累计折旧</t>
    </r>
    <r>
      <rPr>
        <sz val="10"/>
        <rFont val="Arial Narrow"/>
        <family val="2"/>
      </rPr>
      <t>(</t>
    </r>
    <r>
      <rPr>
        <sz val="10"/>
        <rFont val="宋体"/>
        <family val="3"/>
        <charset val="134"/>
      </rPr>
      <t>摊销</t>
    </r>
    <r>
      <rPr>
        <sz val="10"/>
        <rFont val="Arial Narrow"/>
        <family val="2"/>
      </rPr>
      <t>)</t>
    </r>
    <r>
      <rPr>
        <sz val="10"/>
        <rFont val="宋体"/>
        <family val="3"/>
        <charset val="134"/>
      </rPr>
      <t>合计</t>
    </r>
    <phoneticPr fontId="5" type="noConversion"/>
  </si>
  <si>
    <r>
      <t xml:space="preserve">  </t>
    </r>
    <r>
      <rPr>
        <sz val="10"/>
        <rFont val="宋体"/>
        <family val="3"/>
        <charset val="134"/>
      </rPr>
      <t>其中：</t>
    </r>
    <r>
      <rPr>
        <sz val="10"/>
        <rFont val="Arial Narrow"/>
        <family val="2"/>
      </rPr>
      <t>1.</t>
    </r>
    <r>
      <rPr>
        <sz val="10"/>
        <rFont val="宋体"/>
        <family val="3"/>
        <charset val="134"/>
      </rPr>
      <t>房屋、建筑物</t>
    </r>
    <phoneticPr fontId="5" type="noConversion"/>
  </si>
  <si>
    <r>
      <rPr>
        <sz val="10"/>
        <rFont val="宋体"/>
        <family val="3"/>
        <charset val="134"/>
      </rPr>
      <t>项</t>
    </r>
    <r>
      <rPr>
        <sz val="10"/>
        <rFont val="Arial Narrow"/>
        <family val="2"/>
      </rPr>
      <t xml:space="preserve">   </t>
    </r>
    <r>
      <rPr>
        <sz val="10"/>
        <rFont val="宋体"/>
        <family val="3"/>
        <charset val="134"/>
      </rPr>
      <t>目</t>
    </r>
    <phoneticPr fontId="5" type="noConversion"/>
  </si>
  <si>
    <r>
      <rPr>
        <sz val="10"/>
        <rFont val="宋体"/>
        <family val="3"/>
        <charset val="134"/>
      </rPr>
      <t>本年增加</t>
    </r>
    <phoneticPr fontId="5" type="noConversion"/>
  </si>
  <si>
    <r>
      <rPr>
        <sz val="10"/>
        <rFont val="宋体"/>
        <family val="3"/>
        <charset val="134"/>
      </rPr>
      <t>本年减少</t>
    </r>
    <phoneticPr fontId="5" type="noConversion"/>
  </si>
  <si>
    <r>
      <rPr>
        <sz val="10"/>
        <rFont val="宋体"/>
        <family val="3"/>
        <charset val="134"/>
      </rPr>
      <t>购置</t>
    </r>
    <phoneticPr fontId="5" type="noConversion"/>
  </si>
  <si>
    <r>
      <rPr>
        <sz val="10"/>
        <rFont val="宋体"/>
        <family val="3"/>
        <charset val="134"/>
      </rPr>
      <t>公允价值变动损益</t>
    </r>
    <phoneticPr fontId="5" type="noConversion"/>
  </si>
  <si>
    <r>
      <rPr>
        <sz val="10"/>
        <rFont val="宋体"/>
        <family val="3"/>
        <charset val="134"/>
      </rPr>
      <t>①成本合计</t>
    </r>
    <phoneticPr fontId="5" type="noConversion"/>
  </si>
  <si>
    <r>
      <rPr>
        <sz val="10"/>
        <rFont val="宋体"/>
        <family val="3"/>
        <charset val="134"/>
      </rPr>
      <t>②公允价值变动合计</t>
    </r>
    <phoneticPr fontId="5" type="noConversion"/>
  </si>
  <si>
    <r>
      <rPr>
        <sz val="10"/>
        <rFont val="宋体"/>
        <family val="3"/>
        <charset val="134"/>
      </rPr>
      <t>③账面价值合计</t>
    </r>
    <phoneticPr fontId="5" type="noConversion"/>
  </si>
  <si>
    <r>
      <rPr>
        <sz val="10"/>
        <rFont val="宋体"/>
        <family val="3"/>
        <charset val="134"/>
      </rPr>
      <t>本年</t>
    </r>
    <phoneticPr fontId="5" type="noConversion"/>
  </si>
  <si>
    <r>
      <rPr>
        <sz val="10"/>
        <rFont val="宋体"/>
        <family val="3"/>
        <charset val="134"/>
      </rPr>
      <t>上年</t>
    </r>
    <phoneticPr fontId="5" type="noConversion"/>
  </si>
  <si>
    <r>
      <rPr>
        <sz val="10"/>
        <rFont val="宋体"/>
        <family val="3"/>
        <charset val="134"/>
      </rPr>
      <t>总行号</t>
    </r>
    <phoneticPr fontId="5" type="noConversion"/>
  </si>
  <si>
    <r>
      <rPr>
        <b/>
        <sz val="10"/>
        <rFont val="宋体"/>
        <family val="3"/>
        <charset val="134"/>
      </rPr>
      <t>（</t>
    </r>
    <r>
      <rPr>
        <b/>
        <sz val="10"/>
        <rFont val="Arial Narrow"/>
        <family val="2"/>
      </rPr>
      <t>2</t>
    </r>
    <r>
      <rPr>
        <b/>
        <sz val="10"/>
        <rFont val="宋体"/>
        <family val="3"/>
        <charset val="134"/>
      </rPr>
      <t>）按公允价值计量的投资性房地产</t>
    </r>
    <phoneticPr fontId="5" type="noConversion"/>
  </si>
  <si>
    <r>
      <t>——</t>
    </r>
    <r>
      <rPr>
        <b/>
        <sz val="10"/>
        <rFont val="宋体"/>
        <family val="3"/>
        <charset val="134"/>
      </rPr>
      <t>投资性房地产</t>
    </r>
    <phoneticPr fontId="5" type="noConversion"/>
  </si>
  <si>
    <r>
      <rPr>
        <b/>
        <sz val="10"/>
        <rFont val="宋体"/>
        <family val="3"/>
        <charset val="134"/>
      </rPr>
      <t>（</t>
    </r>
    <r>
      <rPr>
        <b/>
        <sz val="10"/>
        <rFont val="Arial Narrow"/>
        <family val="2"/>
      </rPr>
      <t>1</t>
    </r>
    <r>
      <rPr>
        <b/>
        <sz val="10"/>
        <rFont val="宋体"/>
        <family val="3"/>
        <charset val="134"/>
      </rPr>
      <t>）按成本计量的投资性房地产</t>
    </r>
    <phoneticPr fontId="5" type="noConversion"/>
  </si>
  <si>
    <r>
      <t xml:space="preserve">  </t>
    </r>
    <r>
      <rPr>
        <sz val="10"/>
        <rFont val="宋体"/>
        <family val="3"/>
        <charset val="134"/>
      </rPr>
      <t>其中：</t>
    </r>
    <r>
      <rPr>
        <sz val="10"/>
        <rFont val="Arial Narrow"/>
        <family val="2"/>
      </rPr>
      <t>1.</t>
    </r>
    <r>
      <rPr>
        <sz val="10"/>
        <rFont val="宋体"/>
        <family val="3"/>
        <charset val="134"/>
      </rPr>
      <t>房屋、建筑物</t>
    </r>
    <phoneticPr fontId="5" type="noConversion"/>
  </si>
  <si>
    <r>
      <rPr>
        <u/>
        <sz val="10"/>
        <rFont val="宋体"/>
        <family val="3"/>
        <charset val="134"/>
      </rPr>
      <t>返回减值准备表</t>
    </r>
    <phoneticPr fontId="5" type="noConversion"/>
  </si>
  <si>
    <r>
      <t xml:space="preserve">        2.</t>
    </r>
    <r>
      <rPr>
        <sz val="10"/>
        <rFont val="宋体"/>
        <family val="3"/>
        <charset val="134"/>
      </rPr>
      <t>土地使用权</t>
    </r>
    <phoneticPr fontId="5" type="noConversion"/>
  </si>
  <si>
    <r>
      <rPr>
        <sz val="10"/>
        <rFont val="宋体"/>
        <family val="3"/>
        <charset val="134"/>
      </rPr>
      <t>年初公允价值</t>
    </r>
    <phoneticPr fontId="5" type="noConversion"/>
  </si>
  <si>
    <r>
      <rPr>
        <sz val="10"/>
        <rFont val="宋体"/>
        <family val="3"/>
        <charset val="134"/>
      </rPr>
      <t>年末公允价值</t>
    </r>
    <phoneticPr fontId="5" type="noConversion"/>
  </si>
  <si>
    <r>
      <rPr>
        <sz val="10"/>
        <rFont val="宋体"/>
        <family val="3"/>
        <charset val="134"/>
      </rPr>
      <t>自用房地产或存货转入</t>
    </r>
    <phoneticPr fontId="5" type="noConversion"/>
  </si>
  <si>
    <r>
      <rPr>
        <sz val="10"/>
        <rFont val="宋体"/>
        <family val="3"/>
        <charset val="134"/>
      </rPr>
      <t>处置</t>
    </r>
    <phoneticPr fontId="5" type="noConversion"/>
  </si>
  <si>
    <r>
      <rPr>
        <sz val="10"/>
        <rFont val="宋体"/>
        <family val="3"/>
        <charset val="134"/>
      </rPr>
      <t>转为自用房地产</t>
    </r>
    <phoneticPr fontId="5" type="noConversion"/>
  </si>
  <si>
    <r>
      <rPr>
        <sz val="10"/>
        <rFont val="宋体"/>
        <family val="3"/>
        <charset val="134"/>
      </rPr>
      <t>上年</t>
    </r>
    <phoneticPr fontId="5" type="noConversion"/>
  </si>
  <si>
    <r>
      <rPr>
        <sz val="10"/>
        <rFont val="宋体"/>
        <family val="3"/>
        <charset val="134"/>
      </rPr>
      <t>投资性房地产折旧（摊销）金额</t>
    </r>
    <phoneticPr fontId="5" type="noConversion"/>
  </si>
  <si>
    <r>
      <rPr>
        <sz val="10"/>
        <rFont val="宋体"/>
        <family val="3"/>
        <charset val="134"/>
      </rPr>
      <t>报表数</t>
    </r>
    <phoneticPr fontId="5" type="noConversion"/>
  </si>
  <si>
    <r>
      <t xml:space="preserve">  </t>
    </r>
    <r>
      <rPr>
        <sz val="10"/>
        <rFont val="宋体"/>
        <family val="3"/>
        <charset val="134"/>
      </rPr>
      <t>其中：土地资产</t>
    </r>
    <phoneticPr fontId="5" type="noConversion"/>
  </si>
  <si>
    <r>
      <rPr>
        <sz val="10"/>
        <rFont val="宋体"/>
        <family val="3"/>
        <charset val="134"/>
      </rPr>
      <t>账面原值</t>
    </r>
  </si>
  <si>
    <r>
      <rPr>
        <sz val="10"/>
        <rFont val="宋体"/>
        <family val="3"/>
        <charset val="134"/>
      </rPr>
      <t>累计折旧</t>
    </r>
  </si>
  <si>
    <r>
      <rPr>
        <sz val="10"/>
        <rFont val="宋体"/>
        <family val="3"/>
        <charset val="134"/>
      </rPr>
      <t>备注</t>
    </r>
  </si>
  <si>
    <r>
      <rPr>
        <sz val="10"/>
        <rFont val="宋体"/>
        <family val="3"/>
        <charset val="134"/>
      </rPr>
      <t>年末账面原价</t>
    </r>
  </si>
  <si>
    <r>
      <rPr>
        <sz val="10"/>
        <rFont val="宋体"/>
        <family val="3"/>
        <charset val="134"/>
      </rPr>
      <t>未办妥产权证书的原因</t>
    </r>
    <phoneticPr fontId="5" type="noConversion"/>
  </si>
  <si>
    <r>
      <rPr>
        <sz val="10"/>
        <rFont val="宋体"/>
        <family val="3"/>
        <charset val="134"/>
      </rPr>
      <t>无需在固定资产下披露持有待售的固定资产明细</t>
    </r>
    <phoneticPr fontId="5" type="noConversion"/>
  </si>
  <si>
    <r>
      <rPr>
        <sz val="10"/>
        <rFont val="宋体"/>
        <family val="3"/>
        <charset val="134"/>
      </rPr>
      <t>房屋、建筑物</t>
    </r>
    <phoneticPr fontId="5" type="noConversion"/>
  </si>
  <si>
    <r>
      <rPr>
        <sz val="10"/>
        <rFont val="宋体"/>
        <family val="3"/>
        <charset val="134"/>
      </rPr>
      <t>机器设备</t>
    </r>
    <phoneticPr fontId="5" type="noConversion"/>
  </si>
  <si>
    <r>
      <rPr>
        <sz val="10"/>
        <rFont val="宋体"/>
        <family val="3"/>
        <charset val="134"/>
      </rPr>
      <t>运输工具</t>
    </r>
    <phoneticPr fontId="5" type="noConversion"/>
  </si>
  <si>
    <r>
      <rPr>
        <sz val="10"/>
        <rFont val="宋体"/>
        <family val="3"/>
        <charset val="134"/>
      </rPr>
      <t>电子设备</t>
    </r>
    <phoneticPr fontId="5" type="noConversion"/>
  </si>
  <si>
    <r>
      <rPr>
        <sz val="10"/>
        <rFont val="宋体"/>
        <family val="3"/>
        <charset val="134"/>
      </rPr>
      <t>期末</t>
    </r>
    <phoneticPr fontId="5" type="noConversion"/>
  </si>
  <si>
    <r>
      <rPr>
        <sz val="10"/>
        <rFont val="宋体"/>
        <family val="3"/>
        <charset val="134"/>
      </rPr>
      <t>房屋、建筑物</t>
    </r>
    <phoneticPr fontId="5" type="noConversion"/>
  </si>
  <si>
    <r>
      <rPr>
        <b/>
        <sz val="10"/>
        <rFont val="宋体"/>
        <family val="3"/>
        <charset val="134"/>
      </rPr>
      <t>（</t>
    </r>
    <r>
      <rPr>
        <b/>
        <sz val="10"/>
        <rFont val="Arial Narrow"/>
        <family val="2"/>
      </rPr>
      <t>3</t>
    </r>
    <r>
      <rPr>
        <b/>
        <sz val="10"/>
        <rFont val="宋体"/>
        <family val="3"/>
        <charset val="134"/>
      </rPr>
      <t>）年未办妥产权证书的固定资产情况</t>
    </r>
    <phoneticPr fontId="5" type="noConversion"/>
  </si>
  <si>
    <r>
      <t>——</t>
    </r>
    <r>
      <rPr>
        <b/>
        <sz val="10"/>
        <rFont val="宋体"/>
        <family val="3"/>
        <charset val="134"/>
      </rPr>
      <t>固定资产</t>
    </r>
    <phoneticPr fontId="5" type="noConversion"/>
  </si>
  <si>
    <r>
      <t xml:space="preserve">  </t>
    </r>
    <r>
      <rPr>
        <sz val="10"/>
        <rFont val="宋体"/>
        <family val="3"/>
        <charset val="134"/>
      </rPr>
      <t>其中：土地资产</t>
    </r>
    <phoneticPr fontId="5" type="noConversion"/>
  </si>
  <si>
    <r>
      <rPr>
        <sz val="10"/>
        <rFont val="宋体"/>
        <family val="3"/>
        <charset val="134"/>
      </rPr>
      <t>电子设备</t>
    </r>
    <phoneticPr fontId="5" type="noConversion"/>
  </si>
  <si>
    <r>
      <t>(2)</t>
    </r>
    <r>
      <rPr>
        <b/>
        <sz val="10"/>
        <rFont val="宋体"/>
        <family val="3"/>
        <charset val="134"/>
      </rPr>
      <t>暂时闲置的固定资产情况</t>
    </r>
    <phoneticPr fontId="5" type="noConversion"/>
  </si>
  <si>
    <r>
      <rPr>
        <u/>
        <sz val="10"/>
        <rFont val="宋体"/>
        <family val="3"/>
        <charset val="134"/>
      </rPr>
      <t>到间接法</t>
    </r>
    <phoneticPr fontId="5" type="noConversion"/>
  </si>
  <si>
    <r>
      <rPr>
        <sz val="10"/>
        <rFont val="宋体"/>
        <family val="3"/>
        <charset val="134"/>
      </rPr>
      <t>本年</t>
    </r>
    <phoneticPr fontId="5" type="noConversion"/>
  </si>
  <si>
    <r>
      <t>——</t>
    </r>
    <r>
      <rPr>
        <b/>
        <sz val="11"/>
        <rFont val="楷体"/>
        <family val="3"/>
        <charset val="134"/>
      </rPr>
      <t>在建工程</t>
    </r>
    <phoneticPr fontId="5" type="noConversion"/>
  </si>
  <si>
    <r>
      <t>(1)</t>
    </r>
    <r>
      <rPr>
        <b/>
        <sz val="9"/>
        <rFont val="宋体"/>
        <family val="3"/>
        <charset val="134"/>
      </rPr>
      <t>在建工程情况</t>
    </r>
    <phoneticPr fontId="5" type="noConversion"/>
  </si>
  <si>
    <r>
      <t>(2)</t>
    </r>
    <r>
      <rPr>
        <b/>
        <sz val="9"/>
        <rFont val="宋体"/>
        <family val="3"/>
        <charset val="134"/>
      </rPr>
      <t>重要在建工程项目本年变动情况（无重要的可不披露）</t>
    </r>
    <phoneticPr fontId="5" type="noConversion"/>
  </si>
  <si>
    <r>
      <rPr>
        <sz val="9"/>
        <rFont val="宋体"/>
        <family val="3"/>
        <charset val="134"/>
      </rPr>
      <t>项目名称</t>
    </r>
    <phoneticPr fontId="5" type="noConversion"/>
  </si>
  <si>
    <r>
      <rPr>
        <sz val="9"/>
        <rFont val="宋体"/>
        <family val="3"/>
        <charset val="134"/>
      </rPr>
      <t>预算数</t>
    </r>
  </si>
  <si>
    <r>
      <rPr>
        <sz val="9"/>
        <rFont val="宋体"/>
        <family val="3"/>
        <charset val="134"/>
      </rPr>
      <t>本年转入固定资产</t>
    </r>
    <phoneticPr fontId="5" type="noConversion"/>
  </si>
  <si>
    <r>
      <rPr>
        <sz val="9"/>
        <rFont val="宋体"/>
        <family val="3"/>
        <charset val="134"/>
      </rPr>
      <t>其他减少</t>
    </r>
    <phoneticPr fontId="5" type="noConversion"/>
  </si>
  <si>
    <r>
      <rPr>
        <b/>
        <sz val="9"/>
        <rFont val="宋体"/>
        <family val="3"/>
        <charset val="134"/>
      </rPr>
      <t>（续）</t>
    </r>
  </si>
  <si>
    <r>
      <rPr>
        <sz val="9"/>
        <rFont val="宋体"/>
        <family val="3"/>
        <charset val="134"/>
      </rPr>
      <t>利息资本化累计金额</t>
    </r>
    <phoneticPr fontId="5" type="noConversion"/>
  </si>
  <si>
    <r>
      <rPr>
        <sz val="8"/>
        <rFont val="Arial"/>
        <family val="2"/>
      </rPr>
      <t>年初余额</t>
    </r>
  </si>
  <si>
    <r>
      <rPr>
        <sz val="9"/>
        <rFont val="宋体"/>
        <family val="3"/>
        <charset val="134"/>
      </rPr>
      <t>计提原因</t>
    </r>
  </si>
  <si>
    <r>
      <rPr>
        <sz val="9"/>
        <rFont val="宋体"/>
        <family val="3"/>
        <charset val="134"/>
      </rPr>
      <t>其中：本年利息资本化金额</t>
    </r>
    <phoneticPr fontId="5" type="noConversion"/>
  </si>
  <si>
    <r>
      <rPr>
        <sz val="9"/>
        <rFont val="宋体"/>
        <family val="3"/>
        <charset val="134"/>
      </rPr>
      <t>本年利息资本化率（</t>
    </r>
    <r>
      <rPr>
        <sz val="9"/>
        <rFont val="Arial Narrow"/>
        <family val="2"/>
      </rPr>
      <t>%</t>
    </r>
    <r>
      <rPr>
        <sz val="9"/>
        <rFont val="宋体"/>
        <family val="3"/>
        <charset val="134"/>
      </rPr>
      <t>）</t>
    </r>
    <phoneticPr fontId="5" type="noConversion"/>
  </si>
  <si>
    <r>
      <rPr>
        <b/>
        <sz val="9"/>
        <rFont val="宋体"/>
        <family val="3"/>
        <charset val="134"/>
      </rPr>
      <t>（</t>
    </r>
    <r>
      <rPr>
        <b/>
        <sz val="9"/>
        <rFont val="Arial Narrow"/>
        <family val="2"/>
      </rPr>
      <t>3</t>
    </r>
    <r>
      <rPr>
        <b/>
        <sz val="9"/>
        <rFont val="宋体"/>
        <family val="3"/>
        <charset val="134"/>
      </rPr>
      <t>）在建工程减值准备</t>
    </r>
    <phoneticPr fontId="5" type="noConversion"/>
  </si>
  <si>
    <r>
      <rPr>
        <sz val="9"/>
        <rFont val="宋体"/>
        <family val="3"/>
        <charset val="134"/>
      </rPr>
      <t>合</t>
    </r>
    <r>
      <rPr>
        <sz val="9"/>
        <rFont val="Arial Narrow"/>
        <family val="2"/>
      </rPr>
      <t xml:space="preserve">      </t>
    </r>
    <r>
      <rPr>
        <sz val="9"/>
        <rFont val="宋体"/>
        <family val="3"/>
        <charset val="134"/>
      </rPr>
      <t>计</t>
    </r>
  </si>
  <si>
    <r>
      <rPr>
        <sz val="9"/>
        <rFont val="宋体"/>
        <family val="3"/>
        <charset val="134"/>
      </rPr>
      <t>年初余额</t>
    </r>
    <phoneticPr fontId="5" type="noConversion"/>
  </si>
  <si>
    <r>
      <rPr>
        <sz val="9"/>
        <rFont val="宋体"/>
        <family val="3"/>
        <charset val="134"/>
      </rPr>
      <t>资金来源</t>
    </r>
    <phoneticPr fontId="5" type="noConversion"/>
  </si>
  <si>
    <r>
      <t>——</t>
    </r>
    <r>
      <rPr>
        <b/>
        <sz val="10"/>
        <rFont val="楷体"/>
        <family val="3"/>
        <charset val="134"/>
      </rPr>
      <t>工程物资</t>
    </r>
    <phoneticPr fontId="5" type="noConversion"/>
  </si>
  <si>
    <r>
      <t>——</t>
    </r>
    <r>
      <rPr>
        <b/>
        <sz val="10"/>
        <rFont val="楷体"/>
        <family val="3"/>
        <charset val="134"/>
      </rPr>
      <t>固定资产清理</t>
    </r>
    <phoneticPr fontId="5" type="noConversion"/>
  </si>
  <si>
    <r>
      <rPr>
        <sz val="10"/>
        <rFont val="宋体"/>
        <family val="3"/>
        <charset val="134"/>
      </rPr>
      <t>转入清理的原因</t>
    </r>
    <phoneticPr fontId="5" type="noConversion"/>
  </si>
  <si>
    <r>
      <rPr>
        <sz val="10"/>
        <rFont val="宋体"/>
        <family val="3"/>
        <charset val="134"/>
      </rPr>
      <t>年末账面价值</t>
    </r>
    <phoneticPr fontId="5" type="noConversion"/>
  </si>
  <si>
    <r>
      <rPr>
        <sz val="10"/>
        <rFont val="宋体"/>
        <family val="3"/>
        <charset val="134"/>
      </rPr>
      <t>本年增加额</t>
    </r>
    <phoneticPr fontId="5" type="noConversion"/>
  </si>
  <si>
    <r>
      <rPr>
        <sz val="10"/>
        <rFont val="宋体"/>
        <family val="3"/>
        <charset val="134"/>
      </rPr>
      <t>年初余额</t>
    </r>
    <phoneticPr fontId="5" type="noConversion"/>
  </si>
  <si>
    <r>
      <rPr>
        <sz val="10"/>
        <rFont val="宋体"/>
        <family val="3"/>
        <charset val="134"/>
      </rPr>
      <t>①原价合计</t>
    </r>
    <phoneticPr fontId="5" type="noConversion"/>
  </si>
  <si>
    <r>
      <rPr>
        <b/>
        <sz val="10"/>
        <rFont val="宋体"/>
        <family val="3"/>
        <charset val="134"/>
      </rPr>
      <t>（</t>
    </r>
    <r>
      <rPr>
        <b/>
        <sz val="10"/>
        <rFont val="Arial Narrow"/>
        <family val="2"/>
      </rPr>
      <t>2</t>
    </r>
    <r>
      <rPr>
        <b/>
        <sz val="10"/>
        <rFont val="宋体"/>
        <family val="3"/>
        <charset val="134"/>
      </rPr>
      <t>）无形资产摊销情况</t>
    </r>
    <phoneticPr fontId="5" type="noConversion"/>
  </si>
  <si>
    <r>
      <rPr>
        <sz val="10"/>
        <rFont val="宋体"/>
        <family val="3"/>
        <charset val="134"/>
      </rPr>
      <t>本年减少额</t>
    </r>
    <phoneticPr fontId="5" type="noConversion"/>
  </si>
  <si>
    <r>
      <rPr>
        <sz val="10"/>
        <rFont val="宋体"/>
        <family val="3"/>
        <charset val="134"/>
      </rPr>
      <t>其中：软件</t>
    </r>
    <phoneticPr fontId="5" type="noConversion"/>
  </si>
  <si>
    <r>
      <rPr>
        <sz val="10"/>
        <rFont val="宋体"/>
        <family val="3"/>
        <charset val="134"/>
      </rPr>
      <t>其他</t>
    </r>
    <phoneticPr fontId="5" type="noConversion"/>
  </si>
  <si>
    <r>
      <t>——</t>
    </r>
    <r>
      <rPr>
        <b/>
        <sz val="11"/>
        <rFont val="宋体"/>
        <family val="3"/>
        <charset val="134"/>
      </rPr>
      <t>开发支出</t>
    </r>
    <phoneticPr fontId="5" type="noConversion"/>
  </si>
  <si>
    <r>
      <rPr>
        <sz val="9"/>
        <rFont val="宋体"/>
        <family val="3"/>
        <charset val="134"/>
      </rPr>
      <t>内部开发支出</t>
    </r>
    <phoneticPr fontId="5" type="noConversion"/>
  </si>
  <si>
    <r>
      <rPr>
        <sz val="9"/>
        <rFont val="宋体"/>
        <family val="3"/>
        <charset val="134"/>
      </rPr>
      <t>其他</t>
    </r>
    <phoneticPr fontId="5" type="noConversion"/>
  </si>
  <si>
    <r>
      <t>——</t>
    </r>
    <r>
      <rPr>
        <b/>
        <sz val="10"/>
        <rFont val="宋体"/>
        <family val="3"/>
        <charset val="134"/>
      </rPr>
      <t>商誉</t>
    </r>
    <phoneticPr fontId="5" type="noConversion"/>
  </si>
  <si>
    <r>
      <rPr>
        <sz val="10"/>
        <rFont val="宋体"/>
        <family val="3"/>
        <charset val="134"/>
      </rPr>
      <t>被投资单位名称或形成商誉的事项</t>
    </r>
  </si>
  <si>
    <r>
      <rPr>
        <sz val="10"/>
        <rFont val="宋体"/>
        <family val="3"/>
        <charset val="134"/>
      </rPr>
      <t>成本</t>
    </r>
  </si>
  <si>
    <r>
      <rPr>
        <b/>
        <sz val="10"/>
        <rFont val="宋体"/>
        <family val="3"/>
        <charset val="134"/>
      </rPr>
      <t>（</t>
    </r>
    <r>
      <rPr>
        <b/>
        <sz val="10"/>
        <rFont val="Arial Narrow"/>
        <family val="2"/>
      </rPr>
      <t>2</t>
    </r>
    <r>
      <rPr>
        <b/>
        <sz val="10"/>
        <rFont val="宋体"/>
        <family val="3"/>
        <charset val="134"/>
      </rPr>
      <t>）商誉减值情况</t>
    </r>
    <phoneticPr fontId="5" type="noConversion"/>
  </si>
  <si>
    <r>
      <rPr>
        <sz val="9"/>
        <rFont val="宋体"/>
        <family val="3"/>
        <charset val="134"/>
      </rPr>
      <t>本年增加额</t>
    </r>
    <phoneticPr fontId="5" type="noConversion"/>
  </si>
  <si>
    <r>
      <rPr>
        <sz val="9"/>
        <rFont val="宋体"/>
        <family val="3"/>
        <charset val="134"/>
      </rPr>
      <t>本年摊销额</t>
    </r>
    <phoneticPr fontId="5" type="noConversion"/>
  </si>
  <si>
    <r>
      <rPr>
        <sz val="9"/>
        <rFont val="宋体"/>
        <family val="3"/>
        <charset val="134"/>
      </rPr>
      <t>其他减少额</t>
    </r>
    <phoneticPr fontId="5" type="noConversion"/>
  </si>
  <si>
    <r>
      <rPr>
        <sz val="9"/>
        <rFont val="宋体"/>
        <family val="3"/>
        <charset val="134"/>
      </rPr>
      <t>其他减少的原因</t>
    </r>
    <phoneticPr fontId="5" type="noConversion"/>
  </si>
  <si>
    <r>
      <t>——</t>
    </r>
    <r>
      <rPr>
        <b/>
        <sz val="11"/>
        <rFont val="宋体"/>
        <family val="3"/>
        <charset val="134"/>
      </rPr>
      <t>长期待摊费用</t>
    </r>
    <phoneticPr fontId="5" type="noConversion"/>
  </si>
  <si>
    <r>
      <rPr>
        <sz val="9"/>
        <rFont val="宋体"/>
        <family val="3"/>
        <charset val="134"/>
      </rPr>
      <t>期初</t>
    </r>
    <phoneticPr fontId="5" type="noConversion"/>
  </si>
  <si>
    <r>
      <t>——</t>
    </r>
    <r>
      <rPr>
        <b/>
        <sz val="10"/>
        <rFont val="宋体"/>
        <family val="3"/>
        <charset val="134"/>
      </rPr>
      <t>递延所得税资产与递延所得税负债</t>
    </r>
    <phoneticPr fontId="5" type="noConversion"/>
  </si>
  <si>
    <r>
      <rPr>
        <b/>
        <sz val="10"/>
        <rFont val="宋体"/>
        <family val="3"/>
        <charset val="134"/>
      </rPr>
      <t>①互抵后递延所得税资产或负债对应的互抵后可抵扣或应纳税暂时性差异</t>
    </r>
    <phoneticPr fontId="5" type="noConversion"/>
  </si>
  <si>
    <r>
      <rPr>
        <sz val="10"/>
        <rFont val="宋体"/>
        <family val="3"/>
        <charset val="134"/>
      </rPr>
      <t>报告年末互抵后的递延所得税资产或负债</t>
    </r>
  </si>
  <si>
    <r>
      <rPr>
        <sz val="10"/>
        <rFont val="宋体"/>
        <family val="3"/>
        <charset val="134"/>
      </rPr>
      <t>报告年初互抵后的递延所得税资产或负债</t>
    </r>
  </si>
  <si>
    <r>
      <rPr>
        <sz val="10"/>
        <rFont val="宋体"/>
        <family val="3"/>
        <charset val="134"/>
      </rPr>
      <t>递延所得税资产</t>
    </r>
    <phoneticPr fontId="5" type="noConversion"/>
  </si>
  <si>
    <r>
      <rPr>
        <sz val="10"/>
        <rFont val="宋体"/>
        <family val="3"/>
        <charset val="134"/>
      </rPr>
      <t>递延所得税负债</t>
    </r>
    <phoneticPr fontId="5" type="noConversion"/>
  </si>
  <si>
    <r>
      <rPr>
        <b/>
        <sz val="10"/>
        <rFont val="宋体"/>
        <family val="3"/>
        <charset val="134"/>
      </rPr>
      <t>②递延所得税资产和递延所得税负债互抵明细：</t>
    </r>
    <phoneticPr fontId="5" type="noConversion"/>
  </si>
  <si>
    <r>
      <rPr>
        <sz val="10"/>
        <rFont val="宋体"/>
        <family val="3"/>
        <charset val="134"/>
      </rPr>
      <t>本年互抵金额</t>
    </r>
  </si>
  <si>
    <r>
      <rPr>
        <b/>
        <sz val="10"/>
        <rFont val="宋体"/>
        <family val="3"/>
        <charset val="134"/>
      </rPr>
      <t>（</t>
    </r>
    <r>
      <rPr>
        <b/>
        <sz val="10"/>
        <rFont val="Arial Narrow"/>
        <family val="2"/>
      </rPr>
      <t>2</t>
    </r>
    <r>
      <rPr>
        <b/>
        <sz val="10"/>
        <rFont val="宋体"/>
        <family val="3"/>
        <charset val="134"/>
      </rPr>
      <t>）递延所得税资产和递延所得税负债以抵销后净额列示</t>
    </r>
    <phoneticPr fontId="5" type="noConversion"/>
  </si>
  <si>
    <r>
      <t>——</t>
    </r>
    <r>
      <rPr>
        <b/>
        <sz val="11"/>
        <rFont val="宋体"/>
        <family val="3"/>
        <charset val="134"/>
      </rPr>
      <t>其他非流动资产</t>
    </r>
    <phoneticPr fontId="5" type="noConversion"/>
  </si>
  <si>
    <r>
      <rPr>
        <sz val="9"/>
        <rFont val="宋体"/>
        <family val="3"/>
        <charset val="134"/>
      </rPr>
      <t>合</t>
    </r>
    <r>
      <rPr>
        <sz val="9"/>
        <rFont val="Arial Narrow"/>
        <family val="2"/>
      </rPr>
      <t xml:space="preserve">     </t>
    </r>
    <r>
      <rPr>
        <sz val="9"/>
        <rFont val="宋体"/>
        <family val="3"/>
        <charset val="134"/>
      </rPr>
      <t>计</t>
    </r>
  </si>
  <si>
    <r>
      <t>——</t>
    </r>
    <r>
      <rPr>
        <b/>
        <sz val="10"/>
        <rFont val="宋体"/>
        <family val="3"/>
        <charset val="134"/>
      </rPr>
      <t>所有权和使用权受限制的资产</t>
    </r>
    <phoneticPr fontId="5" type="noConversion"/>
  </si>
  <si>
    <r>
      <rPr>
        <sz val="10"/>
        <rFont val="宋体"/>
        <family val="3"/>
        <charset val="134"/>
      </rPr>
      <t>受限原因</t>
    </r>
  </si>
  <si>
    <r>
      <rPr>
        <sz val="10"/>
        <rFont val="宋体"/>
        <family val="3"/>
        <charset val="134"/>
      </rPr>
      <t>其中：货币资金</t>
    </r>
    <phoneticPr fontId="5" type="noConversion"/>
  </si>
  <si>
    <r>
      <rPr>
        <sz val="10"/>
        <rFont val="宋体"/>
        <family val="3"/>
        <charset val="134"/>
      </rPr>
      <t>土地使用权</t>
    </r>
  </si>
  <si>
    <r>
      <rPr>
        <sz val="10"/>
        <rFont val="宋体"/>
        <family val="3"/>
        <charset val="134"/>
      </rPr>
      <t>房屋建筑物</t>
    </r>
  </si>
  <si>
    <r>
      <rPr>
        <sz val="10"/>
        <rFont val="宋体"/>
        <family val="3"/>
        <charset val="134"/>
      </rPr>
      <t>机器设备</t>
    </r>
  </si>
  <si>
    <r>
      <rPr>
        <sz val="10"/>
        <rFont val="宋体"/>
        <family val="3"/>
        <charset val="134"/>
      </rPr>
      <t>其他</t>
    </r>
    <r>
      <rPr>
        <sz val="10"/>
        <rFont val="Arial Narrow"/>
        <family val="2"/>
      </rPr>
      <t>-2</t>
    </r>
    <phoneticPr fontId="5" type="noConversion"/>
  </si>
  <si>
    <r>
      <rPr>
        <sz val="10"/>
        <rFont val="宋体"/>
        <family val="3"/>
        <charset val="134"/>
      </rPr>
      <t>贷款单位</t>
    </r>
  </si>
  <si>
    <r>
      <rPr>
        <sz val="10"/>
        <rFont val="宋体"/>
        <family val="3"/>
        <charset val="134"/>
      </rPr>
      <t>逾期时间（天）</t>
    </r>
    <phoneticPr fontId="5" type="noConversion"/>
  </si>
  <si>
    <r>
      <rPr>
        <sz val="10"/>
        <rFont val="宋体"/>
        <family val="3"/>
        <charset val="134"/>
      </rPr>
      <t>借款余额</t>
    </r>
    <phoneticPr fontId="5" type="noConversion"/>
  </si>
  <si>
    <r>
      <rPr>
        <sz val="10"/>
        <rFont val="宋体"/>
        <family val="3"/>
        <charset val="134"/>
      </rPr>
      <t>质押物</t>
    </r>
  </si>
  <si>
    <r>
      <rPr>
        <sz val="10"/>
        <rFont val="宋体"/>
        <family val="3"/>
        <charset val="134"/>
      </rPr>
      <t>抵押物</t>
    </r>
  </si>
  <si>
    <r>
      <rPr>
        <sz val="10"/>
        <rFont val="宋体"/>
        <family val="3"/>
        <charset val="134"/>
      </rPr>
      <t>担保人</t>
    </r>
  </si>
  <si>
    <r>
      <rPr>
        <sz val="10"/>
        <rFont val="宋体"/>
        <family val="3"/>
        <charset val="134"/>
      </rPr>
      <t>报表总数核对</t>
    </r>
    <phoneticPr fontId="5" type="noConversion"/>
  </si>
  <si>
    <r>
      <rPr>
        <b/>
        <sz val="10"/>
        <rFont val="宋体"/>
        <family val="3"/>
        <charset val="134"/>
      </rPr>
      <t>（</t>
    </r>
    <r>
      <rPr>
        <b/>
        <sz val="10"/>
        <rFont val="Arial Narrow"/>
        <family val="2"/>
      </rPr>
      <t>2</t>
    </r>
    <r>
      <rPr>
        <b/>
        <sz val="10"/>
        <rFont val="宋体"/>
        <family val="3"/>
        <charset val="134"/>
      </rPr>
      <t>）已到期未偿还的短期借款情况</t>
    </r>
  </si>
  <si>
    <r>
      <rPr>
        <sz val="10"/>
        <rFont val="宋体"/>
        <family val="3"/>
        <charset val="134"/>
      </rPr>
      <t>（</t>
    </r>
    <r>
      <rPr>
        <sz val="10"/>
        <rFont val="Arial Narrow"/>
        <family val="2"/>
      </rPr>
      <t>3</t>
    </r>
    <r>
      <rPr>
        <sz val="10"/>
        <rFont val="宋体"/>
        <family val="3"/>
        <charset val="134"/>
      </rPr>
      <t>）质押借款</t>
    </r>
    <phoneticPr fontId="5" type="noConversion"/>
  </si>
  <si>
    <r>
      <rPr>
        <sz val="10"/>
        <rFont val="宋体"/>
        <family val="3"/>
        <charset val="134"/>
      </rPr>
      <t>（</t>
    </r>
    <r>
      <rPr>
        <sz val="10"/>
        <rFont val="Arial Narrow"/>
        <family val="2"/>
      </rPr>
      <t>4</t>
    </r>
    <r>
      <rPr>
        <sz val="10"/>
        <rFont val="宋体"/>
        <family val="3"/>
        <charset val="134"/>
      </rPr>
      <t>）抵押借款</t>
    </r>
    <phoneticPr fontId="5" type="noConversion"/>
  </si>
  <si>
    <r>
      <rPr>
        <sz val="10"/>
        <rFont val="宋体"/>
        <family val="3"/>
        <charset val="134"/>
      </rPr>
      <t>（</t>
    </r>
    <r>
      <rPr>
        <sz val="10"/>
        <rFont val="Arial Narrow"/>
        <family val="2"/>
      </rPr>
      <t>5</t>
    </r>
    <r>
      <rPr>
        <sz val="10"/>
        <rFont val="宋体"/>
        <family val="3"/>
        <charset val="134"/>
      </rPr>
      <t>）保证借款</t>
    </r>
    <phoneticPr fontId="5" type="noConversion"/>
  </si>
  <si>
    <r>
      <t>——</t>
    </r>
    <r>
      <rPr>
        <b/>
        <sz val="10"/>
        <rFont val="宋体"/>
        <family val="3"/>
        <charset val="134"/>
      </rPr>
      <t>短期借款</t>
    </r>
    <phoneticPr fontId="5" type="noConversion"/>
  </si>
  <si>
    <r>
      <rPr>
        <sz val="10"/>
        <rFont val="宋体"/>
        <family val="3"/>
        <charset val="134"/>
      </rPr>
      <t>年初</t>
    </r>
    <phoneticPr fontId="5" type="noConversion"/>
  </si>
  <si>
    <r>
      <t>——</t>
    </r>
    <r>
      <rPr>
        <b/>
        <sz val="10"/>
        <rFont val="宋体"/>
        <family val="3"/>
        <charset val="134"/>
      </rPr>
      <t>以公允价值计量且其变动计入当期损益的金融负债</t>
    </r>
    <phoneticPr fontId="5" type="noConversion"/>
  </si>
  <si>
    <r>
      <rPr>
        <sz val="10"/>
        <rFont val="宋体"/>
        <family val="3"/>
        <charset val="134"/>
      </rPr>
      <t>年末公允价值</t>
    </r>
  </si>
  <si>
    <r>
      <rPr>
        <sz val="10"/>
        <rFont val="宋体"/>
        <family val="3"/>
        <charset val="134"/>
      </rPr>
      <t>交易性金融负债</t>
    </r>
    <phoneticPr fontId="5" type="noConversion"/>
  </si>
  <si>
    <r>
      <rPr>
        <sz val="10"/>
        <rFont val="宋体"/>
        <family val="3"/>
        <charset val="134"/>
      </rPr>
      <t>初始确认时指定为以公允价值计量且其变动计入当期损益的金融负债</t>
    </r>
    <phoneticPr fontId="5" type="noConversion"/>
  </si>
  <si>
    <r>
      <t>——</t>
    </r>
    <r>
      <rPr>
        <b/>
        <sz val="10"/>
        <rFont val="宋体"/>
        <family val="3"/>
        <charset val="134"/>
      </rPr>
      <t>应付票据</t>
    </r>
    <phoneticPr fontId="5" type="noConversion"/>
  </si>
  <si>
    <r>
      <rPr>
        <sz val="10"/>
        <rFont val="宋体"/>
        <family val="3"/>
        <charset val="134"/>
      </rPr>
      <t>年末</t>
    </r>
    <phoneticPr fontId="5" type="noConversion"/>
  </si>
  <si>
    <r>
      <rPr>
        <sz val="9"/>
        <rFont val="宋体"/>
        <family val="3"/>
        <charset val="134"/>
      </rPr>
      <t>债权单位名称</t>
    </r>
  </si>
  <si>
    <r>
      <t>1-2</t>
    </r>
    <r>
      <rPr>
        <sz val="9"/>
        <rFont val="宋体"/>
        <family val="3"/>
        <charset val="134"/>
      </rPr>
      <t>年</t>
    </r>
    <r>
      <rPr>
        <sz val="9"/>
        <rFont val="Arial Narrow"/>
        <family val="2"/>
      </rPr>
      <t xml:space="preserve"> (</t>
    </r>
    <r>
      <rPr>
        <sz val="9"/>
        <rFont val="宋体"/>
        <family val="3"/>
        <charset val="134"/>
      </rPr>
      <t>含</t>
    </r>
    <r>
      <rPr>
        <sz val="9"/>
        <rFont val="Arial Narrow"/>
        <family val="2"/>
      </rPr>
      <t>2</t>
    </r>
    <r>
      <rPr>
        <sz val="9"/>
        <rFont val="宋体"/>
        <family val="3"/>
        <charset val="134"/>
      </rPr>
      <t>年</t>
    </r>
    <r>
      <rPr>
        <sz val="9"/>
        <rFont val="Arial Narrow"/>
        <family val="2"/>
      </rPr>
      <t>)</t>
    </r>
  </si>
  <si>
    <r>
      <t>2-3</t>
    </r>
    <r>
      <rPr>
        <sz val="9"/>
        <rFont val="宋体"/>
        <family val="3"/>
        <charset val="134"/>
      </rPr>
      <t>年</t>
    </r>
    <r>
      <rPr>
        <sz val="9"/>
        <rFont val="Arial Narrow"/>
        <family val="2"/>
      </rPr>
      <t xml:space="preserve"> (</t>
    </r>
    <r>
      <rPr>
        <sz val="9"/>
        <rFont val="宋体"/>
        <family val="3"/>
        <charset val="134"/>
      </rPr>
      <t>含</t>
    </r>
    <r>
      <rPr>
        <sz val="9"/>
        <rFont val="Arial Narrow"/>
        <family val="2"/>
      </rPr>
      <t>3</t>
    </r>
    <r>
      <rPr>
        <sz val="9"/>
        <rFont val="宋体"/>
        <family val="3"/>
        <charset val="134"/>
      </rPr>
      <t>年</t>
    </r>
    <r>
      <rPr>
        <sz val="9"/>
        <rFont val="Arial Narrow"/>
        <family val="2"/>
      </rPr>
      <t>)</t>
    </r>
  </si>
  <si>
    <r>
      <rPr>
        <sz val="10"/>
        <rFont val="宋体"/>
        <family val="3"/>
        <charset val="134"/>
      </rPr>
      <t>债权单位名称</t>
    </r>
  </si>
  <si>
    <r>
      <rPr>
        <sz val="10"/>
        <rFont val="宋体"/>
        <family val="3"/>
        <charset val="134"/>
      </rPr>
      <t>未偿还原因</t>
    </r>
  </si>
  <si>
    <r>
      <rPr>
        <sz val="10"/>
        <rFont val="宋体"/>
        <family val="3"/>
        <charset val="134"/>
      </rPr>
      <t>逾期的大额应付账款</t>
    </r>
    <phoneticPr fontId="5" type="noConversion"/>
  </si>
  <si>
    <r>
      <t>——</t>
    </r>
    <r>
      <rPr>
        <b/>
        <sz val="10"/>
        <rFont val="宋体"/>
        <family val="3"/>
        <charset val="134"/>
      </rPr>
      <t>应付账款</t>
    </r>
    <phoneticPr fontId="5" type="noConversion"/>
  </si>
  <si>
    <r>
      <rPr>
        <b/>
        <sz val="10"/>
        <rFont val="宋体"/>
        <family val="3"/>
        <charset val="134"/>
      </rPr>
      <t>（</t>
    </r>
    <r>
      <rPr>
        <b/>
        <sz val="10"/>
        <rFont val="Arial Narrow"/>
        <family val="2"/>
      </rPr>
      <t>2</t>
    </r>
    <r>
      <rPr>
        <b/>
        <sz val="10"/>
        <rFont val="宋体"/>
        <family val="3"/>
        <charset val="134"/>
      </rPr>
      <t>）账龄超过</t>
    </r>
    <r>
      <rPr>
        <b/>
        <sz val="10"/>
        <rFont val="Arial Narrow"/>
        <family val="2"/>
      </rPr>
      <t>1</t>
    </r>
    <r>
      <rPr>
        <b/>
        <sz val="10"/>
        <rFont val="宋体"/>
        <family val="3"/>
        <charset val="134"/>
      </rPr>
      <t>年的重要应付账款</t>
    </r>
    <phoneticPr fontId="5" type="noConversion"/>
  </si>
  <si>
    <r>
      <rPr>
        <sz val="10"/>
        <rFont val="宋体"/>
        <family val="3"/>
        <charset val="134"/>
      </rPr>
      <t>报表数</t>
    </r>
    <phoneticPr fontId="5" type="noConversion"/>
  </si>
  <si>
    <r>
      <rPr>
        <sz val="10"/>
        <rFont val="宋体"/>
        <family val="3"/>
        <charset val="134"/>
      </rPr>
      <t>逾期的应付账款总额</t>
    </r>
    <phoneticPr fontId="5" type="noConversion"/>
  </si>
  <si>
    <r>
      <rPr>
        <sz val="10"/>
        <rFont val="宋体"/>
        <family val="3"/>
        <charset val="134"/>
      </rPr>
      <t>占比</t>
    </r>
    <phoneticPr fontId="5" type="noConversion"/>
  </si>
  <si>
    <r>
      <rPr>
        <sz val="9"/>
        <rFont val="宋体"/>
        <family val="3"/>
        <charset val="134"/>
      </rPr>
      <t>所欠金额</t>
    </r>
  </si>
  <si>
    <r>
      <rPr>
        <sz val="9"/>
        <rFont val="宋体"/>
        <family val="3"/>
        <charset val="134"/>
      </rPr>
      <t>未结转原因</t>
    </r>
  </si>
  <si>
    <r>
      <t>——</t>
    </r>
    <r>
      <rPr>
        <b/>
        <sz val="11"/>
        <rFont val="宋体"/>
        <family val="3"/>
        <charset val="134"/>
      </rPr>
      <t>预收款项</t>
    </r>
    <phoneticPr fontId="5" type="noConversion"/>
  </si>
  <si>
    <r>
      <rPr>
        <b/>
        <sz val="9"/>
        <rFont val="宋体"/>
        <family val="3"/>
        <charset val="134"/>
      </rPr>
      <t>（</t>
    </r>
    <r>
      <rPr>
        <b/>
        <sz val="9"/>
        <rFont val="Arial Narrow"/>
        <family val="2"/>
      </rPr>
      <t>1</t>
    </r>
    <r>
      <rPr>
        <b/>
        <sz val="9"/>
        <rFont val="宋体"/>
        <family val="3"/>
        <charset val="134"/>
      </rPr>
      <t>）预收款项账龄情况</t>
    </r>
  </si>
  <si>
    <r>
      <rPr>
        <sz val="9"/>
        <rFont val="宋体"/>
        <family val="3"/>
        <charset val="134"/>
      </rPr>
      <t>账</t>
    </r>
    <r>
      <rPr>
        <sz val="9"/>
        <rFont val="Arial Narrow"/>
        <family val="2"/>
      </rPr>
      <t xml:space="preserve">  </t>
    </r>
    <r>
      <rPr>
        <sz val="9"/>
        <rFont val="宋体"/>
        <family val="3"/>
        <charset val="134"/>
      </rPr>
      <t>龄</t>
    </r>
  </si>
  <si>
    <r>
      <rPr>
        <b/>
        <sz val="9"/>
        <rFont val="宋体"/>
        <family val="3"/>
        <charset val="134"/>
      </rPr>
      <t>（</t>
    </r>
    <r>
      <rPr>
        <b/>
        <sz val="9"/>
        <rFont val="Arial Narrow"/>
        <family val="2"/>
      </rPr>
      <t>2</t>
    </r>
    <r>
      <rPr>
        <b/>
        <sz val="9"/>
        <rFont val="宋体"/>
        <family val="3"/>
        <charset val="134"/>
      </rPr>
      <t>）账龄超过</t>
    </r>
    <r>
      <rPr>
        <b/>
        <sz val="9"/>
        <rFont val="Arial Narrow"/>
        <family val="2"/>
      </rPr>
      <t>1</t>
    </r>
    <r>
      <rPr>
        <b/>
        <sz val="9"/>
        <rFont val="宋体"/>
        <family val="3"/>
        <charset val="134"/>
      </rPr>
      <t>年的大额预收款项</t>
    </r>
  </si>
  <si>
    <r>
      <t xml:space="preserve">    </t>
    </r>
    <r>
      <rPr>
        <sz val="10"/>
        <rFont val="宋体"/>
        <family val="3"/>
        <charset val="134"/>
      </rPr>
      <t>项目</t>
    </r>
  </si>
  <si>
    <r>
      <t>1</t>
    </r>
    <r>
      <rPr>
        <sz val="10"/>
        <rFont val="宋体"/>
        <family val="3"/>
        <charset val="134"/>
      </rPr>
      <t>、基本养老保险</t>
    </r>
  </si>
  <si>
    <r>
      <t>2</t>
    </r>
    <r>
      <rPr>
        <sz val="10"/>
        <rFont val="宋体"/>
        <family val="3"/>
        <charset val="134"/>
      </rPr>
      <t>、失业保险费</t>
    </r>
  </si>
  <si>
    <r>
      <t>3</t>
    </r>
    <r>
      <rPr>
        <sz val="10"/>
        <rFont val="宋体"/>
        <family val="3"/>
        <charset val="134"/>
      </rPr>
      <t>、企业年金缴费</t>
    </r>
  </si>
  <si>
    <r>
      <rPr>
        <sz val="10"/>
        <rFont val="宋体"/>
        <family val="3"/>
        <charset val="134"/>
      </rPr>
      <t>一、短期薪酬</t>
    </r>
  </si>
  <si>
    <r>
      <rPr>
        <sz val="10"/>
        <rFont val="宋体"/>
        <family val="3"/>
        <charset val="134"/>
      </rPr>
      <t>三、辞退福利</t>
    </r>
  </si>
  <si>
    <r>
      <rPr>
        <sz val="10"/>
        <rFont val="宋体"/>
        <family val="3"/>
        <charset val="134"/>
      </rPr>
      <t>四、一年内到期的其他福利</t>
    </r>
  </si>
  <si>
    <r>
      <rPr>
        <sz val="10"/>
        <rFont val="宋体"/>
        <family val="3"/>
        <charset val="134"/>
      </rPr>
      <t>一、工资、奖金、津贴和补贴</t>
    </r>
  </si>
  <si>
    <r>
      <rPr>
        <sz val="10"/>
        <rFont val="宋体"/>
        <family val="3"/>
        <charset val="134"/>
      </rPr>
      <t>二、职工福利费</t>
    </r>
  </si>
  <si>
    <r>
      <rPr>
        <sz val="10"/>
        <rFont val="宋体"/>
        <family val="3"/>
        <charset val="134"/>
      </rPr>
      <t>三、社会保险费</t>
    </r>
  </si>
  <si>
    <r>
      <rPr>
        <sz val="10"/>
        <rFont val="宋体"/>
        <family val="3"/>
        <charset val="134"/>
      </rPr>
      <t>四、住房公积金</t>
    </r>
  </si>
  <si>
    <r>
      <rPr>
        <sz val="10"/>
        <rFont val="宋体"/>
        <family val="3"/>
        <charset val="134"/>
      </rPr>
      <t>五、工会经费和职工教育经费</t>
    </r>
  </si>
  <si>
    <r>
      <rPr>
        <sz val="10"/>
        <rFont val="宋体"/>
        <family val="3"/>
        <charset val="134"/>
      </rPr>
      <t>六、短期带薪缺勤</t>
    </r>
  </si>
  <si>
    <r>
      <rPr>
        <sz val="10"/>
        <rFont val="宋体"/>
        <family val="3"/>
        <charset val="134"/>
      </rPr>
      <t>七、短期利润分享计划</t>
    </r>
  </si>
  <si>
    <r>
      <rPr>
        <sz val="10"/>
        <rFont val="宋体"/>
        <family val="3"/>
        <charset val="134"/>
      </rPr>
      <t>短期薪酬核对</t>
    </r>
    <phoneticPr fontId="5" type="noConversion"/>
  </si>
  <si>
    <r>
      <rPr>
        <sz val="10"/>
        <rFont val="宋体"/>
        <family val="3"/>
        <charset val="134"/>
      </rPr>
      <t>设定提存计划核对</t>
    </r>
    <phoneticPr fontId="5" type="noConversion"/>
  </si>
  <si>
    <r>
      <rPr>
        <sz val="10"/>
        <rFont val="宋体"/>
        <family val="3"/>
        <charset val="134"/>
      </rPr>
      <t>其中项核对报表数</t>
    </r>
    <phoneticPr fontId="5" type="noConversion"/>
  </si>
  <si>
    <r>
      <rPr>
        <sz val="10"/>
        <rFont val="宋体"/>
        <family val="3"/>
        <charset val="134"/>
      </rPr>
      <t>应付工资</t>
    </r>
    <phoneticPr fontId="5" type="noConversion"/>
  </si>
  <si>
    <r>
      <rPr>
        <sz val="10"/>
        <rFont val="宋体"/>
        <family val="3"/>
        <charset val="134"/>
      </rPr>
      <t>注：应说明本期为职工提供的各项非货币性福利的形式、金额及其计算依据。</t>
    </r>
    <phoneticPr fontId="5" type="noConversion"/>
  </si>
  <si>
    <r>
      <t>——</t>
    </r>
    <r>
      <rPr>
        <b/>
        <sz val="10"/>
        <rFont val="宋体"/>
        <family val="3"/>
        <charset val="134"/>
      </rPr>
      <t>应付职工薪酬</t>
    </r>
    <phoneticPr fontId="5" type="noConversion"/>
  </si>
  <si>
    <r>
      <rPr>
        <b/>
        <sz val="10"/>
        <rFont val="宋体"/>
        <family val="3"/>
        <charset val="134"/>
      </rPr>
      <t>（</t>
    </r>
    <r>
      <rPr>
        <b/>
        <sz val="10"/>
        <rFont val="Arial Narrow"/>
        <family val="2"/>
      </rPr>
      <t>1</t>
    </r>
    <r>
      <rPr>
        <b/>
        <sz val="10"/>
        <rFont val="宋体"/>
        <family val="3"/>
        <charset val="134"/>
      </rPr>
      <t>）应付职工薪酬列示</t>
    </r>
    <phoneticPr fontId="5" type="noConversion"/>
  </si>
  <si>
    <r>
      <rPr>
        <sz val="10"/>
        <rFont val="宋体"/>
        <family val="3"/>
        <charset val="134"/>
      </rPr>
      <t>二、离职后福利</t>
    </r>
    <r>
      <rPr>
        <sz val="10"/>
        <rFont val="Arial Narrow"/>
        <family val="2"/>
      </rPr>
      <t>-</t>
    </r>
    <r>
      <rPr>
        <sz val="10"/>
        <rFont val="宋体"/>
        <family val="3"/>
        <charset val="134"/>
      </rPr>
      <t>设定提存计划</t>
    </r>
  </si>
  <si>
    <r>
      <rPr>
        <b/>
        <sz val="10"/>
        <rFont val="宋体"/>
        <family val="3"/>
        <charset val="134"/>
      </rPr>
      <t>（</t>
    </r>
    <r>
      <rPr>
        <b/>
        <sz val="10"/>
        <rFont val="Arial Narrow"/>
        <family val="2"/>
      </rPr>
      <t>2</t>
    </r>
    <r>
      <rPr>
        <b/>
        <sz val="10"/>
        <rFont val="宋体"/>
        <family val="3"/>
        <charset val="134"/>
      </rPr>
      <t>）短期薪酬列示</t>
    </r>
    <phoneticPr fontId="5" type="noConversion"/>
  </si>
  <si>
    <r>
      <rPr>
        <b/>
        <sz val="10"/>
        <rFont val="宋体"/>
        <family val="3"/>
        <charset val="134"/>
      </rPr>
      <t>（</t>
    </r>
    <r>
      <rPr>
        <b/>
        <sz val="10"/>
        <rFont val="Arial Narrow"/>
        <family val="2"/>
      </rPr>
      <t>3</t>
    </r>
    <r>
      <rPr>
        <b/>
        <sz val="10"/>
        <rFont val="宋体"/>
        <family val="3"/>
        <charset val="134"/>
      </rPr>
      <t>）设定提存计划列示</t>
    </r>
    <phoneticPr fontId="5" type="noConversion"/>
  </si>
  <si>
    <r>
      <rPr>
        <sz val="10"/>
        <rFont val="宋体"/>
        <family val="3"/>
        <charset val="134"/>
      </rPr>
      <t>报表</t>
    </r>
    <r>
      <rPr>
        <sz val="10"/>
        <rFont val="Arial Narrow"/>
        <family val="2"/>
      </rPr>
      <t>---</t>
    </r>
    <r>
      <rPr>
        <sz val="10"/>
        <rFont val="宋体"/>
        <family val="3"/>
        <charset val="134"/>
      </rPr>
      <t>应付工资</t>
    </r>
    <phoneticPr fontId="5" type="noConversion"/>
  </si>
  <si>
    <r>
      <rPr>
        <sz val="10"/>
        <rFont val="宋体"/>
        <family val="3"/>
        <charset val="134"/>
      </rPr>
      <t>报表</t>
    </r>
    <r>
      <rPr>
        <sz val="10"/>
        <rFont val="Arial Narrow"/>
        <family val="2"/>
      </rPr>
      <t>---</t>
    </r>
    <r>
      <rPr>
        <sz val="10"/>
        <rFont val="宋体"/>
        <family val="3"/>
        <charset val="134"/>
      </rPr>
      <t>应付福利费</t>
    </r>
    <phoneticPr fontId="5" type="noConversion"/>
  </si>
  <si>
    <r>
      <rPr>
        <sz val="10"/>
        <rFont val="宋体"/>
        <family val="3"/>
        <charset val="134"/>
      </rPr>
      <t>本年已交</t>
    </r>
    <phoneticPr fontId="5" type="noConversion"/>
  </si>
  <si>
    <r>
      <rPr>
        <sz val="10"/>
        <rFont val="宋体"/>
        <family val="3"/>
        <charset val="134"/>
      </rPr>
      <t>本年应交</t>
    </r>
    <phoneticPr fontId="5" type="noConversion"/>
  </si>
  <si>
    <r>
      <rPr>
        <sz val="10"/>
        <rFont val="宋体"/>
        <family val="3"/>
        <charset val="134"/>
      </rPr>
      <t>应交税金</t>
    </r>
    <phoneticPr fontId="5" type="noConversion"/>
  </si>
  <si>
    <r>
      <rPr>
        <sz val="10"/>
        <rFont val="宋体"/>
        <family val="3"/>
        <charset val="134"/>
      </rPr>
      <t>应交税费</t>
    </r>
    <r>
      <rPr>
        <sz val="10"/>
        <rFont val="Arial Narrow"/>
        <family val="2"/>
      </rPr>
      <t>—</t>
    </r>
    <r>
      <rPr>
        <sz val="10"/>
        <rFont val="宋体"/>
        <family val="3"/>
        <charset val="134"/>
      </rPr>
      <t>其他税费主要明细内容列示：</t>
    </r>
    <phoneticPr fontId="5" type="noConversion"/>
  </si>
  <si>
    <r>
      <rPr>
        <sz val="10"/>
        <rFont val="宋体"/>
        <family val="3"/>
        <charset val="134"/>
      </rPr>
      <t>与上表附注核对</t>
    </r>
    <phoneticPr fontId="5" type="noConversion"/>
  </si>
  <si>
    <r>
      <rPr>
        <sz val="10"/>
        <rFont val="宋体"/>
        <family val="3"/>
        <charset val="134"/>
      </rPr>
      <t>报表</t>
    </r>
    <r>
      <rPr>
        <sz val="10"/>
        <rFont val="Arial Narrow"/>
        <family val="2"/>
      </rPr>
      <t>---</t>
    </r>
    <r>
      <rPr>
        <sz val="10"/>
        <rFont val="宋体"/>
        <family val="3"/>
        <charset val="134"/>
      </rPr>
      <t>应交税金</t>
    </r>
    <phoneticPr fontId="5" type="noConversion"/>
  </si>
  <si>
    <r>
      <t>——</t>
    </r>
    <r>
      <rPr>
        <b/>
        <sz val="10"/>
        <rFont val="宋体"/>
        <family val="3"/>
        <charset val="134"/>
      </rPr>
      <t>应交税费</t>
    </r>
    <phoneticPr fontId="5" type="noConversion"/>
  </si>
  <si>
    <r>
      <rPr>
        <sz val="10"/>
        <rFont val="宋体"/>
        <family val="3"/>
        <charset val="134"/>
      </rPr>
      <t>期初</t>
    </r>
    <phoneticPr fontId="5" type="noConversion"/>
  </si>
  <si>
    <r>
      <t>——</t>
    </r>
    <r>
      <rPr>
        <b/>
        <sz val="10"/>
        <rFont val="宋体"/>
        <family val="3"/>
        <charset val="134"/>
      </rPr>
      <t>应付利息</t>
    </r>
    <phoneticPr fontId="5" type="noConversion"/>
  </si>
  <si>
    <r>
      <rPr>
        <b/>
        <sz val="10"/>
        <rFont val="宋体"/>
        <family val="3"/>
        <charset val="134"/>
      </rPr>
      <t>重要的已逾期未支付的利息情况</t>
    </r>
  </si>
  <si>
    <r>
      <rPr>
        <sz val="10"/>
        <rFont val="宋体"/>
        <family val="3"/>
        <charset val="134"/>
      </rPr>
      <t>债权单位</t>
    </r>
  </si>
  <si>
    <r>
      <rPr>
        <sz val="10"/>
        <rFont val="宋体"/>
        <family val="3"/>
        <charset val="134"/>
      </rPr>
      <t>逾期金额</t>
    </r>
  </si>
  <si>
    <r>
      <rPr>
        <sz val="10"/>
        <rFont val="宋体"/>
        <family val="3"/>
        <charset val="134"/>
      </rPr>
      <t>合　</t>
    </r>
    <r>
      <rPr>
        <sz val="10"/>
        <rFont val="Arial Narrow"/>
        <family val="2"/>
      </rPr>
      <t xml:space="preserve"> </t>
    </r>
    <r>
      <rPr>
        <sz val="10"/>
        <rFont val="宋体"/>
        <family val="3"/>
        <charset val="134"/>
      </rPr>
      <t>计</t>
    </r>
  </si>
  <si>
    <r>
      <rPr>
        <sz val="10"/>
        <rFont val="宋体"/>
        <family val="3"/>
        <charset val="134"/>
      </rPr>
      <t>期初</t>
    </r>
    <phoneticPr fontId="5" type="noConversion"/>
  </si>
  <si>
    <r>
      <rPr>
        <sz val="10"/>
        <rFont val="宋体"/>
        <family val="3"/>
        <charset val="134"/>
      </rPr>
      <t>报表数</t>
    </r>
    <phoneticPr fontId="5" type="noConversion"/>
  </si>
  <si>
    <r>
      <rPr>
        <sz val="10"/>
        <rFont val="宋体"/>
        <family val="3"/>
        <charset val="134"/>
      </rPr>
      <t>与报表核对</t>
    </r>
    <phoneticPr fontId="5" type="noConversion"/>
  </si>
  <si>
    <r>
      <t>——</t>
    </r>
    <r>
      <rPr>
        <b/>
        <sz val="10"/>
        <rFont val="宋体"/>
        <family val="3"/>
        <charset val="134"/>
      </rPr>
      <t>应付股利</t>
    </r>
    <phoneticPr fontId="5" type="noConversion"/>
  </si>
  <si>
    <r>
      <rPr>
        <sz val="10"/>
        <rFont val="宋体"/>
        <family val="3"/>
        <charset val="134"/>
      </rPr>
      <t>单位名称</t>
    </r>
    <phoneticPr fontId="5" type="noConversion"/>
  </si>
  <si>
    <r>
      <rPr>
        <sz val="10"/>
        <rFont val="宋体"/>
        <family val="3"/>
        <charset val="134"/>
      </rPr>
      <t>超过一年未支付原因</t>
    </r>
  </si>
  <si>
    <r>
      <rPr>
        <b/>
        <sz val="10"/>
        <rFont val="宋体"/>
        <family val="3"/>
        <charset val="134"/>
      </rPr>
      <t>（</t>
    </r>
    <r>
      <rPr>
        <b/>
        <sz val="10"/>
        <rFont val="Arial Narrow"/>
        <family val="2"/>
      </rPr>
      <t>1</t>
    </r>
    <r>
      <rPr>
        <b/>
        <sz val="10"/>
        <rFont val="宋体"/>
        <family val="3"/>
        <charset val="134"/>
      </rPr>
      <t>）按款项性质列示其他应付款</t>
    </r>
    <phoneticPr fontId="5" type="noConversion"/>
  </si>
  <si>
    <r>
      <rPr>
        <b/>
        <sz val="10"/>
        <rFont val="宋体"/>
        <family val="3"/>
        <charset val="134"/>
      </rPr>
      <t>（</t>
    </r>
    <r>
      <rPr>
        <b/>
        <sz val="10"/>
        <rFont val="Arial Narrow"/>
        <family val="2"/>
      </rPr>
      <t>2</t>
    </r>
    <r>
      <rPr>
        <b/>
        <sz val="10"/>
        <rFont val="宋体"/>
        <family val="3"/>
        <charset val="134"/>
      </rPr>
      <t>）账龄超过</t>
    </r>
    <r>
      <rPr>
        <b/>
        <sz val="10"/>
        <rFont val="Arial Narrow"/>
        <family val="2"/>
      </rPr>
      <t>1</t>
    </r>
    <r>
      <rPr>
        <b/>
        <sz val="10"/>
        <rFont val="宋体"/>
        <family val="3"/>
        <charset val="134"/>
      </rPr>
      <t>年的重要其他应付款</t>
    </r>
    <phoneticPr fontId="5" type="noConversion"/>
  </si>
  <si>
    <r>
      <rPr>
        <sz val="10"/>
        <rFont val="宋体"/>
        <family val="3"/>
        <charset val="134"/>
      </rPr>
      <t>所欠金额</t>
    </r>
  </si>
  <si>
    <r>
      <rPr>
        <sz val="10"/>
        <rFont val="宋体"/>
        <family val="3"/>
        <charset val="134"/>
      </rPr>
      <t>表内核对</t>
    </r>
    <phoneticPr fontId="5" type="noConversion"/>
  </si>
  <si>
    <r>
      <t>——</t>
    </r>
    <r>
      <rPr>
        <b/>
        <sz val="10"/>
        <rFont val="宋体"/>
        <family val="3"/>
        <charset val="134"/>
      </rPr>
      <t>其他应付款</t>
    </r>
    <phoneticPr fontId="5" type="noConversion"/>
  </si>
  <si>
    <r>
      <rPr>
        <sz val="10"/>
        <rFont val="宋体"/>
        <family val="3"/>
        <charset val="134"/>
      </rPr>
      <t>报表数</t>
    </r>
    <phoneticPr fontId="5" type="noConversion"/>
  </si>
  <si>
    <r>
      <t>——</t>
    </r>
    <r>
      <rPr>
        <b/>
        <sz val="10"/>
        <rFont val="宋体"/>
        <family val="3"/>
        <charset val="134"/>
      </rPr>
      <t>一年内到期的非流动负债</t>
    </r>
    <phoneticPr fontId="5" type="noConversion"/>
  </si>
  <si>
    <r>
      <rPr>
        <sz val="10"/>
        <rFont val="宋体"/>
        <family val="3"/>
        <charset val="134"/>
      </rPr>
      <t>一年内到期的长期借款（附注八、</t>
    </r>
    <r>
      <rPr>
        <sz val="10"/>
        <rFont val="Arial Narrow"/>
        <family val="2"/>
      </rPr>
      <t>38</t>
    </r>
    <r>
      <rPr>
        <sz val="10"/>
        <rFont val="宋体"/>
        <family val="3"/>
        <charset val="134"/>
      </rPr>
      <t>）</t>
    </r>
    <phoneticPr fontId="5" type="noConversion"/>
  </si>
  <si>
    <r>
      <rPr>
        <sz val="10"/>
        <rFont val="宋体"/>
        <family val="3"/>
        <charset val="134"/>
      </rPr>
      <t>一年内到期的应付债券（附注八、</t>
    </r>
    <r>
      <rPr>
        <sz val="10"/>
        <rFont val="Arial Narrow"/>
        <family val="2"/>
      </rPr>
      <t>39</t>
    </r>
    <r>
      <rPr>
        <sz val="10"/>
        <rFont val="宋体"/>
        <family val="3"/>
        <charset val="134"/>
      </rPr>
      <t>）</t>
    </r>
    <phoneticPr fontId="5" type="noConversion"/>
  </si>
  <si>
    <r>
      <rPr>
        <sz val="10"/>
        <rFont val="宋体"/>
        <family val="3"/>
        <charset val="134"/>
      </rPr>
      <t>一年内到期的长期应付款（附注八、</t>
    </r>
    <r>
      <rPr>
        <sz val="10"/>
        <rFont val="Arial Narrow"/>
        <family val="2"/>
      </rPr>
      <t>40</t>
    </r>
    <r>
      <rPr>
        <sz val="10"/>
        <rFont val="宋体"/>
        <family val="3"/>
        <charset val="134"/>
      </rPr>
      <t>）</t>
    </r>
    <phoneticPr fontId="5" type="noConversion"/>
  </si>
  <si>
    <r>
      <rPr>
        <sz val="10"/>
        <rFont val="宋体"/>
        <family val="3"/>
        <charset val="134"/>
      </rPr>
      <t>其中：质押借款</t>
    </r>
    <phoneticPr fontId="5" type="noConversion"/>
  </si>
  <si>
    <r>
      <t>——</t>
    </r>
    <r>
      <rPr>
        <b/>
        <sz val="10"/>
        <rFont val="宋体"/>
        <family val="3"/>
        <charset val="134"/>
      </rPr>
      <t>其他流动负债</t>
    </r>
    <phoneticPr fontId="5" type="noConversion"/>
  </si>
  <si>
    <r>
      <t>——</t>
    </r>
    <r>
      <rPr>
        <b/>
        <sz val="10"/>
        <rFont val="宋体"/>
        <family val="3"/>
        <charset val="134"/>
      </rPr>
      <t>长期借款</t>
    </r>
    <phoneticPr fontId="5" type="noConversion"/>
  </si>
  <si>
    <r>
      <rPr>
        <sz val="10"/>
        <rFont val="宋体"/>
        <family val="3"/>
        <charset val="134"/>
      </rPr>
      <t>贷款金额</t>
    </r>
  </si>
  <si>
    <r>
      <rPr>
        <sz val="10"/>
        <rFont val="宋体"/>
        <family val="3"/>
        <charset val="134"/>
      </rPr>
      <t>贷款利率</t>
    </r>
  </si>
  <si>
    <r>
      <rPr>
        <sz val="10"/>
        <rFont val="宋体"/>
        <family val="3"/>
        <charset val="134"/>
      </rPr>
      <t>贷款资金用途</t>
    </r>
  </si>
  <si>
    <r>
      <rPr>
        <sz val="10"/>
        <rFont val="宋体"/>
        <family val="3"/>
        <charset val="134"/>
      </rPr>
      <t>未按期偿还原因</t>
    </r>
  </si>
  <si>
    <r>
      <rPr>
        <sz val="10"/>
        <rFont val="宋体"/>
        <family val="3"/>
        <charset val="134"/>
      </rPr>
      <t>预计还款期</t>
    </r>
  </si>
  <si>
    <r>
      <rPr>
        <b/>
        <sz val="10"/>
        <rFont val="宋体"/>
        <family val="3"/>
        <charset val="134"/>
      </rPr>
      <t>（</t>
    </r>
    <r>
      <rPr>
        <b/>
        <sz val="10"/>
        <rFont val="Arial Narrow"/>
        <family val="2"/>
      </rPr>
      <t>2</t>
    </r>
    <r>
      <rPr>
        <b/>
        <sz val="10"/>
        <rFont val="宋体"/>
        <family val="3"/>
        <charset val="134"/>
      </rPr>
      <t>）已到期未偿还的长期借款</t>
    </r>
  </si>
  <si>
    <r>
      <rPr>
        <sz val="10"/>
        <rFont val="宋体"/>
        <family val="3"/>
        <charset val="134"/>
      </rPr>
      <t>总行号</t>
    </r>
    <phoneticPr fontId="5" type="noConversion"/>
  </si>
  <si>
    <r>
      <rPr>
        <sz val="10"/>
        <rFont val="宋体"/>
        <family val="3"/>
        <charset val="134"/>
      </rPr>
      <t>年末余额</t>
    </r>
    <phoneticPr fontId="5" type="noConversion"/>
  </si>
  <si>
    <r>
      <rPr>
        <sz val="10"/>
        <rFont val="宋体"/>
        <family val="3"/>
        <charset val="134"/>
      </rPr>
      <t>年初余额</t>
    </r>
    <phoneticPr fontId="5" type="noConversion"/>
  </si>
  <si>
    <r>
      <rPr>
        <sz val="10"/>
        <rFont val="宋体"/>
        <family val="3"/>
        <charset val="134"/>
      </rPr>
      <t>债券名称</t>
    </r>
    <phoneticPr fontId="5" type="noConversion"/>
  </si>
  <si>
    <r>
      <rPr>
        <sz val="10"/>
        <rFont val="宋体"/>
        <family val="3"/>
        <charset val="134"/>
      </rPr>
      <t>发行金额</t>
    </r>
  </si>
  <si>
    <r>
      <rPr>
        <sz val="10"/>
        <rFont val="宋体"/>
        <family val="3"/>
        <charset val="134"/>
      </rPr>
      <t>年初金额</t>
    </r>
  </si>
  <si>
    <r>
      <rPr>
        <sz val="10"/>
        <rFont val="宋体"/>
        <family val="3"/>
        <charset val="134"/>
      </rPr>
      <t>本年发行</t>
    </r>
  </si>
  <si>
    <r>
      <rPr>
        <sz val="10"/>
        <rFont val="宋体"/>
        <family val="3"/>
        <charset val="134"/>
      </rPr>
      <t>按面值计提利息</t>
    </r>
  </si>
  <si>
    <r>
      <rPr>
        <sz val="10"/>
        <rFont val="宋体"/>
        <family val="3"/>
        <charset val="134"/>
      </rPr>
      <t>溢折价摊销</t>
    </r>
  </si>
  <si>
    <r>
      <rPr>
        <sz val="10"/>
        <rFont val="宋体"/>
        <family val="3"/>
        <charset val="134"/>
      </rPr>
      <t>本年偿还</t>
    </r>
  </si>
  <si>
    <r>
      <t>XX</t>
    </r>
    <r>
      <rPr>
        <sz val="10"/>
        <rFont val="宋体"/>
        <family val="3"/>
        <charset val="134"/>
      </rPr>
      <t>公司债</t>
    </r>
    <phoneticPr fontId="5" type="noConversion"/>
  </si>
  <si>
    <r>
      <rPr>
        <sz val="10"/>
        <rFont val="宋体"/>
        <family val="3"/>
        <charset val="134"/>
      </rPr>
      <t>减：一年内到期部分</t>
    </r>
  </si>
  <si>
    <r>
      <t>——</t>
    </r>
    <r>
      <rPr>
        <b/>
        <sz val="10"/>
        <rFont val="宋体"/>
        <family val="3"/>
        <charset val="134"/>
      </rPr>
      <t>实收资本</t>
    </r>
    <phoneticPr fontId="5" type="noConversion"/>
  </si>
  <si>
    <r>
      <rPr>
        <sz val="10"/>
        <rFont val="宋体"/>
        <family val="3"/>
        <charset val="134"/>
      </rPr>
      <t>投资者名称</t>
    </r>
  </si>
  <si>
    <r>
      <rPr>
        <sz val="10"/>
        <rFont val="宋体"/>
        <family val="3"/>
        <charset val="134"/>
      </rPr>
      <t>投资金额</t>
    </r>
    <phoneticPr fontId="5" type="noConversion"/>
  </si>
  <si>
    <r>
      <rPr>
        <sz val="10"/>
        <rFont val="宋体"/>
        <family val="3"/>
        <charset val="134"/>
      </rPr>
      <t>期初比例尾数</t>
    </r>
    <phoneticPr fontId="5" type="noConversion"/>
  </si>
  <si>
    <r>
      <rPr>
        <sz val="10"/>
        <rFont val="宋体"/>
        <family val="3"/>
        <charset val="134"/>
      </rPr>
      <t>注：如果报告期内有增减变动行为的，应披露执行验资的会计师事务所名称和验资报告文号。</t>
    </r>
    <phoneticPr fontId="5" type="noConversion"/>
  </si>
  <si>
    <r>
      <rPr>
        <sz val="10"/>
        <rFont val="宋体"/>
        <family val="3"/>
        <charset val="134"/>
      </rPr>
      <t>备注</t>
    </r>
    <phoneticPr fontId="5" type="noConversion"/>
  </si>
  <si>
    <r>
      <rPr>
        <sz val="10"/>
        <rFont val="宋体"/>
        <family val="3"/>
        <charset val="134"/>
      </rPr>
      <t>其他非流动负债合计核对</t>
    </r>
    <phoneticPr fontId="5" type="noConversion"/>
  </si>
  <si>
    <r>
      <t>——</t>
    </r>
    <r>
      <rPr>
        <b/>
        <sz val="10"/>
        <rFont val="宋体"/>
        <family val="3"/>
        <charset val="134"/>
      </rPr>
      <t>递延收益</t>
    </r>
    <phoneticPr fontId="5" type="noConversion"/>
  </si>
  <si>
    <r>
      <rPr>
        <sz val="10"/>
        <rFont val="宋体"/>
        <family val="3"/>
        <charset val="134"/>
      </rPr>
      <t>计入损益</t>
    </r>
  </si>
  <si>
    <r>
      <rPr>
        <sz val="10"/>
        <rFont val="宋体"/>
        <family val="3"/>
        <charset val="134"/>
      </rPr>
      <t>返还</t>
    </r>
  </si>
  <si>
    <r>
      <t>——</t>
    </r>
    <r>
      <rPr>
        <b/>
        <sz val="10"/>
        <rFont val="宋体"/>
        <family val="3"/>
        <charset val="134"/>
      </rPr>
      <t>预计负债</t>
    </r>
    <phoneticPr fontId="5" type="noConversion"/>
  </si>
  <si>
    <r>
      <t>——</t>
    </r>
    <r>
      <rPr>
        <b/>
        <sz val="10"/>
        <rFont val="宋体"/>
        <family val="3"/>
        <charset val="134"/>
      </rPr>
      <t>专项应付款</t>
    </r>
    <phoneticPr fontId="5" type="noConversion"/>
  </si>
  <si>
    <r>
      <rPr>
        <sz val="10"/>
        <rFont val="宋体"/>
        <family val="3"/>
        <charset val="134"/>
      </rPr>
      <t>其中：</t>
    </r>
    <phoneticPr fontId="5" type="noConversion"/>
  </si>
  <si>
    <r>
      <rPr>
        <sz val="10"/>
        <rFont val="宋体"/>
        <family val="3"/>
        <charset val="134"/>
      </rPr>
      <t>合计核对</t>
    </r>
    <phoneticPr fontId="5" type="noConversion"/>
  </si>
  <si>
    <r>
      <t>——</t>
    </r>
    <r>
      <rPr>
        <b/>
        <sz val="10"/>
        <rFont val="宋体"/>
        <family val="3"/>
        <charset val="134"/>
      </rPr>
      <t>长期应付职工薪酬</t>
    </r>
    <phoneticPr fontId="5" type="noConversion"/>
  </si>
  <si>
    <r>
      <rPr>
        <sz val="10"/>
        <rFont val="宋体"/>
        <family val="3"/>
        <charset val="134"/>
      </rPr>
      <t>本年增加额</t>
    </r>
  </si>
  <si>
    <r>
      <rPr>
        <sz val="10"/>
        <rFont val="宋体"/>
        <family val="3"/>
        <charset val="134"/>
      </rPr>
      <t>本年减少额</t>
    </r>
  </si>
  <si>
    <r>
      <rPr>
        <sz val="10"/>
        <rFont val="宋体"/>
        <family val="3"/>
        <charset val="134"/>
      </rPr>
      <t>各项合计</t>
    </r>
    <phoneticPr fontId="5" type="noConversion"/>
  </si>
  <si>
    <r>
      <t>——</t>
    </r>
    <r>
      <rPr>
        <b/>
        <sz val="10"/>
        <rFont val="宋体"/>
        <family val="3"/>
        <charset val="134"/>
      </rPr>
      <t>长期应付款</t>
    </r>
    <phoneticPr fontId="5" type="noConversion"/>
  </si>
  <si>
    <r>
      <t>——</t>
    </r>
    <r>
      <rPr>
        <b/>
        <sz val="10"/>
        <rFont val="宋体"/>
        <family val="3"/>
        <charset val="134"/>
      </rPr>
      <t>优先股、永续债等金融工具</t>
    </r>
    <phoneticPr fontId="5" type="noConversion"/>
  </si>
  <si>
    <r>
      <t>1.</t>
    </r>
    <r>
      <rPr>
        <b/>
        <sz val="10"/>
        <rFont val="宋体"/>
        <family val="3"/>
        <charset val="134"/>
      </rPr>
      <t>期末发行在外的优先股、永续债等金融工具情况</t>
    </r>
    <phoneticPr fontId="5" type="noConversion"/>
  </si>
  <si>
    <r>
      <rPr>
        <sz val="10"/>
        <rFont val="宋体"/>
        <family val="3"/>
        <charset val="134"/>
      </rPr>
      <t>发行在外的金融工具</t>
    </r>
    <phoneticPr fontId="5" type="noConversion"/>
  </si>
  <si>
    <r>
      <rPr>
        <sz val="10"/>
        <rFont val="宋体"/>
        <family val="3"/>
        <charset val="134"/>
      </rPr>
      <t>发行时间</t>
    </r>
    <phoneticPr fontId="5" type="noConversion"/>
  </si>
  <si>
    <r>
      <rPr>
        <sz val="10"/>
        <rFont val="宋体"/>
        <family val="3"/>
        <charset val="134"/>
      </rPr>
      <t>会计分类</t>
    </r>
    <phoneticPr fontId="5" type="noConversion"/>
  </si>
  <si>
    <r>
      <rPr>
        <sz val="10"/>
        <rFont val="宋体"/>
        <family val="3"/>
        <charset val="134"/>
      </rPr>
      <t>股利率或利息率</t>
    </r>
    <phoneticPr fontId="5" type="noConversion"/>
  </si>
  <si>
    <r>
      <rPr>
        <sz val="10"/>
        <rFont val="宋体"/>
        <family val="3"/>
        <charset val="134"/>
      </rPr>
      <t>发行价格</t>
    </r>
    <phoneticPr fontId="5" type="noConversion"/>
  </si>
  <si>
    <r>
      <rPr>
        <sz val="10"/>
        <rFont val="宋体"/>
        <family val="3"/>
        <charset val="134"/>
      </rPr>
      <t>数量</t>
    </r>
    <phoneticPr fontId="5" type="noConversion"/>
  </si>
  <si>
    <r>
      <rPr>
        <sz val="10"/>
        <rFont val="宋体"/>
        <family val="3"/>
        <charset val="134"/>
      </rPr>
      <t>金额</t>
    </r>
    <phoneticPr fontId="5" type="noConversion"/>
  </si>
  <si>
    <r>
      <rPr>
        <sz val="10"/>
        <rFont val="宋体"/>
        <family val="3"/>
        <charset val="134"/>
      </rPr>
      <t>到期日或续期情况</t>
    </r>
    <phoneticPr fontId="5" type="noConversion"/>
  </si>
  <si>
    <r>
      <rPr>
        <sz val="10"/>
        <rFont val="宋体"/>
        <family val="3"/>
        <charset val="134"/>
      </rPr>
      <t>转股条件</t>
    </r>
    <phoneticPr fontId="5" type="noConversion"/>
  </si>
  <si>
    <r>
      <rPr>
        <sz val="10"/>
        <rFont val="宋体"/>
        <family val="3"/>
        <charset val="134"/>
      </rPr>
      <t>转换情况</t>
    </r>
    <phoneticPr fontId="5" type="noConversion"/>
  </si>
  <si>
    <r>
      <rPr>
        <sz val="10"/>
        <rFont val="宋体"/>
        <family val="3"/>
        <charset val="134"/>
      </rPr>
      <t>与报表数核对</t>
    </r>
    <phoneticPr fontId="5" type="noConversion"/>
  </si>
  <si>
    <r>
      <t>2.</t>
    </r>
    <r>
      <rPr>
        <b/>
        <sz val="10"/>
        <rFont val="宋体"/>
        <family val="3"/>
        <charset val="134"/>
      </rPr>
      <t>金融工具的主要条款</t>
    </r>
    <phoneticPr fontId="5" type="noConversion"/>
  </si>
  <si>
    <r>
      <t>3.</t>
    </r>
    <r>
      <rPr>
        <b/>
        <sz val="10"/>
        <rFont val="宋体"/>
        <family val="3"/>
        <charset val="134"/>
      </rPr>
      <t>发行在外的优先股、永续债等金融工具变动情况</t>
    </r>
    <phoneticPr fontId="5" type="noConversion"/>
  </si>
  <si>
    <r>
      <rPr>
        <sz val="10"/>
        <rFont val="宋体"/>
        <family val="3"/>
        <charset val="134"/>
      </rPr>
      <t>本期增加</t>
    </r>
    <phoneticPr fontId="5" type="noConversion"/>
  </si>
  <si>
    <r>
      <rPr>
        <sz val="10"/>
        <rFont val="宋体"/>
        <family val="3"/>
        <charset val="134"/>
      </rPr>
      <t>本期减少</t>
    </r>
    <phoneticPr fontId="5" type="noConversion"/>
  </si>
  <si>
    <r>
      <rPr>
        <sz val="10"/>
        <rFont val="宋体"/>
        <family val="3"/>
        <charset val="134"/>
      </rPr>
      <t>期末余额</t>
    </r>
    <phoneticPr fontId="5" type="noConversion"/>
  </si>
  <si>
    <r>
      <t>4.</t>
    </r>
    <r>
      <rPr>
        <b/>
        <sz val="10"/>
        <rFont val="宋体"/>
        <family val="3"/>
        <charset val="134"/>
      </rPr>
      <t>股利（或利息）的设定机制</t>
    </r>
    <phoneticPr fontId="5" type="noConversion"/>
  </si>
  <si>
    <r>
      <t>5.</t>
    </r>
    <r>
      <rPr>
        <b/>
        <sz val="10"/>
        <rFont val="宋体"/>
        <family val="3"/>
        <charset val="134"/>
      </rPr>
      <t>归属于权益工具持有者的信息</t>
    </r>
    <phoneticPr fontId="5" type="noConversion"/>
  </si>
  <si>
    <r>
      <rPr>
        <sz val="10"/>
        <rFont val="宋体"/>
        <family val="3"/>
        <charset val="134"/>
      </rPr>
      <t>期初数</t>
    </r>
    <phoneticPr fontId="5" type="noConversion"/>
  </si>
  <si>
    <r>
      <t>1.</t>
    </r>
    <r>
      <rPr>
        <sz val="10"/>
        <rFont val="宋体"/>
        <family val="3"/>
        <charset val="134"/>
      </rPr>
      <t>归属于母公司所有者的权益（股东权益）</t>
    </r>
    <phoneticPr fontId="5" type="noConversion"/>
  </si>
  <si>
    <r>
      <t xml:space="preserve">     </t>
    </r>
    <r>
      <rPr>
        <sz val="10"/>
        <rFont val="宋体"/>
        <family val="3"/>
        <charset val="134"/>
      </rPr>
      <t>其中：净利润</t>
    </r>
    <phoneticPr fontId="5" type="noConversion"/>
  </si>
  <si>
    <r>
      <t xml:space="preserve">           </t>
    </r>
    <r>
      <rPr>
        <sz val="10"/>
        <rFont val="宋体"/>
        <family val="3"/>
        <charset val="134"/>
      </rPr>
      <t>综合收益总额</t>
    </r>
    <phoneticPr fontId="5" type="noConversion"/>
  </si>
  <si>
    <r>
      <t xml:space="preserve">           </t>
    </r>
    <r>
      <rPr>
        <sz val="10"/>
        <rFont val="宋体"/>
        <family val="3"/>
        <charset val="134"/>
      </rPr>
      <t>当期已分配股利</t>
    </r>
    <phoneticPr fontId="5" type="noConversion"/>
  </si>
  <si>
    <r>
      <t xml:space="preserve">           </t>
    </r>
    <r>
      <rPr>
        <sz val="10"/>
        <rFont val="宋体"/>
        <family val="3"/>
        <charset val="134"/>
      </rPr>
      <t>累计未分配股利</t>
    </r>
    <phoneticPr fontId="5" type="noConversion"/>
  </si>
  <si>
    <r>
      <t>2.</t>
    </r>
    <r>
      <rPr>
        <sz val="10"/>
        <rFont val="宋体"/>
        <family val="3"/>
        <charset val="134"/>
      </rPr>
      <t>归属于少数股东的权益</t>
    </r>
    <phoneticPr fontId="5" type="noConversion"/>
  </si>
  <si>
    <r>
      <t>——</t>
    </r>
    <r>
      <rPr>
        <b/>
        <sz val="10"/>
        <rFont val="宋体"/>
        <family val="3"/>
        <charset val="134"/>
      </rPr>
      <t>应付债券</t>
    </r>
    <phoneticPr fontId="5" type="noConversion"/>
  </si>
  <si>
    <r>
      <rPr>
        <b/>
        <sz val="10"/>
        <rFont val="宋体"/>
        <family val="3"/>
        <charset val="134"/>
      </rPr>
      <t>（</t>
    </r>
    <r>
      <rPr>
        <b/>
        <sz val="10"/>
        <rFont val="Arial Narrow"/>
        <family val="2"/>
      </rPr>
      <t>1</t>
    </r>
    <r>
      <rPr>
        <b/>
        <sz val="10"/>
        <rFont val="宋体"/>
        <family val="3"/>
        <charset val="134"/>
      </rPr>
      <t>）应付债券</t>
    </r>
    <phoneticPr fontId="5" type="noConversion"/>
  </si>
  <si>
    <r>
      <rPr>
        <sz val="10"/>
        <rFont val="宋体"/>
        <family val="3"/>
        <charset val="134"/>
      </rPr>
      <t>小</t>
    </r>
    <r>
      <rPr>
        <sz val="10"/>
        <rFont val="Arial Narrow"/>
        <family val="2"/>
      </rPr>
      <t xml:space="preserve">  </t>
    </r>
    <r>
      <rPr>
        <sz val="10"/>
        <rFont val="宋体"/>
        <family val="3"/>
        <charset val="134"/>
      </rPr>
      <t>计</t>
    </r>
    <phoneticPr fontId="5" type="noConversion"/>
  </si>
  <si>
    <r>
      <rPr>
        <sz val="10"/>
        <rFont val="宋体"/>
        <family val="3"/>
        <charset val="134"/>
      </rPr>
      <t>所占比例（</t>
    </r>
    <r>
      <rPr>
        <sz val="10"/>
        <rFont val="Arial Narrow"/>
        <family val="2"/>
      </rPr>
      <t>%</t>
    </r>
    <r>
      <rPr>
        <sz val="10"/>
        <rFont val="宋体"/>
        <family val="3"/>
        <charset val="134"/>
      </rPr>
      <t>）</t>
    </r>
    <phoneticPr fontId="5" type="noConversion"/>
  </si>
  <si>
    <r>
      <rPr>
        <sz val="10"/>
        <rFont val="宋体"/>
        <family val="3"/>
        <charset val="134"/>
      </rPr>
      <t>项目</t>
    </r>
    <r>
      <rPr>
        <sz val="10"/>
        <rFont val="Arial Narrow"/>
        <family val="2"/>
      </rPr>
      <t>/</t>
    </r>
    <r>
      <rPr>
        <sz val="10"/>
        <rFont val="宋体"/>
        <family val="3"/>
        <charset val="134"/>
      </rPr>
      <t>类别</t>
    </r>
    <phoneticPr fontId="5" type="noConversion"/>
  </si>
  <si>
    <r>
      <rPr>
        <sz val="10"/>
        <rFont val="宋体"/>
        <family val="3"/>
        <charset val="134"/>
      </rPr>
      <t>（</t>
    </r>
    <r>
      <rPr>
        <sz val="10"/>
        <rFont val="Arial Narrow"/>
        <family val="2"/>
      </rPr>
      <t>1</t>
    </r>
    <r>
      <rPr>
        <sz val="10"/>
        <rFont val="宋体"/>
        <family val="3"/>
        <charset val="134"/>
      </rPr>
      <t>）归属于母公司普通股持有者的权益</t>
    </r>
    <phoneticPr fontId="5" type="noConversion"/>
  </si>
  <si>
    <r>
      <rPr>
        <sz val="10"/>
        <rFont val="宋体"/>
        <family val="3"/>
        <charset val="134"/>
      </rPr>
      <t>（</t>
    </r>
    <r>
      <rPr>
        <sz val="10"/>
        <rFont val="Arial Narrow"/>
        <family val="2"/>
      </rPr>
      <t>2</t>
    </r>
    <r>
      <rPr>
        <sz val="10"/>
        <rFont val="宋体"/>
        <family val="3"/>
        <charset val="134"/>
      </rPr>
      <t>）归属于母公司其他权益持有者的权益</t>
    </r>
    <phoneticPr fontId="5" type="noConversion"/>
  </si>
  <si>
    <r>
      <rPr>
        <sz val="10"/>
        <rFont val="宋体"/>
        <family val="3"/>
        <charset val="134"/>
      </rPr>
      <t>（</t>
    </r>
    <r>
      <rPr>
        <sz val="10"/>
        <rFont val="Arial Narrow"/>
        <family val="2"/>
      </rPr>
      <t>1</t>
    </r>
    <r>
      <rPr>
        <sz val="10"/>
        <rFont val="宋体"/>
        <family val="3"/>
        <charset val="134"/>
      </rPr>
      <t>）归属于普通股少数股东的权益</t>
    </r>
    <phoneticPr fontId="5" type="noConversion"/>
  </si>
  <si>
    <r>
      <rPr>
        <sz val="10"/>
        <rFont val="宋体"/>
        <family val="3"/>
        <charset val="134"/>
      </rPr>
      <t>（</t>
    </r>
    <r>
      <rPr>
        <sz val="10"/>
        <rFont val="Arial Narrow"/>
        <family val="2"/>
      </rPr>
      <t>2</t>
    </r>
    <r>
      <rPr>
        <sz val="10"/>
        <rFont val="宋体"/>
        <family val="3"/>
        <charset val="134"/>
      </rPr>
      <t>）归属于少数股东其他权益工具持有者的权益</t>
    </r>
    <phoneticPr fontId="5" type="noConversion"/>
  </si>
  <si>
    <r>
      <rPr>
        <b/>
        <sz val="10"/>
        <rFont val="宋体"/>
        <family val="3"/>
        <charset val="134"/>
      </rPr>
      <t>（</t>
    </r>
    <r>
      <rPr>
        <b/>
        <sz val="10"/>
        <rFont val="Arial Narrow"/>
        <family val="2"/>
      </rPr>
      <t>2</t>
    </r>
    <r>
      <rPr>
        <b/>
        <sz val="10"/>
        <rFont val="宋体"/>
        <family val="3"/>
        <charset val="134"/>
      </rPr>
      <t>）应付债券的增减变动</t>
    </r>
    <phoneticPr fontId="5" type="noConversion"/>
  </si>
  <si>
    <r>
      <rPr>
        <sz val="10"/>
        <rFont val="宋体"/>
        <family val="3"/>
        <charset val="134"/>
      </rPr>
      <t>面值</t>
    </r>
    <phoneticPr fontId="5" type="noConversion"/>
  </si>
  <si>
    <r>
      <rPr>
        <sz val="10"/>
        <rFont val="宋体"/>
        <family val="3"/>
        <charset val="134"/>
      </rPr>
      <t>发行日期</t>
    </r>
    <phoneticPr fontId="5" type="noConversion"/>
  </si>
  <si>
    <r>
      <rPr>
        <sz val="10"/>
        <rFont val="宋体"/>
        <family val="3"/>
        <charset val="134"/>
      </rPr>
      <t>债券期限</t>
    </r>
    <phoneticPr fontId="5" type="noConversion"/>
  </si>
  <si>
    <r>
      <t>——</t>
    </r>
    <r>
      <rPr>
        <b/>
        <sz val="10"/>
        <rFont val="宋体"/>
        <family val="3"/>
        <charset val="134"/>
      </rPr>
      <t>资本公积</t>
    </r>
    <phoneticPr fontId="5" type="noConversion"/>
  </si>
  <si>
    <r>
      <rPr>
        <sz val="10"/>
        <rFont val="宋体"/>
        <family val="3"/>
        <charset val="134"/>
      </rPr>
      <t>③原制度资本公积转入</t>
    </r>
    <phoneticPr fontId="5" type="noConversion"/>
  </si>
  <si>
    <r>
      <rPr>
        <sz val="10"/>
        <rFont val="宋体"/>
        <family val="3"/>
        <charset val="134"/>
      </rPr>
      <t>期末比例尾数</t>
    </r>
    <phoneticPr fontId="5" type="noConversion"/>
  </si>
  <si>
    <r>
      <t>——</t>
    </r>
    <r>
      <rPr>
        <b/>
        <sz val="10"/>
        <rFont val="宋体"/>
        <family val="3"/>
        <charset val="134"/>
      </rPr>
      <t>其他非流动负债</t>
    </r>
    <phoneticPr fontId="5" type="noConversion"/>
  </si>
  <si>
    <r>
      <rPr>
        <sz val="10"/>
        <rFont val="宋体"/>
        <family val="3"/>
        <charset val="134"/>
      </rPr>
      <t>项目</t>
    </r>
    <r>
      <rPr>
        <sz val="10"/>
        <rFont val="Arial Narrow"/>
        <family val="2"/>
      </rPr>
      <t>/</t>
    </r>
    <r>
      <rPr>
        <sz val="10"/>
        <rFont val="宋体"/>
        <family val="3"/>
        <charset val="134"/>
      </rPr>
      <t>类别</t>
    </r>
    <phoneticPr fontId="5" type="noConversion"/>
  </si>
  <si>
    <r>
      <rPr>
        <sz val="10"/>
        <rFont val="宋体"/>
        <family val="3"/>
        <charset val="134"/>
      </rPr>
      <t>本年减少</t>
    </r>
    <phoneticPr fontId="5" type="noConversion"/>
  </si>
  <si>
    <r>
      <rPr>
        <sz val="10"/>
        <rFont val="宋体"/>
        <family val="3"/>
        <charset val="134"/>
      </rPr>
      <t>本年增加</t>
    </r>
    <phoneticPr fontId="5" type="noConversion"/>
  </si>
  <si>
    <r>
      <rPr>
        <sz val="10"/>
        <rFont val="宋体"/>
        <family val="3"/>
        <charset val="134"/>
      </rPr>
      <t>合计核对</t>
    </r>
    <phoneticPr fontId="5" type="noConversion"/>
  </si>
  <si>
    <r>
      <t>——</t>
    </r>
    <r>
      <rPr>
        <b/>
        <sz val="10"/>
        <rFont val="宋体"/>
        <family val="3"/>
        <charset val="134"/>
      </rPr>
      <t>专项储备</t>
    </r>
    <phoneticPr fontId="5" type="noConversion"/>
  </si>
  <si>
    <r>
      <t>——</t>
    </r>
    <r>
      <rPr>
        <b/>
        <sz val="10"/>
        <rFont val="宋体"/>
        <family val="3"/>
        <charset val="134"/>
      </rPr>
      <t>投资收益</t>
    </r>
    <phoneticPr fontId="5" type="noConversion"/>
  </si>
  <si>
    <r>
      <rPr>
        <sz val="10"/>
        <rFont val="宋体"/>
        <family val="3"/>
        <charset val="134"/>
      </rPr>
      <t>本年发生额</t>
    </r>
    <phoneticPr fontId="5" type="noConversion"/>
  </si>
  <si>
    <r>
      <rPr>
        <sz val="10"/>
        <rFont val="宋体"/>
        <family val="3"/>
        <charset val="134"/>
      </rPr>
      <t>上年发生额</t>
    </r>
    <phoneticPr fontId="5" type="noConversion"/>
  </si>
  <si>
    <r>
      <rPr>
        <sz val="10"/>
        <rFont val="宋体"/>
        <family val="3"/>
        <charset val="134"/>
      </rPr>
      <t>处置以公允价值计量且其变动计入当期损益金融资产取得的投资收益</t>
    </r>
    <phoneticPr fontId="5" type="noConversion"/>
  </si>
  <si>
    <r>
      <rPr>
        <sz val="10"/>
        <rFont val="宋体"/>
        <family val="3"/>
        <charset val="134"/>
      </rPr>
      <t>上期</t>
    </r>
    <phoneticPr fontId="5" type="noConversion"/>
  </si>
  <si>
    <r>
      <rPr>
        <sz val="10"/>
        <rFont val="宋体"/>
        <family val="3"/>
        <charset val="134"/>
      </rPr>
      <t>被投资单位名称</t>
    </r>
  </si>
  <si>
    <r>
      <rPr>
        <sz val="10"/>
        <rFont val="宋体"/>
        <family val="3"/>
        <charset val="134"/>
      </rPr>
      <t>本年发生数</t>
    </r>
  </si>
  <si>
    <r>
      <rPr>
        <sz val="10"/>
        <rFont val="宋体"/>
        <family val="3"/>
        <charset val="134"/>
      </rPr>
      <t>上年发生数</t>
    </r>
  </si>
  <si>
    <r>
      <rPr>
        <sz val="10"/>
        <rFont val="宋体"/>
        <family val="3"/>
        <charset val="134"/>
      </rPr>
      <t>为方便查找数据，请填列该表，但国企报表附注无需粘贴</t>
    </r>
    <phoneticPr fontId="5" type="noConversion"/>
  </si>
  <si>
    <r>
      <rPr>
        <sz val="10"/>
        <rFont val="宋体"/>
        <family val="3"/>
        <charset val="134"/>
      </rPr>
      <t>【</t>
    </r>
    <r>
      <rPr>
        <i/>
        <sz val="10"/>
        <rFont val="宋体"/>
        <family val="3"/>
        <charset val="134"/>
      </rPr>
      <t>公司应披露投资收益的其他相关情况。</t>
    </r>
    <r>
      <rPr>
        <sz val="10"/>
        <rFont val="宋体"/>
        <family val="3"/>
        <charset val="134"/>
      </rPr>
      <t>】</t>
    </r>
  </si>
  <si>
    <r>
      <rPr>
        <sz val="10"/>
        <rFont val="宋体"/>
        <family val="3"/>
        <charset val="134"/>
      </rPr>
      <t>本期</t>
    </r>
    <phoneticPr fontId="5" type="noConversion"/>
  </si>
  <si>
    <r>
      <t>——</t>
    </r>
    <r>
      <rPr>
        <b/>
        <sz val="10"/>
        <rFont val="宋体"/>
        <family val="3"/>
        <charset val="134"/>
      </rPr>
      <t>资产减值损失</t>
    </r>
    <phoneticPr fontId="5" type="noConversion"/>
  </si>
  <si>
    <r>
      <t>——</t>
    </r>
    <r>
      <rPr>
        <b/>
        <sz val="10"/>
        <rFont val="宋体"/>
        <family val="3"/>
        <charset val="134"/>
      </rPr>
      <t>财务费用</t>
    </r>
    <phoneticPr fontId="5" type="noConversion"/>
  </si>
  <si>
    <r>
      <rPr>
        <sz val="10"/>
        <rFont val="宋体"/>
        <family val="3"/>
        <charset val="134"/>
      </rPr>
      <t>本期发生数</t>
    </r>
  </si>
  <si>
    <r>
      <rPr>
        <sz val="10"/>
        <rFont val="宋体"/>
        <family val="3"/>
        <charset val="134"/>
      </rPr>
      <t>上期发生数</t>
    </r>
  </si>
  <si>
    <r>
      <rPr>
        <sz val="10"/>
        <rFont val="宋体"/>
        <family val="3"/>
        <charset val="134"/>
      </rPr>
      <t>金融机构手续费</t>
    </r>
    <phoneticPr fontId="5" type="noConversion"/>
  </si>
  <si>
    <r>
      <rPr>
        <sz val="10"/>
        <rFont val="宋体"/>
        <family val="3"/>
        <charset val="134"/>
      </rPr>
      <t>票据贴现支出</t>
    </r>
    <phoneticPr fontId="5" type="noConversion"/>
  </si>
  <si>
    <r>
      <rPr>
        <sz val="10"/>
        <rFont val="宋体"/>
        <family val="3"/>
        <charset val="134"/>
      </rPr>
      <t>其他筹资费用（融资顾问费）</t>
    </r>
    <phoneticPr fontId="5" type="noConversion"/>
  </si>
  <si>
    <r>
      <rPr>
        <sz val="10"/>
        <rFont val="宋体"/>
        <family val="3"/>
        <charset val="134"/>
      </rPr>
      <t>与上表核对</t>
    </r>
    <phoneticPr fontId="5" type="noConversion"/>
  </si>
  <si>
    <r>
      <rPr>
        <sz val="10"/>
        <rFont val="宋体"/>
        <family val="3"/>
        <charset val="134"/>
      </rPr>
      <t>本期发生额</t>
    </r>
  </si>
  <si>
    <r>
      <rPr>
        <sz val="10"/>
        <rFont val="宋体"/>
        <family val="3"/>
        <charset val="134"/>
      </rPr>
      <t>上期发生额</t>
    </r>
  </si>
  <si>
    <r>
      <t>——</t>
    </r>
    <r>
      <rPr>
        <b/>
        <sz val="10"/>
        <rFont val="宋体"/>
        <family val="3"/>
        <charset val="134"/>
      </rPr>
      <t>管理费用</t>
    </r>
    <phoneticPr fontId="5" type="noConversion"/>
  </si>
  <si>
    <r>
      <rPr>
        <sz val="10"/>
        <rFont val="宋体"/>
        <family val="3"/>
        <charset val="134"/>
      </rPr>
      <t>项目明细占比分析</t>
    </r>
    <phoneticPr fontId="5" type="noConversion"/>
  </si>
  <si>
    <r>
      <rPr>
        <sz val="10"/>
        <rFont val="宋体"/>
        <family val="3"/>
        <charset val="134"/>
      </rPr>
      <t>项目历年环比分析</t>
    </r>
    <phoneticPr fontId="5" type="noConversion"/>
  </si>
  <si>
    <r>
      <rPr>
        <sz val="10"/>
        <rFont val="宋体"/>
        <family val="3"/>
        <charset val="134"/>
      </rPr>
      <t>本期比上期增加</t>
    </r>
    <phoneticPr fontId="5" type="noConversion"/>
  </si>
  <si>
    <r>
      <rPr>
        <sz val="10"/>
        <rFont val="宋体"/>
        <family val="3"/>
        <charset val="134"/>
      </rPr>
      <t>如果上述明细中有研究与开发费，请与主表核对是否一致</t>
    </r>
    <phoneticPr fontId="5" type="noConversion"/>
  </si>
  <si>
    <r>
      <t>——</t>
    </r>
    <r>
      <rPr>
        <b/>
        <sz val="10"/>
        <rFont val="宋体"/>
        <family val="3"/>
        <charset val="134"/>
      </rPr>
      <t>销售费用</t>
    </r>
    <phoneticPr fontId="5" type="noConversion"/>
  </si>
  <si>
    <r>
      <rPr>
        <sz val="10"/>
        <rFont val="宋体"/>
        <family val="3"/>
        <charset val="134"/>
      </rPr>
      <t>计提标准</t>
    </r>
  </si>
  <si>
    <r>
      <t>——</t>
    </r>
    <r>
      <rPr>
        <b/>
        <sz val="10"/>
        <rFont val="宋体"/>
        <family val="3"/>
        <charset val="134"/>
      </rPr>
      <t>营业收入营业成本</t>
    </r>
    <phoneticPr fontId="5" type="noConversion"/>
  </si>
  <si>
    <r>
      <rPr>
        <sz val="10"/>
        <rFont val="宋体"/>
        <family val="3"/>
        <charset val="134"/>
      </rPr>
      <t>本年发生额</t>
    </r>
  </si>
  <si>
    <r>
      <rPr>
        <sz val="10"/>
        <rFont val="宋体"/>
        <family val="3"/>
        <charset val="134"/>
      </rPr>
      <t>上年发生额</t>
    </r>
  </si>
  <si>
    <r>
      <rPr>
        <sz val="10"/>
        <rFont val="宋体"/>
        <family val="3"/>
        <charset val="134"/>
      </rPr>
      <t>收入</t>
    </r>
  </si>
  <si>
    <r>
      <rPr>
        <sz val="10"/>
        <rFont val="宋体"/>
        <family val="3"/>
        <charset val="134"/>
      </rPr>
      <t>主营业务小计</t>
    </r>
    <phoneticPr fontId="5" type="noConversion"/>
  </si>
  <si>
    <r>
      <rPr>
        <sz val="10"/>
        <rFont val="宋体"/>
        <family val="3"/>
        <charset val="134"/>
      </rPr>
      <t>其他业务小计</t>
    </r>
  </si>
  <si>
    <r>
      <rPr>
        <sz val="10"/>
        <rFont val="宋体"/>
        <family val="3"/>
        <charset val="134"/>
      </rPr>
      <t>①本年确认收入金额最大的前十项建造合同情况如下：</t>
    </r>
  </si>
  <si>
    <r>
      <rPr>
        <sz val="10"/>
        <rFont val="宋体"/>
        <family val="3"/>
        <charset val="134"/>
      </rPr>
      <t>合同项目</t>
    </r>
  </si>
  <si>
    <r>
      <rPr>
        <sz val="10"/>
        <rFont val="宋体"/>
        <family val="3"/>
        <charset val="134"/>
      </rPr>
      <t>合同总金额</t>
    </r>
  </si>
  <si>
    <r>
      <rPr>
        <sz val="10"/>
        <rFont val="宋体"/>
        <family val="3"/>
        <charset val="134"/>
      </rPr>
      <t>合同总成本</t>
    </r>
  </si>
  <si>
    <r>
      <rPr>
        <sz val="10"/>
        <rFont val="宋体"/>
        <family val="3"/>
        <charset val="134"/>
      </rPr>
      <t>累计确认的合同收入</t>
    </r>
  </si>
  <si>
    <r>
      <rPr>
        <sz val="10"/>
        <rFont val="宋体"/>
        <family val="3"/>
        <charset val="134"/>
      </rPr>
      <t>累计确认的合同成本</t>
    </r>
  </si>
  <si>
    <r>
      <rPr>
        <sz val="10"/>
        <rFont val="宋体"/>
        <family val="3"/>
        <charset val="134"/>
      </rPr>
      <t>①固定造价合同</t>
    </r>
  </si>
  <si>
    <r>
      <rPr>
        <sz val="10"/>
        <rFont val="宋体"/>
        <family val="3"/>
        <charset val="134"/>
      </rPr>
      <t>　其中：</t>
    </r>
  </si>
  <si>
    <r>
      <rPr>
        <sz val="10"/>
        <rFont val="宋体"/>
        <family val="3"/>
        <charset val="134"/>
      </rPr>
      <t>②成本加成合同</t>
    </r>
  </si>
  <si>
    <r>
      <rPr>
        <sz val="10"/>
        <rFont val="宋体"/>
        <family val="3"/>
        <charset val="134"/>
      </rPr>
      <t>续</t>
    </r>
    <phoneticPr fontId="5" type="noConversion"/>
  </si>
  <si>
    <r>
      <rPr>
        <sz val="10"/>
        <rFont val="宋体"/>
        <family val="3"/>
        <charset val="134"/>
      </rPr>
      <t>已办理结算价款金额</t>
    </r>
    <phoneticPr fontId="5" type="noConversion"/>
  </si>
  <si>
    <r>
      <rPr>
        <sz val="10"/>
        <rFont val="宋体"/>
        <family val="3"/>
        <charset val="134"/>
      </rPr>
      <t>当期确认的合同收入</t>
    </r>
  </si>
  <si>
    <r>
      <rPr>
        <sz val="10"/>
        <rFont val="宋体"/>
        <family val="3"/>
        <charset val="134"/>
      </rPr>
      <t>当期确认的合同成本</t>
    </r>
  </si>
  <si>
    <r>
      <rPr>
        <sz val="10"/>
        <rFont val="宋体"/>
        <family val="3"/>
        <charset val="134"/>
      </rPr>
      <t>②建造合同预计损失</t>
    </r>
  </si>
  <si>
    <r>
      <rPr>
        <sz val="10"/>
        <rFont val="宋体"/>
        <family val="3"/>
        <charset val="134"/>
      </rPr>
      <t>建造项目</t>
    </r>
  </si>
  <si>
    <r>
      <rPr>
        <sz val="10"/>
        <rFont val="宋体"/>
        <family val="3"/>
        <charset val="134"/>
      </rPr>
      <t>预计损失金额</t>
    </r>
  </si>
  <si>
    <r>
      <rPr>
        <sz val="10"/>
        <rFont val="宋体"/>
        <family val="3"/>
        <charset val="134"/>
      </rPr>
      <t>预计损失原因</t>
    </r>
  </si>
  <si>
    <r>
      <rPr>
        <sz val="10"/>
        <rFont val="宋体"/>
        <family val="3"/>
        <charset val="134"/>
      </rPr>
      <t>主营业务收入</t>
    </r>
    <phoneticPr fontId="5" type="noConversion"/>
  </si>
  <si>
    <r>
      <rPr>
        <sz val="10"/>
        <rFont val="宋体"/>
        <family val="3"/>
        <charset val="134"/>
      </rPr>
      <t>主营业务成本</t>
    </r>
    <phoneticPr fontId="5" type="noConversion"/>
  </si>
  <si>
    <r>
      <rPr>
        <sz val="10"/>
        <rFont val="宋体"/>
        <family val="3"/>
        <charset val="134"/>
      </rPr>
      <t>其他业务收入</t>
    </r>
    <phoneticPr fontId="5" type="noConversion"/>
  </si>
  <si>
    <r>
      <rPr>
        <sz val="10"/>
        <rFont val="宋体"/>
        <family val="3"/>
        <charset val="134"/>
      </rPr>
      <t>其他业务成本</t>
    </r>
    <phoneticPr fontId="5" type="noConversion"/>
  </si>
  <si>
    <r>
      <t>——</t>
    </r>
    <r>
      <rPr>
        <b/>
        <sz val="10"/>
        <rFont val="宋体"/>
        <family val="3"/>
        <charset val="134"/>
      </rPr>
      <t>未分配利润</t>
    </r>
    <phoneticPr fontId="5" type="noConversion"/>
  </si>
  <si>
    <r>
      <rPr>
        <sz val="10"/>
        <rFont val="宋体"/>
        <family val="3"/>
        <charset val="134"/>
      </rPr>
      <t>本年金额</t>
    </r>
    <phoneticPr fontId="5" type="noConversion"/>
  </si>
  <si>
    <r>
      <rPr>
        <sz val="10"/>
        <rFont val="宋体"/>
        <family val="3"/>
        <charset val="134"/>
      </rPr>
      <t>上年金额</t>
    </r>
    <phoneticPr fontId="5" type="noConversion"/>
  </si>
  <si>
    <r>
      <t>——</t>
    </r>
    <r>
      <rPr>
        <b/>
        <sz val="10"/>
        <rFont val="宋体"/>
        <family val="3"/>
        <charset val="134"/>
      </rPr>
      <t>盈余公积</t>
    </r>
    <phoneticPr fontId="5" type="noConversion"/>
  </si>
  <si>
    <r>
      <rPr>
        <sz val="10"/>
        <rFont val="宋体"/>
        <family val="3"/>
        <charset val="134"/>
      </rPr>
      <t>变动原因、依据</t>
    </r>
    <phoneticPr fontId="5" type="noConversion"/>
  </si>
  <si>
    <r>
      <rPr>
        <sz val="10"/>
        <rFont val="宋体"/>
        <family val="3"/>
        <charset val="134"/>
      </rPr>
      <t>期初</t>
    </r>
    <phoneticPr fontId="5" type="noConversion"/>
  </si>
  <si>
    <r>
      <t xml:space="preserve">  </t>
    </r>
    <r>
      <rPr>
        <sz val="10"/>
        <rFont val="宋体"/>
        <family val="3"/>
        <charset val="134"/>
      </rPr>
      <t>与主表其中项核对：</t>
    </r>
    <phoneticPr fontId="5" type="noConversion"/>
  </si>
  <si>
    <r>
      <t xml:space="preserve">      </t>
    </r>
    <r>
      <rPr>
        <sz val="10"/>
        <rFont val="宋体"/>
        <family val="3"/>
        <charset val="134"/>
      </rPr>
      <t>其中：法定公积金</t>
    </r>
    <phoneticPr fontId="5" type="noConversion"/>
  </si>
  <si>
    <r>
      <t xml:space="preserve">            </t>
    </r>
    <r>
      <rPr>
        <sz val="10"/>
        <rFont val="宋体"/>
        <family val="3"/>
        <charset val="134"/>
      </rPr>
      <t>任意公积金</t>
    </r>
    <phoneticPr fontId="5" type="noConversion"/>
  </si>
  <si>
    <r>
      <t xml:space="preserve">            </t>
    </r>
    <r>
      <rPr>
        <sz val="10"/>
        <rFont val="宋体"/>
        <family val="3"/>
        <charset val="134"/>
      </rPr>
      <t>企业发展基金</t>
    </r>
    <phoneticPr fontId="5" type="noConversion"/>
  </si>
  <si>
    <r>
      <t xml:space="preserve">            </t>
    </r>
    <r>
      <rPr>
        <sz val="10"/>
        <rFont val="宋体"/>
        <family val="3"/>
        <charset val="134"/>
      </rPr>
      <t>利润归还投资</t>
    </r>
    <phoneticPr fontId="5" type="noConversion"/>
  </si>
  <si>
    <r>
      <rPr>
        <sz val="10"/>
        <rFont val="宋体"/>
        <family val="3"/>
        <charset val="134"/>
      </rPr>
      <t>（</t>
    </r>
    <r>
      <rPr>
        <sz val="10"/>
        <rFont val="Arial Narrow"/>
        <family val="2"/>
      </rPr>
      <t>2</t>
    </r>
    <r>
      <rPr>
        <sz val="10"/>
        <rFont val="宋体"/>
        <family val="3"/>
        <charset val="134"/>
      </rPr>
      <t>）按成本法核算的长期股权投资收益</t>
    </r>
  </si>
  <si>
    <r>
      <rPr>
        <sz val="10"/>
        <color theme="2"/>
        <rFont val="宋体"/>
        <family val="3"/>
        <charset val="134"/>
      </rPr>
      <t>注：【</t>
    </r>
    <r>
      <rPr>
        <i/>
        <sz val="10"/>
        <color theme="2"/>
        <rFont val="宋体"/>
        <family val="3"/>
        <charset val="134"/>
      </rPr>
      <t>报告期未取得投资收益的，不在本表填列；</t>
    </r>
    <r>
      <rPr>
        <b/>
        <sz val="10"/>
        <color theme="2"/>
        <rFont val="宋体"/>
        <family val="3"/>
        <charset val="134"/>
      </rPr>
      <t>仅列示投资收益占利润总额</t>
    </r>
    <r>
      <rPr>
        <b/>
        <sz val="10"/>
        <color theme="2"/>
        <rFont val="Arial Narrow"/>
        <family val="2"/>
      </rPr>
      <t>5%</t>
    </r>
    <r>
      <rPr>
        <b/>
        <sz val="10"/>
        <color theme="2"/>
        <rFont val="宋体"/>
        <family val="3"/>
        <charset val="134"/>
      </rPr>
      <t>以上的被投资单位，或占利润总额比例最高的前</t>
    </r>
    <r>
      <rPr>
        <b/>
        <sz val="10"/>
        <color theme="2"/>
        <rFont val="Arial Narrow"/>
        <family val="2"/>
      </rPr>
      <t>5</t>
    </r>
    <r>
      <rPr>
        <b/>
        <sz val="10"/>
        <color theme="2"/>
        <rFont val="宋体"/>
        <family val="3"/>
        <charset val="134"/>
      </rPr>
      <t>家被投资单位。</t>
    </r>
    <r>
      <rPr>
        <sz val="10"/>
        <color theme="2"/>
        <rFont val="宋体"/>
        <family val="3"/>
        <charset val="134"/>
      </rPr>
      <t>】</t>
    </r>
  </si>
  <si>
    <r>
      <rPr>
        <sz val="10"/>
        <rFont val="宋体"/>
        <family val="3"/>
        <charset val="134"/>
      </rPr>
      <t>（</t>
    </r>
    <r>
      <rPr>
        <sz val="10"/>
        <rFont val="Arial Narrow"/>
        <family val="2"/>
      </rPr>
      <t>3</t>
    </r>
    <r>
      <rPr>
        <sz val="10"/>
        <rFont val="宋体"/>
        <family val="3"/>
        <charset val="134"/>
      </rPr>
      <t>）按权益法核算的长期股权投资收益</t>
    </r>
  </si>
  <si>
    <r>
      <rPr>
        <sz val="10"/>
        <rFont val="宋体"/>
        <family val="3"/>
        <charset val="134"/>
      </rPr>
      <t>注：【</t>
    </r>
    <r>
      <rPr>
        <i/>
        <sz val="10"/>
        <rFont val="宋体"/>
        <family val="3"/>
        <charset val="134"/>
      </rPr>
      <t>报告期未取得投资收益的，不在本表填列；</t>
    </r>
    <r>
      <rPr>
        <b/>
        <sz val="10"/>
        <rFont val="宋体"/>
        <family val="3"/>
        <charset val="134"/>
      </rPr>
      <t>仅列示投资收益占利润总额</t>
    </r>
    <r>
      <rPr>
        <b/>
        <sz val="10"/>
        <rFont val="Arial Narrow"/>
        <family val="2"/>
      </rPr>
      <t>5%</t>
    </r>
    <r>
      <rPr>
        <b/>
        <sz val="10"/>
        <rFont val="宋体"/>
        <family val="3"/>
        <charset val="134"/>
      </rPr>
      <t>以上的投资单位，或占利润总额比例最高的前</t>
    </r>
    <r>
      <rPr>
        <b/>
        <sz val="10"/>
        <rFont val="Arial Narrow"/>
        <family val="2"/>
      </rPr>
      <t>5</t>
    </r>
    <r>
      <rPr>
        <b/>
        <sz val="10"/>
        <rFont val="宋体"/>
        <family val="3"/>
        <charset val="134"/>
      </rPr>
      <t>家投资单位。</t>
    </r>
    <r>
      <rPr>
        <sz val="10"/>
        <rFont val="宋体"/>
        <family val="3"/>
        <charset val="134"/>
      </rPr>
      <t>】</t>
    </r>
  </si>
  <si>
    <r>
      <rPr>
        <sz val="10"/>
        <rFont val="宋体"/>
        <family val="3"/>
        <charset val="134"/>
      </rPr>
      <t>财务费用</t>
    </r>
    <r>
      <rPr>
        <sz val="10"/>
        <rFont val="Arial Narrow"/>
        <family val="2"/>
      </rPr>
      <t>—</t>
    </r>
    <r>
      <rPr>
        <sz val="10"/>
        <rFont val="宋体"/>
        <family val="3"/>
        <charset val="134"/>
      </rPr>
      <t>其他的主要明细内容列示：</t>
    </r>
    <phoneticPr fontId="5" type="noConversion"/>
  </si>
  <si>
    <r>
      <rPr>
        <sz val="10"/>
        <rFont val="宋体"/>
        <family val="3"/>
        <charset val="134"/>
      </rPr>
      <t>与其中项核对</t>
    </r>
    <r>
      <rPr>
        <sz val="10"/>
        <rFont val="Arial Narrow"/>
        <family val="2"/>
      </rPr>
      <t>--</t>
    </r>
    <r>
      <rPr>
        <sz val="10"/>
        <rFont val="宋体"/>
        <family val="3"/>
        <charset val="134"/>
      </rPr>
      <t>利息支出</t>
    </r>
    <phoneticPr fontId="5" type="noConversion"/>
  </si>
  <si>
    <r>
      <rPr>
        <sz val="10"/>
        <rFont val="宋体"/>
        <family val="3"/>
        <charset val="134"/>
      </rPr>
      <t>与其中项核对</t>
    </r>
    <r>
      <rPr>
        <sz val="10"/>
        <rFont val="Arial Narrow"/>
        <family val="2"/>
      </rPr>
      <t>--</t>
    </r>
    <r>
      <rPr>
        <sz val="10"/>
        <rFont val="宋体"/>
        <family val="3"/>
        <charset val="134"/>
      </rPr>
      <t>利息收入</t>
    </r>
    <phoneticPr fontId="5" type="noConversion"/>
  </si>
  <si>
    <r>
      <rPr>
        <sz val="10"/>
        <rFont val="宋体"/>
        <family val="3"/>
        <charset val="134"/>
      </rPr>
      <t>与其中项核对</t>
    </r>
    <r>
      <rPr>
        <sz val="10"/>
        <rFont val="Arial Narrow"/>
        <family val="2"/>
      </rPr>
      <t>--</t>
    </r>
    <r>
      <rPr>
        <sz val="10"/>
        <rFont val="宋体"/>
        <family val="3"/>
        <charset val="134"/>
      </rPr>
      <t>汇兑损益</t>
    </r>
    <phoneticPr fontId="5" type="noConversion"/>
  </si>
  <si>
    <r>
      <rPr>
        <sz val="10"/>
        <rFont val="宋体"/>
        <family val="3"/>
        <charset val="134"/>
      </rPr>
      <t>注：</t>
    </r>
    <r>
      <rPr>
        <i/>
        <sz val="10"/>
        <rFont val="宋体"/>
        <family val="3"/>
        <charset val="134"/>
      </rPr>
      <t>【最少需填写金额较大的前</t>
    </r>
    <r>
      <rPr>
        <i/>
        <sz val="10"/>
        <rFont val="Arial Narrow"/>
        <family val="2"/>
      </rPr>
      <t>10</t>
    </r>
    <r>
      <rPr>
        <i/>
        <sz val="10"/>
        <rFont val="宋体"/>
        <family val="3"/>
        <charset val="134"/>
      </rPr>
      <t>项明细，其余项目归并为</t>
    </r>
    <r>
      <rPr>
        <i/>
        <sz val="10"/>
        <rFont val="Arial Narrow"/>
        <family val="2"/>
      </rPr>
      <t>“</t>
    </r>
    <r>
      <rPr>
        <i/>
        <sz val="10"/>
        <rFont val="宋体"/>
        <family val="3"/>
        <charset val="134"/>
      </rPr>
      <t>其他</t>
    </r>
    <r>
      <rPr>
        <i/>
        <sz val="10"/>
        <rFont val="Arial Narrow"/>
        <family val="2"/>
      </rPr>
      <t>“</t>
    </r>
    <r>
      <rPr>
        <i/>
        <sz val="10"/>
        <rFont val="宋体"/>
        <family val="3"/>
        <charset val="134"/>
      </rPr>
      <t>项合计填列。】</t>
    </r>
    <phoneticPr fontId="5" type="noConversion"/>
  </si>
  <si>
    <r>
      <rPr>
        <b/>
        <sz val="10"/>
        <rFont val="宋体"/>
        <family val="3"/>
        <charset val="134"/>
      </rPr>
      <t>（</t>
    </r>
    <r>
      <rPr>
        <b/>
        <sz val="10"/>
        <rFont val="Arial Narrow"/>
        <family val="2"/>
      </rPr>
      <t>1</t>
    </r>
    <r>
      <rPr>
        <b/>
        <sz val="10"/>
        <rFont val="宋体"/>
        <family val="3"/>
        <charset val="134"/>
      </rPr>
      <t>）营业收入、成本明细情况</t>
    </r>
  </si>
  <si>
    <r>
      <rPr>
        <sz val="10"/>
        <rFont val="宋体"/>
        <family val="3"/>
        <charset val="134"/>
      </rPr>
      <t>项</t>
    </r>
    <r>
      <rPr>
        <sz val="10"/>
        <rFont val="Arial Narrow"/>
        <family val="2"/>
      </rPr>
      <t xml:space="preserve">   </t>
    </r>
    <r>
      <rPr>
        <sz val="10"/>
        <rFont val="宋体"/>
        <family val="3"/>
        <charset val="134"/>
      </rPr>
      <t>目</t>
    </r>
    <r>
      <rPr>
        <sz val="10"/>
        <rFont val="Arial Narrow"/>
        <family val="2"/>
      </rPr>
      <t xml:space="preserve"> </t>
    </r>
  </si>
  <si>
    <r>
      <rPr>
        <sz val="10"/>
        <rFont val="宋体"/>
        <family val="3"/>
        <charset val="134"/>
      </rPr>
      <t>（</t>
    </r>
    <r>
      <rPr>
        <sz val="10"/>
        <rFont val="Arial Narrow"/>
        <family val="2"/>
      </rPr>
      <t>2</t>
    </r>
    <r>
      <rPr>
        <sz val="10"/>
        <rFont val="宋体"/>
        <family val="3"/>
        <charset val="134"/>
      </rPr>
      <t>）建造合同</t>
    </r>
  </si>
  <si>
    <r>
      <rPr>
        <sz val="10"/>
        <rFont val="宋体"/>
        <family val="3"/>
        <charset val="134"/>
      </rPr>
      <t>完工进度（</t>
    </r>
    <r>
      <rPr>
        <sz val="10"/>
        <rFont val="Arial Narrow"/>
        <family val="2"/>
      </rPr>
      <t>%</t>
    </r>
    <r>
      <rPr>
        <sz val="10"/>
        <rFont val="宋体"/>
        <family val="3"/>
        <charset val="134"/>
      </rPr>
      <t>）</t>
    </r>
  </si>
  <si>
    <r>
      <rPr>
        <sz val="10"/>
        <rFont val="宋体"/>
        <family val="3"/>
        <charset val="134"/>
      </rPr>
      <t>累计已确认毛利（亏损以</t>
    </r>
    <r>
      <rPr>
        <sz val="10"/>
        <rFont val="Arial Narrow"/>
        <family val="2"/>
      </rPr>
      <t>-</t>
    </r>
    <r>
      <rPr>
        <sz val="10"/>
        <rFont val="宋体"/>
        <family val="3"/>
        <charset val="134"/>
      </rPr>
      <t>表示）</t>
    </r>
  </si>
  <si>
    <r>
      <t xml:space="preserve">            </t>
    </r>
    <r>
      <rPr>
        <sz val="10"/>
        <rFont val="宋体"/>
        <family val="3"/>
        <charset val="134"/>
      </rPr>
      <t>储备基金</t>
    </r>
    <phoneticPr fontId="5" type="noConversion"/>
  </si>
  <si>
    <r>
      <rPr>
        <sz val="10"/>
        <rFont val="宋体"/>
        <family val="3"/>
        <charset val="134"/>
      </rPr>
      <t>年初余额</t>
    </r>
    <phoneticPr fontId="5" type="noConversion"/>
  </si>
  <si>
    <r>
      <rPr>
        <sz val="10"/>
        <rFont val="宋体"/>
        <family val="3"/>
        <charset val="134"/>
      </rPr>
      <t>本年减少</t>
    </r>
    <phoneticPr fontId="5" type="noConversion"/>
  </si>
  <si>
    <r>
      <rPr>
        <sz val="10"/>
        <rFont val="宋体"/>
        <family val="3"/>
        <charset val="134"/>
      </rPr>
      <t>持有以公允价值计量且其变动计入当期损益金融资产期间取得的投资收益</t>
    </r>
    <phoneticPr fontId="5" type="noConversion"/>
  </si>
  <si>
    <r>
      <t>——</t>
    </r>
    <r>
      <rPr>
        <b/>
        <sz val="10"/>
        <rFont val="宋体"/>
        <family val="3"/>
        <charset val="134"/>
      </rPr>
      <t>公允价值变动收益</t>
    </r>
    <phoneticPr fontId="5" type="noConversion"/>
  </si>
  <si>
    <r>
      <rPr>
        <sz val="10"/>
        <rFont val="宋体"/>
        <family val="3"/>
        <charset val="134"/>
      </rPr>
      <t>上年发生额</t>
    </r>
    <phoneticPr fontId="5" type="noConversion"/>
  </si>
  <si>
    <r>
      <rPr>
        <sz val="10"/>
        <rFont val="宋体"/>
        <family val="3"/>
        <charset val="134"/>
      </rPr>
      <t>项目历年环比分析</t>
    </r>
    <phoneticPr fontId="5" type="noConversion"/>
  </si>
  <si>
    <r>
      <t xml:space="preserve">            </t>
    </r>
    <r>
      <rPr>
        <sz val="10"/>
        <rFont val="宋体"/>
        <family val="3"/>
        <charset val="134"/>
      </rPr>
      <t>任意公积金</t>
    </r>
    <phoneticPr fontId="5" type="noConversion"/>
  </si>
  <si>
    <r>
      <t xml:space="preserve">              </t>
    </r>
    <r>
      <rPr>
        <sz val="10"/>
        <rFont val="宋体"/>
        <family val="3"/>
        <charset val="134"/>
      </rPr>
      <t>其中：非流动资产处置损失</t>
    </r>
    <phoneticPr fontId="5" type="noConversion"/>
  </si>
  <si>
    <r>
      <t xml:space="preserve">                  </t>
    </r>
    <r>
      <rPr>
        <sz val="10"/>
        <rFont val="宋体"/>
        <family val="3"/>
        <charset val="134"/>
      </rPr>
      <t>非货币性资产交换损失</t>
    </r>
  </si>
  <si>
    <r>
      <t xml:space="preserve">                  </t>
    </r>
    <r>
      <rPr>
        <sz val="10"/>
        <rFont val="宋体"/>
        <family val="3"/>
        <charset val="134"/>
      </rPr>
      <t>债务重组损失</t>
    </r>
  </si>
  <si>
    <r>
      <rPr>
        <u/>
        <sz val="10"/>
        <rFont val="宋体"/>
        <family val="3"/>
        <charset val="134"/>
      </rPr>
      <t>返回财务专项说明</t>
    </r>
    <phoneticPr fontId="5" type="noConversion"/>
  </si>
  <si>
    <r>
      <rPr>
        <sz val="10"/>
        <rFont val="宋体"/>
        <family val="3"/>
        <charset val="134"/>
      </rPr>
      <t>计入当年非经常性损益金额</t>
    </r>
    <phoneticPr fontId="5" type="noConversion"/>
  </si>
  <si>
    <r>
      <rPr>
        <sz val="10"/>
        <rFont val="宋体"/>
        <family val="3"/>
        <charset val="134"/>
      </rPr>
      <t>主表其中项核对</t>
    </r>
    <phoneticPr fontId="5" type="noConversion"/>
  </si>
  <si>
    <r>
      <t>——</t>
    </r>
    <r>
      <rPr>
        <b/>
        <sz val="10"/>
        <rFont val="宋体"/>
        <family val="3"/>
        <charset val="134"/>
      </rPr>
      <t>租赁</t>
    </r>
    <phoneticPr fontId="5" type="noConversion"/>
  </si>
  <si>
    <r>
      <rPr>
        <sz val="10"/>
        <rFont val="宋体"/>
        <family val="3"/>
        <charset val="134"/>
      </rPr>
      <t>剩余租赁期</t>
    </r>
  </si>
  <si>
    <r>
      <rPr>
        <sz val="10"/>
        <rFont val="宋体"/>
        <family val="3"/>
        <charset val="134"/>
      </rPr>
      <t>最低租赁收款额</t>
    </r>
  </si>
  <si>
    <r>
      <rPr>
        <sz val="10"/>
        <rFont val="宋体"/>
        <family val="3"/>
        <charset val="134"/>
      </rPr>
      <t>年末账面余额</t>
    </r>
    <phoneticPr fontId="5" type="noConversion"/>
  </si>
  <si>
    <r>
      <rPr>
        <sz val="10"/>
        <rFont val="宋体"/>
        <family val="3"/>
        <charset val="134"/>
      </rPr>
      <t>年初账面余额</t>
    </r>
    <phoneticPr fontId="5" type="noConversion"/>
  </si>
  <si>
    <r>
      <rPr>
        <sz val="10"/>
        <rFont val="宋体"/>
        <family val="3"/>
        <charset val="134"/>
      </rPr>
      <t>年初固定资产原值</t>
    </r>
    <phoneticPr fontId="5" type="noConversion"/>
  </si>
  <si>
    <r>
      <rPr>
        <sz val="10"/>
        <rFont val="宋体"/>
        <family val="3"/>
        <charset val="134"/>
      </rPr>
      <t>年末固定资产原值</t>
    </r>
    <phoneticPr fontId="5" type="noConversion"/>
  </si>
  <si>
    <r>
      <rPr>
        <sz val="10"/>
        <rFont val="宋体"/>
        <family val="3"/>
        <charset val="134"/>
      </rPr>
      <t>累计折旧</t>
    </r>
    <phoneticPr fontId="5" type="noConversion"/>
  </si>
  <si>
    <r>
      <rPr>
        <sz val="10"/>
        <rFont val="宋体"/>
        <family val="3"/>
        <charset val="134"/>
      </rPr>
      <t>减值准备累计金额</t>
    </r>
    <phoneticPr fontId="5" type="noConversion"/>
  </si>
  <si>
    <r>
      <rPr>
        <b/>
        <sz val="10"/>
        <rFont val="宋体"/>
        <family val="3"/>
        <charset val="134"/>
      </rPr>
      <t>②以后年度支付的最低租赁付款额</t>
    </r>
  </si>
  <si>
    <r>
      <rPr>
        <sz val="10"/>
        <rFont val="宋体"/>
        <family val="3"/>
        <charset val="134"/>
      </rPr>
      <t>最低租赁付款额</t>
    </r>
  </si>
  <si>
    <r>
      <rPr>
        <b/>
        <sz val="10"/>
        <rFont val="宋体"/>
        <family val="3"/>
        <charset val="134"/>
      </rPr>
      <t>重大经营租赁的剩余租赁期及最低租赁付款额：</t>
    </r>
  </si>
  <si>
    <r>
      <t>——</t>
    </r>
    <r>
      <rPr>
        <b/>
        <sz val="10"/>
        <rFont val="宋体"/>
        <family val="3"/>
        <charset val="134"/>
      </rPr>
      <t>外币折算</t>
    </r>
    <phoneticPr fontId="5" type="noConversion"/>
  </si>
  <si>
    <r>
      <rPr>
        <sz val="10"/>
        <rFont val="宋体"/>
        <family val="3"/>
        <charset val="134"/>
      </rPr>
      <t>文字内容</t>
    </r>
    <phoneticPr fontId="74" type="noConversion"/>
  </si>
  <si>
    <r>
      <rPr>
        <sz val="10"/>
        <rFont val="宋体"/>
        <family val="3"/>
        <charset val="134"/>
      </rPr>
      <t>金额</t>
    </r>
    <phoneticPr fontId="74" type="noConversion"/>
  </si>
  <si>
    <r>
      <rPr>
        <sz val="10"/>
        <rFont val="宋体"/>
        <family val="3"/>
        <charset val="134"/>
      </rPr>
      <t>单位</t>
    </r>
    <phoneticPr fontId="74" type="noConversion"/>
  </si>
  <si>
    <r>
      <t xml:space="preserve">  </t>
    </r>
    <r>
      <rPr>
        <sz val="10"/>
        <rFont val="宋体"/>
        <family val="3"/>
        <charset val="134"/>
      </rPr>
      <t>元</t>
    </r>
    <phoneticPr fontId="74" type="noConversion"/>
  </si>
  <si>
    <r>
      <rPr>
        <sz val="10"/>
        <rFont val="宋体"/>
        <family val="3"/>
        <charset val="134"/>
      </rPr>
      <t>处置境外经营对外币财务报表折算差额的影响</t>
    </r>
    <phoneticPr fontId="74" type="noConversion"/>
  </si>
  <si>
    <r>
      <t>——</t>
    </r>
    <r>
      <rPr>
        <b/>
        <sz val="10"/>
        <rFont val="宋体"/>
        <family val="3"/>
        <charset val="134"/>
      </rPr>
      <t>借款费用</t>
    </r>
    <phoneticPr fontId="5" type="noConversion"/>
  </si>
  <si>
    <r>
      <rPr>
        <sz val="10"/>
        <rFont val="宋体"/>
        <family val="3"/>
        <charset val="134"/>
      </rPr>
      <t>符合资本化条件的资产项目</t>
    </r>
    <phoneticPr fontId="5" type="noConversion"/>
  </si>
  <si>
    <r>
      <rPr>
        <sz val="10"/>
        <rFont val="宋体"/>
        <family val="3"/>
        <charset val="134"/>
      </rPr>
      <t>本年资本化金额</t>
    </r>
    <phoneticPr fontId="5" type="noConversion"/>
  </si>
  <si>
    <r>
      <rPr>
        <sz val="10"/>
        <rFont val="宋体"/>
        <family val="3"/>
        <charset val="134"/>
      </rPr>
      <t>工程名称</t>
    </r>
    <phoneticPr fontId="5" type="noConversion"/>
  </si>
  <si>
    <r>
      <t>——</t>
    </r>
    <r>
      <rPr>
        <b/>
        <sz val="10"/>
        <rFont val="宋体"/>
        <family val="3"/>
        <charset val="134"/>
      </rPr>
      <t>债务重组</t>
    </r>
    <phoneticPr fontId="5" type="noConversion"/>
  </si>
  <si>
    <r>
      <rPr>
        <sz val="10"/>
        <rFont val="宋体"/>
        <family val="3"/>
        <charset val="134"/>
      </rPr>
      <t>债务重组方式</t>
    </r>
  </si>
  <si>
    <r>
      <rPr>
        <sz val="10"/>
        <rFont val="宋体"/>
        <family val="3"/>
        <charset val="134"/>
      </rPr>
      <t>债务重组利得金额</t>
    </r>
  </si>
  <si>
    <r>
      <rPr>
        <sz val="10"/>
        <rFont val="宋体"/>
        <family val="3"/>
        <charset val="134"/>
      </rPr>
      <t>股本增加金额</t>
    </r>
  </si>
  <si>
    <r>
      <rPr>
        <sz val="10"/>
        <rFont val="宋体"/>
        <family val="3"/>
        <charset val="134"/>
      </rPr>
      <t>或有应付金额</t>
    </r>
  </si>
  <si>
    <r>
      <rPr>
        <sz val="10"/>
        <rFont val="宋体"/>
        <family val="3"/>
        <charset val="134"/>
      </rPr>
      <t>以低于债务账面价值的现金清偿债务</t>
    </r>
  </si>
  <si>
    <r>
      <rPr>
        <sz val="10"/>
        <rFont val="宋体"/>
        <family val="3"/>
        <charset val="134"/>
      </rPr>
      <t>以非现金资产清偿债务</t>
    </r>
  </si>
  <si>
    <r>
      <rPr>
        <sz val="10"/>
        <rFont val="宋体"/>
        <family val="3"/>
        <charset val="134"/>
      </rPr>
      <t>修改其他债务条件</t>
    </r>
  </si>
  <si>
    <r>
      <rPr>
        <sz val="10"/>
        <rFont val="宋体"/>
        <family val="3"/>
        <charset val="134"/>
      </rPr>
      <t>混合重组方式</t>
    </r>
  </si>
  <si>
    <r>
      <rPr>
        <b/>
        <sz val="10"/>
        <rFont val="宋体"/>
        <family val="3"/>
        <charset val="134"/>
      </rPr>
      <t>上述各项债务重组中所涉及的非现金资产、债务转成股份、修改其他条件后债务的公允价值的确定方法和依据如下：</t>
    </r>
  </si>
  <si>
    <r>
      <rPr>
        <sz val="10"/>
        <rFont val="宋体"/>
        <family val="3"/>
        <charset val="134"/>
      </rPr>
      <t>公允价值金额</t>
    </r>
  </si>
  <si>
    <r>
      <rPr>
        <sz val="10"/>
        <rFont val="宋体"/>
        <family val="3"/>
        <charset val="134"/>
      </rPr>
      <t>确定方法及依据</t>
    </r>
  </si>
  <si>
    <r>
      <rPr>
        <sz val="10"/>
        <rFont val="宋体"/>
        <family val="3"/>
        <charset val="134"/>
      </rPr>
      <t>非现金资产</t>
    </r>
  </si>
  <si>
    <r>
      <rPr>
        <sz val="10"/>
        <rFont val="宋体"/>
        <family val="3"/>
        <charset val="134"/>
      </rPr>
      <t>债务转成的股份</t>
    </r>
  </si>
  <si>
    <r>
      <rPr>
        <sz val="10"/>
        <rFont val="宋体"/>
        <family val="3"/>
        <charset val="134"/>
      </rPr>
      <t>修改其他条件后的债务</t>
    </r>
  </si>
  <si>
    <r>
      <rPr>
        <sz val="10"/>
        <rFont val="宋体"/>
        <family val="3"/>
        <charset val="134"/>
      </rPr>
      <t>债务重组损失金额</t>
    </r>
  </si>
  <si>
    <r>
      <rPr>
        <sz val="10"/>
        <rFont val="宋体"/>
        <family val="3"/>
        <charset val="134"/>
      </rPr>
      <t>长期股权投资增加金额</t>
    </r>
    <phoneticPr fontId="5" type="noConversion"/>
  </si>
  <si>
    <r>
      <rPr>
        <sz val="10"/>
        <rFont val="宋体"/>
        <family val="3"/>
        <charset val="134"/>
      </rPr>
      <t>占债务人股权的比例</t>
    </r>
  </si>
  <si>
    <r>
      <rPr>
        <sz val="10"/>
        <rFont val="宋体"/>
        <family val="3"/>
        <charset val="134"/>
      </rPr>
      <t>或有应收金额</t>
    </r>
  </si>
  <si>
    <r>
      <rPr>
        <sz val="10"/>
        <rFont val="宋体"/>
        <family val="3"/>
        <charset val="134"/>
      </rPr>
      <t>低于债权账面价值的现金收回债权</t>
    </r>
  </si>
  <si>
    <r>
      <rPr>
        <sz val="10"/>
        <rFont val="宋体"/>
        <family val="3"/>
        <charset val="134"/>
      </rPr>
      <t>以非现金资产收回债权</t>
    </r>
  </si>
  <si>
    <r>
      <rPr>
        <sz val="10"/>
        <rFont val="宋体"/>
        <family val="3"/>
        <charset val="134"/>
      </rPr>
      <t>债权转为股权</t>
    </r>
  </si>
  <si>
    <r>
      <rPr>
        <b/>
        <sz val="10"/>
        <rFont val="宋体"/>
        <family val="3"/>
        <charset val="134"/>
      </rPr>
      <t>上述各项债务重组中所涉及的受让非现金资产、债权转成股份、修改条件后债权的公允价值的确定方法和依据如下：</t>
    </r>
  </si>
  <si>
    <r>
      <rPr>
        <sz val="10"/>
        <rFont val="宋体"/>
        <family val="3"/>
        <charset val="134"/>
      </rPr>
      <t>债权转成的投资</t>
    </r>
  </si>
  <si>
    <r>
      <rPr>
        <sz val="10"/>
        <rFont val="宋体"/>
        <family val="3"/>
        <charset val="134"/>
      </rPr>
      <t>修改其他条件后的债权</t>
    </r>
  </si>
  <si>
    <r>
      <t>——</t>
    </r>
    <r>
      <rPr>
        <b/>
        <sz val="10"/>
        <rFont val="宋体"/>
        <family val="3"/>
        <charset val="134"/>
      </rPr>
      <t>非货币性资产交换</t>
    </r>
    <phoneticPr fontId="5" type="noConversion"/>
  </si>
  <si>
    <r>
      <rPr>
        <sz val="10"/>
        <rFont val="宋体"/>
        <family val="3"/>
        <charset val="134"/>
      </rPr>
      <t>换入资产</t>
    </r>
  </si>
  <si>
    <r>
      <rPr>
        <sz val="10"/>
        <rFont val="宋体"/>
        <family val="3"/>
        <charset val="134"/>
      </rPr>
      <t>换出资产</t>
    </r>
    <phoneticPr fontId="5" type="noConversion"/>
  </si>
  <si>
    <r>
      <rPr>
        <sz val="10"/>
        <rFont val="宋体"/>
        <family val="3"/>
        <charset val="134"/>
      </rPr>
      <t>补价</t>
    </r>
    <phoneticPr fontId="5" type="noConversion"/>
  </si>
  <si>
    <r>
      <rPr>
        <sz val="10"/>
        <rFont val="宋体"/>
        <family val="3"/>
        <charset val="134"/>
      </rPr>
      <t>应确认的收益</t>
    </r>
    <phoneticPr fontId="5" type="noConversion"/>
  </si>
  <si>
    <r>
      <rPr>
        <sz val="10"/>
        <rFont val="宋体"/>
        <family val="3"/>
        <charset val="134"/>
      </rPr>
      <t>资产类别</t>
    </r>
  </si>
  <si>
    <r>
      <rPr>
        <sz val="10"/>
        <rFont val="宋体"/>
        <family val="3"/>
        <charset val="134"/>
      </rPr>
      <t>公允价值</t>
    </r>
    <phoneticPr fontId="5" type="noConversion"/>
  </si>
  <si>
    <r>
      <rPr>
        <sz val="10"/>
        <rFont val="宋体"/>
        <family val="3"/>
        <charset val="134"/>
      </rPr>
      <t>成本确定方式</t>
    </r>
    <phoneticPr fontId="5" type="noConversion"/>
  </si>
  <si>
    <r>
      <t>——</t>
    </r>
    <r>
      <rPr>
        <b/>
        <sz val="10"/>
        <rFont val="宋体"/>
        <family val="3"/>
        <charset val="134"/>
      </rPr>
      <t>其他综合收益</t>
    </r>
    <phoneticPr fontId="5" type="noConversion"/>
  </si>
  <si>
    <r>
      <t>1.</t>
    </r>
    <r>
      <rPr>
        <b/>
        <sz val="10"/>
        <rFont val="宋体"/>
        <family val="3"/>
        <charset val="134"/>
      </rPr>
      <t>其他综合收益各项目及其所得税影响和转入损益情况</t>
    </r>
    <phoneticPr fontId="5" type="noConversion"/>
  </si>
  <si>
    <r>
      <rPr>
        <sz val="10"/>
        <rFont val="宋体"/>
        <family val="3"/>
        <charset val="134"/>
      </rPr>
      <t>本期发生额</t>
    </r>
    <phoneticPr fontId="5" type="noConversion"/>
  </si>
  <si>
    <r>
      <rPr>
        <sz val="10"/>
        <rFont val="宋体"/>
        <family val="3"/>
        <charset val="134"/>
      </rPr>
      <t>上期发生额</t>
    </r>
    <phoneticPr fontId="5" type="noConversion"/>
  </si>
  <si>
    <r>
      <rPr>
        <sz val="10"/>
        <rFont val="宋体"/>
        <family val="3"/>
        <charset val="134"/>
      </rPr>
      <t>税前金额</t>
    </r>
    <phoneticPr fontId="5" type="noConversion"/>
  </si>
  <si>
    <r>
      <rPr>
        <sz val="10"/>
        <rFont val="宋体"/>
        <family val="3"/>
        <charset val="134"/>
      </rPr>
      <t>所得税</t>
    </r>
    <phoneticPr fontId="5" type="noConversion"/>
  </si>
  <si>
    <r>
      <rPr>
        <sz val="10"/>
        <rFont val="宋体"/>
        <family val="3"/>
        <charset val="134"/>
      </rPr>
      <t>税后净额</t>
    </r>
    <phoneticPr fontId="5" type="noConversion"/>
  </si>
  <si>
    <r>
      <rPr>
        <sz val="10"/>
        <rFont val="宋体"/>
        <family val="3"/>
        <charset val="134"/>
      </rPr>
      <t>一、以后不能重分类进损益的其他综合收益</t>
    </r>
    <phoneticPr fontId="5" type="noConversion"/>
  </si>
  <si>
    <r>
      <t xml:space="preserve">    1.</t>
    </r>
    <r>
      <rPr>
        <sz val="10"/>
        <rFont val="宋体"/>
        <family val="3"/>
        <charset val="134"/>
      </rPr>
      <t>重新计量设定受益计划净负债或净资产的变动</t>
    </r>
    <phoneticPr fontId="5" type="noConversion"/>
  </si>
  <si>
    <r>
      <t xml:space="preserve">    2.</t>
    </r>
    <r>
      <rPr>
        <sz val="10"/>
        <rFont val="宋体"/>
        <family val="3"/>
        <charset val="134"/>
      </rPr>
      <t>权益法下在被投资单位不能重分类进损益的其他综合收益中享有的份额</t>
    </r>
    <phoneticPr fontId="5" type="noConversion"/>
  </si>
  <si>
    <r>
      <rPr>
        <sz val="10"/>
        <rFont val="宋体"/>
        <family val="3"/>
        <charset val="134"/>
      </rPr>
      <t>二、以后将重分类进损益的其他综合收益</t>
    </r>
    <phoneticPr fontId="5" type="noConversion"/>
  </si>
  <si>
    <r>
      <t xml:space="preserve">    1.</t>
    </r>
    <r>
      <rPr>
        <sz val="10"/>
        <rFont val="宋体"/>
        <family val="3"/>
        <charset val="134"/>
      </rPr>
      <t>权益法下在被投资单位以后将重分类进损益的其他综合收益中享有的份额</t>
    </r>
    <phoneticPr fontId="5" type="noConversion"/>
  </si>
  <si>
    <r>
      <t xml:space="preserve">      </t>
    </r>
    <r>
      <rPr>
        <sz val="10"/>
        <rFont val="宋体"/>
        <family val="3"/>
        <charset val="134"/>
      </rPr>
      <t>减：前期计入其他综合收益当期转入损益</t>
    </r>
    <phoneticPr fontId="5" type="noConversion"/>
  </si>
  <si>
    <r>
      <rPr>
        <sz val="10"/>
        <rFont val="宋体"/>
        <family val="3"/>
        <charset val="134"/>
      </rPr>
      <t>小计</t>
    </r>
    <phoneticPr fontId="5" type="noConversion"/>
  </si>
  <si>
    <r>
      <t xml:space="preserve">    2.</t>
    </r>
    <r>
      <rPr>
        <sz val="10"/>
        <rFont val="宋体"/>
        <family val="3"/>
        <charset val="134"/>
      </rPr>
      <t>可供出售金融资产公允价值变动损益</t>
    </r>
    <phoneticPr fontId="5" type="noConversion"/>
  </si>
  <si>
    <r>
      <t xml:space="preserve"> </t>
    </r>
    <r>
      <rPr>
        <sz val="10"/>
        <rFont val="宋体"/>
        <family val="3"/>
        <charset val="134"/>
      </rPr>
      <t>减：前期计入其他综合收益当期转入损益</t>
    </r>
    <phoneticPr fontId="5" type="noConversion"/>
  </si>
  <si>
    <r>
      <t>3.</t>
    </r>
    <r>
      <rPr>
        <sz val="10"/>
        <rFont val="宋体"/>
        <family val="3"/>
        <charset val="134"/>
      </rPr>
      <t>持有至到期投资重分类为可供出售金融资产损益</t>
    </r>
    <phoneticPr fontId="5" type="noConversion"/>
  </si>
  <si>
    <r>
      <t>4.</t>
    </r>
    <r>
      <rPr>
        <sz val="10"/>
        <rFont val="宋体"/>
        <family val="3"/>
        <charset val="134"/>
      </rPr>
      <t>现金流量套期损益的有效部分</t>
    </r>
    <phoneticPr fontId="5" type="noConversion"/>
  </si>
  <si>
    <r>
      <t xml:space="preserve">     </t>
    </r>
    <r>
      <rPr>
        <sz val="10"/>
        <rFont val="宋体"/>
        <family val="3"/>
        <charset val="134"/>
      </rPr>
      <t>转为被套期项目初始确认金额的调整额</t>
    </r>
    <phoneticPr fontId="5" type="noConversion"/>
  </si>
  <si>
    <r>
      <t xml:space="preserve">    5.</t>
    </r>
    <r>
      <rPr>
        <sz val="10"/>
        <rFont val="宋体"/>
        <family val="3"/>
        <charset val="134"/>
      </rPr>
      <t>外币财务报表折算差额</t>
    </r>
    <phoneticPr fontId="5" type="noConversion"/>
  </si>
  <si>
    <r>
      <rPr>
        <sz val="10"/>
        <rFont val="宋体"/>
        <family val="3"/>
        <charset val="134"/>
      </rPr>
      <t>三、其他综合收益合计</t>
    </r>
    <phoneticPr fontId="5" type="noConversion"/>
  </si>
  <si>
    <r>
      <rPr>
        <sz val="10"/>
        <rFont val="宋体"/>
        <family val="3"/>
        <charset val="134"/>
      </rPr>
      <t>税后净额核对</t>
    </r>
    <phoneticPr fontId="5" type="noConversion"/>
  </si>
  <si>
    <r>
      <t>2.</t>
    </r>
    <r>
      <rPr>
        <b/>
        <sz val="10"/>
        <rFont val="宋体"/>
        <family val="3"/>
        <charset val="134"/>
      </rPr>
      <t>其他综合收益各项目的调节情况</t>
    </r>
    <phoneticPr fontId="5" type="noConversion"/>
  </si>
  <si>
    <r>
      <rPr>
        <sz val="10"/>
        <rFont val="宋体"/>
        <family val="3"/>
        <charset val="134"/>
      </rPr>
      <t>重新计量设定受益计划净负债或净资产的变动</t>
    </r>
    <phoneticPr fontId="5" type="noConversion"/>
  </si>
  <si>
    <r>
      <rPr>
        <sz val="10"/>
        <rFont val="宋体"/>
        <family val="3"/>
        <charset val="134"/>
      </rPr>
      <t>权益法下在被投资单位不能重分类进损益的其他综合收益中享有的份额</t>
    </r>
    <phoneticPr fontId="5" type="noConversion"/>
  </si>
  <si>
    <r>
      <rPr>
        <sz val="10"/>
        <rFont val="宋体"/>
        <family val="3"/>
        <charset val="134"/>
      </rPr>
      <t>权益法下在被投资单位以后将重分类进损益的其他综合收益中享有的份额</t>
    </r>
    <phoneticPr fontId="5" type="noConversion"/>
  </si>
  <si>
    <r>
      <rPr>
        <sz val="10"/>
        <rFont val="宋体"/>
        <family val="3"/>
        <charset val="134"/>
      </rPr>
      <t>可供出售金融资产公允价值变动损益</t>
    </r>
    <phoneticPr fontId="5" type="noConversion"/>
  </si>
  <si>
    <r>
      <rPr>
        <sz val="10"/>
        <rFont val="宋体"/>
        <family val="3"/>
        <charset val="134"/>
      </rPr>
      <t>持有至到期投资重分类为可供出售金融资产损益</t>
    </r>
    <phoneticPr fontId="5" type="noConversion"/>
  </si>
  <si>
    <r>
      <rPr>
        <sz val="10"/>
        <rFont val="宋体"/>
        <family val="3"/>
        <charset val="134"/>
      </rPr>
      <t>现金流量套期损益的有效部分</t>
    </r>
    <phoneticPr fontId="5" type="noConversion"/>
  </si>
  <si>
    <r>
      <rPr>
        <sz val="10"/>
        <rFont val="宋体"/>
        <family val="3"/>
        <charset val="134"/>
      </rPr>
      <t>外币财务报表折算差额</t>
    </r>
    <phoneticPr fontId="5" type="noConversion"/>
  </si>
  <si>
    <r>
      <rPr>
        <sz val="10"/>
        <rFont val="宋体"/>
        <family val="3"/>
        <charset val="134"/>
      </rPr>
      <t>一、上年年初余额</t>
    </r>
    <phoneticPr fontId="5" type="noConversion"/>
  </si>
  <si>
    <r>
      <rPr>
        <sz val="10"/>
        <rFont val="宋体"/>
        <family val="3"/>
        <charset val="134"/>
      </rPr>
      <t>三、本年年初余额</t>
    </r>
    <phoneticPr fontId="5" type="noConversion"/>
  </si>
  <si>
    <r>
      <rPr>
        <sz val="10"/>
        <rFont val="宋体"/>
        <family val="3"/>
        <charset val="134"/>
      </rPr>
      <t>五、本年年末余额</t>
    </r>
    <phoneticPr fontId="5" type="noConversion"/>
  </si>
  <si>
    <r>
      <rPr>
        <sz val="10"/>
        <rFont val="宋体"/>
        <family val="3"/>
        <charset val="134"/>
      </rPr>
      <t>其他综合收益核对</t>
    </r>
    <phoneticPr fontId="5" type="noConversion"/>
  </si>
  <si>
    <r>
      <rPr>
        <sz val="10"/>
        <rFont val="宋体"/>
        <family val="3"/>
        <charset val="134"/>
      </rPr>
      <t>外币报表折算差额核对</t>
    </r>
    <phoneticPr fontId="5" type="noConversion"/>
  </si>
  <si>
    <r>
      <t>——</t>
    </r>
    <r>
      <rPr>
        <b/>
        <sz val="10"/>
        <rFont val="宋体"/>
        <family val="3"/>
        <charset val="134"/>
      </rPr>
      <t>所得税费用</t>
    </r>
    <phoneticPr fontId="5" type="noConversion"/>
  </si>
  <si>
    <r>
      <rPr>
        <sz val="10"/>
        <rFont val="宋体"/>
        <family val="3"/>
        <charset val="134"/>
      </rPr>
      <t>当期所得税费用</t>
    </r>
  </si>
  <si>
    <r>
      <rPr>
        <sz val="10"/>
        <rFont val="宋体"/>
        <family val="3"/>
        <charset val="134"/>
      </rPr>
      <t>递延所得税调整</t>
    </r>
  </si>
  <si>
    <r>
      <t>2</t>
    </r>
    <r>
      <rPr>
        <sz val="10"/>
        <rFont val="宋体"/>
        <family val="3"/>
        <charset val="134"/>
      </rPr>
      <t>、所得税费用与利润总额的关系如下：</t>
    </r>
  </si>
  <si>
    <r>
      <rPr>
        <sz val="10"/>
        <rFont val="宋体"/>
        <family val="3"/>
        <charset val="134"/>
      </rPr>
      <t>利润总额</t>
    </r>
  </si>
  <si>
    <r>
      <rPr>
        <sz val="10"/>
        <rFont val="宋体"/>
        <family val="3"/>
        <charset val="134"/>
      </rPr>
      <t>子公司适用不同税率的影响</t>
    </r>
  </si>
  <si>
    <r>
      <rPr>
        <sz val="10"/>
        <rFont val="宋体"/>
        <family val="3"/>
        <charset val="134"/>
      </rPr>
      <t>调整以前期间所得税的影响</t>
    </r>
  </si>
  <si>
    <r>
      <rPr>
        <sz val="10"/>
        <rFont val="宋体"/>
        <family val="3"/>
        <charset val="134"/>
      </rPr>
      <t>非应税收入的影响</t>
    </r>
  </si>
  <si>
    <r>
      <rPr>
        <sz val="10"/>
        <rFont val="宋体"/>
        <family val="3"/>
        <charset val="134"/>
      </rPr>
      <t>不可抵扣的成本、费用和损失的影响</t>
    </r>
  </si>
  <si>
    <r>
      <rPr>
        <sz val="10"/>
        <rFont val="宋体"/>
        <family val="3"/>
        <charset val="134"/>
      </rPr>
      <t>使用前期未确认递延所得税资产的可抵扣亏损的影响</t>
    </r>
  </si>
  <si>
    <r>
      <rPr>
        <sz val="10"/>
        <rFont val="宋体"/>
        <family val="3"/>
        <charset val="134"/>
      </rPr>
      <t>本期未确认递延所得税资产的可抵扣暂时性差异或可抵扣亏损的影响</t>
    </r>
  </si>
  <si>
    <r>
      <rPr>
        <sz val="10"/>
        <rFont val="宋体"/>
        <family val="3"/>
        <charset val="134"/>
      </rPr>
      <t>二表合计核对</t>
    </r>
    <phoneticPr fontId="82" type="noConversion"/>
  </si>
  <si>
    <r>
      <t>——</t>
    </r>
    <r>
      <rPr>
        <b/>
        <sz val="10"/>
        <rFont val="宋体"/>
        <family val="3"/>
        <charset val="134"/>
      </rPr>
      <t>营业外支出</t>
    </r>
    <phoneticPr fontId="5" type="noConversion"/>
  </si>
  <si>
    <r>
      <rPr>
        <sz val="10"/>
        <rFont val="宋体"/>
        <family val="3"/>
        <charset val="134"/>
      </rPr>
      <t>主表其中项引用</t>
    </r>
    <phoneticPr fontId="5" type="noConversion"/>
  </si>
  <si>
    <r>
      <t>——</t>
    </r>
    <r>
      <rPr>
        <b/>
        <sz val="10"/>
        <rFont val="宋体"/>
        <family val="3"/>
        <charset val="134"/>
      </rPr>
      <t>营业外收入</t>
    </r>
    <phoneticPr fontId="5" type="noConversion"/>
  </si>
  <si>
    <r>
      <rPr>
        <sz val="10"/>
        <rFont val="宋体"/>
        <family val="3"/>
        <charset val="134"/>
      </rPr>
      <t>本年发生额</t>
    </r>
    <phoneticPr fontId="5" type="noConversion"/>
  </si>
  <si>
    <r>
      <rPr>
        <sz val="10"/>
        <rFont val="宋体"/>
        <family val="3"/>
        <charset val="134"/>
      </rPr>
      <t>主表其中项引用</t>
    </r>
    <phoneticPr fontId="5" type="noConversion"/>
  </si>
  <si>
    <r>
      <rPr>
        <sz val="10"/>
        <rFont val="宋体"/>
        <family val="3"/>
        <charset val="134"/>
      </rPr>
      <t>（</t>
    </r>
    <r>
      <rPr>
        <sz val="10"/>
        <rFont val="Arial Narrow"/>
        <family val="2"/>
      </rPr>
      <t>2</t>
    </r>
    <r>
      <rPr>
        <sz val="10"/>
        <rFont val="宋体"/>
        <family val="3"/>
        <charset val="134"/>
      </rPr>
      <t>）政府补助明细：</t>
    </r>
  </si>
  <si>
    <r>
      <rPr>
        <b/>
        <sz val="10"/>
        <rFont val="宋体"/>
        <family val="3"/>
        <charset val="134"/>
      </rPr>
      <t>（</t>
    </r>
    <r>
      <rPr>
        <b/>
        <sz val="10"/>
        <rFont val="Arial Narrow"/>
        <family val="2"/>
      </rPr>
      <t>1</t>
    </r>
    <r>
      <rPr>
        <b/>
        <sz val="10"/>
        <rFont val="宋体"/>
        <family val="3"/>
        <charset val="134"/>
      </rPr>
      <t>）融资租赁（出租人）</t>
    </r>
  </si>
  <si>
    <r>
      <t>1</t>
    </r>
    <r>
      <rPr>
        <sz val="10"/>
        <rFont val="宋体"/>
        <family val="3"/>
        <charset val="134"/>
      </rPr>
      <t>年以内（含</t>
    </r>
    <r>
      <rPr>
        <sz val="10"/>
        <rFont val="Arial Narrow"/>
        <family val="2"/>
      </rPr>
      <t>1</t>
    </r>
    <r>
      <rPr>
        <sz val="10"/>
        <rFont val="宋体"/>
        <family val="3"/>
        <charset val="134"/>
      </rPr>
      <t>年）</t>
    </r>
  </si>
  <si>
    <r>
      <t>1</t>
    </r>
    <r>
      <rPr>
        <sz val="10"/>
        <rFont val="宋体"/>
        <family val="3"/>
        <charset val="134"/>
      </rPr>
      <t>年以上</t>
    </r>
    <r>
      <rPr>
        <sz val="10"/>
        <rFont val="Arial Narrow"/>
        <family val="2"/>
      </rPr>
      <t>2</t>
    </r>
    <r>
      <rPr>
        <sz val="10"/>
        <rFont val="宋体"/>
        <family val="3"/>
        <charset val="134"/>
      </rPr>
      <t>年以内（含</t>
    </r>
    <r>
      <rPr>
        <sz val="10"/>
        <rFont val="Arial Narrow"/>
        <family val="2"/>
      </rPr>
      <t>2</t>
    </r>
    <r>
      <rPr>
        <sz val="10"/>
        <rFont val="宋体"/>
        <family val="3"/>
        <charset val="134"/>
      </rPr>
      <t>年）</t>
    </r>
  </si>
  <si>
    <r>
      <t>2</t>
    </r>
    <r>
      <rPr>
        <sz val="10"/>
        <rFont val="宋体"/>
        <family val="3"/>
        <charset val="134"/>
      </rPr>
      <t>年以上</t>
    </r>
    <r>
      <rPr>
        <sz val="10"/>
        <rFont val="Arial Narrow"/>
        <family val="2"/>
      </rPr>
      <t>3</t>
    </r>
    <r>
      <rPr>
        <sz val="10"/>
        <rFont val="宋体"/>
        <family val="3"/>
        <charset val="134"/>
      </rPr>
      <t>年以内（含</t>
    </r>
    <r>
      <rPr>
        <sz val="10"/>
        <rFont val="Arial Narrow"/>
        <family val="2"/>
      </rPr>
      <t>3</t>
    </r>
    <r>
      <rPr>
        <sz val="10"/>
        <rFont val="宋体"/>
        <family val="3"/>
        <charset val="134"/>
      </rPr>
      <t>年）</t>
    </r>
  </si>
  <si>
    <r>
      <rPr>
        <b/>
        <sz val="10"/>
        <rFont val="宋体"/>
        <family val="3"/>
        <charset val="134"/>
      </rPr>
      <t>（</t>
    </r>
    <r>
      <rPr>
        <b/>
        <sz val="10"/>
        <rFont val="Arial Narrow"/>
        <family val="2"/>
      </rPr>
      <t>4</t>
    </r>
    <r>
      <rPr>
        <b/>
        <sz val="10"/>
        <rFont val="宋体"/>
        <family val="3"/>
        <charset val="134"/>
      </rPr>
      <t>）经营租赁（承租人）</t>
    </r>
  </si>
  <si>
    <r>
      <rPr>
        <sz val="10"/>
        <rFont val="宋体"/>
        <family val="3"/>
        <charset val="134"/>
      </rPr>
      <t>本公司计入当期损益的汇兑净损失为</t>
    </r>
    <r>
      <rPr>
        <sz val="10"/>
        <rFont val="Arial Narrow"/>
        <family val="2"/>
      </rPr>
      <t xml:space="preserve">     </t>
    </r>
    <phoneticPr fontId="74" type="noConversion"/>
  </si>
  <si>
    <r>
      <rPr>
        <sz val="10"/>
        <rFont val="宋体"/>
        <family val="3"/>
        <charset val="134"/>
      </rPr>
      <t>本年资本化率</t>
    </r>
    <r>
      <rPr>
        <sz val="10"/>
        <rFont val="Arial Narrow"/>
        <family val="2"/>
      </rPr>
      <t>%</t>
    </r>
    <r>
      <rPr>
        <sz val="10"/>
        <rFont val="宋体"/>
        <family val="3"/>
        <charset val="134"/>
      </rPr>
      <t>（仅指一般借款资本化）</t>
    </r>
    <phoneticPr fontId="5" type="noConversion"/>
  </si>
  <si>
    <r>
      <rPr>
        <sz val="10"/>
        <rFont val="宋体"/>
        <family val="3"/>
        <charset val="134"/>
      </rPr>
      <t>本年利息资本化率（</t>
    </r>
    <r>
      <rPr>
        <sz val="10"/>
        <rFont val="Arial Narrow"/>
        <family val="2"/>
      </rPr>
      <t>%</t>
    </r>
    <r>
      <rPr>
        <sz val="10"/>
        <rFont val="宋体"/>
        <family val="3"/>
        <charset val="134"/>
      </rPr>
      <t>）</t>
    </r>
    <phoneticPr fontId="5" type="noConversion"/>
  </si>
  <si>
    <r>
      <rPr>
        <sz val="10"/>
        <rFont val="宋体"/>
        <family val="3"/>
        <charset val="134"/>
      </rPr>
      <t>附注</t>
    </r>
    <r>
      <rPr>
        <sz val="10"/>
        <rFont val="Arial Narrow"/>
        <family val="2"/>
      </rPr>
      <t>--</t>
    </r>
    <r>
      <rPr>
        <sz val="10"/>
        <rFont val="宋体"/>
        <family val="3"/>
        <charset val="134"/>
      </rPr>
      <t>附注核对</t>
    </r>
    <phoneticPr fontId="5" type="noConversion"/>
  </si>
  <si>
    <r>
      <rPr>
        <b/>
        <sz val="10"/>
        <rFont val="宋体"/>
        <family val="3"/>
        <charset val="134"/>
      </rPr>
      <t>（</t>
    </r>
    <r>
      <rPr>
        <b/>
        <sz val="10"/>
        <rFont val="Arial Narrow"/>
        <family val="2"/>
      </rPr>
      <t>1</t>
    </r>
    <r>
      <rPr>
        <b/>
        <sz val="10"/>
        <rFont val="宋体"/>
        <family val="3"/>
        <charset val="134"/>
      </rPr>
      <t>）本集团作为债务人进行的债务重组</t>
    </r>
  </si>
  <si>
    <r>
      <rPr>
        <b/>
        <sz val="10"/>
        <rFont val="宋体"/>
        <family val="3"/>
        <charset val="134"/>
      </rPr>
      <t>（</t>
    </r>
    <r>
      <rPr>
        <b/>
        <sz val="10"/>
        <rFont val="Arial Narrow"/>
        <family val="2"/>
      </rPr>
      <t>2</t>
    </r>
    <r>
      <rPr>
        <b/>
        <sz val="10"/>
        <rFont val="宋体"/>
        <family val="3"/>
        <charset val="134"/>
      </rPr>
      <t>）本集团作为债权人进行的债务重组</t>
    </r>
  </si>
  <si>
    <r>
      <rPr>
        <sz val="10"/>
        <rFont val="宋体"/>
        <family val="3"/>
        <charset val="134"/>
      </rPr>
      <t>二、上年增减变动金额（减少以</t>
    </r>
    <r>
      <rPr>
        <sz val="10"/>
        <rFont val="Arial Narrow"/>
        <family val="2"/>
      </rPr>
      <t>“-”</t>
    </r>
    <r>
      <rPr>
        <sz val="10"/>
        <rFont val="宋体"/>
        <family val="3"/>
        <charset val="134"/>
      </rPr>
      <t>号填列）</t>
    </r>
    <phoneticPr fontId="5" type="noConversion"/>
  </si>
  <si>
    <r>
      <rPr>
        <sz val="10"/>
        <rFont val="宋体"/>
        <family val="3"/>
        <charset val="134"/>
      </rPr>
      <t>四、本年增减变动金额（减少以</t>
    </r>
    <r>
      <rPr>
        <sz val="10"/>
        <rFont val="Arial Narrow"/>
        <family val="2"/>
      </rPr>
      <t>“-”</t>
    </r>
    <r>
      <rPr>
        <sz val="10"/>
        <rFont val="宋体"/>
        <family val="3"/>
        <charset val="134"/>
      </rPr>
      <t>号填列）</t>
    </r>
    <phoneticPr fontId="5" type="noConversion"/>
  </si>
  <si>
    <r>
      <rPr>
        <sz val="10"/>
        <rFont val="宋体"/>
        <family val="3"/>
        <charset val="134"/>
      </rPr>
      <t>按法定</t>
    </r>
    <r>
      <rPr>
        <sz val="10"/>
        <rFont val="Arial Narrow"/>
        <family val="2"/>
      </rPr>
      <t>/</t>
    </r>
    <r>
      <rPr>
        <sz val="10"/>
        <rFont val="宋体"/>
        <family val="3"/>
        <charset val="134"/>
      </rPr>
      <t>适用税率计算的所得税费用</t>
    </r>
  </si>
  <si>
    <r>
      <rPr>
        <sz val="10"/>
        <rFont val="宋体"/>
        <family val="3"/>
        <charset val="134"/>
      </rPr>
      <t>税率调整导致期初递延所得税资产</t>
    </r>
    <r>
      <rPr>
        <sz val="10"/>
        <rFont val="Arial Narrow"/>
        <family val="2"/>
      </rPr>
      <t>/</t>
    </r>
    <r>
      <rPr>
        <sz val="10"/>
        <rFont val="宋体"/>
        <family val="3"/>
        <charset val="134"/>
      </rPr>
      <t>负债余额的变化</t>
    </r>
  </si>
  <si>
    <r>
      <rPr>
        <u/>
        <sz val="10"/>
        <rFont val="宋体"/>
        <family val="3"/>
        <charset val="134"/>
      </rPr>
      <t>返回财务专项说明</t>
    </r>
    <phoneticPr fontId="5" type="noConversion"/>
  </si>
  <si>
    <r>
      <rPr>
        <sz val="10"/>
        <rFont val="宋体"/>
        <family val="3"/>
        <charset val="134"/>
      </rPr>
      <t>上年发生额</t>
    </r>
    <phoneticPr fontId="5" type="noConversion"/>
  </si>
  <si>
    <r>
      <rPr>
        <sz val="10"/>
        <rFont val="宋体"/>
        <family val="3"/>
        <charset val="134"/>
      </rPr>
      <t>上年金额</t>
    </r>
    <phoneticPr fontId="5" type="noConversion"/>
  </si>
  <si>
    <r>
      <rPr>
        <sz val="10"/>
        <rFont val="宋体"/>
        <family val="3"/>
        <charset val="134"/>
      </rPr>
      <t>非流动资产处置利得</t>
    </r>
    <phoneticPr fontId="5" type="noConversion"/>
  </si>
  <si>
    <r>
      <rPr>
        <sz val="10"/>
        <rFont val="宋体"/>
        <family val="3"/>
        <charset val="134"/>
      </rPr>
      <t>与资产相关</t>
    </r>
    <r>
      <rPr>
        <sz val="10"/>
        <rFont val="Arial Narrow"/>
        <family val="2"/>
      </rPr>
      <t>/</t>
    </r>
    <r>
      <rPr>
        <sz val="10"/>
        <rFont val="宋体"/>
        <family val="3"/>
        <charset val="134"/>
      </rPr>
      <t>与收益相关</t>
    </r>
    <phoneticPr fontId="5" type="noConversion"/>
  </si>
  <si>
    <r>
      <t>——</t>
    </r>
    <r>
      <rPr>
        <b/>
        <sz val="10"/>
        <rFont val="宋体"/>
        <family val="3"/>
        <charset val="134"/>
      </rPr>
      <t>终止经营</t>
    </r>
    <phoneticPr fontId="5" type="noConversion"/>
  </si>
  <si>
    <r>
      <rPr>
        <sz val="10"/>
        <rFont val="宋体"/>
        <family val="3"/>
        <charset val="134"/>
      </rPr>
      <t>合</t>
    </r>
    <r>
      <rPr>
        <sz val="10"/>
        <rFont val="Arial Narrow"/>
        <family val="2"/>
      </rPr>
      <t xml:space="preserve">  </t>
    </r>
    <r>
      <rPr>
        <sz val="10"/>
        <rFont val="宋体"/>
        <family val="3"/>
        <charset val="134"/>
      </rPr>
      <t>计</t>
    </r>
    <phoneticPr fontId="5" type="noConversion"/>
  </si>
  <si>
    <r>
      <rPr>
        <sz val="10"/>
        <rFont val="宋体"/>
        <family val="3"/>
        <charset val="134"/>
      </rPr>
      <t>按账龄划分</t>
    </r>
    <phoneticPr fontId="5" type="noConversion"/>
  </si>
  <si>
    <r>
      <rPr>
        <sz val="10"/>
        <rFont val="宋体"/>
        <family val="3"/>
        <charset val="134"/>
      </rPr>
      <t>序号</t>
    </r>
    <phoneticPr fontId="5" type="noConversion"/>
  </si>
  <si>
    <r>
      <rPr>
        <sz val="10"/>
        <rFont val="宋体"/>
        <family val="3"/>
        <charset val="134"/>
      </rPr>
      <t>应收账款</t>
    </r>
    <r>
      <rPr>
        <sz val="10"/>
        <rFont val="Arial Narrow"/>
        <family val="2"/>
      </rPr>
      <t>-</t>
    </r>
    <r>
      <rPr>
        <sz val="10"/>
        <rFont val="宋体"/>
        <family val="3"/>
        <charset val="134"/>
      </rPr>
      <t>无风险组合核对</t>
    </r>
    <phoneticPr fontId="5" type="noConversion"/>
  </si>
  <si>
    <r>
      <rPr>
        <sz val="10"/>
        <rFont val="宋体"/>
        <family val="3"/>
        <charset val="134"/>
      </rPr>
      <t>应付账款</t>
    </r>
    <r>
      <rPr>
        <sz val="10"/>
        <rFont val="Arial Narrow"/>
        <family val="2"/>
      </rPr>
      <t>-</t>
    </r>
    <r>
      <rPr>
        <sz val="10"/>
        <rFont val="宋体"/>
        <family val="3"/>
        <charset val="134"/>
      </rPr>
      <t>关联方核对</t>
    </r>
    <phoneticPr fontId="5" type="noConversion"/>
  </si>
  <si>
    <r>
      <rPr>
        <sz val="10"/>
        <rFont val="宋体"/>
        <family val="3"/>
        <charset val="134"/>
      </rPr>
      <t>预收账款款</t>
    </r>
    <r>
      <rPr>
        <sz val="10"/>
        <rFont val="Arial Narrow"/>
        <family val="2"/>
      </rPr>
      <t>-</t>
    </r>
    <r>
      <rPr>
        <sz val="10"/>
        <rFont val="宋体"/>
        <family val="3"/>
        <charset val="134"/>
      </rPr>
      <t>关联方核对</t>
    </r>
    <phoneticPr fontId="5" type="noConversion"/>
  </si>
  <si>
    <r>
      <rPr>
        <sz val="10"/>
        <rFont val="宋体"/>
        <family val="3"/>
        <charset val="134"/>
      </rPr>
      <t>其他应付款</t>
    </r>
    <r>
      <rPr>
        <sz val="10"/>
        <rFont val="Arial Narrow"/>
        <family val="2"/>
      </rPr>
      <t>-</t>
    </r>
    <r>
      <rPr>
        <sz val="10"/>
        <rFont val="宋体"/>
        <family val="3"/>
        <charset val="134"/>
      </rPr>
      <t>关联方核对</t>
    </r>
    <phoneticPr fontId="5" type="noConversion"/>
  </si>
  <si>
    <r>
      <rPr>
        <sz val="10"/>
        <rFont val="宋体"/>
        <family val="3"/>
        <charset val="134"/>
      </rPr>
      <t>本表主要填列六个往来科目涉及关联方的账龄以及应收账款、其他应收款外部无风险组合的明细账龄。要核对相关数据时可以方便查找明细，不用频繁查找审计工作底稿</t>
    </r>
    <phoneticPr fontId="5" type="noConversion"/>
  </si>
  <si>
    <r>
      <rPr>
        <sz val="10"/>
        <rFont val="宋体"/>
        <family val="3"/>
        <charset val="134"/>
      </rPr>
      <t>应收账款</t>
    </r>
    <r>
      <rPr>
        <sz val="10"/>
        <rFont val="Arial Narrow"/>
        <family val="2"/>
      </rPr>
      <t>—</t>
    </r>
    <r>
      <rPr>
        <sz val="10"/>
        <rFont val="宋体"/>
        <family val="3"/>
        <charset val="134"/>
      </rPr>
      <t>无风险组合明细：</t>
    </r>
    <phoneticPr fontId="5" type="noConversion"/>
  </si>
  <si>
    <r>
      <rPr>
        <sz val="10"/>
        <rFont val="宋体"/>
        <family val="3"/>
        <charset val="134"/>
      </rPr>
      <t>预付账款</t>
    </r>
    <r>
      <rPr>
        <sz val="10"/>
        <rFont val="Arial Narrow"/>
        <family val="2"/>
      </rPr>
      <t>-</t>
    </r>
    <r>
      <rPr>
        <sz val="10"/>
        <rFont val="宋体"/>
        <family val="3"/>
        <charset val="134"/>
      </rPr>
      <t>关联方</t>
    </r>
    <phoneticPr fontId="5" type="noConversion"/>
  </si>
  <si>
    <r>
      <rPr>
        <sz val="10"/>
        <rFont val="宋体"/>
        <family val="3"/>
        <charset val="134"/>
      </rPr>
      <t>应付账款</t>
    </r>
    <r>
      <rPr>
        <sz val="10"/>
        <rFont val="Arial Narrow"/>
        <family val="2"/>
      </rPr>
      <t>-</t>
    </r>
    <r>
      <rPr>
        <sz val="10"/>
        <rFont val="宋体"/>
        <family val="3"/>
        <charset val="134"/>
      </rPr>
      <t>关联方</t>
    </r>
    <phoneticPr fontId="5" type="noConversion"/>
  </si>
  <si>
    <r>
      <rPr>
        <sz val="10"/>
        <rFont val="宋体"/>
        <family val="3"/>
        <charset val="134"/>
      </rPr>
      <t>其他应付款</t>
    </r>
    <r>
      <rPr>
        <sz val="10"/>
        <rFont val="Arial Narrow"/>
        <family val="2"/>
      </rPr>
      <t>-</t>
    </r>
    <r>
      <rPr>
        <sz val="10"/>
        <rFont val="宋体"/>
        <family val="3"/>
        <charset val="134"/>
      </rPr>
      <t>关联方</t>
    </r>
    <phoneticPr fontId="5" type="noConversion"/>
  </si>
  <si>
    <r>
      <rPr>
        <sz val="10"/>
        <rFont val="宋体"/>
        <family val="3"/>
        <charset val="134"/>
      </rPr>
      <t>其他应收款</t>
    </r>
    <r>
      <rPr>
        <sz val="10"/>
        <rFont val="Arial Narrow"/>
        <family val="2"/>
      </rPr>
      <t>—</t>
    </r>
    <r>
      <rPr>
        <sz val="10"/>
        <rFont val="宋体"/>
        <family val="3"/>
        <charset val="134"/>
      </rPr>
      <t>无风险组合明细：</t>
    </r>
    <phoneticPr fontId="5" type="noConversion"/>
  </si>
  <si>
    <r>
      <rPr>
        <sz val="10"/>
        <rFont val="宋体"/>
        <family val="3"/>
        <charset val="134"/>
      </rPr>
      <t>预收账款</t>
    </r>
    <r>
      <rPr>
        <sz val="10"/>
        <rFont val="Arial Narrow"/>
        <family val="2"/>
      </rPr>
      <t>-</t>
    </r>
    <r>
      <rPr>
        <sz val="10"/>
        <rFont val="宋体"/>
        <family val="3"/>
        <charset val="134"/>
      </rPr>
      <t>关联方</t>
    </r>
    <phoneticPr fontId="5" type="noConversion"/>
  </si>
  <si>
    <r>
      <rPr>
        <sz val="10"/>
        <rFont val="宋体"/>
        <family val="3"/>
        <charset val="134"/>
      </rPr>
      <t>科目</t>
    </r>
    <phoneticPr fontId="5" type="noConversion"/>
  </si>
  <si>
    <r>
      <rPr>
        <u/>
        <sz val="10"/>
        <rFont val="宋体"/>
        <family val="3"/>
        <charset val="134"/>
      </rPr>
      <t>返回应收账款</t>
    </r>
    <phoneticPr fontId="5" type="noConversion"/>
  </si>
  <si>
    <r>
      <rPr>
        <sz val="10"/>
        <rFont val="宋体"/>
        <family val="3"/>
        <charset val="134"/>
      </rPr>
      <t>关联方单位名称</t>
    </r>
    <phoneticPr fontId="5" type="noConversion"/>
  </si>
  <si>
    <r>
      <rPr>
        <sz val="10"/>
        <rFont val="宋体"/>
        <family val="3"/>
        <charset val="134"/>
      </rPr>
      <t>外部单位名称</t>
    </r>
    <phoneticPr fontId="5" type="noConversion"/>
  </si>
  <si>
    <r>
      <rPr>
        <sz val="10"/>
        <rFont val="宋体"/>
        <family val="3"/>
        <charset val="134"/>
      </rPr>
      <t>应收账款</t>
    </r>
    <r>
      <rPr>
        <sz val="10"/>
        <rFont val="Arial Narrow"/>
        <family val="2"/>
      </rPr>
      <t>-</t>
    </r>
    <r>
      <rPr>
        <sz val="10"/>
        <rFont val="宋体"/>
        <family val="3"/>
        <charset val="134"/>
      </rPr>
      <t>关联方核对</t>
    </r>
    <phoneticPr fontId="5" type="noConversion"/>
  </si>
  <si>
    <r>
      <rPr>
        <u/>
        <sz val="10"/>
        <rFont val="宋体"/>
        <family val="3"/>
        <charset val="134"/>
      </rPr>
      <t>返回其他应收款</t>
    </r>
  </si>
  <si>
    <r>
      <rPr>
        <sz val="10"/>
        <rFont val="宋体"/>
        <family val="3"/>
        <charset val="134"/>
      </rPr>
      <t>其他应收款</t>
    </r>
    <r>
      <rPr>
        <sz val="10"/>
        <rFont val="Arial Narrow"/>
        <family val="2"/>
      </rPr>
      <t>-</t>
    </r>
    <r>
      <rPr>
        <sz val="10"/>
        <rFont val="宋体"/>
        <family val="3"/>
        <charset val="134"/>
      </rPr>
      <t>关联方核对</t>
    </r>
    <phoneticPr fontId="5" type="noConversion"/>
  </si>
  <si>
    <r>
      <rPr>
        <sz val="10"/>
        <rFont val="宋体"/>
        <family val="3"/>
        <charset val="134"/>
      </rPr>
      <t>其他应收款</t>
    </r>
    <r>
      <rPr>
        <sz val="10"/>
        <rFont val="Arial Narrow"/>
        <family val="2"/>
      </rPr>
      <t>-</t>
    </r>
    <r>
      <rPr>
        <sz val="10"/>
        <rFont val="宋体"/>
        <family val="3"/>
        <charset val="134"/>
      </rPr>
      <t>无风险组合核对</t>
    </r>
    <phoneticPr fontId="5" type="noConversion"/>
  </si>
  <si>
    <r>
      <rPr>
        <sz val="10"/>
        <rFont val="宋体"/>
        <family val="3"/>
        <charset val="134"/>
      </rPr>
      <t>预付账款</t>
    </r>
    <phoneticPr fontId="5" type="noConversion"/>
  </si>
  <si>
    <r>
      <rPr>
        <sz val="10"/>
        <rFont val="宋体"/>
        <family val="3"/>
        <charset val="134"/>
      </rPr>
      <t>预付账款</t>
    </r>
    <r>
      <rPr>
        <sz val="10"/>
        <rFont val="Arial Narrow"/>
        <family val="2"/>
      </rPr>
      <t>-</t>
    </r>
    <r>
      <rPr>
        <sz val="10"/>
        <rFont val="宋体"/>
        <family val="3"/>
        <charset val="134"/>
      </rPr>
      <t>关联方单位名称</t>
    </r>
    <phoneticPr fontId="5" type="noConversion"/>
  </si>
  <si>
    <r>
      <rPr>
        <u/>
        <sz val="10"/>
        <rFont val="宋体"/>
        <family val="3"/>
        <charset val="134"/>
      </rPr>
      <t>返回关联方应收应付款项</t>
    </r>
  </si>
  <si>
    <r>
      <rPr>
        <sz val="10"/>
        <rFont val="宋体"/>
        <family val="3"/>
        <charset val="134"/>
      </rPr>
      <t>预付账款</t>
    </r>
    <r>
      <rPr>
        <sz val="10"/>
        <rFont val="Arial Narrow"/>
        <family val="2"/>
      </rPr>
      <t>-</t>
    </r>
    <r>
      <rPr>
        <sz val="10"/>
        <rFont val="宋体"/>
        <family val="3"/>
        <charset val="134"/>
      </rPr>
      <t>关联方核对</t>
    </r>
    <phoneticPr fontId="5" type="noConversion"/>
  </si>
  <si>
    <r>
      <rPr>
        <sz val="10"/>
        <rFont val="宋体"/>
        <family val="3"/>
        <charset val="134"/>
      </rPr>
      <t>预付账款</t>
    </r>
    <r>
      <rPr>
        <sz val="10"/>
        <rFont val="Arial Narrow"/>
        <family val="2"/>
      </rPr>
      <t>-</t>
    </r>
    <r>
      <rPr>
        <sz val="10"/>
        <rFont val="宋体"/>
        <family val="3"/>
        <charset val="134"/>
      </rPr>
      <t>明细与合计核对</t>
    </r>
    <phoneticPr fontId="5" type="noConversion"/>
  </si>
  <si>
    <r>
      <rPr>
        <sz val="10"/>
        <rFont val="宋体"/>
        <family val="3"/>
        <charset val="134"/>
      </rPr>
      <t>应付账款</t>
    </r>
    <phoneticPr fontId="5" type="noConversion"/>
  </si>
  <si>
    <r>
      <rPr>
        <sz val="10"/>
        <rFont val="宋体"/>
        <family val="3"/>
        <charset val="134"/>
      </rPr>
      <t>应付账款</t>
    </r>
    <r>
      <rPr>
        <sz val="10"/>
        <rFont val="Arial Narrow"/>
        <family val="2"/>
      </rPr>
      <t>-</t>
    </r>
    <r>
      <rPr>
        <sz val="10"/>
        <rFont val="宋体"/>
        <family val="3"/>
        <charset val="134"/>
      </rPr>
      <t>关联方单位名称</t>
    </r>
    <phoneticPr fontId="5" type="noConversion"/>
  </si>
  <si>
    <r>
      <rPr>
        <sz val="10"/>
        <rFont val="宋体"/>
        <family val="3"/>
        <charset val="134"/>
      </rPr>
      <t>应付账款</t>
    </r>
    <r>
      <rPr>
        <sz val="10"/>
        <rFont val="Arial Narrow"/>
        <family val="2"/>
      </rPr>
      <t>-</t>
    </r>
    <r>
      <rPr>
        <sz val="10"/>
        <rFont val="宋体"/>
        <family val="3"/>
        <charset val="134"/>
      </rPr>
      <t>明细与合计核对</t>
    </r>
    <phoneticPr fontId="5" type="noConversion"/>
  </si>
  <si>
    <r>
      <rPr>
        <sz val="10"/>
        <rFont val="宋体"/>
        <family val="3"/>
        <charset val="134"/>
      </rPr>
      <t>预收账款</t>
    </r>
    <phoneticPr fontId="5" type="noConversion"/>
  </si>
  <si>
    <r>
      <rPr>
        <sz val="10"/>
        <rFont val="宋体"/>
        <family val="3"/>
        <charset val="134"/>
      </rPr>
      <t>预收账款</t>
    </r>
    <r>
      <rPr>
        <sz val="10"/>
        <rFont val="Arial Narrow"/>
        <family val="2"/>
      </rPr>
      <t>-</t>
    </r>
    <r>
      <rPr>
        <sz val="10"/>
        <rFont val="宋体"/>
        <family val="3"/>
        <charset val="134"/>
      </rPr>
      <t>关联方单位名称</t>
    </r>
    <phoneticPr fontId="5" type="noConversion"/>
  </si>
  <si>
    <r>
      <rPr>
        <sz val="10"/>
        <rFont val="宋体"/>
        <family val="3"/>
        <charset val="134"/>
      </rPr>
      <t>预收账款</t>
    </r>
    <r>
      <rPr>
        <sz val="10"/>
        <rFont val="Arial Narrow"/>
        <family val="2"/>
      </rPr>
      <t>-</t>
    </r>
    <r>
      <rPr>
        <sz val="10"/>
        <rFont val="宋体"/>
        <family val="3"/>
        <charset val="134"/>
      </rPr>
      <t>明细与合计核对</t>
    </r>
    <phoneticPr fontId="5" type="noConversion"/>
  </si>
  <si>
    <r>
      <rPr>
        <sz val="10"/>
        <rFont val="宋体"/>
        <family val="3"/>
        <charset val="134"/>
      </rPr>
      <t>其他应付款</t>
    </r>
    <phoneticPr fontId="5" type="noConversion"/>
  </si>
  <si>
    <r>
      <rPr>
        <sz val="10"/>
        <rFont val="宋体"/>
        <family val="3"/>
        <charset val="134"/>
      </rPr>
      <t>其他应付款</t>
    </r>
    <r>
      <rPr>
        <sz val="10"/>
        <rFont val="Arial Narrow"/>
        <family val="2"/>
      </rPr>
      <t>-</t>
    </r>
    <r>
      <rPr>
        <sz val="10"/>
        <rFont val="宋体"/>
        <family val="3"/>
        <charset val="134"/>
      </rPr>
      <t>关联方单位名称</t>
    </r>
    <phoneticPr fontId="5" type="noConversion"/>
  </si>
  <si>
    <r>
      <rPr>
        <sz val="10"/>
        <rFont val="宋体"/>
        <family val="3"/>
        <charset val="134"/>
      </rPr>
      <t>其他应付款</t>
    </r>
    <r>
      <rPr>
        <sz val="10"/>
        <rFont val="Arial Narrow"/>
        <family val="2"/>
      </rPr>
      <t>-</t>
    </r>
    <r>
      <rPr>
        <sz val="10"/>
        <rFont val="宋体"/>
        <family val="3"/>
        <charset val="134"/>
      </rPr>
      <t>明细与合计核对</t>
    </r>
    <phoneticPr fontId="5" type="noConversion"/>
  </si>
  <si>
    <r>
      <t>——</t>
    </r>
    <r>
      <rPr>
        <b/>
        <sz val="10"/>
        <rFont val="宋体"/>
        <family val="3"/>
        <charset val="134"/>
      </rPr>
      <t>关联方应收应付款项</t>
    </r>
    <phoneticPr fontId="5" type="noConversion"/>
  </si>
  <si>
    <r>
      <rPr>
        <sz val="10"/>
        <rFont val="宋体"/>
        <family val="3"/>
        <charset val="134"/>
      </rPr>
      <t>应收账款</t>
    </r>
    <phoneticPr fontId="5" type="noConversion"/>
  </si>
  <si>
    <r>
      <rPr>
        <sz val="10"/>
        <rFont val="宋体"/>
        <family val="3"/>
        <charset val="134"/>
      </rPr>
      <t>预付款项</t>
    </r>
    <phoneticPr fontId="5" type="noConversion"/>
  </si>
  <si>
    <r>
      <rPr>
        <sz val="10"/>
        <rFont val="宋体"/>
        <family val="3"/>
        <charset val="134"/>
      </rPr>
      <t>预收款项</t>
    </r>
    <phoneticPr fontId="5" type="noConversion"/>
  </si>
  <si>
    <r>
      <rPr>
        <sz val="10"/>
        <rFont val="宋体"/>
        <family val="3"/>
        <charset val="134"/>
      </rPr>
      <t>应收票据</t>
    </r>
    <phoneticPr fontId="5" type="noConversion"/>
  </si>
  <si>
    <r>
      <rPr>
        <sz val="10"/>
        <rFont val="宋体"/>
        <family val="3"/>
        <charset val="134"/>
      </rPr>
      <t>其他应收款</t>
    </r>
    <phoneticPr fontId="5" type="noConversion"/>
  </si>
  <si>
    <r>
      <rPr>
        <sz val="10"/>
        <rFont val="宋体"/>
        <family val="3"/>
        <charset val="134"/>
      </rPr>
      <t>应付票据</t>
    </r>
    <phoneticPr fontId="5" type="noConversion"/>
  </si>
  <si>
    <r>
      <rPr>
        <sz val="10"/>
        <rFont val="宋体"/>
        <family val="3"/>
        <charset val="134"/>
      </rPr>
      <t>长期应付款</t>
    </r>
    <phoneticPr fontId="5" type="noConversion"/>
  </si>
  <si>
    <r>
      <rPr>
        <sz val="10"/>
        <rFont val="宋体"/>
        <family val="3"/>
        <charset val="134"/>
      </rPr>
      <t>项目名称</t>
    </r>
  </si>
  <si>
    <r>
      <rPr>
        <sz val="10"/>
        <rFont val="宋体"/>
        <family val="3"/>
        <charset val="134"/>
      </rPr>
      <t>期初余额</t>
    </r>
    <phoneticPr fontId="5" type="noConversion"/>
  </si>
  <si>
    <r>
      <rPr>
        <sz val="10"/>
        <rFont val="宋体"/>
        <family val="3"/>
        <charset val="134"/>
      </rPr>
      <t>条款和条件</t>
    </r>
    <phoneticPr fontId="5" type="noConversion"/>
  </si>
  <si>
    <r>
      <rPr>
        <sz val="10"/>
        <rFont val="宋体"/>
        <family val="3"/>
        <charset val="134"/>
      </rPr>
      <t>是否取得或提供担保</t>
    </r>
    <phoneticPr fontId="5" type="noConversion"/>
  </si>
  <si>
    <r>
      <rPr>
        <sz val="10"/>
        <rFont val="宋体"/>
        <family val="3"/>
        <charset val="134"/>
      </rPr>
      <t>所占余额比例（</t>
    </r>
    <r>
      <rPr>
        <sz val="10"/>
        <rFont val="Arial Narrow"/>
        <family val="2"/>
      </rPr>
      <t>%</t>
    </r>
    <r>
      <rPr>
        <sz val="10"/>
        <rFont val="宋体"/>
        <family val="3"/>
        <charset val="134"/>
      </rPr>
      <t>）</t>
    </r>
    <phoneticPr fontId="5" type="noConversion"/>
  </si>
  <si>
    <r>
      <rPr>
        <sz val="10"/>
        <rFont val="宋体"/>
        <family val="3"/>
        <charset val="134"/>
      </rPr>
      <t>应收账款：</t>
    </r>
  </si>
  <si>
    <r>
      <rPr>
        <sz val="10"/>
        <rFont val="宋体"/>
        <family val="3"/>
        <charset val="134"/>
      </rPr>
      <t>应收票据：</t>
    </r>
    <phoneticPr fontId="5" type="noConversion"/>
  </si>
  <si>
    <r>
      <rPr>
        <sz val="10"/>
        <rFont val="宋体"/>
        <family val="3"/>
        <charset val="134"/>
      </rPr>
      <t>预付款项：</t>
    </r>
    <phoneticPr fontId="5" type="noConversion"/>
  </si>
  <si>
    <r>
      <rPr>
        <sz val="10"/>
        <rFont val="宋体"/>
        <family val="3"/>
        <charset val="134"/>
      </rPr>
      <t>其他应收款：</t>
    </r>
    <phoneticPr fontId="5" type="noConversion"/>
  </si>
  <si>
    <r>
      <t>——</t>
    </r>
    <r>
      <rPr>
        <b/>
        <sz val="10"/>
        <rFont val="宋体"/>
        <family val="3"/>
        <charset val="134"/>
      </rPr>
      <t>关联方交易</t>
    </r>
    <phoneticPr fontId="5" type="noConversion"/>
  </si>
  <si>
    <r>
      <rPr>
        <b/>
        <sz val="10"/>
        <rFont val="宋体"/>
        <family val="3"/>
        <charset val="134"/>
      </rPr>
      <t>（</t>
    </r>
    <r>
      <rPr>
        <b/>
        <sz val="10"/>
        <rFont val="Arial Narrow"/>
        <family val="2"/>
      </rPr>
      <t>1</t>
    </r>
    <r>
      <rPr>
        <b/>
        <sz val="10"/>
        <rFont val="宋体"/>
        <family val="3"/>
        <charset val="134"/>
      </rPr>
      <t>）定价政策</t>
    </r>
  </si>
  <si>
    <r>
      <rPr>
        <sz val="10"/>
        <rFont val="宋体"/>
        <family val="3"/>
        <charset val="134"/>
      </rPr>
      <t>关联方名称</t>
    </r>
  </si>
  <si>
    <r>
      <rPr>
        <sz val="10"/>
        <rFont val="宋体"/>
        <family val="3"/>
        <charset val="134"/>
      </rPr>
      <t>交易对方名称</t>
    </r>
  </si>
  <si>
    <r>
      <rPr>
        <sz val="10"/>
        <rFont val="宋体"/>
        <family val="3"/>
        <charset val="134"/>
      </rPr>
      <t>交易类别</t>
    </r>
  </si>
  <si>
    <r>
      <rPr>
        <sz val="10"/>
        <rFont val="宋体"/>
        <family val="3"/>
        <charset val="134"/>
      </rPr>
      <t>定价原则</t>
    </r>
  </si>
  <si>
    <r>
      <rPr>
        <b/>
        <sz val="10"/>
        <rFont val="宋体"/>
        <family val="3"/>
        <charset val="134"/>
      </rPr>
      <t>①销售商品</t>
    </r>
  </si>
  <si>
    <r>
      <rPr>
        <sz val="10"/>
        <rFont val="宋体"/>
        <family val="3"/>
        <charset val="134"/>
      </rPr>
      <t>比例</t>
    </r>
    <r>
      <rPr>
        <sz val="10"/>
        <rFont val="Arial Narrow"/>
        <family val="2"/>
      </rPr>
      <t>(%)</t>
    </r>
  </si>
  <si>
    <r>
      <rPr>
        <b/>
        <sz val="10"/>
        <rFont val="宋体"/>
        <family val="3"/>
        <charset val="134"/>
      </rPr>
      <t>②采购商品</t>
    </r>
  </si>
  <si>
    <r>
      <rPr>
        <b/>
        <sz val="10"/>
        <rFont val="宋体"/>
        <family val="3"/>
        <charset val="134"/>
      </rPr>
      <t>③销售商品以外的其他资产</t>
    </r>
  </si>
  <si>
    <r>
      <rPr>
        <b/>
        <sz val="10"/>
        <rFont val="宋体"/>
        <family val="3"/>
        <charset val="134"/>
      </rPr>
      <t>④采购商品以外的其他资产</t>
    </r>
  </si>
  <si>
    <r>
      <rPr>
        <b/>
        <sz val="10"/>
        <rFont val="宋体"/>
        <family val="3"/>
        <charset val="134"/>
      </rPr>
      <t>⑤提供劳务</t>
    </r>
  </si>
  <si>
    <r>
      <rPr>
        <b/>
        <sz val="10"/>
        <rFont val="宋体"/>
        <family val="3"/>
        <charset val="134"/>
      </rPr>
      <t>⑥接受劳务</t>
    </r>
  </si>
  <si>
    <r>
      <rPr>
        <b/>
        <sz val="10"/>
        <rFont val="宋体"/>
        <family val="3"/>
        <charset val="134"/>
      </rPr>
      <t>⑦担保</t>
    </r>
  </si>
  <si>
    <r>
      <rPr>
        <sz val="10"/>
        <rFont val="宋体"/>
        <family val="3"/>
        <charset val="134"/>
      </rPr>
      <t>担保方</t>
    </r>
  </si>
  <si>
    <r>
      <rPr>
        <sz val="10"/>
        <rFont val="宋体"/>
        <family val="3"/>
        <charset val="134"/>
      </rPr>
      <t>被担保方</t>
    </r>
  </si>
  <si>
    <r>
      <rPr>
        <sz val="10"/>
        <rFont val="宋体"/>
        <family val="3"/>
        <charset val="134"/>
      </rPr>
      <t>担保金额</t>
    </r>
  </si>
  <si>
    <r>
      <rPr>
        <sz val="10"/>
        <rFont val="宋体"/>
        <family val="3"/>
        <charset val="134"/>
      </rPr>
      <t>担保起始日</t>
    </r>
  </si>
  <si>
    <r>
      <rPr>
        <sz val="10"/>
        <rFont val="宋体"/>
        <family val="3"/>
        <charset val="134"/>
      </rPr>
      <t>担保到期日</t>
    </r>
  </si>
  <si>
    <r>
      <rPr>
        <sz val="10"/>
        <rFont val="宋体"/>
        <family val="3"/>
        <charset val="134"/>
      </rPr>
      <t>担保是否已经履行完毕</t>
    </r>
  </si>
  <si>
    <r>
      <rPr>
        <b/>
        <sz val="10"/>
        <rFont val="宋体"/>
        <family val="3"/>
        <charset val="134"/>
      </rPr>
      <t>⑧提供资金（贷款）</t>
    </r>
  </si>
  <si>
    <r>
      <rPr>
        <sz val="10"/>
        <rFont val="宋体"/>
        <family val="3"/>
        <charset val="134"/>
      </rPr>
      <t>向关联方提供资金</t>
    </r>
  </si>
  <si>
    <r>
      <rPr>
        <sz val="10"/>
        <rFont val="宋体"/>
        <family val="3"/>
        <charset val="134"/>
      </rPr>
      <t>关联方向本公司提供资金</t>
    </r>
    <phoneticPr fontId="5" type="noConversion"/>
  </si>
  <si>
    <r>
      <rPr>
        <b/>
        <sz val="10"/>
        <rFont val="宋体"/>
        <family val="3"/>
        <charset val="134"/>
      </rPr>
      <t>（</t>
    </r>
    <r>
      <rPr>
        <b/>
        <sz val="10"/>
        <rFont val="Arial Narrow"/>
        <family val="2"/>
      </rPr>
      <t>1</t>
    </r>
    <r>
      <rPr>
        <b/>
        <sz val="10"/>
        <rFont val="宋体"/>
        <family val="3"/>
        <charset val="134"/>
      </rPr>
      <t>）</t>
    </r>
    <r>
      <rPr>
        <b/>
        <sz val="10"/>
        <rFont val="Arial Narrow"/>
        <family val="2"/>
      </rPr>
      <t xml:space="preserve"> </t>
    </r>
    <r>
      <rPr>
        <b/>
        <sz val="10"/>
        <rFont val="宋体"/>
        <family val="3"/>
        <charset val="134"/>
      </rPr>
      <t>关联方为本公司提供资金</t>
    </r>
  </si>
  <si>
    <r>
      <rPr>
        <sz val="10"/>
        <rFont val="宋体"/>
        <family val="3"/>
        <charset val="134"/>
      </rPr>
      <t>本年度</t>
    </r>
    <phoneticPr fontId="5" type="noConversion"/>
  </si>
  <si>
    <r>
      <rPr>
        <sz val="10"/>
        <rFont val="宋体"/>
        <family val="3"/>
        <charset val="134"/>
      </rPr>
      <t>上年度</t>
    </r>
    <phoneticPr fontId="5" type="noConversion"/>
  </si>
  <si>
    <r>
      <rPr>
        <sz val="10"/>
        <rFont val="宋体"/>
        <family val="3"/>
        <charset val="134"/>
      </rPr>
      <t>提供金额</t>
    </r>
    <phoneticPr fontId="5" type="noConversion"/>
  </si>
  <si>
    <r>
      <rPr>
        <sz val="10"/>
        <rFont val="宋体"/>
        <family val="3"/>
        <charset val="134"/>
      </rPr>
      <t>偿还金额</t>
    </r>
  </si>
  <si>
    <r>
      <rPr>
        <sz val="10"/>
        <rFont val="宋体"/>
        <family val="3"/>
        <charset val="134"/>
      </rPr>
      <t>余额</t>
    </r>
    <phoneticPr fontId="5" type="noConversion"/>
  </si>
  <si>
    <r>
      <rPr>
        <b/>
        <sz val="10"/>
        <rFont val="宋体"/>
        <family val="3"/>
        <charset val="134"/>
      </rPr>
      <t>（</t>
    </r>
    <r>
      <rPr>
        <b/>
        <sz val="10"/>
        <rFont val="Arial Narrow"/>
        <family val="2"/>
      </rPr>
      <t>2</t>
    </r>
    <r>
      <rPr>
        <b/>
        <sz val="10"/>
        <rFont val="宋体"/>
        <family val="3"/>
        <charset val="134"/>
      </rPr>
      <t>）</t>
    </r>
    <r>
      <rPr>
        <b/>
        <sz val="10"/>
        <rFont val="Arial Narrow"/>
        <family val="2"/>
      </rPr>
      <t xml:space="preserve"> </t>
    </r>
    <r>
      <rPr>
        <b/>
        <sz val="10"/>
        <rFont val="宋体"/>
        <family val="3"/>
        <charset val="134"/>
      </rPr>
      <t>本公司为关联方提供资金</t>
    </r>
  </si>
  <si>
    <r>
      <rPr>
        <sz val="10"/>
        <rFont val="宋体"/>
        <family val="3"/>
        <charset val="134"/>
      </rPr>
      <t>本年度</t>
    </r>
    <phoneticPr fontId="5" type="noConversion"/>
  </si>
  <si>
    <r>
      <t>(3)</t>
    </r>
    <r>
      <rPr>
        <sz val="10"/>
        <rFont val="宋体"/>
        <family val="3"/>
        <charset val="134"/>
      </rPr>
      <t>应付关联方利息</t>
    </r>
    <phoneticPr fontId="5" type="noConversion"/>
  </si>
  <si>
    <r>
      <rPr>
        <sz val="10"/>
        <rFont val="宋体"/>
        <family val="3"/>
        <charset val="134"/>
      </rPr>
      <t>本年度</t>
    </r>
  </si>
  <si>
    <r>
      <rPr>
        <sz val="10"/>
        <rFont val="宋体"/>
        <family val="3"/>
        <charset val="134"/>
      </rPr>
      <t>上年度</t>
    </r>
  </si>
  <si>
    <r>
      <rPr>
        <sz val="10"/>
        <rFont val="宋体"/>
        <family val="3"/>
        <charset val="134"/>
      </rPr>
      <t>挂账会计科目</t>
    </r>
    <phoneticPr fontId="5" type="noConversion"/>
  </si>
  <si>
    <r>
      <rPr>
        <sz val="10"/>
        <rFont val="宋体"/>
        <family val="3"/>
        <charset val="134"/>
      </rPr>
      <t>应付</t>
    </r>
    <phoneticPr fontId="5" type="noConversion"/>
  </si>
  <si>
    <r>
      <rPr>
        <sz val="10"/>
        <rFont val="宋体"/>
        <family val="3"/>
        <charset val="134"/>
      </rPr>
      <t>支付</t>
    </r>
    <phoneticPr fontId="5" type="noConversion"/>
  </si>
  <si>
    <r>
      <rPr>
        <sz val="10"/>
        <rFont val="宋体"/>
        <family val="3"/>
        <charset val="134"/>
      </rPr>
      <t>余额</t>
    </r>
    <phoneticPr fontId="5" type="noConversion"/>
  </si>
  <si>
    <r>
      <rPr>
        <sz val="10"/>
        <rFont val="宋体"/>
        <family val="3"/>
        <charset val="134"/>
      </rPr>
      <t>支付</t>
    </r>
    <phoneticPr fontId="5" type="noConversion"/>
  </si>
  <si>
    <r>
      <rPr>
        <sz val="10"/>
        <rFont val="宋体"/>
        <family val="3"/>
        <charset val="134"/>
      </rPr>
      <t>（</t>
    </r>
    <r>
      <rPr>
        <sz val="10"/>
        <rFont val="Arial Narrow"/>
        <family val="2"/>
      </rPr>
      <t>4)</t>
    </r>
    <r>
      <rPr>
        <sz val="10"/>
        <rFont val="宋体"/>
        <family val="3"/>
        <charset val="134"/>
      </rPr>
      <t>应收关联方利息</t>
    </r>
    <phoneticPr fontId="5" type="noConversion"/>
  </si>
  <si>
    <r>
      <rPr>
        <sz val="10"/>
        <rFont val="宋体"/>
        <family val="3"/>
        <charset val="134"/>
      </rPr>
      <t>应收</t>
    </r>
    <phoneticPr fontId="5" type="noConversion"/>
  </si>
  <si>
    <r>
      <rPr>
        <sz val="10"/>
        <rFont val="宋体"/>
        <family val="3"/>
        <charset val="134"/>
      </rPr>
      <t>已收</t>
    </r>
    <phoneticPr fontId="5" type="noConversion"/>
  </si>
  <si>
    <r>
      <rPr>
        <sz val="10"/>
        <rFont val="宋体"/>
        <family val="3"/>
        <charset val="134"/>
      </rPr>
      <t>金额</t>
    </r>
    <phoneticPr fontId="5" type="noConversion"/>
  </si>
  <si>
    <r>
      <rPr>
        <sz val="10"/>
        <rFont val="宋体"/>
        <family val="3"/>
        <charset val="134"/>
      </rPr>
      <t>【应披露除上述关联交易外的项目，比如：租赁、代理、研究与开发项目转移、许可协议等。金额可填列支付或收取租赁费、代理费、研究与开发项目转移费、许可协议费用金额】</t>
    </r>
    <phoneticPr fontId="5" type="noConversion"/>
  </si>
  <si>
    <r>
      <t>——</t>
    </r>
    <r>
      <rPr>
        <b/>
        <sz val="10"/>
        <rFont val="宋体"/>
        <family val="3"/>
        <charset val="134"/>
      </rPr>
      <t>关联方关系</t>
    </r>
    <phoneticPr fontId="5" type="noConversion"/>
  </si>
  <si>
    <r>
      <t>1</t>
    </r>
    <r>
      <rPr>
        <b/>
        <sz val="10"/>
        <rFont val="宋体"/>
        <family val="3"/>
        <charset val="134"/>
      </rPr>
      <t>、母公司基本情况</t>
    </r>
  </si>
  <si>
    <r>
      <rPr>
        <sz val="10"/>
        <rFont val="宋体"/>
        <family val="3"/>
        <charset val="134"/>
      </rPr>
      <t>母公司名称</t>
    </r>
  </si>
  <si>
    <r>
      <rPr>
        <sz val="10"/>
        <rFont val="宋体"/>
        <family val="3"/>
        <charset val="134"/>
      </rPr>
      <t>注册地</t>
    </r>
  </si>
  <si>
    <r>
      <rPr>
        <sz val="10"/>
        <rFont val="宋体"/>
        <family val="3"/>
        <charset val="134"/>
      </rPr>
      <t>业务性质</t>
    </r>
  </si>
  <si>
    <r>
      <rPr>
        <sz val="10"/>
        <rFont val="宋体"/>
        <family val="3"/>
        <charset val="134"/>
      </rPr>
      <t>注册资本</t>
    </r>
  </si>
  <si>
    <r>
      <rPr>
        <sz val="10"/>
        <rFont val="宋体"/>
        <family val="3"/>
        <charset val="134"/>
      </rPr>
      <t>母公司对本企业的持股比例（</t>
    </r>
    <r>
      <rPr>
        <sz val="10"/>
        <rFont val="Arial Narrow"/>
        <family val="2"/>
      </rPr>
      <t>%</t>
    </r>
    <r>
      <rPr>
        <sz val="10"/>
        <rFont val="宋体"/>
        <family val="3"/>
        <charset val="134"/>
      </rPr>
      <t>）</t>
    </r>
  </si>
  <si>
    <r>
      <rPr>
        <sz val="10"/>
        <rFont val="宋体"/>
        <family val="3"/>
        <charset val="134"/>
      </rPr>
      <t>母公司对本企业的表决权比例（</t>
    </r>
    <r>
      <rPr>
        <sz val="10"/>
        <rFont val="Arial Narrow"/>
        <family val="2"/>
      </rPr>
      <t>%</t>
    </r>
    <r>
      <rPr>
        <sz val="10"/>
        <rFont val="宋体"/>
        <family val="3"/>
        <charset val="134"/>
      </rPr>
      <t>）</t>
    </r>
  </si>
  <si>
    <r>
      <rPr>
        <sz val="10"/>
        <rFont val="宋体"/>
        <family val="3"/>
        <charset val="134"/>
      </rPr>
      <t>注：本公司最终控制方是：</t>
    </r>
    <phoneticPr fontId="5" type="noConversion"/>
  </si>
  <si>
    <r>
      <t>2</t>
    </r>
    <r>
      <rPr>
        <b/>
        <sz val="10"/>
        <rFont val="宋体"/>
        <family val="3"/>
        <charset val="134"/>
      </rPr>
      <t>、子公司及下属企业</t>
    </r>
  </si>
  <si>
    <r>
      <rPr>
        <sz val="10"/>
        <rFont val="宋体"/>
        <family val="3"/>
        <charset val="134"/>
      </rPr>
      <t>子公司及下属企业名称</t>
    </r>
  </si>
  <si>
    <r>
      <rPr>
        <sz val="10"/>
        <rFont val="宋体"/>
        <family val="3"/>
        <charset val="134"/>
      </rPr>
      <t>持股比例（</t>
    </r>
    <r>
      <rPr>
        <sz val="10"/>
        <rFont val="Arial Narrow"/>
        <family val="2"/>
      </rPr>
      <t>%</t>
    </r>
    <r>
      <rPr>
        <sz val="10"/>
        <rFont val="宋体"/>
        <family val="3"/>
        <charset val="134"/>
      </rPr>
      <t>）</t>
    </r>
  </si>
  <si>
    <r>
      <rPr>
        <sz val="10"/>
        <rFont val="宋体"/>
        <family val="3"/>
        <charset val="134"/>
      </rPr>
      <t>表决权比例（</t>
    </r>
    <r>
      <rPr>
        <sz val="10"/>
        <rFont val="Arial Narrow"/>
        <family val="2"/>
      </rPr>
      <t>%</t>
    </r>
    <r>
      <rPr>
        <sz val="10"/>
        <rFont val="宋体"/>
        <family val="3"/>
        <charset val="134"/>
      </rPr>
      <t>）</t>
    </r>
  </si>
  <si>
    <r>
      <rPr>
        <sz val="10"/>
        <rFont val="宋体"/>
        <family val="3"/>
        <charset val="134"/>
      </rPr>
      <t>级次</t>
    </r>
  </si>
  <si>
    <r>
      <t>3</t>
    </r>
    <r>
      <rPr>
        <b/>
        <sz val="10"/>
        <rFont val="宋体"/>
        <family val="3"/>
        <charset val="134"/>
      </rPr>
      <t>、合营公司及联营公司情况详见附注八、</t>
    </r>
    <r>
      <rPr>
        <b/>
        <sz val="10"/>
        <rFont val="Arial Narrow"/>
        <family val="2"/>
      </rPr>
      <t>14</t>
    </r>
    <r>
      <rPr>
        <b/>
        <sz val="10"/>
        <rFont val="宋体"/>
        <family val="3"/>
        <charset val="134"/>
      </rPr>
      <t>、长期股权投资</t>
    </r>
  </si>
  <si>
    <r>
      <t>4</t>
    </r>
    <r>
      <rPr>
        <b/>
        <sz val="10"/>
        <rFont val="宋体"/>
        <family val="3"/>
        <charset val="134"/>
      </rPr>
      <t>、其他关联方</t>
    </r>
  </si>
  <si>
    <r>
      <rPr>
        <sz val="10"/>
        <rFont val="宋体"/>
        <family val="3"/>
        <charset val="134"/>
      </rPr>
      <t>与本集团的关系</t>
    </r>
  </si>
  <si>
    <r>
      <rPr>
        <b/>
        <sz val="10"/>
        <rFont val="宋体"/>
        <family val="3"/>
        <charset val="134"/>
      </rPr>
      <t>外币货币性项目</t>
    </r>
  </si>
  <si>
    <r>
      <t xml:space="preserve">  </t>
    </r>
    <r>
      <rPr>
        <sz val="10"/>
        <rFont val="宋体"/>
        <family val="3"/>
        <charset val="134"/>
      </rPr>
      <t>项</t>
    </r>
    <r>
      <rPr>
        <sz val="10"/>
        <rFont val="Arial Narrow"/>
        <family val="2"/>
      </rPr>
      <t xml:space="preserve">    </t>
    </r>
    <r>
      <rPr>
        <sz val="10"/>
        <rFont val="宋体"/>
        <family val="3"/>
        <charset val="134"/>
      </rPr>
      <t>目</t>
    </r>
    <phoneticPr fontId="5" type="noConversion"/>
  </si>
  <si>
    <r>
      <t xml:space="preserve"> </t>
    </r>
    <r>
      <rPr>
        <sz val="10"/>
        <rFont val="宋体"/>
        <family val="3"/>
        <charset val="134"/>
      </rPr>
      <t>外币金额</t>
    </r>
    <r>
      <rPr>
        <sz val="10"/>
        <rFont val="Arial Narrow"/>
        <family val="2"/>
      </rPr>
      <t xml:space="preserve"> </t>
    </r>
    <phoneticPr fontId="5" type="noConversion"/>
  </si>
  <si>
    <r>
      <rPr>
        <b/>
        <sz val="10"/>
        <rFont val="宋体"/>
        <family val="3"/>
        <charset val="134"/>
      </rPr>
      <t>货币资金：</t>
    </r>
    <phoneticPr fontId="5" type="noConversion"/>
  </si>
  <si>
    <r>
      <rPr>
        <b/>
        <sz val="10"/>
        <rFont val="宋体"/>
        <family val="3"/>
        <charset val="134"/>
      </rPr>
      <t>应收账款：</t>
    </r>
    <phoneticPr fontId="5" type="noConversion"/>
  </si>
  <si>
    <r>
      <rPr>
        <b/>
        <sz val="10"/>
        <rFont val="宋体"/>
        <family val="3"/>
        <charset val="134"/>
      </rPr>
      <t>长期借款：</t>
    </r>
    <r>
      <rPr>
        <b/>
        <sz val="10"/>
        <rFont val="Arial Narrow"/>
        <family val="2"/>
      </rPr>
      <t xml:space="preserve"> </t>
    </r>
    <phoneticPr fontId="5" type="noConversion"/>
  </si>
  <si>
    <r>
      <t>——</t>
    </r>
    <r>
      <rPr>
        <b/>
        <sz val="10"/>
        <rFont val="宋体"/>
        <family val="3"/>
        <charset val="134"/>
      </rPr>
      <t>现金流量表补充资料</t>
    </r>
    <phoneticPr fontId="5" type="noConversion"/>
  </si>
  <si>
    <r>
      <rPr>
        <b/>
        <sz val="10"/>
        <rFont val="宋体"/>
        <family val="3"/>
        <charset val="134"/>
      </rPr>
      <t>（</t>
    </r>
    <r>
      <rPr>
        <b/>
        <sz val="10"/>
        <rFont val="Arial Narrow"/>
        <family val="2"/>
      </rPr>
      <t>1</t>
    </r>
    <r>
      <rPr>
        <b/>
        <sz val="10"/>
        <rFont val="宋体"/>
        <family val="3"/>
        <charset val="134"/>
      </rPr>
      <t>）按间接法将净利润调节为经营活动现金流量的信息</t>
    </r>
    <phoneticPr fontId="5" type="noConversion"/>
  </si>
  <si>
    <r>
      <rPr>
        <b/>
        <sz val="10"/>
        <rFont val="宋体"/>
        <family val="3"/>
        <charset val="134"/>
      </rPr>
      <t>分析性复核</t>
    </r>
    <phoneticPr fontId="5" type="noConversion"/>
  </si>
  <si>
    <r>
      <rPr>
        <sz val="10"/>
        <rFont val="宋体"/>
        <family val="3"/>
        <charset val="134"/>
      </rPr>
      <t>本年金额</t>
    </r>
  </si>
  <si>
    <r>
      <rPr>
        <sz val="10"/>
        <rFont val="宋体"/>
        <family val="3"/>
        <charset val="134"/>
      </rPr>
      <t>上年金额</t>
    </r>
  </si>
  <si>
    <r>
      <rPr>
        <b/>
        <sz val="10"/>
        <rFont val="宋体"/>
        <family val="3"/>
        <charset val="134"/>
      </rPr>
      <t>经营活动产生的现金流量净额</t>
    </r>
    <phoneticPr fontId="5" type="noConversion"/>
  </si>
  <si>
    <r>
      <rPr>
        <sz val="10"/>
        <rFont val="宋体"/>
        <family val="3"/>
        <charset val="134"/>
      </rPr>
      <t>上年金额</t>
    </r>
    <phoneticPr fontId="5" type="noConversion"/>
  </si>
  <si>
    <r>
      <rPr>
        <b/>
        <sz val="10"/>
        <rFont val="宋体"/>
        <family val="3"/>
        <charset val="134"/>
      </rPr>
      <t>③年末现金及现金等价物余额</t>
    </r>
    <phoneticPr fontId="5" type="noConversion"/>
  </si>
  <si>
    <r>
      <t>——</t>
    </r>
    <r>
      <rPr>
        <b/>
        <sz val="10"/>
        <rFont val="宋体"/>
        <family val="3"/>
        <charset val="134"/>
      </rPr>
      <t>现金流量表项目注释</t>
    </r>
    <phoneticPr fontId="5" type="noConversion"/>
  </si>
  <si>
    <r>
      <rPr>
        <b/>
        <sz val="10"/>
        <rFont val="宋体"/>
        <family val="3"/>
        <charset val="134"/>
      </rPr>
      <t>（</t>
    </r>
    <r>
      <rPr>
        <b/>
        <sz val="10"/>
        <rFont val="Arial Narrow"/>
        <family val="2"/>
      </rPr>
      <t>1</t>
    </r>
    <r>
      <rPr>
        <b/>
        <sz val="10"/>
        <rFont val="宋体"/>
        <family val="3"/>
        <charset val="134"/>
      </rPr>
      <t>）收到其他与经营活动有关的现金</t>
    </r>
  </si>
  <si>
    <r>
      <rPr>
        <b/>
        <sz val="10"/>
        <rFont val="宋体"/>
        <family val="3"/>
        <charset val="134"/>
      </rPr>
      <t>（</t>
    </r>
    <r>
      <rPr>
        <b/>
        <sz val="10"/>
        <rFont val="Arial Narrow"/>
        <family val="2"/>
      </rPr>
      <t>2</t>
    </r>
    <r>
      <rPr>
        <b/>
        <sz val="10"/>
        <rFont val="宋体"/>
        <family val="3"/>
        <charset val="134"/>
      </rPr>
      <t>）支付其他与经营活动有关的现金</t>
    </r>
  </si>
  <si>
    <r>
      <rPr>
        <b/>
        <sz val="10"/>
        <rFont val="宋体"/>
        <family val="3"/>
        <charset val="134"/>
      </rPr>
      <t>（</t>
    </r>
    <r>
      <rPr>
        <b/>
        <sz val="10"/>
        <rFont val="Arial Narrow"/>
        <family val="2"/>
      </rPr>
      <t>4</t>
    </r>
    <r>
      <rPr>
        <b/>
        <sz val="10"/>
        <rFont val="宋体"/>
        <family val="3"/>
        <charset val="134"/>
      </rPr>
      <t>）支付其他与投资活动有关的现金</t>
    </r>
  </si>
  <si>
    <r>
      <rPr>
        <b/>
        <sz val="10"/>
        <rFont val="宋体"/>
        <family val="3"/>
        <charset val="134"/>
      </rPr>
      <t>（</t>
    </r>
    <r>
      <rPr>
        <b/>
        <sz val="10"/>
        <rFont val="Arial Narrow"/>
        <family val="2"/>
      </rPr>
      <t>6</t>
    </r>
    <r>
      <rPr>
        <b/>
        <sz val="10"/>
        <rFont val="宋体"/>
        <family val="3"/>
        <charset val="134"/>
      </rPr>
      <t>）支付其他与筹资活动有关的现金</t>
    </r>
  </si>
  <si>
    <r>
      <rPr>
        <sz val="10"/>
        <rFont val="宋体"/>
        <family val="3"/>
        <charset val="134"/>
      </rPr>
      <t>与主表核对</t>
    </r>
    <phoneticPr fontId="5" type="noConversion"/>
  </si>
  <si>
    <r>
      <rPr>
        <sz val="10"/>
        <rFont val="宋体"/>
        <family val="3"/>
        <charset val="134"/>
      </rPr>
      <t>收到其他与经营活动有关的现金</t>
    </r>
  </si>
  <si>
    <r>
      <rPr>
        <sz val="10"/>
        <rFont val="宋体"/>
        <family val="3"/>
        <charset val="134"/>
      </rPr>
      <t>支付其他与经营活动有关的现金</t>
    </r>
  </si>
  <si>
    <r>
      <rPr>
        <sz val="10"/>
        <rFont val="宋体"/>
        <family val="3"/>
        <charset val="134"/>
      </rPr>
      <t>收到其他与投资活动有关的现金</t>
    </r>
  </si>
  <si>
    <r>
      <rPr>
        <sz val="10"/>
        <rFont val="宋体"/>
        <family val="3"/>
        <charset val="134"/>
      </rPr>
      <t>支付其他与投资活动有关的现金</t>
    </r>
  </si>
  <si>
    <r>
      <rPr>
        <sz val="10"/>
        <rFont val="宋体"/>
        <family val="3"/>
        <charset val="134"/>
      </rPr>
      <t>收到其他与筹资活动有关的现金</t>
    </r>
  </si>
  <si>
    <r>
      <rPr>
        <sz val="10"/>
        <rFont val="宋体"/>
        <family val="3"/>
        <charset val="134"/>
      </rPr>
      <t>支付其他与筹资活动有关的现金</t>
    </r>
  </si>
  <si>
    <r>
      <rPr>
        <b/>
        <sz val="10"/>
        <rFont val="宋体"/>
        <family val="3"/>
        <charset val="134"/>
      </rPr>
      <t>一、年初重大调整事项说明</t>
    </r>
  </si>
  <si>
    <r>
      <rPr>
        <sz val="10"/>
        <rFont val="宋体"/>
        <family val="3"/>
        <charset val="134"/>
      </rPr>
      <t>年初权益调整情况</t>
    </r>
    <phoneticPr fontId="5" type="noConversion"/>
  </si>
  <si>
    <r>
      <rPr>
        <sz val="10"/>
        <rFont val="宋体"/>
        <family val="3"/>
        <charset val="134"/>
      </rPr>
      <t>合并范围变化</t>
    </r>
  </si>
  <si>
    <r>
      <rPr>
        <sz val="10"/>
        <rFont val="宋体"/>
        <family val="3"/>
        <charset val="134"/>
      </rPr>
      <t>清产核资调整</t>
    </r>
  </si>
  <si>
    <r>
      <rPr>
        <sz val="10"/>
        <rFont val="宋体"/>
        <family val="3"/>
        <charset val="134"/>
      </rPr>
      <t>重大会计差错更正</t>
    </r>
  </si>
  <si>
    <r>
      <rPr>
        <sz val="10"/>
        <rFont val="宋体"/>
        <family val="3"/>
        <charset val="134"/>
      </rPr>
      <t>会计政策变更</t>
    </r>
  </si>
  <si>
    <r>
      <rPr>
        <sz val="10"/>
        <rFont val="宋体"/>
        <family val="3"/>
        <charset val="134"/>
      </rPr>
      <t>公司制改建计提三类人员费用调整</t>
    </r>
  </si>
  <si>
    <r>
      <rPr>
        <sz val="10"/>
        <rFont val="宋体"/>
        <family val="3"/>
        <charset val="134"/>
      </rPr>
      <t>实收资本（股本）</t>
    </r>
  </si>
  <si>
    <r>
      <rPr>
        <sz val="10"/>
        <rFont val="宋体"/>
        <family val="3"/>
        <charset val="134"/>
      </rPr>
      <t>少数股东权益</t>
    </r>
  </si>
  <si>
    <r>
      <rPr>
        <b/>
        <sz val="10"/>
        <rFont val="宋体"/>
        <family val="3"/>
        <charset val="134"/>
      </rPr>
      <t>二、非经常性损益的说明</t>
    </r>
  </si>
  <si>
    <r>
      <t>1</t>
    </r>
    <r>
      <rPr>
        <sz val="10"/>
        <rFont val="宋体"/>
        <family val="3"/>
        <charset val="134"/>
      </rPr>
      <t>、非经常性损益明细表</t>
    </r>
  </si>
  <si>
    <r>
      <rPr>
        <sz val="10"/>
        <rFont val="宋体"/>
        <family val="3"/>
        <charset val="134"/>
      </rPr>
      <t>返回附注表格</t>
    </r>
    <phoneticPr fontId="5" type="noConversion"/>
  </si>
  <si>
    <r>
      <rPr>
        <sz val="10"/>
        <rFont val="宋体"/>
        <family val="3"/>
        <charset val="134"/>
      </rPr>
      <t>计入当期损益的政府补助</t>
    </r>
  </si>
  <si>
    <r>
      <rPr>
        <sz val="10"/>
        <rFont val="宋体"/>
        <family val="3"/>
        <charset val="134"/>
      </rPr>
      <t>非货币性资产交换损益</t>
    </r>
  </si>
  <si>
    <r>
      <rPr>
        <sz val="10"/>
        <rFont val="宋体"/>
        <family val="3"/>
        <charset val="134"/>
      </rPr>
      <t>委托投资损益</t>
    </r>
  </si>
  <si>
    <r>
      <rPr>
        <sz val="10"/>
        <rFont val="宋体"/>
        <family val="3"/>
        <charset val="134"/>
      </rPr>
      <t>债务重组损益</t>
    </r>
  </si>
  <si>
    <r>
      <rPr>
        <sz val="10"/>
        <rFont val="宋体"/>
        <family val="3"/>
        <charset val="134"/>
      </rPr>
      <t>交易性金融资产（负债）损益</t>
    </r>
  </si>
  <si>
    <r>
      <rPr>
        <sz val="10"/>
        <rFont val="宋体"/>
        <family val="3"/>
        <charset val="134"/>
      </rPr>
      <t>处置可供出售金融资产损益</t>
    </r>
  </si>
  <si>
    <r>
      <rPr>
        <sz val="10"/>
        <rFont val="宋体"/>
        <family val="3"/>
        <charset val="134"/>
      </rPr>
      <t>委托贷款收益</t>
    </r>
  </si>
  <si>
    <r>
      <rPr>
        <sz val="10"/>
        <rFont val="宋体"/>
        <family val="3"/>
        <charset val="134"/>
      </rPr>
      <t>投资性房地产公允价值变动损益</t>
    </r>
  </si>
  <si>
    <r>
      <rPr>
        <sz val="10"/>
        <rFont val="宋体"/>
        <family val="3"/>
        <charset val="134"/>
      </rPr>
      <t>捐赠性收支净额</t>
    </r>
  </si>
  <si>
    <r>
      <rPr>
        <sz val="10"/>
        <rFont val="宋体"/>
        <family val="3"/>
        <charset val="134"/>
      </rPr>
      <t>非经常性损益合计</t>
    </r>
  </si>
  <si>
    <r>
      <rPr>
        <b/>
        <sz val="10"/>
        <rFont val="宋体"/>
        <family val="3"/>
        <charset val="134"/>
      </rPr>
      <t>三、高风险业务的说明</t>
    </r>
    <phoneticPr fontId="5" type="noConversion"/>
  </si>
  <si>
    <r>
      <t>1</t>
    </r>
    <r>
      <rPr>
        <sz val="10"/>
        <rFont val="宋体"/>
        <family val="3"/>
        <charset val="134"/>
      </rPr>
      <t>、委托理财业务</t>
    </r>
  </si>
  <si>
    <r>
      <rPr>
        <sz val="10"/>
        <rFont val="宋体"/>
        <family val="3"/>
        <charset val="134"/>
      </rPr>
      <t>受托机构名称</t>
    </r>
  </si>
  <si>
    <r>
      <rPr>
        <sz val="10"/>
        <rFont val="宋体"/>
        <family val="3"/>
        <charset val="134"/>
      </rPr>
      <t>当年实际盈亏</t>
    </r>
  </si>
  <si>
    <r>
      <rPr>
        <sz val="10"/>
        <rFont val="宋体"/>
        <family val="3"/>
        <charset val="134"/>
      </rPr>
      <t>预计盈亏</t>
    </r>
  </si>
  <si>
    <r>
      <rPr>
        <sz val="10"/>
        <rFont val="宋体"/>
        <family val="3"/>
        <charset val="134"/>
      </rPr>
      <t>受托机构经营状况</t>
    </r>
  </si>
  <si>
    <r>
      <rPr>
        <sz val="10"/>
        <rFont val="宋体"/>
        <family val="3"/>
        <charset val="134"/>
      </rPr>
      <t>本金</t>
    </r>
  </si>
  <si>
    <r>
      <rPr>
        <sz val="10"/>
        <rFont val="宋体"/>
        <family val="3"/>
        <charset val="134"/>
      </rPr>
      <t>其中：当年计提</t>
    </r>
  </si>
  <si>
    <r>
      <rPr>
        <sz val="10"/>
        <rFont val="宋体"/>
        <family val="3"/>
        <charset val="134"/>
      </rPr>
      <t>投资净额</t>
    </r>
  </si>
  <si>
    <r>
      <t>2</t>
    </r>
    <r>
      <rPr>
        <sz val="10"/>
        <rFont val="宋体"/>
        <family val="3"/>
        <charset val="134"/>
      </rPr>
      <t>、商品、金融期货（权）及衍生品投资</t>
    </r>
  </si>
  <si>
    <r>
      <rPr>
        <sz val="10"/>
        <rFont val="宋体"/>
        <family val="3"/>
        <charset val="134"/>
      </rPr>
      <t>年末持仓合约金额</t>
    </r>
  </si>
  <si>
    <r>
      <rPr>
        <sz val="10"/>
        <rFont val="宋体"/>
        <family val="3"/>
        <charset val="134"/>
      </rPr>
      <t>场外交易持仓合约金额</t>
    </r>
  </si>
  <si>
    <r>
      <rPr>
        <sz val="10"/>
        <rFont val="宋体"/>
        <family val="3"/>
        <charset val="134"/>
      </rPr>
      <t>年末持仓合约市值</t>
    </r>
  </si>
  <si>
    <r>
      <rPr>
        <sz val="10"/>
        <rFont val="宋体"/>
        <family val="3"/>
        <charset val="134"/>
      </rPr>
      <t>浮动盈亏</t>
    </r>
  </si>
  <si>
    <r>
      <rPr>
        <sz val="10"/>
        <rFont val="宋体"/>
        <family val="3"/>
        <charset val="134"/>
      </rPr>
      <t>当年累计交易金额</t>
    </r>
  </si>
  <si>
    <r>
      <rPr>
        <sz val="10"/>
        <rFont val="宋体"/>
        <family val="3"/>
        <charset val="134"/>
      </rPr>
      <t>一、商品期货（权）及衍生品</t>
    </r>
  </si>
  <si>
    <r>
      <rPr>
        <sz val="10"/>
        <rFont val="宋体"/>
        <family val="3"/>
        <charset val="134"/>
      </rPr>
      <t>二、金融期货（权）及衍生品</t>
    </r>
  </si>
  <si>
    <r>
      <t>3</t>
    </r>
    <r>
      <rPr>
        <sz val="10"/>
        <rFont val="宋体"/>
        <family val="3"/>
        <charset val="134"/>
      </rPr>
      <t>、基金投资【按年末账面余额最大前五项填列】</t>
    </r>
  </si>
  <si>
    <r>
      <rPr>
        <sz val="10"/>
        <rFont val="宋体"/>
        <family val="3"/>
        <charset val="134"/>
      </rPr>
      <t>跌价准备</t>
    </r>
  </si>
  <si>
    <r>
      <rPr>
        <sz val="10"/>
        <rFont val="宋体"/>
        <family val="3"/>
        <charset val="134"/>
      </rPr>
      <t>市值</t>
    </r>
  </si>
  <si>
    <r>
      <rPr>
        <sz val="10"/>
        <rFont val="宋体"/>
        <family val="3"/>
        <charset val="134"/>
      </rPr>
      <t>其中：（</t>
    </r>
    <r>
      <rPr>
        <sz val="10"/>
        <rFont val="Arial Narrow"/>
        <family val="2"/>
      </rPr>
      <t>1</t>
    </r>
    <r>
      <rPr>
        <sz val="10"/>
        <rFont val="宋体"/>
        <family val="3"/>
        <charset val="134"/>
      </rPr>
      <t>）</t>
    </r>
    <phoneticPr fontId="5" type="noConversion"/>
  </si>
  <si>
    <r>
      <rPr>
        <sz val="10"/>
        <rFont val="宋体"/>
        <family val="3"/>
        <charset val="134"/>
      </rPr>
      <t>（</t>
    </r>
    <r>
      <rPr>
        <sz val="10"/>
        <rFont val="Arial Narrow"/>
        <family val="2"/>
      </rPr>
      <t>5</t>
    </r>
    <r>
      <rPr>
        <sz val="10"/>
        <rFont val="宋体"/>
        <family val="3"/>
        <charset val="134"/>
      </rPr>
      <t>）</t>
    </r>
    <phoneticPr fontId="5" type="noConversion"/>
  </si>
  <si>
    <r>
      <t>4</t>
    </r>
    <r>
      <rPr>
        <sz val="10"/>
        <rFont val="宋体"/>
        <family val="3"/>
        <charset val="134"/>
      </rPr>
      <t>、股票投资</t>
    </r>
  </si>
  <si>
    <r>
      <rPr>
        <sz val="10"/>
        <rFont val="宋体"/>
        <family val="3"/>
        <charset val="134"/>
      </rPr>
      <t>原始投资成本</t>
    </r>
  </si>
  <si>
    <r>
      <rPr>
        <b/>
        <sz val="10"/>
        <rFont val="宋体"/>
        <family val="3"/>
        <charset val="134"/>
      </rPr>
      <t>四、国有资本保值增值的情况</t>
    </r>
    <phoneticPr fontId="5" type="noConversion"/>
  </si>
  <si>
    <r>
      <t>1</t>
    </r>
    <r>
      <rPr>
        <sz val="10"/>
        <rFont val="宋体"/>
        <family val="3"/>
        <charset val="134"/>
      </rPr>
      <t>、国有资本保值增值结果确认表</t>
    </r>
  </si>
  <si>
    <r>
      <rPr>
        <sz val="10"/>
        <rFont val="宋体"/>
        <family val="3"/>
        <charset val="134"/>
      </rPr>
      <t>金</t>
    </r>
    <r>
      <rPr>
        <sz val="10"/>
        <rFont val="Arial Narrow"/>
        <family val="2"/>
      </rPr>
      <t xml:space="preserve">    </t>
    </r>
    <r>
      <rPr>
        <sz val="10"/>
        <rFont val="宋体"/>
        <family val="3"/>
        <charset val="134"/>
      </rPr>
      <t>额</t>
    </r>
  </si>
  <si>
    <r>
      <rPr>
        <b/>
        <sz val="10"/>
        <rFont val="宋体"/>
        <family val="3"/>
        <charset val="134"/>
      </rPr>
      <t>一、年初国有资本及权益总额</t>
    </r>
    <phoneticPr fontId="5" type="noConversion"/>
  </si>
  <si>
    <r>
      <rPr>
        <b/>
        <sz val="10"/>
        <rFont val="宋体"/>
        <family val="3"/>
        <charset val="134"/>
      </rPr>
      <t>二、本年国有资本及权益增加</t>
    </r>
  </si>
  <si>
    <r>
      <rPr>
        <sz val="10"/>
        <rFont val="宋体"/>
        <family val="3"/>
        <charset val="134"/>
      </rPr>
      <t>其中：</t>
    </r>
    <r>
      <rPr>
        <b/>
        <sz val="10"/>
        <rFont val="宋体"/>
        <family val="3"/>
        <charset val="134"/>
      </rPr>
      <t>客观增加因素</t>
    </r>
  </si>
  <si>
    <r>
      <t xml:space="preserve">    </t>
    </r>
    <r>
      <rPr>
        <sz val="10"/>
        <rFont val="宋体"/>
        <family val="3"/>
        <charset val="134"/>
      </rPr>
      <t>（</t>
    </r>
    <r>
      <rPr>
        <sz val="10"/>
        <rFont val="Arial Narrow"/>
        <family val="2"/>
      </rPr>
      <t xml:space="preserve"> </t>
    </r>
    <r>
      <rPr>
        <sz val="10"/>
        <rFont val="宋体"/>
        <family val="3"/>
        <charset val="134"/>
      </rPr>
      <t>一</t>
    </r>
    <r>
      <rPr>
        <sz val="10"/>
        <rFont val="Arial Narrow"/>
        <family val="2"/>
      </rPr>
      <t xml:space="preserve"> </t>
    </r>
    <r>
      <rPr>
        <sz val="10"/>
        <rFont val="宋体"/>
        <family val="3"/>
        <charset val="134"/>
      </rPr>
      <t>）国家、国有单位直接或追加投资</t>
    </r>
  </si>
  <si>
    <r>
      <rPr>
        <sz val="10"/>
        <rFont val="宋体"/>
        <family val="3"/>
        <charset val="134"/>
      </rPr>
      <t>　</t>
    </r>
  </si>
  <si>
    <r>
      <t xml:space="preserve">    </t>
    </r>
    <r>
      <rPr>
        <sz val="10"/>
        <rFont val="宋体"/>
        <family val="3"/>
        <charset val="134"/>
      </rPr>
      <t>（</t>
    </r>
    <r>
      <rPr>
        <sz val="10"/>
        <rFont val="Arial Narrow"/>
        <family val="2"/>
      </rPr>
      <t xml:space="preserve"> </t>
    </r>
    <r>
      <rPr>
        <sz val="10"/>
        <rFont val="宋体"/>
        <family val="3"/>
        <charset val="134"/>
      </rPr>
      <t>二</t>
    </r>
    <r>
      <rPr>
        <sz val="10"/>
        <rFont val="Arial Narrow"/>
        <family val="2"/>
      </rPr>
      <t xml:space="preserve"> </t>
    </r>
    <r>
      <rPr>
        <sz val="10"/>
        <rFont val="宋体"/>
        <family val="3"/>
        <charset val="134"/>
      </rPr>
      <t>）无偿划入</t>
    </r>
  </si>
  <si>
    <r>
      <t xml:space="preserve">    </t>
    </r>
    <r>
      <rPr>
        <sz val="10"/>
        <rFont val="宋体"/>
        <family val="3"/>
        <charset val="134"/>
      </rPr>
      <t>（</t>
    </r>
    <r>
      <rPr>
        <sz val="10"/>
        <rFont val="Arial Narrow"/>
        <family val="2"/>
      </rPr>
      <t xml:space="preserve"> </t>
    </r>
    <r>
      <rPr>
        <sz val="10"/>
        <rFont val="宋体"/>
        <family val="3"/>
        <charset val="134"/>
      </rPr>
      <t>三</t>
    </r>
    <r>
      <rPr>
        <sz val="10"/>
        <rFont val="Arial Narrow"/>
        <family val="2"/>
      </rPr>
      <t xml:space="preserve"> </t>
    </r>
    <r>
      <rPr>
        <sz val="10"/>
        <rFont val="宋体"/>
        <family val="3"/>
        <charset val="134"/>
      </rPr>
      <t>）资产评估增加</t>
    </r>
  </si>
  <si>
    <r>
      <t xml:space="preserve">    </t>
    </r>
    <r>
      <rPr>
        <sz val="10"/>
        <rFont val="宋体"/>
        <family val="3"/>
        <charset val="134"/>
      </rPr>
      <t>（</t>
    </r>
    <r>
      <rPr>
        <sz val="10"/>
        <rFont val="Arial Narrow"/>
        <family val="2"/>
      </rPr>
      <t xml:space="preserve"> </t>
    </r>
    <r>
      <rPr>
        <sz val="10"/>
        <rFont val="宋体"/>
        <family val="3"/>
        <charset val="134"/>
      </rPr>
      <t>四</t>
    </r>
    <r>
      <rPr>
        <sz val="10"/>
        <rFont val="Arial Narrow"/>
        <family val="2"/>
      </rPr>
      <t xml:space="preserve"> </t>
    </r>
    <r>
      <rPr>
        <sz val="10"/>
        <rFont val="宋体"/>
        <family val="3"/>
        <charset val="134"/>
      </rPr>
      <t>）清产核资增加</t>
    </r>
  </si>
  <si>
    <r>
      <t xml:space="preserve">    </t>
    </r>
    <r>
      <rPr>
        <sz val="10"/>
        <rFont val="宋体"/>
        <family val="3"/>
        <charset val="134"/>
      </rPr>
      <t>（</t>
    </r>
    <r>
      <rPr>
        <sz val="10"/>
        <rFont val="Arial Narrow"/>
        <family val="2"/>
      </rPr>
      <t xml:space="preserve"> </t>
    </r>
    <r>
      <rPr>
        <sz val="10"/>
        <rFont val="宋体"/>
        <family val="3"/>
        <charset val="134"/>
      </rPr>
      <t>五</t>
    </r>
    <r>
      <rPr>
        <sz val="10"/>
        <rFont val="Arial Narrow"/>
        <family val="2"/>
      </rPr>
      <t xml:space="preserve"> </t>
    </r>
    <r>
      <rPr>
        <sz val="10"/>
        <rFont val="宋体"/>
        <family val="3"/>
        <charset val="134"/>
      </rPr>
      <t>）产权界定增加</t>
    </r>
  </si>
  <si>
    <r>
      <t xml:space="preserve">    </t>
    </r>
    <r>
      <rPr>
        <sz val="10"/>
        <rFont val="宋体"/>
        <family val="3"/>
        <charset val="134"/>
      </rPr>
      <t>（</t>
    </r>
    <r>
      <rPr>
        <sz val="10"/>
        <rFont val="Arial Narrow"/>
        <family val="2"/>
      </rPr>
      <t xml:space="preserve"> </t>
    </r>
    <r>
      <rPr>
        <sz val="10"/>
        <rFont val="宋体"/>
        <family val="3"/>
        <charset val="134"/>
      </rPr>
      <t>六</t>
    </r>
    <r>
      <rPr>
        <sz val="10"/>
        <rFont val="Arial Narrow"/>
        <family val="2"/>
      </rPr>
      <t xml:space="preserve"> </t>
    </r>
    <r>
      <rPr>
        <sz val="10"/>
        <rFont val="宋体"/>
        <family val="3"/>
        <charset val="134"/>
      </rPr>
      <t>）资本（股票）溢价</t>
    </r>
  </si>
  <si>
    <r>
      <t xml:space="preserve">    </t>
    </r>
    <r>
      <rPr>
        <sz val="10"/>
        <rFont val="宋体"/>
        <family val="3"/>
        <charset val="134"/>
      </rPr>
      <t>（</t>
    </r>
    <r>
      <rPr>
        <sz val="10"/>
        <rFont val="Arial Narrow"/>
        <family val="2"/>
      </rPr>
      <t xml:space="preserve"> </t>
    </r>
    <r>
      <rPr>
        <sz val="10"/>
        <rFont val="宋体"/>
        <family val="3"/>
        <charset val="134"/>
      </rPr>
      <t>七</t>
    </r>
    <r>
      <rPr>
        <sz val="10"/>
        <rFont val="Arial Narrow"/>
        <family val="2"/>
      </rPr>
      <t xml:space="preserve"> </t>
    </r>
    <r>
      <rPr>
        <sz val="10"/>
        <rFont val="宋体"/>
        <family val="3"/>
        <charset val="134"/>
      </rPr>
      <t>）接受捐赠</t>
    </r>
  </si>
  <si>
    <r>
      <t xml:space="preserve">    </t>
    </r>
    <r>
      <rPr>
        <sz val="10"/>
        <rFont val="宋体"/>
        <family val="3"/>
        <charset val="134"/>
      </rPr>
      <t>（</t>
    </r>
    <r>
      <rPr>
        <sz val="10"/>
        <rFont val="Arial Narrow"/>
        <family val="2"/>
      </rPr>
      <t xml:space="preserve"> </t>
    </r>
    <r>
      <rPr>
        <sz val="10"/>
        <rFont val="宋体"/>
        <family val="3"/>
        <charset val="134"/>
      </rPr>
      <t>八</t>
    </r>
    <r>
      <rPr>
        <sz val="10"/>
        <rFont val="Arial Narrow"/>
        <family val="2"/>
      </rPr>
      <t xml:space="preserve"> </t>
    </r>
    <r>
      <rPr>
        <sz val="10"/>
        <rFont val="宋体"/>
        <family val="3"/>
        <charset val="134"/>
      </rPr>
      <t>）债权转股权</t>
    </r>
  </si>
  <si>
    <r>
      <t xml:space="preserve">    </t>
    </r>
    <r>
      <rPr>
        <sz val="10"/>
        <rFont val="宋体"/>
        <family val="3"/>
        <charset val="134"/>
      </rPr>
      <t>（</t>
    </r>
    <r>
      <rPr>
        <sz val="10"/>
        <rFont val="Arial Narrow"/>
        <family val="2"/>
      </rPr>
      <t xml:space="preserve"> </t>
    </r>
    <r>
      <rPr>
        <sz val="10"/>
        <rFont val="宋体"/>
        <family val="3"/>
        <charset val="134"/>
      </rPr>
      <t>九</t>
    </r>
    <r>
      <rPr>
        <sz val="10"/>
        <rFont val="Arial Narrow"/>
        <family val="2"/>
      </rPr>
      <t xml:space="preserve"> </t>
    </r>
    <r>
      <rPr>
        <sz val="10"/>
        <rFont val="宋体"/>
        <family val="3"/>
        <charset val="134"/>
      </rPr>
      <t>）税收返还</t>
    </r>
  </si>
  <si>
    <r>
      <t xml:space="preserve">    </t>
    </r>
    <r>
      <rPr>
        <sz val="10"/>
        <rFont val="宋体"/>
        <family val="3"/>
        <charset val="134"/>
      </rPr>
      <t>（</t>
    </r>
    <r>
      <rPr>
        <sz val="10"/>
        <rFont val="Arial Narrow"/>
        <family val="2"/>
      </rPr>
      <t xml:space="preserve"> </t>
    </r>
    <r>
      <rPr>
        <sz val="10"/>
        <rFont val="宋体"/>
        <family val="3"/>
        <charset val="134"/>
      </rPr>
      <t>十</t>
    </r>
    <r>
      <rPr>
        <sz val="10"/>
        <rFont val="Arial Narrow"/>
        <family val="2"/>
      </rPr>
      <t xml:space="preserve"> </t>
    </r>
    <r>
      <rPr>
        <sz val="10"/>
        <rFont val="宋体"/>
        <family val="3"/>
        <charset val="134"/>
      </rPr>
      <t>）补充流动资本</t>
    </r>
  </si>
  <si>
    <r>
      <t xml:space="preserve">    </t>
    </r>
    <r>
      <rPr>
        <sz val="10"/>
        <rFont val="宋体"/>
        <family val="3"/>
        <charset val="134"/>
      </rPr>
      <t>（十一）减值准备转回</t>
    </r>
  </si>
  <si>
    <r>
      <t xml:space="preserve">    </t>
    </r>
    <r>
      <rPr>
        <sz val="10"/>
        <rFont val="宋体"/>
        <family val="3"/>
        <charset val="134"/>
      </rPr>
      <t>（十二）会计调整</t>
    </r>
  </si>
  <si>
    <r>
      <t xml:space="preserve">    </t>
    </r>
    <r>
      <rPr>
        <sz val="10"/>
        <rFont val="宋体"/>
        <family val="3"/>
        <charset val="134"/>
      </rPr>
      <t>（十三）中央和地方政府确定的其他因素</t>
    </r>
  </si>
  <si>
    <r>
      <t xml:space="preserve">     </t>
    </r>
    <r>
      <rPr>
        <b/>
        <sz val="10"/>
        <rFont val="宋体"/>
        <family val="3"/>
        <charset val="134"/>
      </rPr>
      <t>经营积累</t>
    </r>
  </si>
  <si>
    <r>
      <rPr>
        <b/>
        <sz val="10"/>
        <rFont val="宋体"/>
        <family val="3"/>
        <charset val="134"/>
      </rPr>
      <t>三、本年国有资本及权益减少</t>
    </r>
  </si>
  <si>
    <r>
      <rPr>
        <sz val="10"/>
        <rFont val="宋体"/>
        <family val="3"/>
        <charset val="134"/>
      </rPr>
      <t>其中：</t>
    </r>
    <r>
      <rPr>
        <b/>
        <sz val="10"/>
        <rFont val="宋体"/>
        <family val="3"/>
        <charset val="134"/>
      </rPr>
      <t>客观减少因素</t>
    </r>
  </si>
  <si>
    <r>
      <t xml:space="preserve">    </t>
    </r>
    <r>
      <rPr>
        <sz val="10"/>
        <rFont val="宋体"/>
        <family val="3"/>
        <charset val="134"/>
      </rPr>
      <t>（</t>
    </r>
    <r>
      <rPr>
        <sz val="10"/>
        <rFont val="Arial Narrow"/>
        <family val="2"/>
      </rPr>
      <t xml:space="preserve"> </t>
    </r>
    <r>
      <rPr>
        <sz val="10"/>
        <rFont val="宋体"/>
        <family val="3"/>
        <charset val="134"/>
      </rPr>
      <t>一</t>
    </r>
    <r>
      <rPr>
        <sz val="10"/>
        <rFont val="Arial Narrow"/>
        <family val="2"/>
      </rPr>
      <t xml:space="preserve"> </t>
    </r>
    <r>
      <rPr>
        <sz val="10"/>
        <rFont val="宋体"/>
        <family val="3"/>
        <charset val="134"/>
      </rPr>
      <t>）经国家专项批准核销</t>
    </r>
  </si>
  <si>
    <r>
      <t xml:space="preserve">    </t>
    </r>
    <r>
      <rPr>
        <sz val="10"/>
        <rFont val="宋体"/>
        <family val="3"/>
        <charset val="134"/>
      </rPr>
      <t>（</t>
    </r>
    <r>
      <rPr>
        <sz val="10"/>
        <rFont val="Arial Narrow"/>
        <family val="2"/>
      </rPr>
      <t xml:space="preserve"> </t>
    </r>
    <r>
      <rPr>
        <sz val="10"/>
        <rFont val="宋体"/>
        <family val="3"/>
        <charset val="134"/>
      </rPr>
      <t>二</t>
    </r>
    <r>
      <rPr>
        <sz val="10"/>
        <rFont val="Arial Narrow"/>
        <family val="2"/>
      </rPr>
      <t xml:space="preserve"> </t>
    </r>
    <r>
      <rPr>
        <sz val="10"/>
        <rFont val="宋体"/>
        <family val="3"/>
        <charset val="134"/>
      </rPr>
      <t>）无偿划出</t>
    </r>
  </si>
  <si>
    <r>
      <t xml:space="preserve">    </t>
    </r>
    <r>
      <rPr>
        <sz val="10"/>
        <rFont val="宋体"/>
        <family val="3"/>
        <charset val="134"/>
      </rPr>
      <t>（</t>
    </r>
    <r>
      <rPr>
        <sz val="10"/>
        <rFont val="Arial Narrow"/>
        <family val="2"/>
      </rPr>
      <t xml:space="preserve"> </t>
    </r>
    <r>
      <rPr>
        <sz val="10"/>
        <rFont val="宋体"/>
        <family val="3"/>
        <charset val="134"/>
      </rPr>
      <t>三</t>
    </r>
    <r>
      <rPr>
        <sz val="10"/>
        <rFont val="Arial Narrow"/>
        <family val="2"/>
      </rPr>
      <t xml:space="preserve"> </t>
    </r>
    <r>
      <rPr>
        <sz val="10"/>
        <rFont val="宋体"/>
        <family val="3"/>
        <charset val="134"/>
      </rPr>
      <t>）资产评估减少</t>
    </r>
  </si>
  <si>
    <r>
      <t xml:space="preserve">    </t>
    </r>
    <r>
      <rPr>
        <sz val="10"/>
        <rFont val="宋体"/>
        <family val="3"/>
        <charset val="134"/>
      </rPr>
      <t>（</t>
    </r>
    <r>
      <rPr>
        <sz val="10"/>
        <rFont val="Arial Narrow"/>
        <family val="2"/>
      </rPr>
      <t xml:space="preserve"> </t>
    </r>
    <r>
      <rPr>
        <sz val="10"/>
        <rFont val="宋体"/>
        <family val="3"/>
        <charset val="134"/>
      </rPr>
      <t>四</t>
    </r>
    <r>
      <rPr>
        <sz val="10"/>
        <rFont val="Arial Narrow"/>
        <family val="2"/>
      </rPr>
      <t xml:space="preserve"> </t>
    </r>
    <r>
      <rPr>
        <sz val="10"/>
        <rFont val="宋体"/>
        <family val="3"/>
        <charset val="134"/>
      </rPr>
      <t>）清产核资减少</t>
    </r>
  </si>
  <si>
    <r>
      <t xml:space="preserve">    </t>
    </r>
    <r>
      <rPr>
        <sz val="10"/>
        <rFont val="宋体"/>
        <family val="3"/>
        <charset val="134"/>
      </rPr>
      <t>（</t>
    </r>
    <r>
      <rPr>
        <sz val="10"/>
        <rFont val="Arial Narrow"/>
        <family val="2"/>
      </rPr>
      <t xml:space="preserve"> </t>
    </r>
    <r>
      <rPr>
        <sz val="10"/>
        <rFont val="宋体"/>
        <family val="3"/>
        <charset val="134"/>
      </rPr>
      <t>五</t>
    </r>
    <r>
      <rPr>
        <sz val="10"/>
        <rFont val="Arial Narrow"/>
        <family val="2"/>
      </rPr>
      <t xml:space="preserve"> </t>
    </r>
    <r>
      <rPr>
        <sz val="10"/>
        <rFont val="宋体"/>
        <family val="3"/>
        <charset val="134"/>
      </rPr>
      <t>）产权界定减少</t>
    </r>
  </si>
  <si>
    <r>
      <t xml:space="preserve">    </t>
    </r>
    <r>
      <rPr>
        <sz val="10"/>
        <rFont val="宋体"/>
        <family val="3"/>
        <charset val="134"/>
      </rPr>
      <t>（</t>
    </r>
    <r>
      <rPr>
        <sz val="10"/>
        <rFont val="Arial Narrow"/>
        <family val="2"/>
      </rPr>
      <t xml:space="preserve"> </t>
    </r>
    <r>
      <rPr>
        <sz val="10"/>
        <rFont val="宋体"/>
        <family val="3"/>
        <charset val="134"/>
      </rPr>
      <t>六</t>
    </r>
    <r>
      <rPr>
        <sz val="10"/>
        <rFont val="Arial Narrow"/>
        <family val="2"/>
      </rPr>
      <t xml:space="preserve"> </t>
    </r>
    <r>
      <rPr>
        <sz val="10"/>
        <rFont val="宋体"/>
        <family val="3"/>
        <charset val="134"/>
      </rPr>
      <t>）消化以前年度潜亏和挂账而减少</t>
    </r>
  </si>
  <si>
    <r>
      <t xml:space="preserve">    </t>
    </r>
    <r>
      <rPr>
        <sz val="10"/>
        <rFont val="宋体"/>
        <family val="3"/>
        <charset val="134"/>
      </rPr>
      <t>（</t>
    </r>
    <r>
      <rPr>
        <sz val="10"/>
        <rFont val="Arial Narrow"/>
        <family val="2"/>
      </rPr>
      <t xml:space="preserve"> </t>
    </r>
    <r>
      <rPr>
        <sz val="10"/>
        <rFont val="宋体"/>
        <family val="3"/>
        <charset val="134"/>
      </rPr>
      <t>七</t>
    </r>
    <r>
      <rPr>
        <sz val="10"/>
        <rFont val="Arial Narrow"/>
        <family val="2"/>
      </rPr>
      <t xml:space="preserve"> </t>
    </r>
    <r>
      <rPr>
        <sz val="10"/>
        <rFont val="宋体"/>
        <family val="3"/>
        <charset val="134"/>
      </rPr>
      <t>）因自然灾害等不可抗拒因素减少</t>
    </r>
  </si>
  <si>
    <r>
      <t xml:space="preserve">    </t>
    </r>
    <r>
      <rPr>
        <sz val="10"/>
        <rFont val="宋体"/>
        <family val="3"/>
        <charset val="134"/>
      </rPr>
      <t>（</t>
    </r>
    <r>
      <rPr>
        <sz val="10"/>
        <rFont val="Arial Narrow"/>
        <family val="2"/>
      </rPr>
      <t xml:space="preserve"> </t>
    </r>
    <r>
      <rPr>
        <sz val="10"/>
        <rFont val="宋体"/>
        <family val="3"/>
        <charset val="134"/>
      </rPr>
      <t>八</t>
    </r>
    <r>
      <rPr>
        <sz val="10"/>
        <rFont val="Arial Narrow"/>
        <family val="2"/>
      </rPr>
      <t xml:space="preserve"> </t>
    </r>
    <r>
      <rPr>
        <sz val="10"/>
        <rFont val="宋体"/>
        <family val="3"/>
        <charset val="134"/>
      </rPr>
      <t>）因主辅分离减少</t>
    </r>
  </si>
  <si>
    <r>
      <t xml:space="preserve">    </t>
    </r>
    <r>
      <rPr>
        <sz val="10"/>
        <rFont val="宋体"/>
        <family val="3"/>
        <charset val="134"/>
      </rPr>
      <t>（</t>
    </r>
    <r>
      <rPr>
        <sz val="10"/>
        <rFont val="Arial Narrow"/>
        <family val="2"/>
      </rPr>
      <t xml:space="preserve"> </t>
    </r>
    <r>
      <rPr>
        <sz val="10"/>
        <rFont val="宋体"/>
        <family val="3"/>
        <charset val="134"/>
      </rPr>
      <t>九</t>
    </r>
    <r>
      <rPr>
        <sz val="10"/>
        <rFont val="Arial Narrow"/>
        <family val="2"/>
      </rPr>
      <t xml:space="preserve"> </t>
    </r>
    <r>
      <rPr>
        <sz val="10"/>
        <rFont val="宋体"/>
        <family val="3"/>
        <charset val="134"/>
      </rPr>
      <t>）企业按规定上缴红利</t>
    </r>
  </si>
  <si>
    <r>
      <t xml:space="preserve">    </t>
    </r>
    <r>
      <rPr>
        <sz val="10"/>
        <rFont val="宋体"/>
        <family val="3"/>
        <charset val="134"/>
      </rPr>
      <t>（</t>
    </r>
    <r>
      <rPr>
        <sz val="10"/>
        <rFont val="Arial Narrow"/>
        <family val="2"/>
      </rPr>
      <t xml:space="preserve"> </t>
    </r>
    <r>
      <rPr>
        <sz val="10"/>
        <rFont val="宋体"/>
        <family val="3"/>
        <charset val="134"/>
      </rPr>
      <t>十</t>
    </r>
    <r>
      <rPr>
        <sz val="10"/>
        <rFont val="Arial Narrow"/>
        <family val="2"/>
      </rPr>
      <t xml:space="preserve"> </t>
    </r>
    <r>
      <rPr>
        <sz val="10"/>
        <rFont val="宋体"/>
        <family val="3"/>
        <charset val="134"/>
      </rPr>
      <t>）资本（股票）折价</t>
    </r>
  </si>
  <si>
    <r>
      <t xml:space="preserve">    </t>
    </r>
    <r>
      <rPr>
        <sz val="10"/>
        <rFont val="宋体"/>
        <family val="3"/>
        <charset val="134"/>
      </rPr>
      <t>（十一）中央和地方政府确定的其他因素</t>
    </r>
  </si>
  <si>
    <r>
      <t xml:space="preserve">     </t>
    </r>
    <r>
      <rPr>
        <b/>
        <sz val="10"/>
        <rFont val="宋体"/>
        <family val="3"/>
        <charset val="134"/>
      </rPr>
      <t>经营减值</t>
    </r>
  </si>
  <si>
    <r>
      <rPr>
        <sz val="10"/>
        <rFont val="宋体"/>
        <family val="3"/>
        <charset val="134"/>
      </rPr>
      <t>本期负担数</t>
    </r>
    <phoneticPr fontId="5" type="noConversion"/>
  </si>
  <si>
    <r>
      <rPr>
        <sz val="10"/>
        <rFont val="宋体"/>
        <family val="3"/>
        <charset val="134"/>
      </rPr>
      <t>职工人工成本总额</t>
    </r>
    <phoneticPr fontId="5" type="noConversion"/>
  </si>
  <si>
    <r>
      <rPr>
        <sz val="10"/>
        <rFont val="宋体"/>
        <family val="3"/>
        <charset val="134"/>
      </rPr>
      <t>工资总额</t>
    </r>
    <phoneticPr fontId="5" type="noConversion"/>
  </si>
  <si>
    <r>
      <rPr>
        <sz val="10"/>
        <rFont val="宋体"/>
        <family val="3"/>
        <charset val="134"/>
      </rPr>
      <t>社会保险费用</t>
    </r>
    <phoneticPr fontId="5" type="noConversion"/>
  </si>
  <si>
    <r>
      <rPr>
        <sz val="10"/>
        <rFont val="宋体"/>
        <family val="3"/>
        <charset val="134"/>
      </rPr>
      <t>工会及教育经费</t>
    </r>
    <phoneticPr fontId="5" type="noConversion"/>
  </si>
  <si>
    <r>
      <rPr>
        <sz val="10"/>
        <rFont val="宋体"/>
        <family val="3"/>
        <charset val="134"/>
      </rPr>
      <t>住房公积金</t>
    </r>
    <phoneticPr fontId="5" type="noConversion"/>
  </si>
  <si>
    <r>
      <rPr>
        <sz val="10"/>
        <rFont val="宋体"/>
        <family val="3"/>
        <charset val="134"/>
      </rPr>
      <t>校验</t>
    </r>
    <r>
      <rPr>
        <sz val="10"/>
        <rFont val="Arial Narrow"/>
        <family val="2"/>
      </rPr>
      <t>:</t>
    </r>
    <r>
      <rPr>
        <sz val="10"/>
        <rFont val="宋体"/>
        <family val="3"/>
        <charset val="134"/>
      </rPr>
      <t>附注</t>
    </r>
    <r>
      <rPr>
        <sz val="10"/>
        <rFont val="Arial Narrow"/>
        <family val="2"/>
      </rPr>
      <t>-</t>
    </r>
    <r>
      <rPr>
        <sz val="10"/>
        <rFont val="宋体"/>
        <family val="3"/>
        <charset val="134"/>
      </rPr>
      <t>附注</t>
    </r>
    <r>
      <rPr>
        <sz val="10"/>
        <rFont val="Arial Narrow"/>
        <family val="2"/>
      </rPr>
      <t>(</t>
    </r>
    <r>
      <rPr>
        <sz val="10"/>
        <rFont val="宋体"/>
        <family val="3"/>
        <charset val="134"/>
      </rPr>
      <t>应付职工薪酬</t>
    </r>
    <r>
      <rPr>
        <sz val="10"/>
        <rFont val="Arial Narrow"/>
        <family val="2"/>
      </rPr>
      <t>)</t>
    </r>
    <phoneticPr fontId="5" type="noConversion"/>
  </si>
  <si>
    <r>
      <rPr>
        <sz val="10"/>
        <rFont val="宋体"/>
        <family val="3"/>
        <charset val="134"/>
      </rPr>
      <t>非货币性福利</t>
    </r>
    <phoneticPr fontId="5" type="noConversion"/>
  </si>
  <si>
    <r>
      <rPr>
        <sz val="10"/>
        <rFont val="宋体"/>
        <family val="3"/>
        <charset val="134"/>
      </rPr>
      <t>校验</t>
    </r>
    <r>
      <rPr>
        <sz val="10"/>
        <rFont val="Arial Narrow"/>
        <family val="2"/>
      </rPr>
      <t>:</t>
    </r>
    <r>
      <rPr>
        <sz val="10"/>
        <rFont val="宋体"/>
        <family val="3"/>
        <charset val="134"/>
      </rPr>
      <t>附注</t>
    </r>
    <r>
      <rPr>
        <sz val="10"/>
        <rFont val="Arial Narrow"/>
        <family val="2"/>
      </rPr>
      <t>-</t>
    </r>
    <r>
      <rPr>
        <sz val="10"/>
        <rFont val="宋体"/>
        <family val="3"/>
        <charset val="134"/>
      </rPr>
      <t>附注</t>
    </r>
    <r>
      <rPr>
        <sz val="10"/>
        <rFont val="Arial Narrow"/>
        <family val="2"/>
      </rPr>
      <t>(</t>
    </r>
    <r>
      <rPr>
        <sz val="10"/>
        <rFont val="宋体"/>
        <family val="3"/>
        <charset val="134"/>
      </rPr>
      <t>福利费用</t>
    </r>
    <r>
      <rPr>
        <sz val="10"/>
        <rFont val="Arial Narrow"/>
        <family val="2"/>
      </rPr>
      <t>)</t>
    </r>
    <phoneticPr fontId="5" type="noConversion"/>
  </si>
  <si>
    <r>
      <rPr>
        <sz val="10"/>
        <rFont val="宋体"/>
        <family val="3"/>
        <charset val="134"/>
      </rPr>
      <t>校验</t>
    </r>
    <r>
      <rPr>
        <sz val="10"/>
        <rFont val="Arial Narrow"/>
        <family val="2"/>
      </rPr>
      <t>:</t>
    </r>
    <r>
      <rPr>
        <sz val="10"/>
        <rFont val="宋体"/>
        <family val="3"/>
        <charset val="134"/>
      </rPr>
      <t>附注</t>
    </r>
    <r>
      <rPr>
        <sz val="10"/>
        <rFont val="Arial Narrow"/>
        <family val="2"/>
      </rPr>
      <t>-</t>
    </r>
    <r>
      <rPr>
        <sz val="10"/>
        <rFont val="宋体"/>
        <family val="3"/>
        <charset val="134"/>
      </rPr>
      <t>附注</t>
    </r>
    <r>
      <rPr>
        <sz val="10"/>
        <rFont val="Arial Narrow"/>
        <family val="2"/>
      </rPr>
      <t>(</t>
    </r>
    <r>
      <rPr>
        <sz val="10"/>
        <rFont val="宋体"/>
        <family val="3"/>
        <charset val="134"/>
      </rPr>
      <t>非货币性福利</t>
    </r>
    <r>
      <rPr>
        <sz val="10"/>
        <rFont val="Arial Narrow"/>
        <family val="2"/>
      </rPr>
      <t>)</t>
    </r>
    <phoneticPr fontId="5" type="noConversion"/>
  </si>
  <si>
    <r>
      <t>1</t>
    </r>
    <r>
      <rPr>
        <sz val="10"/>
        <rFont val="宋体"/>
        <family val="3"/>
        <charset val="134"/>
      </rPr>
      <t>、账销案存资产管理工作情况结果与相关审计情况</t>
    </r>
    <phoneticPr fontId="5" type="noConversion"/>
  </si>
  <si>
    <r>
      <rPr>
        <sz val="10"/>
        <rFont val="宋体"/>
        <family val="3"/>
        <charset val="134"/>
      </rPr>
      <t>（</t>
    </r>
    <r>
      <rPr>
        <sz val="10"/>
        <rFont val="Arial Narrow"/>
        <family val="2"/>
      </rPr>
      <t>1</t>
    </r>
    <r>
      <rPr>
        <sz val="10"/>
        <rFont val="宋体"/>
        <family val="3"/>
        <charset val="134"/>
      </rPr>
      <t>）账销案存资产年初余额与年末余额变动情况</t>
    </r>
  </si>
  <si>
    <r>
      <rPr>
        <sz val="10"/>
        <rFont val="宋体"/>
        <family val="3"/>
        <charset val="134"/>
      </rPr>
      <t>年初账销案存资产余额</t>
    </r>
  </si>
  <si>
    <r>
      <rPr>
        <sz val="10"/>
        <rFont val="宋体"/>
        <family val="3"/>
        <charset val="134"/>
      </rPr>
      <t>本年清理收入</t>
    </r>
    <phoneticPr fontId="5" type="noConversion"/>
  </si>
  <si>
    <r>
      <rPr>
        <sz val="10"/>
        <rFont val="宋体"/>
        <family val="3"/>
        <charset val="134"/>
      </rPr>
      <t>本年销案金额</t>
    </r>
  </si>
  <si>
    <r>
      <rPr>
        <sz val="10"/>
        <rFont val="宋体"/>
        <family val="3"/>
        <charset val="134"/>
      </rPr>
      <t>其中：影响当期损益金额</t>
    </r>
  </si>
  <si>
    <r>
      <rPr>
        <sz val="10"/>
        <rFont val="宋体"/>
        <family val="3"/>
        <charset val="134"/>
      </rPr>
      <t>年末账销案存资产余额</t>
    </r>
  </si>
  <si>
    <r>
      <rPr>
        <sz val="10"/>
        <rFont val="宋体"/>
        <family val="3"/>
        <charset val="134"/>
      </rPr>
      <t>一、应收款项</t>
    </r>
  </si>
  <si>
    <r>
      <t xml:space="preserve">    </t>
    </r>
    <r>
      <rPr>
        <sz val="10"/>
        <rFont val="宋体"/>
        <family val="3"/>
        <charset val="134"/>
      </rPr>
      <t>其中：应收账款</t>
    </r>
  </si>
  <si>
    <r>
      <rPr>
        <sz val="10"/>
        <rFont val="宋体"/>
        <family val="3"/>
        <charset val="134"/>
      </rPr>
      <t>二、短期投资</t>
    </r>
  </si>
  <si>
    <r>
      <t xml:space="preserve">    </t>
    </r>
    <r>
      <rPr>
        <sz val="10"/>
        <rFont val="宋体"/>
        <family val="3"/>
        <charset val="134"/>
      </rPr>
      <t>其中：股票投资</t>
    </r>
  </si>
  <si>
    <r>
      <t xml:space="preserve">                 </t>
    </r>
    <r>
      <rPr>
        <sz val="10"/>
        <rFont val="宋体"/>
        <family val="3"/>
        <charset val="134"/>
      </rPr>
      <t>债券投资</t>
    </r>
    <phoneticPr fontId="5" type="noConversion"/>
  </si>
  <si>
    <r>
      <rPr>
        <sz val="10"/>
        <rFont val="宋体"/>
        <family val="3"/>
        <charset val="134"/>
      </rPr>
      <t>三、存货</t>
    </r>
  </si>
  <si>
    <r>
      <rPr>
        <sz val="10"/>
        <rFont val="宋体"/>
        <family val="3"/>
        <charset val="134"/>
      </rPr>
      <t>四、长期投资</t>
    </r>
  </si>
  <si>
    <r>
      <t xml:space="preserve">    </t>
    </r>
    <r>
      <rPr>
        <sz val="10"/>
        <rFont val="宋体"/>
        <family val="3"/>
        <charset val="134"/>
      </rPr>
      <t>其中：长期股权投资</t>
    </r>
  </si>
  <si>
    <r>
      <t xml:space="preserve">                 </t>
    </r>
    <r>
      <rPr>
        <sz val="10"/>
        <rFont val="宋体"/>
        <family val="3"/>
        <charset val="134"/>
      </rPr>
      <t>长期债权投资</t>
    </r>
    <phoneticPr fontId="5" type="noConversion"/>
  </si>
  <si>
    <r>
      <rPr>
        <sz val="10"/>
        <rFont val="宋体"/>
        <family val="3"/>
        <charset val="134"/>
      </rPr>
      <t>五、可供出售金融资产</t>
    </r>
  </si>
  <si>
    <r>
      <rPr>
        <sz val="10"/>
        <rFont val="宋体"/>
        <family val="3"/>
        <charset val="134"/>
      </rPr>
      <t>六、持有至到期金融资产</t>
    </r>
  </si>
  <si>
    <r>
      <rPr>
        <sz val="10"/>
        <rFont val="宋体"/>
        <family val="3"/>
        <charset val="134"/>
      </rPr>
      <t>七、固定资产净值</t>
    </r>
  </si>
  <si>
    <r>
      <rPr>
        <sz val="10"/>
        <rFont val="宋体"/>
        <family val="3"/>
        <charset val="134"/>
      </rPr>
      <t>八、无形资产</t>
    </r>
  </si>
  <si>
    <r>
      <rPr>
        <sz val="10"/>
        <rFont val="宋体"/>
        <family val="3"/>
        <charset val="134"/>
      </rPr>
      <t>九、在建工程</t>
    </r>
  </si>
  <si>
    <r>
      <rPr>
        <sz val="10"/>
        <rFont val="宋体"/>
        <family val="3"/>
        <charset val="134"/>
      </rPr>
      <t>十、工程物资</t>
    </r>
  </si>
  <si>
    <r>
      <rPr>
        <sz val="10"/>
        <rFont val="宋体"/>
        <family val="3"/>
        <charset val="134"/>
      </rPr>
      <t>十一、商誉</t>
    </r>
  </si>
  <si>
    <r>
      <rPr>
        <sz val="10"/>
        <rFont val="宋体"/>
        <family val="3"/>
        <charset val="134"/>
      </rPr>
      <t>十二、投资性房地产（以成本模式计量）</t>
    </r>
  </si>
  <si>
    <r>
      <rPr>
        <sz val="10"/>
        <rFont val="宋体"/>
        <family val="3"/>
        <charset val="134"/>
      </rPr>
      <t>十三、生产性生物资产</t>
    </r>
  </si>
  <si>
    <r>
      <rPr>
        <sz val="10"/>
        <rFont val="宋体"/>
        <family val="3"/>
        <charset val="134"/>
      </rPr>
      <t>十四、委托贷款</t>
    </r>
  </si>
  <si>
    <r>
      <rPr>
        <sz val="10"/>
        <rFont val="宋体"/>
        <family val="3"/>
        <charset val="134"/>
      </rPr>
      <t>十五、其他资产</t>
    </r>
  </si>
  <si>
    <r>
      <rPr>
        <sz val="10"/>
        <rFont val="宋体"/>
        <family val="3"/>
        <charset val="134"/>
      </rPr>
      <t>（</t>
    </r>
    <r>
      <rPr>
        <sz val="10"/>
        <rFont val="Arial Narrow"/>
        <family val="2"/>
      </rPr>
      <t>2</t>
    </r>
    <r>
      <rPr>
        <sz val="10"/>
        <rFont val="宋体"/>
        <family val="3"/>
        <charset val="134"/>
      </rPr>
      <t>）账销案存资产年初余额与上年末余额不一致的情况</t>
    </r>
  </si>
  <si>
    <r>
      <rPr>
        <sz val="10"/>
        <rFont val="宋体"/>
        <family val="3"/>
        <charset val="134"/>
      </rPr>
      <t>上年年末账销案存资产余额</t>
    </r>
  </si>
  <si>
    <r>
      <rPr>
        <sz val="10"/>
        <rFont val="宋体"/>
        <family val="3"/>
        <charset val="134"/>
      </rPr>
      <t>本年年初账销案存资产余额</t>
    </r>
  </si>
  <si>
    <r>
      <rPr>
        <sz val="10"/>
        <rFont val="宋体"/>
        <family val="3"/>
        <charset val="134"/>
      </rPr>
      <t>差异金额</t>
    </r>
  </si>
  <si>
    <r>
      <rPr>
        <sz val="10"/>
        <rFont val="宋体"/>
        <family val="3"/>
        <charset val="134"/>
      </rPr>
      <t>产生差异的原因</t>
    </r>
    <phoneticPr fontId="5" type="noConversion"/>
  </si>
  <si>
    <r>
      <t xml:space="preserve">                 </t>
    </r>
    <r>
      <rPr>
        <sz val="10"/>
        <rFont val="宋体"/>
        <family val="3"/>
        <charset val="134"/>
      </rPr>
      <t>其他应收款</t>
    </r>
    <phoneticPr fontId="5" type="noConversion"/>
  </si>
  <si>
    <r>
      <rPr>
        <sz val="10"/>
        <rFont val="宋体"/>
        <family val="3"/>
        <charset val="134"/>
      </rPr>
      <t>（</t>
    </r>
    <r>
      <rPr>
        <sz val="10"/>
        <rFont val="Arial Narrow"/>
        <family val="2"/>
      </rPr>
      <t>3</t>
    </r>
    <r>
      <rPr>
        <sz val="10"/>
        <rFont val="宋体"/>
        <family val="3"/>
        <charset val="134"/>
      </rPr>
      <t>）账销案存资产清理收入和相关审计等情况</t>
    </r>
  </si>
  <si>
    <r>
      <rPr>
        <sz val="10"/>
        <rFont val="宋体"/>
        <family val="3"/>
        <charset val="134"/>
      </rPr>
      <t>本年清理收入</t>
    </r>
  </si>
  <si>
    <r>
      <rPr>
        <sz val="10"/>
        <rFont val="宋体"/>
        <family val="3"/>
        <charset val="134"/>
      </rPr>
      <t>清理收入的入账方式</t>
    </r>
  </si>
  <si>
    <r>
      <rPr>
        <sz val="10"/>
        <rFont val="宋体"/>
        <family val="3"/>
        <charset val="134"/>
      </rPr>
      <t>中介机构</t>
    </r>
    <r>
      <rPr>
        <sz val="10"/>
        <rFont val="Arial Narrow"/>
        <family val="2"/>
      </rPr>
      <t>(</t>
    </r>
    <r>
      <rPr>
        <sz val="10"/>
        <rFont val="宋体"/>
        <family val="3"/>
        <charset val="134"/>
      </rPr>
      <t>或企业内审机构</t>
    </r>
    <r>
      <rPr>
        <sz val="10"/>
        <rFont val="Arial Narrow"/>
        <family val="2"/>
      </rPr>
      <t>)</t>
    </r>
  </si>
  <si>
    <r>
      <rPr>
        <sz val="10"/>
        <rFont val="宋体"/>
        <family val="3"/>
        <charset val="134"/>
      </rPr>
      <t>审计与发表意见情况等</t>
    </r>
  </si>
  <si>
    <r>
      <t xml:space="preserve">                  </t>
    </r>
    <r>
      <rPr>
        <sz val="10"/>
        <rFont val="宋体"/>
        <family val="3"/>
        <charset val="134"/>
      </rPr>
      <t>长期债权投资</t>
    </r>
    <phoneticPr fontId="5" type="noConversion"/>
  </si>
  <si>
    <r>
      <t>2</t>
    </r>
    <r>
      <rPr>
        <sz val="10"/>
        <rFont val="宋体"/>
        <family val="3"/>
        <charset val="134"/>
      </rPr>
      <t>、资产减值准备财务核销工作情况</t>
    </r>
    <phoneticPr fontId="5" type="noConversion"/>
  </si>
  <si>
    <r>
      <t xml:space="preserve">               </t>
    </r>
    <r>
      <rPr>
        <sz val="10"/>
        <rFont val="宋体"/>
        <family val="3"/>
        <charset val="134"/>
      </rPr>
      <t>其他应收款</t>
    </r>
    <phoneticPr fontId="5" type="noConversion"/>
  </si>
  <si>
    <r>
      <rPr>
        <sz val="10"/>
        <rFont val="宋体"/>
        <family val="3"/>
        <charset val="134"/>
      </rPr>
      <t>二、存货</t>
    </r>
  </si>
  <si>
    <r>
      <rPr>
        <sz val="10"/>
        <rFont val="宋体"/>
        <family val="3"/>
        <charset val="134"/>
      </rPr>
      <t>三、长期投资</t>
    </r>
  </si>
  <si>
    <r>
      <rPr>
        <sz val="10"/>
        <rFont val="宋体"/>
        <family val="3"/>
        <charset val="134"/>
      </rPr>
      <t>四、可供出售金融资产</t>
    </r>
  </si>
  <si>
    <r>
      <rPr>
        <sz val="10"/>
        <rFont val="宋体"/>
        <family val="3"/>
        <charset val="134"/>
      </rPr>
      <t>五、持有至到期金融资产</t>
    </r>
  </si>
  <si>
    <r>
      <rPr>
        <sz val="10"/>
        <rFont val="宋体"/>
        <family val="3"/>
        <charset val="134"/>
      </rPr>
      <t>六、固定资产</t>
    </r>
  </si>
  <si>
    <r>
      <rPr>
        <sz val="10"/>
        <rFont val="宋体"/>
        <family val="3"/>
        <charset val="134"/>
      </rPr>
      <t>七、无形资产</t>
    </r>
  </si>
  <si>
    <r>
      <rPr>
        <sz val="10"/>
        <rFont val="宋体"/>
        <family val="3"/>
        <charset val="134"/>
      </rPr>
      <t>八、在建工程</t>
    </r>
  </si>
  <si>
    <r>
      <rPr>
        <sz val="10"/>
        <rFont val="宋体"/>
        <family val="3"/>
        <charset val="134"/>
      </rPr>
      <t>九、工程物资</t>
    </r>
  </si>
  <si>
    <r>
      <rPr>
        <sz val="10"/>
        <rFont val="宋体"/>
        <family val="3"/>
        <charset val="134"/>
      </rPr>
      <t>十、商誉</t>
    </r>
  </si>
  <si>
    <r>
      <rPr>
        <sz val="10"/>
        <rFont val="宋体"/>
        <family val="3"/>
        <charset val="134"/>
      </rPr>
      <t>十一、投资性房地产（以成本模式计量）</t>
    </r>
  </si>
  <si>
    <r>
      <rPr>
        <sz val="10"/>
        <rFont val="宋体"/>
        <family val="3"/>
        <charset val="134"/>
      </rPr>
      <t>十二、生产性生物资产</t>
    </r>
  </si>
  <si>
    <r>
      <rPr>
        <sz val="10"/>
        <rFont val="宋体"/>
        <family val="3"/>
        <charset val="134"/>
      </rPr>
      <t>十三、委托贷款</t>
    </r>
  </si>
  <si>
    <r>
      <rPr>
        <sz val="10"/>
        <rFont val="宋体"/>
        <family val="3"/>
        <charset val="134"/>
      </rPr>
      <t>十四、其他资产</t>
    </r>
  </si>
  <si>
    <r>
      <rPr>
        <sz val="10"/>
        <rFont val="宋体"/>
        <family val="3"/>
        <charset val="134"/>
      </rPr>
      <t>借出款单位</t>
    </r>
    <phoneticPr fontId="5" type="noConversion"/>
  </si>
  <si>
    <r>
      <rPr>
        <sz val="10"/>
        <rFont val="宋体"/>
        <family val="3"/>
        <charset val="134"/>
      </rPr>
      <t>借出时间</t>
    </r>
  </si>
  <si>
    <r>
      <rPr>
        <sz val="10"/>
        <rFont val="宋体"/>
        <family val="3"/>
        <charset val="134"/>
      </rPr>
      <t>借入款单位</t>
    </r>
    <phoneticPr fontId="5" type="noConversion"/>
  </si>
  <si>
    <r>
      <rPr>
        <sz val="10"/>
        <rFont val="宋体"/>
        <family val="3"/>
        <charset val="134"/>
      </rPr>
      <t>借入款单位性质</t>
    </r>
  </si>
  <si>
    <r>
      <rPr>
        <sz val="10"/>
        <rFont val="宋体"/>
        <family val="3"/>
        <charset val="134"/>
      </rPr>
      <t>借款本金</t>
    </r>
  </si>
  <si>
    <r>
      <rPr>
        <sz val="10"/>
        <rFont val="宋体"/>
        <family val="3"/>
        <charset val="134"/>
      </rPr>
      <t>逾期借款本息</t>
    </r>
  </si>
  <si>
    <r>
      <rPr>
        <sz val="10"/>
        <rFont val="宋体"/>
        <family val="3"/>
        <charset val="134"/>
      </rPr>
      <t>预计坏账金额</t>
    </r>
  </si>
  <si>
    <r>
      <rPr>
        <sz val="10"/>
        <rFont val="宋体"/>
        <family val="3"/>
        <charset val="134"/>
      </rPr>
      <t>借入款单位现状</t>
    </r>
  </si>
  <si>
    <r>
      <rPr>
        <sz val="10"/>
        <rFont val="宋体"/>
        <family val="3"/>
        <charset val="134"/>
      </rPr>
      <t>投资项目名称</t>
    </r>
  </si>
  <si>
    <r>
      <rPr>
        <sz val="10"/>
        <rFont val="宋体"/>
        <family val="3"/>
        <charset val="134"/>
      </rPr>
      <t>所属行业</t>
    </r>
  </si>
  <si>
    <r>
      <rPr>
        <sz val="10"/>
        <rFont val="宋体"/>
        <family val="3"/>
        <charset val="134"/>
      </rPr>
      <t>本年投资额</t>
    </r>
  </si>
  <si>
    <r>
      <rPr>
        <sz val="10"/>
        <rFont val="宋体"/>
        <family val="3"/>
        <charset val="134"/>
      </rPr>
      <t>其中：自有资金</t>
    </r>
  </si>
  <si>
    <r>
      <rPr>
        <sz val="10"/>
        <rFont val="宋体"/>
        <family val="3"/>
        <charset val="134"/>
      </rPr>
      <t>累计投资额</t>
    </r>
  </si>
  <si>
    <r>
      <rPr>
        <sz val="10"/>
        <rFont val="宋体"/>
        <family val="3"/>
        <charset val="134"/>
      </rPr>
      <t>是否报经国资委审核或备案</t>
    </r>
  </si>
  <si>
    <r>
      <rPr>
        <sz val="10"/>
        <rFont val="宋体"/>
        <family val="3"/>
        <charset val="134"/>
      </rPr>
      <t>①国有划拨土地</t>
    </r>
  </si>
  <si>
    <r>
      <rPr>
        <sz val="10"/>
        <rFont val="宋体"/>
        <family val="3"/>
        <charset val="134"/>
      </rPr>
      <t>序</t>
    </r>
    <r>
      <rPr>
        <sz val="10"/>
        <rFont val="Arial Narrow"/>
        <family val="2"/>
      </rPr>
      <t xml:space="preserve"> </t>
    </r>
    <r>
      <rPr>
        <sz val="10"/>
        <rFont val="宋体"/>
        <family val="3"/>
        <charset val="134"/>
      </rPr>
      <t>号</t>
    </r>
  </si>
  <si>
    <r>
      <rPr>
        <sz val="10"/>
        <rFont val="宋体"/>
        <family val="3"/>
        <charset val="134"/>
      </rPr>
      <t>地块类别</t>
    </r>
  </si>
  <si>
    <r>
      <rPr>
        <sz val="10"/>
        <rFont val="宋体"/>
        <family val="3"/>
        <charset val="134"/>
      </rPr>
      <t>面</t>
    </r>
    <r>
      <rPr>
        <sz val="10"/>
        <rFont val="Arial Narrow"/>
        <family val="2"/>
      </rPr>
      <t xml:space="preserve"> </t>
    </r>
    <r>
      <rPr>
        <sz val="10"/>
        <rFont val="宋体"/>
        <family val="3"/>
        <charset val="134"/>
      </rPr>
      <t>积</t>
    </r>
    <r>
      <rPr>
        <sz val="10"/>
        <rFont val="Arial Narrow"/>
        <family val="2"/>
      </rPr>
      <t>(</t>
    </r>
    <r>
      <rPr>
        <sz val="10"/>
        <rFont val="宋体"/>
        <family val="3"/>
        <charset val="134"/>
      </rPr>
      <t>平方米</t>
    </r>
    <r>
      <rPr>
        <sz val="10"/>
        <rFont val="Arial Narrow"/>
        <family val="2"/>
      </rPr>
      <t>)</t>
    </r>
    <phoneticPr fontId="5" type="noConversion"/>
  </si>
  <si>
    <r>
      <rPr>
        <sz val="10"/>
        <rFont val="宋体"/>
        <family val="3"/>
        <charset val="134"/>
      </rPr>
      <t>年末价值</t>
    </r>
  </si>
  <si>
    <r>
      <rPr>
        <sz val="10"/>
        <rFont val="宋体"/>
        <family val="3"/>
        <charset val="134"/>
      </rPr>
      <t>备</t>
    </r>
    <r>
      <rPr>
        <sz val="10"/>
        <rFont val="Arial Narrow"/>
        <family val="2"/>
      </rPr>
      <t xml:space="preserve"> </t>
    </r>
    <r>
      <rPr>
        <sz val="10"/>
        <rFont val="宋体"/>
        <family val="3"/>
        <charset val="134"/>
      </rPr>
      <t>注</t>
    </r>
  </si>
  <si>
    <r>
      <rPr>
        <sz val="10"/>
        <rFont val="宋体"/>
        <family val="3"/>
        <charset val="134"/>
      </rPr>
      <t>②探矿权</t>
    </r>
  </si>
  <si>
    <r>
      <rPr>
        <sz val="10"/>
        <rFont val="宋体"/>
        <family val="3"/>
        <charset val="134"/>
      </rPr>
      <t>主要矿产</t>
    </r>
  </si>
  <si>
    <r>
      <rPr>
        <sz val="10"/>
        <rFont val="宋体"/>
        <family val="3"/>
        <charset val="134"/>
      </rPr>
      <t>矿区面积</t>
    </r>
  </si>
  <si>
    <r>
      <rPr>
        <sz val="10"/>
        <rFont val="宋体"/>
        <family val="3"/>
        <charset val="134"/>
      </rPr>
      <t>预测储备量</t>
    </r>
  </si>
  <si>
    <r>
      <rPr>
        <sz val="10"/>
        <rFont val="宋体"/>
        <family val="3"/>
        <charset val="134"/>
      </rPr>
      <t>有效期限</t>
    </r>
  </si>
  <si>
    <r>
      <rPr>
        <sz val="10"/>
        <rFont val="宋体"/>
        <family val="3"/>
        <charset val="134"/>
      </rPr>
      <t>取得方式</t>
    </r>
  </si>
  <si>
    <r>
      <rPr>
        <sz val="10"/>
        <rFont val="宋体"/>
        <family val="3"/>
        <charset val="134"/>
      </rPr>
      <t>③采矿权</t>
    </r>
  </si>
  <si>
    <r>
      <rPr>
        <sz val="10"/>
        <rFont val="宋体"/>
        <family val="3"/>
        <charset val="134"/>
      </rPr>
      <t>开采矿种</t>
    </r>
  </si>
  <si>
    <r>
      <rPr>
        <sz val="10"/>
        <rFont val="宋体"/>
        <family val="3"/>
        <charset val="134"/>
      </rPr>
      <t>探明储备</t>
    </r>
  </si>
  <si>
    <r>
      <rPr>
        <sz val="10"/>
        <rFont val="宋体"/>
        <family val="3"/>
        <charset val="134"/>
      </rPr>
      <t>④其它重要资产（账销案存资产除外）</t>
    </r>
  </si>
  <si>
    <r>
      <rPr>
        <sz val="10"/>
        <rFont val="宋体"/>
        <family val="3"/>
        <charset val="134"/>
      </rPr>
      <t>单</t>
    </r>
    <r>
      <rPr>
        <sz val="10"/>
        <rFont val="Arial Narrow"/>
        <family val="2"/>
      </rPr>
      <t xml:space="preserve"> </t>
    </r>
    <r>
      <rPr>
        <sz val="10"/>
        <rFont val="宋体"/>
        <family val="3"/>
        <charset val="134"/>
      </rPr>
      <t>位</t>
    </r>
  </si>
  <si>
    <r>
      <rPr>
        <sz val="10"/>
        <rFont val="宋体"/>
        <family val="3"/>
        <charset val="134"/>
      </rPr>
      <t>数</t>
    </r>
    <r>
      <rPr>
        <sz val="10"/>
        <rFont val="Arial Narrow"/>
        <family val="2"/>
      </rPr>
      <t xml:space="preserve"> </t>
    </r>
    <r>
      <rPr>
        <sz val="10"/>
        <rFont val="宋体"/>
        <family val="3"/>
        <charset val="134"/>
      </rPr>
      <t>量</t>
    </r>
  </si>
  <si>
    <r>
      <rPr>
        <sz val="10"/>
        <rFont val="宋体"/>
        <family val="3"/>
        <charset val="134"/>
      </rPr>
      <t>－</t>
    </r>
  </si>
  <si>
    <r>
      <rPr>
        <u/>
        <sz val="10"/>
        <rFont val="宋体"/>
        <family val="3"/>
        <charset val="134"/>
      </rPr>
      <t>返回目录</t>
    </r>
    <phoneticPr fontId="5" type="noConversion"/>
  </si>
  <si>
    <r>
      <rPr>
        <b/>
        <sz val="10"/>
        <rFont val="宋体"/>
        <family val="3"/>
        <charset val="134"/>
      </rPr>
      <t>快速定位</t>
    </r>
    <phoneticPr fontId="5" type="noConversion"/>
  </si>
  <si>
    <r>
      <rPr>
        <sz val="10"/>
        <rFont val="宋体"/>
        <family val="3"/>
        <charset val="134"/>
      </rPr>
      <t>其他综合收益（含外币报表折算差额）</t>
    </r>
    <phoneticPr fontId="5" type="noConversion"/>
  </si>
  <si>
    <r>
      <rPr>
        <sz val="10"/>
        <rFont val="宋体"/>
        <family val="3"/>
        <charset val="134"/>
      </rPr>
      <t>非流动资产处置损益</t>
    </r>
    <phoneticPr fontId="5" type="noConversion"/>
  </si>
  <si>
    <r>
      <rPr>
        <sz val="10"/>
        <rFont val="宋体"/>
        <family val="3"/>
        <charset val="134"/>
      </rPr>
      <t>合并成本小于合并时应享有被合并单位可辨认净资产公允价值产生的损益</t>
    </r>
    <phoneticPr fontId="5" type="noConversion"/>
  </si>
  <si>
    <r>
      <rPr>
        <sz val="10"/>
        <rFont val="宋体"/>
        <family val="3"/>
        <charset val="134"/>
      </rPr>
      <t>市值</t>
    </r>
    <phoneticPr fontId="5" type="noConversion"/>
  </si>
  <si>
    <r>
      <rPr>
        <sz val="10"/>
        <rFont val="宋体"/>
        <family val="3"/>
        <charset val="134"/>
      </rPr>
      <t>年初归属于母公司所有者权益合计</t>
    </r>
    <phoneticPr fontId="5" type="noConversion"/>
  </si>
  <si>
    <r>
      <rPr>
        <sz val="10"/>
        <rFont val="宋体"/>
        <family val="3"/>
        <charset val="134"/>
      </rPr>
      <t>年末归属于母公司所有者权益合计</t>
    </r>
    <phoneticPr fontId="5" type="noConversion"/>
  </si>
  <si>
    <r>
      <rPr>
        <sz val="10"/>
        <rFont val="宋体"/>
        <family val="3"/>
        <charset val="134"/>
      </rPr>
      <t>本期实发数</t>
    </r>
    <phoneticPr fontId="5" type="noConversion"/>
  </si>
  <si>
    <r>
      <rPr>
        <sz val="10"/>
        <rFont val="宋体"/>
        <family val="3"/>
        <charset val="134"/>
      </rPr>
      <t>福利费用</t>
    </r>
    <phoneticPr fontId="5" type="noConversion"/>
  </si>
  <si>
    <r>
      <rPr>
        <b/>
        <sz val="10"/>
        <rFont val="宋体"/>
        <family val="3"/>
        <charset val="134"/>
      </rPr>
      <t>七、资产损失管理情况的说明</t>
    </r>
    <phoneticPr fontId="5" type="noConversion"/>
  </si>
  <si>
    <r>
      <rPr>
        <sz val="10"/>
        <rFont val="宋体"/>
        <family val="3"/>
        <charset val="134"/>
      </rPr>
      <t>资产减值准备核销管理情况</t>
    </r>
    <phoneticPr fontId="5" type="noConversion"/>
  </si>
  <si>
    <r>
      <rPr>
        <sz val="10"/>
        <rFont val="宋体"/>
        <family val="3"/>
        <charset val="134"/>
      </rPr>
      <t>直接在当期损益中处理的资产损失</t>
    </r>
    <phoneticPr fontId="5" type="noConversion"/>
  </si>
  <si>
    <r>
      <rPr>
        <sz val="10"/>
        <rFont val="宋体"/>
        <family val="3"/>
        <charset val="134"/>
      </rPr>
      <t>本年核销资产损失金额</t>
    </r>
    <phoneticPr fontId="5" type="noConversion"/>
  </si>
  <si>
    <r>
      <rPr>
        <sz val="10"/>
        <rFont val="宋体"/>
        <family val="3"/>
        <charset val="134"/>
      </rPr>
      <t>本年核销资产减值准备金额</t>
    </r>
    <phoneticPr fontId="5" type="noConversion"/>
  </si>
  <si>
    <r>
      <rPr>
        <b/>
        <sz val="10"/>
        <rFont val="宋体"/>
        <family val="3"/>
        <charset val="134"/>
      </rPr>
      <t>八、企业对外借款情况</t>
    </r>
    <phoneticPr fontId="5" type="noConversion"/>
  </si>
  <si>
    <r>
      <rPr>
        <b/>
        <sz val="10"/>
        <rFont val="宋体"/>
        <family val="3"/>
        <charset val="134"/>
      </rPr>
      <t>九、非主业投资情况</t>
    </r>
    <phoneticPr fontId="5" type="noConversion"/>
  </si>
  <si>
    <r>
      <rPr>
        <b/>
        <sz val="10"/>
        <rFont val="宋体"/>
        <family val="3"/>
        <charset val="134"/>
      </rPr>
      <t>十一、其他应披露的重大事项</t>
    </r>
    <phoneticPr fontId="5" type="noConversion"/>
  </si>
  <si>
    <r>
      <rPr>
        <sz val="10"/>
        <rFont val="宋体"/>
        <family val="3"/>
        <charset val="134"/>
      </rPr>
      <t>一、营业总收入</t>
    </r>
  </si>
  <si>
    <r>
      <rPr>
        <sz val="10"/>
        <rFont val="宋体"/>
        <family val="3"/>
        <charset val="134"/>
      </rPr>
      <t>二、营业总成本</t>
    </r>
  </si>
  <si>
    <r>
      <t>——</t>
    </r>
    <r>
      <rPr>
        <b/>
        <sz val="10"/>
        <rFont val="宋体"/>
        <family val="3"/>
        <charset val="134"/>
      </rPr>
      <t>财务专项说明</t>
    </r>
    <phoneticPr fontId="5" type="noConversion"/>
  </si>
  <si>
    <r>
      <rPr>
        <sz val="10"/>
        <rFont val="宋体"/>
        <family val="3"/>
        <charset val="134"/>
      </rPr>
      <t>一、年初重大调整事项说明</t>
    </r>
    <phoneticPr fontId="5" type="noConversion"/>
  </si>
  <si>
    <r>
      <rPr>
        <sz val="10"/>
        <rFont val="宋体"/>
        <family val="3"/>
        <charset val="134"/>
      </rPr>
      <t>四、国有资本保值增值的情况</t>
    </r>
    <phoneticPr fontId="5" type="noConversion"/>
  </si>
  <si>
    <r>
      <rPr>
        <sz val="10"/>
        <rFont val="宋体"/>
        <family val="3"/>
        <charset val="134"/>
      </rPr>
      <t>八、企业对外借款情况</t>
    </r>
    <phoneticPr fontId="5" type="noConversion"/>
  </si>
  <si>
    <r>
      <rPr>
        <sz val="10"/>
        <rFont val="宋体"/>
        <family val="3"/>
        <charset val="134"/>
      </rPr>
      <t>二、非经常性损益的说明</t>
    </r>
    <phoneticPr fontId="5" type="noConversion"/>
  </si>
  <si>
    <r>
      <rPr>
        <sz val="10"/>
        <rFont val="宋体"/>
        <family val="3"/>
        <charset val="134"/>
      </rPr>
      <t>五、人工成本及工资管理情况的说明</t>
    </r>
    <phoneticPr fontId="5" type="noConversion"/>
  </si>
  <si>
    <r>
      <rPr>
        <sz val="10"/>
        <rFont val="宋体"/>
        <family val="3"/>
        <charset val="134"/>
      </rPr>
      <t>九、非主业投资情况</t>
    </r>
    <phoneticPr fontId="5" type="noConversion"/>
  </si>
  <si>
    <r>
      <rPr>
        <sz val="10"/>
        <rFont val="宋体"/>
        <family val="3"/>
        <charset val="134"/>
      </rPr>
      <t>三、高风险业务的说明</t>
    </r>
    <phoneticPr fontId="5" type="noConversion"/>
  </si>
  <si>
    <r>
      <rPr>
        <sz val="10"/>
        <rFont val="宋体"/>
        <family val="3"/>
        <charset val="134"/>
      </rPr>
      <t>七、资产损失管理情况的说明</t>
    </r>
    <phoneticPr fontId="5" type="noConversion"/>
  </si>
  <si>
    <r>
      <rPr>
        <sz val="10"/>
        <rFont val="宋体"/>
        <family val="3"/>
        <charset val="134"/>
      </rPr>
      <t>十二、其他应披露的重大事项</t>
    </r>
    <phoneticPr fontId="5" type="noConversion"/>
  </si>
  <si>
    <r>
      <rPr>
        <sz val="10"/>
        <rFont val="宋体"/>
        <family val="3"/>
        <charset val="134"/>
      </rPr>
      <t>校验：附注</t>
    </r>
    <r>
      <rPr>
        <sz val="10"/>
        <rFont val="Arial Narrow"/>
        <family val="2"/>
      </rPr>
      <t>-</t>
    </r>
    <r>
      <rPr>
        <sz val="10"/>
        <rFont val="宋体"/>
        <family val="3"/>
        <charset val="134"/>
      </rPr>
      <t>报表</t>
    </r>
    <phoneticPr fontId="5" type="noConversion"/>
  </si>
  <si>
    <r>
      <rPr>
        <b/>
        <sz val="10"/>
        <rFont val="宋体"/>
        <family val="3"/>
        <charset val="134"/>
      </rPr>
      <t>四、年末国有资本及权益总额</t>
    </r>
    <phoneticPr fontId="5" type="noConversion"/>
  </si>
  <si>
    <r>
      <rPr>
        <b/>
        <sz val="10"/>
        <rFont val="宋体"/>
        <family val="3"/>
        <charset val="134"/>
      </rPr>
      <t>未调整不符事项之报表影响</t>
    </r>
    <phoneticPr fontId="5" type="noConversion"/>
  </si>
  <si>
    <r>
      <rPr>
        <b/>
        <sz val="10"/>
        <rFont val="宋体"/>
        <family val="3"/>
        <charset val="134"/>
      </rPr>
      <t>返回目录</t>
    </r>
  </si>
  <si>
    <r>
      <rPr>
        <b/>
        <sz val="10"/>
        <rFont val="宋体"/>
        <family val="3"/>
        <charset val="134"/>
      </rPr>
      <t>索引号：</t>
    </r>
    <r>
      <rPr>
        <b/>
        <sz val="10"/>
        <rFont val="Arial Narrow"/>
        <family val="2"/>
      </rPr>
      <t>9100</t>
    </r>
    <phoneticPr fontId="5" type="noConversion"/>
  </si>
  <si>
    <r>
      <rPr>
        <b/>
        <sz val="10"/>
        <rFont val="宋体"/>
        <family val="3"/>
        <charset val="134"/>
      </rPr>
      <t>项</t>
    </r>
    <r>
      <rPr>
        <b/>
        <sz val="10"/>
        <rFont val="Arial Narrow"/>
        <family val="2"/>
      </rPr>
      <t xml:space="preserve">        </t>
    </r>
    <r>
      <rPr>
        <b/>
        <sz val="10"/>
        <rFont val="宋体"/>
        <family val="3"/>
        <charset val="134"/>
      </rPr>
      <t>目</t>
    </r>
    <phoneticPr fontId="5" type="noConversion"/>
  </si>
  <si>
    <r>
      <rPr>
        <b/>
        <sz val="10"/>
        <rFont val="宋体"/>
        <family val="3"/>
        <charset val="134"/>
      </rPr>
      <t>导引表</t>
    </r>
    <phoneticPr fontId="5" type="noConversion"/>
  </si>
  <si>
    <r>
      <rPr>
        <b/>
        <sz val="10"/>
        <rFont val="宋体"/>
        <family val="3"/>
        <charset val="134"/>
      </rPr>
      <t>科目</t>
    </r>
    <phoneticPr fontId="5" type="noConversion"/>
  </si>
  <si>
    <r>
      <rPr>
        <b/>
        <sz val="10"/>
        <rFont val="宋体"/>
        <family val="3"/>
        <charset val="134"/>
      </rPr>
      <t>方向</t>
    </r>
    <phoneticPr fontId="5" type="noConversion"/>
  </si>
  <si>
    <r>
      <rPr>
        <b/>
        <sz val="10"/>
        <rFont val="宋体"/>
        <family val="3"/>
        <charset val="134"/>
      </rPr>
      <t>未调整不符事项借方调整</t>
    </r>
    <phoneticPr fontId="5" type="noConversion"/>
  </si>
  <si>
    <r>
      <rPr>
        <b/>
        <sz val="10"/>
        <rFont val="宋体"/>
        <family val="3"/>
        <charset val="134"/>
      </rPr>
      <t>未调整不符事项贷方调整</t>
    </r>
    <phoneticPr fontId="5" type="noConversion"/>
  </si>
  <si>
    <r>
      <rPr>
        <b/>
        <sz val="10"/>
        <rFont val="宋体"/>
        <family val="3"/>
        <charset val="134"/>
      </rPr>
      <t>未调整不符事项之调整数</t>
    </r>
    <phoneticPr fontId="5" type="noConversion"/>
  </si>
  <si>
    <r>
      <rPr>
        <b/>
        <sz val="10"/>
        <rFont val="宋体"/>
        <family val="3"/>
        <charset val="134"/>
      </rPr>
      <t>未调整不符事项之期末金额</t>
    </r>
    <r>
      <rPr>
        <b/>
        <sz val="10"/>
        <rFont val="Arial Narrow"/>
        <family val="2"/>
      </rPr>
      <t>--</t>
    </r>
    <r>
      <rPr>
        <b/>
        <sz val="10"/>
        <rFont val="宋体"/>
        <family val="3"/>
        <charset val="134"/>
      </rPr>
      <t>报表影响</t>
    </r>
    <phoneticPr fontId="5" type="noConversion"/>
  </si>
  <si>
    <r>
      <rPr>
        <b/>
        <sz val="10"/>
        <rFont val="宋体"/>
        <family val="3"/>
        <charset val="134"/>
      </rPr>
      <t>未调整不符事项之期初金额</t>
    </r>
    <r>
      <rPr>
        <b/>
        <sz val="10"/>
        <rFont val="Arial Narrow"/>
        <family val="2"/>
      </rPr>
      <t>--</t>
    </r>
    <r>
      <rPr>
        <b/>
        <sz val="10"/>
        <rFont val="宋体"/>
        <family val="3"/>
        <charset val="134"/>
      </rPr>
      <t>报表影响</t>
    </r>
    <phoneticPr fontId="5" type="noConversion"/>
  </si>
  <si>
    <r>
      <rPr>
        <b/>
        <sz val="10"/>
        <rFont val="宋体"/>
        <family val="3"/>
        <charset val="134"/>
      </rPr>
      <t>流动资产：</t>
    </r>
  </si>
  <si>
    <r>
      <t xml:space="preserve">    </t>
    </r>
    <r>
      <rPr>
        <sz val="10"/>
        <rFont val="宋体"/>
        <family val="3"/>
        <charset val="134"/>
      </rPr>
      <t>货币资金</t>
    </r>
    <phoneticPr fontId="5" type="noConversion"/>
  </si>
  <si>
    <r>
      <rPr>
        <sz val="10"/>
        <rFont val="宋体"/>
        <family val="3"/>
        <charset val="134"/>
      </rPr>
      <t>借</t>
    </r>
    <phoneticPr fontId="5" type="noConversion"/>
  </si>
  <si>
    <r>
      <t xml:space="preserve">    </t>
    </r>
    <r>
      <rPr>
        <sz val="10"/>
        <rFont val="宋体"/>
        <family val="3"/>
        <charset val="134"/>
      </rPr>
      <t>结算备付金</t>
    </r>
    <phoneticPr fontId="5" type="noConversion"/>
  </si>
  <si>
    <r>
      <rPr>
        <sz val="10"/>
        <rFont val="宋体"/>
        <family val="3"/>
        <charset val="134"/>
      </rPr>
      <t>结算备付金</t>
    </r>
  </si>
  <si>
    <r>
      <t xml:space="preserve">    </t>
    </r>
    <r>
      <rPr>
        <sz val="10"/>
        <rFont val="宋体"/>
        <family val="3"/>
        <charset val="134"/>
      </rPr>
      <t>拆出资金</t>
    </r>
    <phoneticPr fontId="5" type="noConversion"/>
  </si>
  <si>
    <r>
      <rPr>
        <sz val="10"/>
        <rFont val="宋体"/>
        <family val="3"/>
        <charset val="134"/>
      </rPr>
      <t>拆出资金</t>
    </r>
  </si>
  <si>
    <r>
      <t xml:space="preserve">    </t>
    </r>
    <r>
      <rPr>
        <sz val="10"/>
        <rFont val="宋体"/>
        <family val="3"/>
        <charset val="134"/>
      </rPr>
      <t>以公允价值计量且其变动计入当期损益的金融资产</t>
    </r>
  </si>
  <si>
    <r>
      <t xml:space="preserve">    </t>
    </r>
    <r>
      <rPr>
        <sz val="10"/>
        <rFont val="宋体"/>
        <family val="3"/>
        <charset val="134"/>
      </rPr>
      <t>衍生金融资产</t>
    </r>
  </si>
  <si>
    <r>
      <t xml:space="preserve">    </t>
    </r>
    <r>
      <rPr>
        <sz val="10"/>
        <rFont val="宋体"/>
        <family val="3"/>
        <charset val="134"/>
      </rPr>
      <t>预付款项</t>
    </r>
    <phoneticPr fontId="5" type="noConversion"/>
  </si>
  <si>
    <r>
      <rPr>
        <sz val="10"/>
        <rFont val="宋体"/>
        <family val="3"/>
        <charset val="134"/>
      </rPr>
      <t>预付款项</t>
    </r>
  </si>
  <si>
    <r>
      <t xml:space="preserve">    </t>
    </r>
    <r>
      <rPr>
        <sz val="10"/>
        <rFont val="宋体"/>
        <family val="3"/>
        <charset val="134"/>
      </rPr>
      <t>应收保费</t>
    </r>
    <phoneticPr fontId="5" type="noConversion"/>
  </si>
  <si>
    <r>
      <rPr>
        <sz val="10"/>
        <rFont val="宋体"/>
        <family val="3"/>
        <charset val="134"/>
      </rPr>
      <t>应收保费</t>
    </r>
  </si>
  <si>
    <r>
      <t xml:space="preserve">    </t>
    </r>
    <r>
      <rPr>
        <sz val="10"/>
        <rFont val="宋体"/>
        <family val="3"/>
        <charset val="134"/>
      </rPr>
      <t>应收分保账款</t>
    </r>
    <phoneticPr fontId="5" type="noConversion"/>
  </si>
  <si>
    <r>
      <rPr>
        <sz val="10"/>
        <rFont val="宋体"/>
        <family val="3"/>
        <charset val="134"/>
      </rPr>
      <t>应收分保账款</t>
    </r>
  </si>
  <si>
    <r>
      <rPr>
        <sz val="10"/>
        <rFont val="宋体"/>
        <family val="3"/>
        <charset val="134"/>
      </rPr>
      <t>应收分保准备金</t>
    </r>
    <phoneticPr fontId="5" type="noConversion"/>
  </si>
  <si>
    <r>
      <t xml:space="preserve">    </t>
    </r>
    <r>
      <rPr>
        <sz val="10"/>
        <rFont val="宋体"/>
        <family val="3"/>
        <charset val="134"/>
      </rPr>
      <t>应收利息</t>
    </r>
    <phoneticPr fontId="5" type="noConversion"/>
  </si>
  <si>
    <r>
      <t xml:space="preserve">   </t>
    </r>
    <r>
      <rPr>
        <sz val="10"/>
        <rFont val="宋体"/>
        <family val="3"/>
        <charset val="134"/>
      </rPr>
      <t>应收股利</t>
    </r>
    <phoneticPr fontId="5" type="noConversion"/>
  </si>
  <si>
    <r>
      <t xml:space="preserve">    </t>
    </r>
    <r>
      <rPr>
        <sz val="10"/>
        <rFont val="宋体"/>
        <family val="3"/>
        <charset val="134"/>
      </rPr>
      <t>其他应收款</t>
    </r>
    <phoneticPr fontId="5" type="noConversion"/>
  </si>
  <si>
    <r>
      <t xml:space="preserve">    </t>
    </r>
    <r>
      <rPr>
        <sz val="10"/>
        <rFont val="宋体"/>
        <family val="3"/>
        <charset val="134"/>
      </rPr>
      <t>买入返售金融资产</t>
    </r>
    <phoneticPr fontId="5" type="noConversion"/>
  </si>
  <si>
    <r>
      <rPr>
        <sz val="10"/>
        <rFont val="宋体"/>
        <family val="3"/>
        <charset val="134"/>
      </rPr>
      <t>买入返售金融资产</t>
    </r>
  </si>
  <si>
    <r>
      <t xml:space="preserve">    </t>
    </r>
    <r>
      <rPr>
        <sz val="10"/>
        <rFont val="宋体"/>
        <family val="3"/>
        <charset val="134"/>
      </rPr>
      <t>存货</t>
    </r>
    <phoneticPr fontId="5" type="noConversion"/>
  </si>
  <si>
    <r>
      <rPr>
        <sz val="10"/>
        <rFont val="宋体"/>
        <family val="3"/>
        <charset val="134"/>
      </rPr>
      <t>存货</t>
    </r>
    <r>
      <rPr>
        <sz val="10"/>
        <rFont val="Arial Narrow"/>
        <family val="2"/>
      </rPr>
      <t>—</t>
    </r>
    <r>
      <rPr>
        <sz val="10"/>
        <rFont val="宋体"/>
        <family val="3"/>
        <charset val="134"/>
      </rPr>
      <t>其他</t>
    </r>
    <phoneticPr fontId="5" type="noConversion"/>
  </si>
  <si>
    <r>
      <t xml:space="preserve">           </t>
    </r>
    <r>
      <rPr>
        <sz val="10"/>
        <rFont val="宋体"/>
        <family val="3"/>
        <charset val="134"/>
      </rPr>
      <t>其中：原材料</t>
    </r>
    <phoneticPr fontId="5" type="noConversion"/>
  </si>
  <si>
    <r>
      <rPr>
        <sz val="10"/>
        <rFont val="宋体"/>
        <family val="3"/>
        <charset val="134"/>
      </rPr>
      <t>存货</t>
    </r>
    <r>
      <rPr>
        <sz val="10"/>
        <rFont val="Arial Narrow"/>
        <family val="2"/>
      </rPr>
      <t>—</t>
    </r>
    <r>
      <rPr>
        <sz val="10"/>
        <rFont val="宋体"/>
        <family val="3"/>
        <charset val="134"/>
      </rPr>
      <t>原材料</t>
    </r>
    <phoneticPr fontId="5" type="noConversion"/>
  </si>
  <si>
    <r>
      <t xml:space="preserve">                 </t>
    </r>
    <r>
      <rPr>
        <sz val="10"/>
        <rFont val="宋体"/>
        <family val="3"/>
        <charset val="134"/>
      </rPr>
      <t>库存商品</t>
    </r>
    <r>
      <rPr>
        <sz val="10"/>
        <rFont val="Arial Narrow"/>
        <family val="2"/>
      </rPr>
      <t>(</t>
    </r>
    <r>
      <rPr>
        <sz val="10"/>
        <rFont val="宋体"/>
        <family val="3"/>
        <charset val="134"/>
      </rPr>
      <t>产成品</t>
    </r>
    <r>
      <rPr>
        <sz val="10"/>
        <rFont val="Arial Narrow"/>
        <family val="2"/>
      </rPr>
      <t>)</t>
    </r>
    <phoneticPr fontId="5" type="noConversion"/>
  </si>
  <si>
    <r>
      <rPr>
        <sz val="10"/>
        <rFont val="宋体"/>
        <family val="3"/>
        <charset val="134"/>
      </rPr>
      <t>存货</t>
    </r>
    <r>
      <rPr>
        <sz val="10"/>
        <rFont val="Arial Narrow"/>
        <family val="2"/>
      </rPr>
      <t>—</t>
    </r>
    <r>
      <rPr>
        <sz val="10"/>
        <rFont val="宋体"/>
        <family val="3"/>
        <charset val="134"/>
      </rPr>
      <t>库存商品</t>
    </r>
    <r>
      <rPr>
        <sz val="10"/>
        <rFont val="Arial Narrow"/>
        <family val="2"/>
      </rPr>
      <t>(</t>
    </r>
    <r>
      <rPr>
        <sz val="10"/>
        <rFont val="宋体"/>
        <family val="3"/>
        <charset val="134"/>
      </rPr>
      <t>产成品</t>
    </r>
    <r>
      <rPr>
        <sz val="10"/>
        <rFont val="Arial Narrow"/>
        <family val="2"/>
      </rPr>
      <t>)</t>
    </r>
    <phoneticPr fontId="5" type="noConversion"/>
  </si>
  <si>
    <r>
      <t xml:space="preserve">    </t>
    </r>
    <r>
      <rPr>
        <sz val="10"/>
        <rFont val="宋体"/>
        <family val="3"/>
        <charset val="134"/>
      </rPr>
      <t>一年内到期的非流动资产</t>
    </r>
    <phoneticPr fontId="5" type="noConversion"/>
  </si>
  <si>
    <r>
      <rPr>
        <sz val="10"/>
        <rFont val="宋体"/>
        <family val="3"/>
        <charset val="134"/>
      </rPr>
      <t>一年内到期的非流动资产</t>
    </r>
  </si>
  <si>
    <r>
      <t xml:space="preserve">    </t>
    </r>
    <r>
      <rPr>
        <sz val="10"/>
        <rFont val="宋体"/>
        <family val="3"/>
        <charset val="134"/>
      </rPr>
      <t>其他流动资产</t>
    </r>
    <phoneticPr fontId="5" type="noConversion"/>
  </si>
  <si>
    <r>
      <rPr>
        <b/>
        <sz val="10"/>
        <rFont val="宋体"/>
        <family val="3"/>
        <charset val="134"/>
      </rPr>
      <t>流动资产合计</t>
    </r>
  </si>
  <si>
    <r>
      <rPr>
        <b/>
        <sz val="10"/>
        <rFont val="宋体"/>
        <family val="3"/>
        <charset val="134"/>
      </rPr>
      <t>非流动资产：</t>
    </r>
  </si>
  <si>
    <r>
      <t xml:space="preserve">    </t>
    </r>
    <r>
      <rPr>
        <sz val="10"/>
        <rFont val="宋体"/>
        <family val="3"/>
        <charset val="134"/>
      </rPr>
      <t>发放贷款及垫款</t>
    </r>
    <phoneticPr fontId="5" type="noConversion"/>
  </si>
  <si>
    <r>
      <rPr>
        <sz val="10"/>
        <rFont val="宋体"/>
        <family val="3"/>
        <charset val="134"/>
      </rPr>
      <t>发放贷款及垫款</t>
    </r>
  </si>
  <si>
    <r>
      <t xml:space="preserve">    </t>
    </r>
    <r>
      <rPr>
        <sz val="10"/>
        <rFont val="宋体"/>
        <family val="3"/>
        <charset val="134"/>
      </rPr>
      <t>可供出售金融资产</t>
    </r>
    <phoneticPr fontId="5" type="noConversion"/>
  </si>
  <si>
    <r>
      <t xml:space="preserve">    </t>
    </r>
    <r>
      <rPr>
        <sz val="10"/>
        <rFont val="宋体"/>
        <family val="3"/>
        <charset val="134"/>
      </rPr>
      <t>持有至到期投资</t>
    </r>
    <phoneticPr fontId="5" type="noConversion"/>
  </si>
  <si>
    <r>
      <t xml:space="preserve">    </t>
    </r>
    <r>
      <rPr>
        <sz val="10"/>
        <rFont val="宋体"/>
        <family val="3"/>
        <charset val="134"/>
      </rPr>
      <t>长期应收款</t>
    </r>
    <phoneticPr fontId="5" type="noConversion"/>
  </si>
  <si>
    <r>
      <t xml:space="preserve">    </t>
    </r>
    <r>
      <rPr>
        <sz val="10"/>
        <rFont val="宋体"/>
        <family val="3"/>
        <charset val="134"/>
      </rPr>
      <t>长期股权投资</t>
    </r>
    <phoneticPr fontId="5" type="noConversion"/>
  </si>
  <si>
    <r>
      <t xml:space="preserve">    </t>
    </r>
    <r>
      <rPr>
        <sz val="10"/>
        <rFont val="宋体"/>
        <family val="3"/>
        <charset val="134"/>
      </rPr>
      <t>投资性房地产</t>
    </r>
    <phoneticPr fontId="5" type="noConversion"/>
  </si>
  <si>
    <r>
      <t xml:space="preserve">    </t>
    </r>
    <r>
      <rPr>
        <sz val="10"/>
        <rFont val="宋体"/>
        <family val="3"/>
        <charset val="134"/>
      </rPr>
      <t>固定资产原价</t>
    </r>
    <phoneticPr fontId="5" type="noConversion"/>
  </si>
  <si>
    <r>
      <rPr>
        <sz val="10"/>
        <rFont val="宋体"/>
        <family val="3"/>
        <charset val="134"/>
      </rPr>
      <t>固定资产原价</t>
    </r>
  </si>
  <si>
    <r>
      <t xml:space="preserve">              </t>
    </r>
    <r>
      <rPr>
        <sz val="10"/>
        <rFont val="宋体"/>
        <family val="3"/>
        <charset val="134"/>
      </rPr>
      <t>减：累计折旧</t>
    </r>
    <phoneticPr fontId="5" type="noConversion"/>
  </si>
  <si>
    <r>
      <rPr>
        <sz val="10"/>
        <rFont val="宋体"/>
        <family val="3"/>
        <charset val="134"/>
      </rPr>
      <t>贷</t>
    </r>
    <phoneticPr fontId="5" type="noConversion"/>
  </si>
  <si>
    <r>
      <t xml:space="preserve">    </t>
    </r>
    <r>
      <rPr>
        <sz val="10"/>
        <rFont val="宋体"/>
        <family val="3"/>
        <charset val="134"/>
      </rPr>
      <t>固定资产净值</t>
    </r>
    <phoneticPr fontId="5" type="noConversion"/>
  </si>
  <si>
    <r>
      <t xml:space="preserve">              </t>
    </r>
    <r>
      <rPr>
        <sz val="10"/>
        <rFont val="宋体"/>
        <family val="3"/>
        <charset val="134"/>
      </rPr>
      <t>减：固定资产减值准备</t>
    </r>
    <phoneticPr fontId="5" type="noConversion"/>
  </si>
  <si>
    <r>
      <rPr>
        <sz val="10"/>
        <rFont val="宋体"/>
        <family val="3"/>
        <charset val="134"/>
      </rPr>
      <t>固定资产减值准备</t>
    </r>
    <phoneticPr fontId="5" type="noConversion"/>
  </si>
  <si>
    <r>
      <t xml:space="preserve">    </t>
    </r>
    <r>
      <rPr>
        <sz val="10"/>
        <rFont val="宋体"/>
        <family val="3"/>
        <charset val="134"/>
      </rPr>
      <t>固定资产净额</t>
    </r>
    <phoneticPr fontId="5" type="noConversion"/>
  </si>
  <si>
    <r>
      <t xml:space="preserve">    </t>
    </r>
    <r>
      <rPr>
        <sz val="10"/>
        <rFont val="宋体"/>
        <family val="3"/>
        <charset val="134"/>
      </rPr>
      <t>工程物资</t>
    </r>
    <phoneticPr fontId="5" type="noConversion"/>
  </si>
  <si>
    <r>
      <t xml:space="preserve">    </t>
    </r>
    <r>
      <rPr>
        <sz val="10"/>
        <rFont val="宋体"/>
        <family val="3"/>
        <charset val="134"/>
      </rPr>
      <t>固定资产清理</t>
    </r>
    <phoneticPr fontId="5" type="noConversion"/>
  </si>
  <si>
    <r>
      <t xml:space="preserve">    </t>
    </r>
    <r>
      <rPr>
        <sz val="10"/>
        <rFont val="宋体"/>
        <family val="3"/>
        <charset val="134"/>
      </rPr>
      <t>生产性生物资产</t>
    </r>
    <phoneticPr fontId="5" type="noConversion"/>
  </si>
  <si>
    <r>
      <rPr>
        <sz val="10"/>
        <rFont val="宋体"/>
        <family val="3"/>
        <charset val="134"/>
      </rPr>
      <t>生产性生物资产</t>
    </r>
  </si>
  <si>
    <r>
      <t xml:space="preserve">    </t>
    </r>
    <r>
      <rPr>
        <sz val="10"/>
        <rFont val="宋体"/>
        <family val="3"/>
        <charset val="134"/>
      </rPr>
      <t>油气资产</t>
    </r>
    <phoneticPr fontId="5" type="noConversion"/>
  </si>
  <si>
    <r>
      <rPr>
        <sz val="10"/>
        <rFont val="宋体"/>
        <family val="3"/>
        <charset val="134"/>
      </rPr>
      <t>油气资产</t>
    </r>
  </si>
  <si>
    <r>
      <t xml:space="preserve">    </t>
    </r>
    <r>
      <rPr>
        <sz val="10"/>
        <rFont val="宋体"/>
        <family val="3"/>
        <charset val="134"/>
      </rPr>
      <t>无形资产</t>
    </r>
    <phoneticPr fontId="5" type="noConversion"/>
  </si>
  <si>
    <r>
      <t xml:space="preserve">    </t>
    </r>
    <r>
      <rPr>
        <sz val="10"/>
        <rFont val="宋体"/>
        <family val="3"/>
        <charset val="134"/>
      </rPr>
      <t>开发支出</t>
    </r>
    <phoneticPr fontId="5" type="noConversion"/>
  </si>
  <si>
    <r>
      <rPr>
        <sz val="10"/>
        <rFont val="宋体"/>
        <family val="3"/>
        <charset val="134"/>
      </rPr>
      <t>开发支出</t>
    </r>
  </si>
  <si>
    <r>
      <t xml:space="preserve">    </t>
    </r>
    <r>
      <rPr>
        <sz val="10"/>
        <rFont val="宋体"/>
        <family val="3"/>
        <charset val="134"/>
      </rPr>
      <t>商誉</t>
    </r>
    <phoneticPr fontId="5" type="noConversion"/>
  </si>
  <si>
    <r>
      <t xml:space="preserve">    </t>
    </r>
    <r>
      <rPr>
        <sz val="10"/>
        <rFont val="宋体"/>
        <family val="3"/>
        <charset val="134"/>
      </rPr>
      <t>长期待摊费用</t>
    </r>
    <phoneticPr fontId="5" type="noConversion"/>
  </si>
  <si>
    <r>
      <t xml:space="preserve">    </t>
    </r>
    <r>
      <rPr>
        <sz val="10"/>
        <rFont val="宋体"/>
        <family val="3"/>
        <charset val="134"/>
      </rPr>
      <t>递延所得税资产</t>
    </r>
    <phoneticPr fontId="5" type="noConversion"/>
  </si>
  <si>
    <r>
      <rPr>
        <sz val="10"/>
        <rFont val="宋体"/>
        <family val="3"/>
        <charset val="134"/>
      </rPr>
      <t>递延所得税资产</t>
    </r>
  </si>
  <si>
    <r>
      <t xml:space="preserve">    </t>
    </r>
    <r>
      <rPr>
        <sz val="10"/>
        <rFont val="宋体"/>
        <family val="3"/>
        <charset val="134"/>
      </rPr>
      <t>其他非流动资产</t>
    </r>
    <phoneticPr fontId="5" type="noConversion"/>
  </si>
  <si>
    <r>
      <rPr>
        <sz val="10"/>
        <rFont val="宋体"/>
        <family val="3"/>
        <charset val="134"/>
      </rPr>
      <t>其他非流动资产</t>
    </r>
    <r>
      <rPr>
        <sz val="10"/>
        <rFont val="Arial Narrow"/>
        <family val="2"/>
      </rPr>
      <t>—</t>
    </r>
    <r>
      <rPr>
        <sz val="10"/>
        <rFont val="宋体"/>
        <family val="3"/>
        <charset val="134"/>
      </rPr>
      <t>其他</t>
    </r>
    <phoneticPr fontId="5" type="noConversion"/>
  </si>
  <si>
    <r>
      <t xml:space="preserve">             </t>
    </r>
    <r>
      <rPr>
        <sz val="10"/>
        <rFont val="宋体"/>
        <family val="3"/>
        <charset val="134"/>
      </rPr>
      <t>其中：特准储备物资</t>
    </r>
    <phoneticPr fontId="5" type="noConversion"/>
  </si>
  <si>
    <r>
      <rPr>
        <sz val="10"/>
        <rFont val="宋体"/>
        <family val="3"/>
        <charset val="134"/>
      </rPr>
      <t>其他非流动资产</t>
    </r>
    <r>
      <rPr>
        <sz val="10"/>
        <rFont val="Arial Narrow"/>
        <family val="2"/>
      </rPr>
      <t>—</t>
    </r>
    <r>
      <rPr>
        <sz val="10"/>
        <rFont val="宋体"/>
        <family val="3"/>
        <charset val="134"/>
      </rPr>
      <t>特准储备物资</t>
    </r>
    <phoneticPr fontId="5" type="noConversion"/>
  </si>
  <si>
    <r>
      <rPr>
        <b/>
        <sz val="10"/>
        <rFont val="宋体"/>
        <family val="3"/>
        <charset val="134"/>
      </rPr>
      <t>非流动资产合计</t>
    </r>
    <phoneticPr fontId="5" type="noConversion"/>
  </si>
  <si>
    <r>
      <rPr>
        <b/>
        <sz val="10"/>
        <rFont val="宋体"/>
        <family val="3"/>
        <charset val="134"/>
      </rPr>
      <t>资</t>
    </r>
    <r>
      <rPr>
        <b/>
        <sz val="10"/>
        <rFont val="Arial Narrow"/>
        <family val="2"/>
      </rPr>
      <t xml:space="preserve"> </t>
    </r>
    <r>
      <rPr>
        <b/>
        <sz val="10"/>
        <rFont val="宋体"/>
        <family val="3"/>
        <charset val="134"/>
      </rPr>
      <t>产</t>
    </r>
    <r>
      <rPr>
        <b/>
        <sz val="10"/>
        <rFont val="Arial Narrow"/>
        <family val="2"/>
      </rPr>
      <t xml:space="preserve"> </t>
    </r>
    <r>
      <rPr>
        <b/>
        <sz val="10"/>
        <rFont val="宋体"/>
        <family val="3"/>
        <charset val="134"/>
      </rPr>
      <t>总</t>
    </r>
    <r>
      <rPr>
        <b/>
        <sz val="10"/>
        <rFont val="Arial Narrow"/>
        <family val="2"/>
      </rPr>
      <t xml:space="preserve"> </t>
    </r>
    <r>
      <rPr>
        <b/>
        <sz val="10"/>
        <rFont val="宋体"/>
        <family val="3"/>
        <charset val="134"/>
      </rPr>
      <t>计</t>
    </r>
    <phoneticPr fontId="5" type="noConversion"/>
  </si>
  <si>
    <r>
      <rPr>
        <b/>
        <sz val="10"/>
        <rFont val="宋体"/>
        <family val="3"/>
        <charset val="134"/>
      </rPr>
      <t>借方调整</t>
    </r>
    <phoneticPr fontId="5" type="noConversion"/>
  </si>
  <si>
    <r>
      <rPr>
        <b/>
        <sz val="10"/>
        <rFont val="宋体"/>
        <family val="3"/>
        <charset val="134"/>
      </rPr>
      <t>贷方调整</t>
    </r>
    <phoneticPr fontId="5" type="noConversion"/>
  </si>
  <si>
    <r>
      <rPr>
        <b/>
        <sz val="10"/>
        <rFont val="宋体"/>
        <family val="3"/>
        <charset val="134"/>
      </rPr>
      <t>流动负债：</t>
    </r>
  </si>
  <si>
    <r>
      <t xml:space="preserve">    </t>
    </r>
    <r>
      <rPr>
        <sz val="10"/>
        <rFont val="宋体"/>
        <family val="3"/>
        <charset val="134"/>
      </rPr>
      <t>短期借款</t>
    </r>
    <phoneticPr fontId="5" type="noConversion"/>
  </si>
  <si>
    <r>
      <t xml:space="preserve">    </t>
    </r>
    <r>
      <rPr>
        <sz val="10"/>
        <rFont val="宋体"/>
        <family val="3"/>
        <charset val="134"/>
      </rPr>
      <t>向中央银行借款</t>
    </r>
    <phoneticPr fontId="5" type="noConversion"/>
  </si>
  <si>
    <r>
      <rPr>
        <sz val="10"/>
        <rFont val="宋体"/>
        <family val="3"/>
        <charset val="134"/>
      </rPr>
      <t>向中央银行借款</t>
    </r>
  </si>
  <si>
    <r>
      <t xml:space="preserve">    </t>
    </r>
    <r>
      <rPr>
        <sz val="10"/>
        <rFont val="宋体"/>
        <family val="3"/>
        <charset val="134"/>
      </rPr>
      <t>吸收存款及同业存放</t>
    </r>
    <phoneticPr fontId="5" type="noConversion"/>
  </si>
  <si>
    <r>
      <rPr>
        <sz val="10"/>
        <rFont val="宋体"/>
        <family val="3"/>
        <charset val="134"/>
      </rPr>
      <t>吸收存款及同业存放</t>
    </r>
  </si>
  <si>
    <r>
      <t xml:space="preserve">    </t>
    </r>
    <r>
      <rPr>
        <sz val="10"/>
        <rFont val="宋体"/>
        <family val="3"/>
        <charset val="134"/>
      </rPr>
      <t>拆入资金</t>
    </r>
    <phoneticPr fontId="5" type="noConversion"/>
  </si>
  <si>
    <r>
      <rPr>
        <sz val="10"/>
        <rFont val="宋体"/>
        <family val="3"/>
        <charset val="134"/>
      </rPr>
      <t>拆入资金</t>
    </r>
  </si>
  <si>
    <r>
      <t xml:space="preserve">    </t>
    </r>
    <r>
      <rPr>
        <sz val="10"/>
        <rFont val="宋体"/>
        <family val="3"/>
        <charset val="134"/>
      </rPr>
      <t>以公允价值计量且其变动计入当期损益的金融负债</t>
    </r>
  </si>
  <si>
    <r>
      <t xml:space="preserve">    </t>
    </r>
    <r>
      <rPr>
        <sz val="10"/>
        <rFont val="宋体"/>
        <family val="3"/>
        <charset val="134"/>
      </rPr>
      <t>衍生金融负债</t>
    </r>
  </si>
  <si>
    <r>
      <rPr>
        <sz val="10"/>
        <rFont val="宋体"/>
        <family val="3"/>
        <charset val="134"/>
      </rPr>
      <t>衍生金融负债</t>
    </r>
    <phoneticPr fontId="5" type="noConversion"/>
  </si>
  <si>
    <r>
      <t xml:space="preserve">    </t>
    </r>
    <r>
      <rPr>
        <sz val="10"/>
        <rFont val="宋体"/>
        <family val="3"/>
        <charset val="134"/>
      </rPr>
      <t>应付票据</t>
    </r>
    <phoneticPr fontId="5" type="noConversion"/>
  </si>
  <si>
    <r>
      <t xml:space="preserve">    </t>
    </r>
    <r>
      <rPr>
        <sz val="10"/>
        <rFont val="宋体"/>
        <family val="3"/>
        <charset val="134"/>
      </rPr>
      <t>应付账款</t>
    </r>
    <phoneticPr fontId="5" type="noConversion"/>
  </si>
  <si>
    <r>
      <t xml:space="preserve">    </t>
    </r>
    <r>
      <rPr>
        <sz val="10"/>
        <rFont val="宋体"/>
        <family val="3"/>
        <charset val="134"/>
      </rPr>
      <t>预收款项</t>
    </r>
    <phoneticPr fontId="5" type="noConversion"/>
  </si>
  <si>
    <r>
      <t xml:space="preserve">    </t>
    </r>
    <r>
      <rPr>
        <sz val="10"/>
        <rFont val="宋体"/>
        <family val="3"/>
        <charset val="134"/>
      </rPr>
      <t>卖出回购金融资产款</t>
    </r>
    <phoneticPr fontId="5" type="noConversion"/>
  </si>
  <si>
    <r>
      <rPr>
        <sz val="10"/>
        <rFont val="宋体"/>
        <family val="3"/>
        <charset val="134"/>
      </rPr>
      <t>卖出回购金融资产款</t>
    </r>
  </si>
  <si>
    <r>
      <t xml:space="preserve">    </t>
    </r>
    <r>
      <rPr>
        <sz val="10"/>
        <rFont val="宋体"/>
        <family val="3"/>
        <charset val="134"/>
      </rPr>
      <t>应付手续费及佣金</t>
    </r>
    <phoneticPr fontId="5" type="noConversion"/>
  </si>
  <si>
    <r>
      <rPr>
        <sz val="10"/>
        <rFont val="宋体"/>
        <family val="3"/>
        <charset val="134"/>
      </rPr>
      <t>应付手续费及佣金</t>
    </r>
  </si>
  <si>
    <r>
      <t xml:space="preserve">    </t>
    </r>
    <r>
      <rPr>
        <sz val="10"/>
        <rFont val="宋体"/>
        <family val="3"/>
        <charset val="134"/>
      </rPr>
      <t>应付职工薪酬</t>
    </r>
    <phoneticPr fontId="5" type="noConversion"/>
  </si>
  <si>
    <r>
      <rPr>
        <sz val="10"/>
        <rFont val="宋体"/>
        <family val="3"/>
        <charset val="134"/>
      </rPr>
      <t>应付职工薪酬</t>
    </r>
    <r>
      <rPr>
        <sz val="10"/>
        <rFont val="Arial Narrow"/>
        <family val="2"/>
      </rPr>
      <t>—</t>
    </r>
    <r>
      <rPr>
        <sz val="10"/>
        <rFont val="宋体"/>
        <family val="3"/>
        <charset val="134"/>
      </rPr>
      <t>其他</t>
    </r>
    <phoneticPr fontId="5" type="noConversion"/>
  </si>
  <si>
    <r>
      <t xml:space="preserve">              </t>
    </r>
    <r>
      <rPr>
        <sz val="10"/>
        <rFont val="宋体"/>
        <family val="3"/>
        <charset val="134"/>
      </rPr>
      <t>其中：应付工资</t>
    </r>
    <phoneticPr fontId="5" type="noConversion"/>
  </si>
  <si>
    <r>
      <rPr>
        <sz val="10"/>
        <rFont val="宋体"/>
        <family val="3"/>
        <charset val="134"/>
      </rPr>
      <t>应付职工薪酬</t>
    </r>
    <r>
      <rPr>
        <sz val="10"/>
        <rFont val="Arial Narrow"/>
        <family val="2"/>
      </rPr>
      <t>—</t>
    </r>
    <r>
      <rPr>
        <sz val="10"/>
        <rFont val="宋体"/>
        <family val="3"/>
        <charset val="134"/>
      </rPr>
      <t>应付工资</t>
    </r>
    <phoneticPr fontId="5" type="noConversion"/>
  </si>
  <si>
    <r>
      <t xml:space="preserve">                    </t>
    </r>
    <r>
      <rPr>
        <sz val="10"/>
        <rFont val="宋体"/>
        <family val="3"/>
        <charset val="134"/>
      </rPr>
      <t>应付福利费</t>
    </r>
    <phoneticPr fontId="5" type="noConversion"/>
  </si>
  <si>
    <r>
      <rPr>
        <sz val="10"/>
        <rFont val="宋体"/>
        <family val="3"/>
        <charset val="134"/>
      </rPr>
      <t>应付职工薪酬</t>
    </r>
    <r>
      <rPr>
        <sz val="10"/>
        <rFont val="Arial Narrow"/>
        <family val="2"/>
      </rPr>
      <t>—</t>
    </r>
    <r>
      <rPr>
        <sz val="10"/>
        <rFont val="宋体"/>
        <family val="3"/>
        <charset val="134"/>
      </rPr>
      <t>应付福利费</t>
    </r>
    <r>
      <rPr>
        <sz val="10"/>
        <rFont val="Arial Narrow"/>
        <family val="2"/>
      </rPr>
      <t>—</t>
    </r>
    <r>
      <rPr>
        <sz val="10"/>
        <rFont val="宋体"/>
        <family val="3"/>
        <charset val="134"/>
      </rPr>
      <t>其他</t>
    </r>
    <phoneticPr fontId="5" type="noConversion"/>
  </si>
  <si>
    <r>
      <t xml:space="preserve">                         </t>
    </r>
    <r>
      <rPr>
        <sz val="10"/>
        <rFont val="宋体"/>
        <family val="3"/>
        <charset val="134"/>
      </rPr>
      <t>其中：职工奖励及福利基金</t>
    </r>
    <phoneticPr fontId="5" type="noConversion"/>
  </si>
  <si>
    <r>
      <rPr>
        <sz val="10"/>
        <rFont val="宋体"/>
        <family val="3"/>
        <charset val="134"/>
      </rPr>
      <t>应付职工薪酬</t>
    </r>
    <r>
      <rPr>
        <sz val="10"/>
        <rFont val="Arial Narrow"/>
        <family val="2"/>
      </rPr>
      <t>—</t>
    </r>
    <r>
      <rPr>
        <sz val="10"/>
        <rFont val="宋体"/>
        <family val="3"/>
        <charset val="134"/>
      </rPr>
      <t>应付福利费</t>
    </r>
    <r>
      <rPr>
        <sz val="10"/>
        <rFont val="Arial Narrow"/>
        <family val="2"/>
      </rPr>
      <t>—</t>
    </r>
    <r>
      <rPr>
        <sz val="10"/>
        <rFont val="宋体"/>
        <family val="3"/>
        <charset val="134"/>
      </rPr>
      <t>职工奖励及福利基金</t>
    </r>
    <phoneticPr fontId="5" type="noConversion"/>
  </si>
  <si>
    <r>
      <t xml:space="preserve">    </t>
    </r>
    <r>
      <rPr>
        <sz val="10"/>
        <rFont val="宋体"/>
        <family val="3"/>
        <charset val="134"/>
      </rPr>
      <t>应交税费</t>
    </r>
    <phoneticPr fontId="5" type="noConversion"/>
  </si>
  <si>
    <r>
      <rPr>
        <sz val="10"/>
        <rFont val="宋体"/>
        <family val="3"/>
        <charset val="134"/>
      </rPr>
      <t>应交税费</t>
    </r>
  </si>
  <si>
    <r>
      <rPr>
        <sz val="10"/>
        <rFont val="宋体"/>
        <family val="3"/>
        <charset val="134"/>
      </rPr>
      <t>应交税费</t>
    </r>
    <r>
      <rPr>
        <sz val="10"/>
        <rFont val="Arial Narrow"/>
        <family val="2"/>
      </rPr>
      <t>—</t>
    </r>
    <r>
      <rPr>
        <sz val="10"/>
        <rFont val="宋体"/>
        <family val="3"/>
        <charset val="134"/>
      </rPr>
      <t>其他</t>
    </r>
    <phoneticPr fontId="5" type="noConversion"/>
  </si>
  <si>
    <r>
      <rPr>
        <sz val="10"/>
        <rFont val="宋体"/>
        <family val="3"/>
        <charset val="134"/>
      </rPr>
      <t>贷</t>
    </r>
    <phoneticPr fontId="5" type="noConversion"/>
  </si>
  <si>
    <r>
      <t xml:space="preserve">             </t>
    </r>
    <r>
      <rPr>
        <sz val="10"/>
        <rFont val="宋体"/>
        <family val="3"/>
        <charset val="134"/>
      </rPr>
      <t>其中：应交税金</t>
    </r>
    <phoneticPr fontId="5" type="noConversion"/>
  </si>
  <si>
    <r>
      <rPr>
        <sz val="10"/>
        <rFont val="宋体"/>
        <family val="3"/>
        <charset val="134"/>
      </rPr>
      <t>应交税费</t>
    </r>
    <r>
      <rPr>
        <sz val="10"/>
        <rFont val="Arial Narrow"/>
        <family val="2"/>
      </rPr>
      <t>—</t>
    </r>
    <r>
      <rPr>
        <sz val="10"/>
        <rFont val="宋体"/>
        <family val="3"/>
        <charset val="134"/>
      </rPr>
      <t>应交税金</t>
    </r>
    <phoneticPr fontId="5" type="noConversion"/>
  </si>
  <si>
    <r>
      <t xml:space="preserve">    </t>
    </r>
    <r>
      <rPr>
        <sz val="10"/>
        <rFont val="宋体"/>
        <family val="3"/>
        <charset val="134"/>
      </rPr>
      <t>应付利息</t>
    </r>
    <phoneticPr fontId="5" type="noConversion"/>
  </si>
  <si>
    <r>
      <t xml:space="preserve"> </t>
    </r>
    <r>
      <rPr>
        <sz val="10"/>
        <rFont val="宋体"/>
        <family val="3"/>
        <charset val="134"/>
      </rPr>
      <t>应付股利</t>
    </r>
    <phoneticPr fontId="5" type="noConversion"/>
  </si>
  <si>
    <r>
      <t xml:space="preserve">    </t>
    </r>
    <r>
      <rPr>
        <sz val="10"/>
        <rFont val="宋体"/>
        <family val="3"/>
        <charset val="134"/>
      </rPr>
      <t>其他应付款</t>
    </r>
    <phoneticPr fontId="5" type="noConversion"/>
  </si>
  <si>
    <r>
      <t xml:space="preserve">    </t>
    </r>
    <r>
      <rPr>
        <sz val="10"/>
        <rFont val="宋体"/>
        <family val="3"/>
        <charset val="134"/>
      </rPr>
      <t>应付分保账款</t>
    </r>
    <phoneticPr fontId="5" type="noConversion"/>
  </si>
  <si>
    <r>
      <rPr>
        <sz val="10"/>
        <rFont val="宋体"/>
        <family val="3"/>
        <charset val="134"/>
      </rPr>
      <t>应付分保账款</t>
    </r>
  </si>
  <si>
    <r>
      <t xml:space="preserve">    </t>
    </r>
    <r>
      <rPr>
        <sz val="10"/>
        <rFont val="宋体"/>
        <family val="3"/>
        <charset val="134"/>
      </rPr>
      <t>保险合同准备金</t>
    </r>
    <phoneticPr fontId="5" type="noConversion"/>
  </si>
  <si>
    <r>
      <rPr>
        <sz val="10"/>
        <rFont val="宋体"/>
        <family val="3"/>
        <charset val="134"/>
      </rPr>
      <t>保险合同准备金</t>
    </r>
  </si>
  <si>
    <r>
      <t xml:space="preserve">    </t>
    </r>
    <r>
      <rPr>
        <sz val="10"/>
        <rFont val="宋体"/>
        <family val="3"/>
        <charset val="134"/>
      </rPr>
      <t>代理买卖证券款</t>
    </r>
    <phoneticPr fontId="5" type="noConversion"/>
  </si>
  <si>
    <r>
      <rPr>
        <sz val="10"/>
        <rFont val="宋体"/>
        <family val="3"/>
        <charset val="134"/>
      </rPr>
      <t>代理买卖证券款</t>
    </r>
  </si>
  <si>
    <r>
      <t xml:space="preserve">    </t>
    </r>
    <r>
      <rPr>
        <sz val="10"/>
        <rFont val="宋体"/>
        <family val="3"/>
        <charset val="134"/>
      </rPr>
      <t>代理承销证券款</t>
    </r>
    <phoneticPr fontId="5" type="noConversion"/>
  </si>
  <si>
    <r>
      <rPr>
        <sz val="10"/>
        <rFont val="宋体"/>
        <family val="3"/>
        <charset val="134"/>
      </rPr>
      <t>代理承销证券款</t>
    </r>
  </si>
  <si>
    <r>
      <t xml:space="preserve">    </t>
    </r>
    <r>
      <rPr>
        <sz val="10"/>
        <rFont val="宋体"/>
        <family val="3"/>
        <charset val="134"/>
      </rPr>
      <t>一年内到期的非流动负债</t>
    </r>
    <phoneticPr fontId="5" type="noConversion"/>
  </si>
  <si>
    <r>
      <t xml:space="preserve">    </t>
    </r>
    <r>
      <rPr>
        <sz val="10"/>
        <rFont val="宋体"/>
        <family val="3"/>
        <charset val="134"/>
      </rPr>
      <t>其他流动负债</t>
    </r>
    <phoneticPr fontId="5" type="noConversion"/>
  </si>
  <si>
    <r>
      <rPr>
        <b/>
        <sz val="10"/>
        <rFont val="宋体"/>
        <family val="3"/>
        <charset val="134"/>
      </rPr>
      <t>流动负债合计</t>
    </r>
  </si>
  <si>
    <r>
      <rPr>
        <b/>
        <sz val="10"/>
        <rFont val="宋体"/>
        <family val="3"/>
        <charset val="134"/>
      </rPr>
      <t>非流动负债：</t>
    </r>
  </si>
  <si>
    <r>
      <t xml:space="preserve">    </t>
    </r>
    <r>
      <rPr>
        <sz val="10"/>
        <rFont val="宋体"/>
        <family val="3"/>
        <charset val="134"/>
      </rPr>
      <t>长期借款</t>
    </r>
    <phoneticPr fontId="5" type="noConversion"/>
  </si>
  <si>
    <r>
      <t xml:space="preserve">    </t>
    </r>
    <r>
      <rPr>
        <sz val="10"/>
        <rFont val="宋体"/>
        <family val="3"/>
        <charset val="134"/>
      </rPr>
      <t>应付债券</t>
    </r>
    <phoneticPr fontId="5" type="noConversion"/>
  </si>
  <si>
    <r>
      <t xml:space="preserve">    </t>
    </r>
    <r>
      <rPr>
        <sz val="10"/>
        <rFont val="宋体"/>
        <family val="3"/>
        <charset val="134"/>
      </rPr>
      <t>长期应付款</t>
    </r>
    <phoneticPr fontId="5" type="noConversion"/>
  </si>
  <si>
    <r>
      <t xml:space="preserve">    </t>
    </r>
    <r>
      <rPr>
        <sz val="10"/>
        <rFont val="宋体"/>
        <family val="3"/>
        <charset val="134"/>
      </rPr>
      <t>长期应付职工薪酬</t>
    </r>
    <phoneticPr fontId="5" type="noConversion"/>
  </si>
  <si>
    <r>
      <rPr>
        <sz val="10"/>
        <rFont val="宋体"/>
        <family val="3"/>
        <charset val="134"/>
      </rPr>
      <t>长期应付职工薪酬</t>
    </r>
    <phoneticPr fontId="5" type="noConversion"/>
  </si>
  <si>
    <r>
      <t xml:space="preserve">    </t>
    </r>
    <r>
      <rPr>
        <sz val="10"/>
        <rFont val="宋体"/>
        <family val="3"/>
        <charset val="134"/>
      </rPr>
      <t>专项应付款</t>
    </r>
    <phoneticPr fontId="5" type="noConversion"/>
  </si>
  <si>
    <r>
      <t xml:space="preserve">    </t>
    </r>
    <r>
      <rPr>
        <sz val="10"/>
        <rFont val="宋体"/>
        <family val="3"/>
        <charset val="134"/>
      </rPr>
      <t>预计负债</t>
    </r>
    <phoneticPr fontId="5" type="noConversion"/>
  </si>
  <si>
    <r>
      <t xml:space="preserve">    </t>
    </r>
    <r>
      <rPr>
        <sz val="10"/>
        <rFont val="宋体"/>
        <family val="3"/>
        <charset val="134"/>
      </rPr>
      <t>递延收益</t>
    </r>
    <phoneticPr fontId="5" type="noConversion"/>
  </si>
  <si>
    <r>
      <t xml:space="preserve">    </t>
    </r>
    <r>
      <rPr>
        <sz val="10"/>
        <rFont val="宋体"/>
        <family val="3"/>
        <charset val="134"/>
      </rPr>
      <t>递延所得税负债</t>
    </r>
    <phoneticPr fontId="5" type="noConversion"/>
  </si>
  <si>
    <r>
      <rPr>
        <sz val="10"/>
        <rFont val="宋体"/>
        <family val="3"/>
        <charset val="134"/>
      </rPr>
      <t>递延所得税负债</t>
    </r>
  </si>
  <si>
    <r>
      <t xml:space="preserve">    </t>
    </r>
    <r>
      <rPr>
        <sz val="10"/>
        <rFont val="宋体"/>
        <family val="3"/>
        <charset val="134"/>
      </rPr>
      <t>其他非流动负债</t>
    </r>
    <phoneticPr fontId="5" type="noConversion"/>
  </si>
  <si>
    <r>
      <rPr>
        <sz val="10"/>
        <rFont val="宋体"/>
        <family val="3"/>
        <charset val="134"/>
      </rPr>
      <t>其他非流动负债</t>
    </r>
    <r>
      <rPr>
        <sz val="10"/>
        <rFont val="Arial Narrow"/>
        <family val="2"/>
      </rPr>
      <t>—</t>
    </r>
    <r>
      <rPr>
        <sz val="10"/>
        <rFont val="宋体"/>
        <family val="3"/>
        <charset val="134"/>
      </rPr>
      <t>其他</t>
    </r>
    <phoneticPr fontId="5" type="noConversion"/>
  </si>
  <si>
    <r>
      <t xml:space="preserve">             </t>
    </r>
    <r>
      <rPr>
        <sz val="10"/>
        <rFont val="宋体"/>
        <family val="3"/>
        <charset val="134"/>
      </rPr>
      <t>其中：特准储备基金</t>
    </r>
    <phoneticPr fontId="5" type="noConversion"/>
  </si>
  <si>
    <r>
      <rPr>
        <sz val="10"/>
        <rFont val="宋体"/>
        <family val="3"/>
        <charset val="134"/>
      </rPr>
      <t>其他非流动负债</t>
    </r>
    <r>
      <rPr>
        <sz val="10"/>
        <rFont val="Arial Narrow"/>
        <family val="2"/>
      </rPr>
      <t>—</t>
    </r>
    <r>
      <rPr>
        <sz val="10"/>
        <rFont val="宋体"/>
        <family val="3"/>
        <charset val="134"/>
      </rPr>
      <t>特准储备基金</t>
    </r>
    <phoneticPr fontId="5" type="noConversion"/>
  </si>
  <si>
    <r>
      <rPr>
        <b/>
        <sz val="10"/>
        <rFont val="宋体"/>
        <family val="3"/>
        <charset val="134"/>
      </rPr>
      <t>非流动负债合计</t>
    </r>
  </si>
  <si>
    <r>
      <rPr>
        <b/>
        <sz val="10"/>
        <rFont val="宋体"/>
        <family val="3"/>
        <charset val="134"/>
      </rPr>
      <t>负</t>
    </r>
    <r>
      <rPr>
        <b/>
        <sz val="10"/>
        <rFont val="Arial Narrow"/>
        <family val="2"/>
      </rPr>
      <t xml:space="preserve"> </t>
    </r>
    <r>
      <rPr>
        <b/>
        <sz val="10"/>
        <rFont val="宋体"/>
        <family val="3"/>
        <charset val="134"/>
      </rPr>
      <t>债</t>
    </r>
    <r>
      <rPr>
        <b/>
        <sz val="10"/>
        <rFont val="Arial Narrow"/>
        <family val="2"/>
      </rPr>
      <t xml:space="preserve"> </t>
    </r>
    <r>
      <rPr>
        <b/>
        <sz val="10"/>
        <rFont val="宋体"/>
        <family val="3"/>
        <charset val="134"/>
      </rPr>
      <t>合</t>
    </r>
    <r>
      <rPr>
        <b/>
        <sz val="10"/>
        <rFont val="Arial Narrow"/>
        <family val="2"/>
      </rPr>
      <t xml:space="preserve"> </t>
    </r>
    <r>
      <rPr>
        <b/>
        <sz val="10"/>
        <rFont val="宋体"/>
        <family val="3"/>
        <charset val="134"/>
      </rPr>
      <t>计</t>
    </r>
    <phoneticPr fontId="5" type="noConversion"/>
  </si>
  <si>
    <r>
      <rPr>
        <b/>
        <sz val="10"/>
        <rFont val="宋体"/>
        <family val="3"/>
        <charset val="134"/>
      </rPr>
      <t>所有者权益：</t>
    </r>
    <phoneticPr fontId="5" type="noConversion"/>
  </si>
  <si>
    <r>
      <t xml:space="preserve">    </t>
    </r>
    <r>
      <rPr>
        <sz val="10"/>
        <rFont val="宋体"/>
        <family val="3"/>
        <charset val="134"/>
      </rPr>
      <t>实收资本</t>
    </r>
    <phoneticPr fontId="5" type="noConversion"/>
  </si>
  <si>
    <r>
      <rPr>
        <sz val="10"/>
        <rFont val="宋体"/>
        <family val="3"/>
        <charset val="134"/>
      </rPr>
      <t>实收资本</t>
    </r>
    <r>
      <rPr>
        <sz val="10"/>
        <rFont val="Arial Narrow"/>
        <family val="2"/>
      </rPr>
      <t>—</t>
    </r>
    <r>
      <rPr>
        <sz val="10"/>
        <rFont val="宋体"/>
        <family val="3"/>
        <charset val="134"/>
      </rPr>
      <t>其他</t>
    </r>
  </si>
  <si>
    <r>
      <t xml:space="preserve">          </t>
    </r>
    <r>
      <rPr>
        <sz val="10"/>
        <rFont val="宋体"/>
        <family val="3"/>
        <charset val="134"/>
      </rPr>
      <t>国有资本</t>
    </r>
    <phoneticPr fontId="5" type="noConversion"/>
  </si>
  <si>
    <r>
      <rPr>
        <sz val="10"/>
        <rFont val="宋体"/>
        <family val="3"/>
        <charset val="134"/>
      </rPr>
      <t>实收资本</t>
    </r>
    <r>
      <rPr>
        <sz val="10"/>
        <rFont val="Arial Narrow"/>
        <family val="2"/>
      </rPr>
      <t>—</t>
    </r>
    <r>
      <rPr>
        <sz val="10"/>
        <rFont val="宋体"/>
        <family val="3"/>
        <charset val="134"/>
      </rPr>
      <t>国有资本</t>
    </r>
    <r>
      <rPr>
        <sz val="10"/>
        <rFont val="Arial Narrow"/>
        <family val="2"/>
      </rPr>
      <t>—</t>
    </r>
    <r>
      <rPr>
        <sz val="10"/>
        <rFont val="宋体"/>
        <family val="3"/>
        <charset val="134"/>
      </rPr>
      <t>其他</t>
    </r>
  </si>
  <si>
    <r>
      <t xml:space="preserve">              </t>
    </r>
    <r>
      <rPr>
        <sz val="10"/>
        <rFont val="宋体"/>
        <family val="3"/>
        <charset val="134"/>
      </rPr>
      <t>其中：国有法人资本</t>
    </r>
    <phoneticPr fontId="5" type="noConversion"/>
  </si>
  <si>
    <r>
      <rPr>
        <sz val="10"/>
        <rFont val="宋体"/>
        <family val="3"/>
        <charset val="134"/>
      </rPr>
      <t>实收资本</t>
    </r>
    <r>
      <rPr>
        <sz val="10"/>
        <rFont val="Arial Narrow"/>
        <family val="2"/>
      </rPr>
      <t>—</t>
    </r>
    <r>
      <rPr>
        <sz val="10"/>
        <rFont val="宋体"/>
        <family val="3"/>
        <charset val="134"/>
      </rPr>
      <t>国有资本</t>
    </r>
    <r>
      <rPr>
        <sz val="10"/>
        <rFont val="Arial Narrow"/>
        <family val="2"/>
      </rPr>
      <t>—</t>
    </r>
    <r>
      <rPr>
        <sz val="10"/>
        <rFont val="宋体"/>
        <family val="3"/>
        <charset val="134"/>
      </rPr>
      <t>国有法人资本</t>
    </r>
  </si>
  <si>
    <r>
      <t xml:space="preserve">         </t>
    </r>
    <r>
      <rPr>
        <sz val="10"/>
        <rFont val="宋体"/>
        <family val="3"/>
        <charset val="134"/>
      </rPr>
      <t>集体资本</t>
    </r>
    <phoneticPr fontId="5" type="noConversion"/>
  </si>
  <si>
    <r>
      <rPr>
        <sz val="10"/>
        <rFont val="宋体"/>
        <family val="3"/>
        <charset val="134"/>
      </rPr>
      <t>实收资本</t>
    </r>
    <r>
      <rPr>
        <sz val="10"/>
        <rFont val="Arial Narrow"/>
        <family val="2"/>
      </rPr>
      <t>—</t>
    </r>
    <r>
      <rPr>
        <sz val="10"/>
        <rFont val="宋体"/>
        <family val="3"/>
        <charset val="134"/>
      </rPr>
      <t>集体资本</t>
    </r>
    <phoneticPr fontId="5" type="noConversion"/>
  </si>
  <si>
    <r>
      <t xml:space="preserve">         </t>
    </r>
    <r>
      <rPr>
        <sz val="10"/>
        <rFont val="宋体"/>
        <family val="3"/>
        <charset val="134"/>
      </rPr>
      <t>民营资本</t>
    </r>
    <phoneticPr fontId="5" type="noConversion"/>
  </si>
  <si>
    <r>
      <rPr>
        <sz val="10"/>
        <rFont val="宋体"/>
        <family val="3"/>
        <charset val="134"/>
      </rPr>
      <t>实收资本</t>
    </r>
    <r>
      <rPr>
        <sz val="10"/>
        <rFont val="Arial Narrow"/>
        <family val="2"/>
      </rPr>
      <t>—</t>
    </r>
    <r>
      <rPr>
        <sz val="10"/>
        <rFont val="宋体"/>
        <family val="3"/>
        <charset val="134"/>
      </rPr>
      <t>民营资本</t>
    </r>
    <r>
      <rPr>
        <sz val="10"/>
        <rFont val="Arial Narrow"/>
        <family val="2"/>
      </rPr>
      <t>—</t>
    </r>
    <r>
      <rPr>
        <sz val="10"/>
        <rFont val="宋体"/>
        <family val="3"/>
        <charset val="134"/>
      </rPr>
      <t>其他</t>
    </r>
    <phoneticPr fontId="5" type="noConversion"/>
  </si>
  <si>
    <r>
      <t xml:space="preserve">             </t>
    </r>
    <r>
      <rPr>
        <sz val="10"/>
        <rFont val="宋体"/>
        <family val="3"/>
        <charset val="134"/>
      </rPr>
      <t>其中：</t>
    </r>
    <r>
      <rPr>
        <sz val="10"/>
        <rFont val="Arial Narrow"/>
        <family val="2"/>
      </rPr>
      <t xml:space="preserve"> </t>
    </r>
    <r>
      <rPr>
        <sz val="10"/>
        <rFont val="宋体"/>
        <family val="3"/>
        <charset val="134"/>
      </rPr>
      <t>个人资本</t>
    </r>
    <phoneticPr fontId="5" type="noConversion"/>
  </si>
  <si>
    <r>
      <rPr>
        <sz val="10"/>
        <rFont val="宋体"/>
        <family val="3"/>
        <charset val="134"/>
      </rPr>
      <t>实收资本</t>
    </r>
    <r>
      <rPr>
        <sz val="10"/>
        <rFont val="Arial Narrow"/>
        <family val="2"/>
      </rPr>
      <t>—</t>
    </r>
    <r>
      <rPr>
        <sz val="10"/>
        <rFont val="宋体"/>
        <family val="3"/>
        <charset val="134"/>
      </rPr>
      <t>民营资本</t>
    </r>
    <r>
      <rPr>
        <sz val="10"/>
        <rFont val="Arial Narrow"/>
        <family val="2"/>
      </rPr>
      <t>—</t>
    </r>
    <r>
      <rPr>
        <sz val="10"/>
        <rFont val="宋体"/>
        <family val="3"/>
        <charset val="134"/>
      </rPr>
      <t>个人资本</t>
    </r>
    <phoneticPr fontId="5" type="noConversion"/>
  </si>
  <si>
    <r>
      <t xml:space="preserve">        </t>
    </r>
    <r>
      <rPr>
        <sz val="10"/>
        <rFont val="宋体"/>
        <family val="3"/>
        <charset val="134"/>
      </rPr>
      <t>外商资本</t>
    </r>
    <phoneticPr fontId="5" type="noConversion"/>
  </si>
  <si>
    <r>
      <rPr>
        <sz val="10"/>
        <rFont val="宋体"/>
        <family val="3"/>
        <charset val="134"/>
      </rPr>
      <t>实收资本</t>
    </r>
    <r>
      <rPr>
        <sz val="10"/>
        <rFont val="Arial Narrow"/>
        <family val="2"/>
      </rPr>
      <t>—</t>
    </r>
    <r>
      <rPr>
        <sz val="10"/>
        <rFont val="宋体"/>
        <family val="3"/>
        <charset val="134"/>
      </rPr>
      <t>外商资本</t>
    </r>
    <phoneticPr fontId="5" type="noConversion"/>
  </si>
  <si>
    <r>
      <t xml:space="preserve">    </t>
    </r>
    <r>
      <rPr>
        <sz val="10"/>
        <rFont val="宋体"/>
        <family val="3"/>
        <charset val="134"/>
      </rPr>
      <t>减：已归还投资</t>
    </r>
    <phoneticPr fontId="5" type="noConversion"/>
  </si>
  <si>
    <r>
      <rPr>
        <sz val="10"/>
        <rFont val="宋体"/>
        <family val="3"/>
        <charset val="134"/>
      </rPr>
      <t>已归还投资</t>
    </r>
    <phoneticPr fontId="5" type="noConversion"/>
  </si>
  <si>
    <r>
      <t xml:space="preserve">    </t>
    </r>
    <r>
      <rPr>
        <sz val="10"/>
        <rFont val="宋体"/>
        <family val="3"/>
        <charset val="134"/>
      </rPr>
      <t>实收资本净额</t>
    </r>
    <phoneticPr fontId="5" type="noConversion"/>
  </si>
  <si>
    <r>
      <t xml:space="preserve">    </t>
    </r>
    <r>
      <rPr>
        <sz val="10"/>
        <rFont val="宋体"/>
        <family val="3"/>
        <charset val="134"/>
      </rPr>
      <t>其他权益工具</t>
    </r>
    <phoneticPr fontId="5" type="noConversion"/>
  </si>
  <si>
    <r>
      <rPr>
        <sz val="10"/>
        <rFont val="宋体"/>
        <family val="3"/>
        <charset val="134"/>
      </rPr>
      <t>其他权益工具</t>
    </r>
  </si>
  <si>
    <r>
      <rPr>
        <sz val="10"/>
        <rFont val="宋体"/>
        <family val="3"/>
        <charset val="134"/>
      </rPr>
      <t>其他权益工具</t>
    </r>
    <r>
      <rPr>
        <sz val="10"/>
        <rFont val="Arial Narrow"/>
        <family val="2"/>
      </rPr>
      <t>-</t>
    </r>
    <r>
      <rPr>
        <sz val="10"/>
        <rFont val="宋体"/>
        <family val="3"/>
        <charset val="134"/>
      </rPr>
      <t>其他</t>
    </r>
  </si>
  <si>
    <r>
      <t xml:space="preserve">        </t>
    </r>
    <r>
      <rPr>
        <sz val="10"/>
        <rFont val="宋体"/>
        <family val="3"/>
        <charset val="134"/>
      </rPr>
      <t>其中：优先股</t>
    </r>
  </si>
  <si>
    <r>
      <rPr>
        <sz val="10"/>
        <rFont val="宋体"/>
        <family val="3"/>
        <charset val="134"/>
      </rPr>
      <t>其他权益工具</t>
    </r>
    <r>
      <rPr>
        <sz val="10"/>
        <rFont val="Arial Narrow"/>
        <family val="2"/>
      </rPr>
      <t>-</t>
    </r>
    <r>
      <rPr>
        <sz val="10"/>
        <rFont val="宋体"/>
        <family val="3"/>
        <charset val="134"/>
      </rPr>
      <t>优先股</t>
    </r>
  </si>
  <si>
    <r>
      <t xml:space="preserve">              </t>
    </r>
    <r>
      <rPr>
        <sz val="10"/>
        <rFont val="宋体"/>
        <family val="3"/>
        <charset val="134"/>
      </rPr>
      <t>永续债</t>
    </r>
  </si>
  <si>
    <r>
      <rPr>
        <sz val="10"/>
        <rFont val="宋体"/>
        <family val="3"/>
        <charset val="134"/>
      </rPr>
      <t>其他权益工具</t>
    </r>
    <r>
      <rPr>
        <sz val="10"/>
        <rFont val="Arial Narrow"/>
        <family val="2"/>
      </rPr>
      <t>-</t>
    </r>
    <r>
      <rPr>
        <sz val="10"/>
        <rFont val="宋体"/>
        <family val="3"/>
        <charset val="134"/>
      </rPr>
      <t>永续债</t>
    </r>
  </si>
  <si>
    <r>
      <t xml:space="preserve">    </t>
    </r>
    <r>
      <rPr>
        <sz val="10"/>
        <rFont val="宋体"/>
        <family val="3"/>
        <charset val="134"/>
      </rPr>
      <t>资本公积</t>
    </r>
  </si>
  <si>
    <r>
      <t xml:space="preserve">    </t>
    </r>
    <r>
      <rPr>
        <sz val="10"/>
        <rFont val="宋体"/>
        <family val="3"/>
        <charset val="134"/>
      </rPr>
      <t>减：库存股</t>
    </r>
  </si>
  <si>
    <r>
      <rPr>
        <sz val="10"/>
        <rFont val="宋体"/>
        <family val="3"/>
        <charset val="134"/>
      </rPr>
      <t>库存股</t>
    </r>
  </si>
  <si>
    <r>
      <t xml:space="preserve">    </t>
    </r>
    <r>
      <rPr>
        <sz val="10"/>
        <rFont val="宋体"/>
        <family val="3"/>
        <charset val="134"/>
      </rPr>
      <t>其他综合收益</t>
    </r>
    <phoneticPr fontId="5" type="noConversion"/>
  </si>
  <si>
    <r>
      <rPr>
        <sz val="10"/>
        <rFont val="宋体"/>
        <family val="3"/>
        <charset val="134"/>
      </rPr>
      <t>其他综合收益</t>
    </r>
    <r>
      <rPr>
        <sz val="10"/>
        <rFont val="Arial Narrow"/>
        <family val="2"/>
      </rPr>
      <t>-</t>
    </r>
    <r>
      <rPr>
        <sz val="10"/>
        <rFont val="宋体"/>
        <family val="3"/>
        <charset val="134"/>
      </rPr>
      <t>其他</t>
    </r>
    <phoneticPr fontId="5" type="noConversion"/>
  </si>
  <si>
    <r>
      <t xml:space="preserve">        </t>
    </r>
    <r>
      <rPr>
        <sz val="10"/>
        <rFont val="宋体"/>
        <family val="3"/>
        <charset val="134"/>
      </rPr>
      <t>其中：外币报表折算差额</t>
    </r>
  </si>
  <si>
    <r>
      <rPr>
        <sz val="10"/>
        <rFont val="宋体"/>
        <family val="3"/>
        <charset val="134"/>
      </rPr>
      <t>其他综合收益</t>
    </r>
    <r>
      <rPr>
        <sz val="10"/>
        <rFont val="Arial Narrow"/>
        <family val="2"/>
      </rPr>
      <t>-</t>
    </r>
    <r>
      <rPr>
        <sz val="10"/>
        <rFont val="宋体"/>
        <family val="3"/>
        <charset val="134"/>
      </rPr>
      <t>外币报表折算差额</t>
    </r>
    <r>
      <rPr>
        <sz val="10"/>
        <rFont val="Arial Narrow"/>
        <family val="2"/>
      </rPr>
      <t>-</t>
    </r>
    <r>
      <rPr>
        <sz val="10"/>
        <rFont val="宋体"/>
        <family val="3"/>
        <charset val="134"/>
      </rPr>
      <t>其他</t>
    </r>
    <phoneticPr fontId="5" type="noConversion"/>
  </si>
  <si>
    <r>
      <t xml:space="preserve">    </t>
    </r>
    <r>
      <rPr>
        <sz val="10"/>
        <rFont val="宋体"/>
        <family val="3"/>
        <charset val="134"/>
      </rPr>
      <t>专项储备</t>
    </r>
    <r>
      <rPr>
        <sz val="10"/>
        <rFont val="Arial Narrow"/>
        <family val="2"/>
      </rPr>
      <t xml:space="preserve"> </t>
    </r>
    <phoneticPr fontId="5" type="noConversion"/>
  </si>
  <si>
    <r>
      <t xml:space="preserve">    </t>
    </r>
    <r>
      <rPr>
        <sz val="10"/>
        <rFont val="宋体"/>
        <family val="3"/>
        <charset val="134"/>
      </rPr>
      <t>盈余公积</t>
    </r>
    <phoneticPr fontId="5" type="noConversion"/>
  </si>
  <si>
    <r>
      <rPr>
        <sz val="10"/>
        <rFont val="宋体"/>
        <family val="3"/>
        <charset val="134"/>
      </rPr>
      <t>盈余公积</t>
    </r>
    <r>
      <rPr>
        <sz val="10"/>
        <rFont val="Arial Narrow"/>
        <family val="2"/>
      </rPr>
      <t>—</t>
    </r>
    <r>
      <rPr>
        <sz val="10"/>
        <rFont val="宋体"/>
        <family val="3"/>
        <charset val="134"/>
      </rPr>
      <t>其他</t>
    </r>
    <phoneticPr fontId="5" type="noConversion"/>
  </si>
  <si>
    <r>
      <t xml:space="preserve">      </t>
    </r>
    <r>
      <rPr>
        <sz val="10"/>
        <rFont val="宋体"/>
        <family val="3"/>
        <charset val="134"/>
      </rPr>
      <t>其中：法定公积金</t>
    </r>
    <phoneticPr fontId="5" type="noConversion"/>
  </si>
  <si>
    <r>
      <rPr>
        <sz val="10"/>
        <rFont val="宋体"/>
        <family val="3"/>
        <charset val="134"/>
      </rPr>
      <t>盈余公积</t>
    </r>
    <r>
      <rPr>
        <sz val="10"/>
        <rFont val="Arial Narrow"/>
        <family val="2"/>
      </rPr>
      <t>—</t>
    </r>
    <r>
      <rPr>
        <sz val="10"/>
        <rFont val="宋体"/>
        <family val="3"/>
        <charset val="134"/>
      </rPr>
      <t>法定公积金</t>
    </r>
    <phoneticPr fontId="5" type="noConversion"/>
  </si>
  <si>
    <r>
      <rPr>
        <sz val="10"/>
        <rFont val="宋体"/>
        <family val="3"/>
        <charset val="134"/>
      </rPr>
      <t>贷</t>
    </r>
    <phoneticPr fontId="5" type="noConversion"/>
  </si>
  <si>
    <r>
      <rPr>
        <sz val="10"/>
        <rFont val="宋体"/>
        <family val="3"/>
        <charset val="134"/>
      </rPr>
      <t>盈余公积</t>
    </r>
    <r>
      <rPr>
        <sz val="10"/>
        <rFont val="Arial Narrow"/>
        <family val="2"/>
      </rPr>
      <t>—</t>
    </r>
    <r>
      <rPr>
        <sz val="10"/>
        <rFont val="宋体"/>
        <family val="3"/>
        <charset val="134"/>
      </rPr>
      <t>任意公积金</t>
    </r>
    <phoneticPr fontId="5" type="noConversion"/>
  </si>
  <si>
    <r>
      <rPr>
        <sz val="10"/>
        <rFont val="宋体"/>
        <family val="3"/>
        <charset val="134"/>
      </rPr>
      <t>盈余公积</t>
    </r>
    <r>
      <rPr>
        <sz val="10"/>
        <rFont val="Arial Narrow"/>
        <family val="2"/>
      </rPr>
      <t>—</t>
    </r>
    <r>
      <rPr>
        <sz val="10"/>
        <rFont val="宋体"/>
        <family val="3"/>
        <charset val="134"/>
      </rPr>
      <t>储备基金</t>
    </r>
    <phoneticPr fontId="5" type="noConversion"/>
  </si>
  <si>
    <r>
      <rPr>
        <sz val="10"/>
        <rFont val="宋体"/>
        <family val="3"/>
        <charset val="134"/>
      </rPr>
      <t>盈余公积</t>
    </r>
    <r>
      <rPr>
        <sz val="10"/>
        <rFont val="Arial Narrow"/>
        <family val="2"/>
      </rPr>
      <t>—</t>
    </r>
    <r>
      <rPr>
        <sz val="10"/>
        <rFont val="宋体"/>
        <family val="3"/>
        <charset val="134"/>
      </rPr>
      <t>企业发展基金</t>
    </r>
    <phoneticPr fontId="5" type="noConversion"/>
  </si>
  <si>
    <r>
      <rPr>
        <sz val="10"/>
        <rFont val="宋体"/>
        <family val="3"/>
        <charset val="134"/>
      </rPr>
      <t>盈余公积</t>
    </r>
    <r>
      <rPr>
        <sz val="10"/>
        <rFont val="Arial Narrow"/>
        <family val="2"/>
      </rPr>
      <t>—</t>
    </r>
    <r>
      <rPr>
        <sz val="10"/>
        <rFont val="宋体"/>
        <family val="3"/>
        <charset val="134"/>
      </rPr>
      <t>利润归还投资</t>
    </r>
    <phoneticPr fontId="5" type="noConversion"/>
  </si>
  <si>
    <r>
      <t xml:space="preserve">    </t>
    </r>
    <r>
      <rPr>
        <sz val="10"/>
        <rFont val="宋体"/>
        <family val="3"/>
        <charset val="134"/>
      </rPr>
      <t>一般风险准备</t>
    </r>
    <phoneticPr fontId="5" type="noConversion"/>
  </si>
  <si>
    <r>
      <rPr>
        <sz val="10"/>
        <rFont val="宋体"/>
        <family val="3"/>
        <charset val="134"/>
      </rPr>
      <t>一般风险准备</t>
    </r>
  </si>
  <si>
    <r>
      <t xml:space="preserve">    </t>
    </r>
    <r>
      <rPr>
        <sz val="10"/>
        <rFont val="宋体"/>
        <family val="3"/>
        <charset val="134"/>
      </rPr>
      <t>未分配利润</t>
    </r>
    <phoneticPr fontId="5" type="noConversion"/>
  </si>
  <si>
    <r>
      <rPr>
        <sz val="10"/>
        <rFont val="宋体"/>
        <family val="3"/>
        <charset val="134"/>
      </rPr>
      <t>未分配利润</t>
    </r>
    <r>
      <rPr>
        <sz val="10"/>
        <rFont val="Arial Narrow"/>
        <family val="2"/>
      </rPr>
      <t>—</t>
    </r>
    <r>
      <rPr>
        <sz val="10"/>
        <rFont val="宋体"/>
        <family val="3"/>
        <charset val="134"/>
      </rPr>
      <t>其他</t>
    </r>
    <phoneticPr fontId="5" type="noConversion"/>
  </si>
  <si>
    <r>
      <rPr>
        <b/>
        <sz val="10"/>
        <rFont val="宋体"/>
        <family val="3"/>
        <charset val="134"/>
      </rPr>
      <t>归属于母公司所有者权益合计</t>
    </r>
    <phoneticPr fontId="5" type="noConversion"/>
  </si>
  <si>
    <r>
      <t xml:space="preserve">    </t>
    </r>
    <r>
      <rPr>
        <sz val="10"/>
        <rFont val="宋体"/>
        <family val="3"/>
        <charset val="134"/>
      </rPr>
      <t>少数股东权益</t>
    </r>
    <phoneticPr fontId="5" type="noConversion"/>
  </si>
  <si>
    <r>
      <rPr>
        <sz val="10"/>
        <rFont val="宋体"/>
        <family val="3"/>
        <charset val="134"/>
      </rPr>
      <t>少数股东权益</t>
    </r>
    <phoneticPr fontId="5" type="noConversion"/>
  </si>
  <si>
    <r>
      <rPr>
        <sz val="10"/>
        <rFont val="宋体"/>
        <family val="3"/>
        <charset val="134"/>
      </rPr>
      <t>少数股东权益</t>
    </r>
    <r>
      <rPr>
        <sz val="10"/>
        <rFont val="Arial Narrow"/>
        <family val="2"/>
      </rPr>
      <t>-</t>
    </r>
    <r>
      <rPr>
        <sz val="10"/>
        <rFont val="宋体"/>
        <family val="3"/>
        <charset val="134"/>
      </rPr>
      <t>其他</t>
    </r>
    <phoneticPr fontId="5" type="noConversion"/>
  </si>
  <si>
    <r>
      <rPr>
        <b/>
        <sz val="10"/>
        <rFont val="宋体"/>
        <family val="3"/>
        <charset val="134"/>
      </rPr>
      <t>所有者权益合计</t>
    </r>
    <phoneticPr fontId="5" type="noConversion"/>
  </si>
  <si>
    <r>
      <rPr>
        <b/>
        <sz val="10"/>
        <rFont val="宋体"/>
        <family val="3"/>
        <charset val="134"/>
      </rPr>
      <t>负债和所有者权益总计</t>
    </r>
    <phoneticPr fontId="5" type="noConversion"/>
  </si>
  <si>
    <r>
      <rPr>
        <b/>
        <sz val="10"/>
        <rFont val="宋体"/>
        <family val="3"/>
        <charset val="134"/>
      </rPr>
      <t>项</t>
    </r>
    <r>
      <rPr>
        <b/>
        <sz val="10"/>
        <rFont val="Arial Narrow"/>
        <family val="2"/>
      </rPr>
      <t xml:space="preserve">        </t>
    </r>
    <r>
      <rPr>
        <b/>
        <sz val="10"/>
        <rFont val="宋体"/>
        <family val="3"/>
        <charset val="134"/>
      </rPr>
      <t>目</t>
    </r>
    <phoneticPr fontId="5" type="noConversion"/>
  </si>
  <si>
    <r>
      <rPr>
        <b/>
        <sz val="10"/>
        <rFont val="宋体"/>
        <family val="3"/>
        <charset val="134"/>
      </rPr>
      <t>借方调整</t>
    </r>
    <phoneticPr fontId="5" type="noConversion"/>
  </si>
  <si>
    <r>
      <rPr>
        <b/>
        <sz val="10"/>
        <rFont val="宋体"/>
        <family val="3"/>
        <charset val="134"/>
      </rPr>
      <t>一、营业总收入</t>
    </r>
  </si>
  <si>
    <r>
      <t xml:space="preserve">         </t>
    </r>
    <r>
      <rPr>
        <sz val="10"/>
        <rFont val="宋体"/>
        <family val="3"/>
        <charset val="134"/>
      </rPr>
      <t>其中：营业收入</t>
    </r>
    <phoneticPr fontId="5" type="noConversion"/>
  </si>
  <si>
    <r>
      <t xml:space="preserve">             </t>
    </r>
    <r>
      <rPr>
        <sz val="10"/>
        <rFont val="宋体"/>
        <family val="3"/>
        <charset val="134"/>
      </rPr>
      <t>其中：主营业务收入</t>
    </r>
    <phoneticPr fontId="5" type="noConversion"/>
  </si>
  <si>
    <r>
      <t xml:space="preserve">                   </t>
    </r>
    <r>
      <rPr>
        <sz val="10"/>
        <rFont val="宋体"/>
        <family val="3"/>
        <charset val="134"/>
      </rPr>
      <t>其他业务收入</t>
    </r>
    <phoneticPr fontId="5" type="noConversion"/>
  </si>
  <si>
    <r>
      <t xml:space="preserve">            </t>
    </r>
    <r>
      <rPr>
        <sz val="10"/>
        <rFont val="宋体"/>
        <family val="3"/>
        <charset val="134"/>
      </rPr>
      <t>利息收入</t>
    </r>
    <phoneticPr fontId="5" type="noConversion"/>
  </si>
  <si>
    <r>
      <rPr>
        <sz val="10"/>
        <rFont val="宋体"/>
        <family val="3"/>
        <charset val="134"/>
      </rPr>
      <t>利息收入</t>
    </r>
  </si>
  <si>
    <r>
      <t xml:space="preserve">            </t>
    </r>
    <r>
      <rPr>
        <sz val="10"/>
        <rFont val="宋体"/>
        <family val="3"/>
        <charset val="134"/>
      </rPr>
      <t>已赚保费</t>
    </r>
    <phoneticPr fontId="5" type="noConversion"/>
  </si>
  <si>
    <r>
      <rPr>
        <sz val="10"/>
        <rFont val="宋体"/>
        <family val="3"/>
        <charset val="134"/>
      </rPr>
      <t>已赚保费</t>
    </r>
  </si>
  <si>
    <r>
      <t xml:space="preserve">            </t>
    </r>
    <r>
      <rPr>
        <sz val="10"/>
        <rFont val="宋体"/>
        <family val="3"/>
        <charset val="134"/>
      </rPr>
      <t>手续费及佣金收入</t>
    </r>
    <phoneticPr fontId="5" type="noConversion"/>
  </si>
  <si>
    <r>
      <rPr>
        <sz val="10"/>
        <rFont val="宋体"/>
        <family val="3"/>
        <charset val="134"/>
      </rPr>
      <t>手续费及佣金收入</t>
    </r>
  </si>
  <si>
    <r>
      <rPr>
        <b/>
        <sz val="10"/>
        <rFont val="宋体"/>
        <family val="3"/>
        <charset val="134"/>
      </rPr>
      <t>二、营业总成本</t>
    </r>
    <phoneticPr fontId="5" type="noConversion"/>
  </si>
  <si>
    <r>
      <t xml:space="preserve">         </t>
    </r>
    <r>
      <rPr>
        <sz val="10"/>
        <rFont val="宋体"/>
        <family val="3"/>
        <charset val="134"/>
      </rPr>
      <t>其中：营业成本</t>
    </r>
    <phoneticPr fontId="5" type="noConversion"/>
  </si>
  <si>
    <r>
      <t xml:space="preserve">                </t>
    </r>
    <r>
      <rPr>
        <sz val="10"/>
        <rFont val="宋体"/>
        <family val="3"/>
        <charset val="134"/>
      </rPr>
      <t>其中：主营业务成本</t>
    </r>
    <phoneticPr fontId="5" type="noConversion"/>
  </si>
  <si>
    <r>
      <t xml:space="preserve">                      </t>
    </r>
    <r>
      <rPr>
        <sz val="10"/>
        <rFont val="宋体"/>
        <family val="3"/>
        <charset val="134"/>
      </rPr>
      <t>其他业务成本</t>
    </r>
    <phoneticPr fontId="5" type="noConversion"/>
  </si>
  <si>
    <r>
      <rPr>
        <sz val="10"/>
        <rFont val="宋体"/>
        <family val="3"/>
        <charset val="134"/>
      </rPr>
      <t>其他业务成本</t>
    </r>
  </si>
  <si>
    <r>
      <rPr>
        <sz val="10"/>
        <rFont val="宋体"/>
        <family val="3"/>
        <charset val="134"/>
      </rPr>
      <t>借</t>
    </r>
    <phoneticPr fontId="5" type="noConversion"/>
  </si>
  <si>
    <r>
      <t xml:space="preserve">            </t>
    </r>
    <r>
      <rPr>
        <sz val="10"/>
        <rFont val="宋体"/>
        <family val="3"/>
        <charset val="134"/>
      </rPr>
      <t>利息支出</t>
    </r>
    <phoneticPr fontId="5" type="noConversion"/>
  </si>
  <si>
    <r>
      <rPr>
        <sz val="10"/>
        <rFont val="宋体"/>
        <family val="3"/>
        <charset val="134"/>
      </rPr>
      <t>利息支出</t>
    </r>
  </si>
  <si>
    <r>
      <t xml:space="preserve">            </t>
    </r>
    <r>
      <rPr>
        <sz val="10"/>
        <rFont val="宋体"/>
        <family val="3"/>
        <charset val="134"/>
      </rPr>
      <t>手续费及佣金支出</t>
    </r>
    <phoneticPr fontId="5" type="noConversion"/>
  </si>
  <si>
    <r>
      <rPr>
        <sz val="10"/>
        <rFont val="宋体"/>
        <family val="3"/>
        <charset val="134"/>
      </rPr>
      <t>手续费及佣金支出</t>
    </r>
  </si>
  <si>
    <r>
      <t xml:space="preserve">            </t>
    </r>
    <r>
      <rPr>
        <sz val="10"/>
        <rFont val="宋体"/>
        <family val="3"/>
        <charset val="134"/>
      </rPr>
      <t>退保金</t>
    </r>
    <phoneticPr fontId="5" type="noConversion"/>
  </si>
  <si>
    <r>
      <rPr>
        <sz val="10"/>
        <rFont val="宋体"/>
        <family val="3"/>
        <charset val="134"/>
      </rPr>
      <t>退保金</t>
    </r>
  </si>
  <si>
    <r>
      <t xml:space="preserve">            </t>
    </r>
    <r>
      <rPr>
        <sz val="10"/>
        <rFont val="宋体"/>
        <family val="3"/>
        <charset val="134"/>
      </rPr>
      <t>赔付支出净额</t>
    </r>
    <phoneticPr fontId="5" type="noConversion"/>
  </si>
  <si>
    <r>
      <rPr>
        <sz val="10"/>
        <rFont val="宋体"/>
        <family val="3"/>
        <charset val="134"/>
      </rPr>
      <t>赔付支出净额</t>
    </r>
  </si>
  <si>
    <r>
      <t xml:space="preserve">            </t>
    </r>
    <r>
      <rPr>
        <sz val="10"/>
        <rFont val="宋体"/>
        <family val="3"/>
        <charset val="134"/>
      </rPr>
      <t>提取保险合同准备金净额</t>
    </r>
    <phoneticPr fontId="5" type="noConversion"/>
  </si>
  <si>
    <r>
      <rPr>
        <sz val="10"/>
        <rFont val="宋体"/>
        <family val="3"/>
        <charset val="134"/>
      </rPr>
      <t>提取保险合同准备金净额</t>
    </r>
  </si>
  <si>
    <r>
      <rPr>
        <sz val="10"/>
        <rFont val="宋体"/>
        <family val="3"/>
        <charset val="134"/>
      </rPr>
      <t>借</t>
    </r>
    <phoneticPr fontId="5" type="noConversion"/>
  </si>
  <si>
    <r>
      <t xml:space="preserve">            </t>
    </r>
    <r>
      <rPr>
        <sz val="10"/>
        <rFont val="宋体"/>
        <family val="3"/>
        <charset val="134"/>
      </rPr>
      <t>保单红利支出</t>
    </r>
    <phoneticPr fontId="5" type="noConversion"/>
  </si>
  <si>
    <r>
      <rPr>
        <sz val="10"/>
        <rFont val="宋体"/>
        <family val="3"/>
        <charset val="134"/>
      </rPr>
      <t>保单红利支出</t>
    </r>
  </si>
  <si>
    <r>
      <t xml:space="preserve">            </t>
    </r>
    <r>
      <rPr>
        <sz val="10"/>
        <rFont val="宋体"/>
        <family val="3"/>
        <charset val="134"/>
      </rPr>
      <t>分保费用</t>
    </r>
    <phoneticPr fontId="5" type="noConversion"/>
  </si>
  <si>
    <r>
      <rPr>
        <sz val="10"/>
        <rFont val="宋体"/>
        <family val="3"/>
        <charset val="134"/>
      </rPr>
      <t>分保费用</t>
    </r>
  </si>
  <si>
    <r>
      <t xml:space="preserve">            </t>
    </r>
    <r>
      <rPr>
        <sz val="10"/>
        <rFont val="宋体"/>
        <family val="3"/>
        <charset val="134"/>
      </rPr>
      <t>销售费用</t>
    </r>
    <phoneticPr fontId="5" type="noConversion"/>
  </si>
  <si>
    <r>
      <rPr>
        <sz val="10"/>
        <rFont val="宋体"/>
        <family val="3"/>
        <charset val="134"/>
      </rPr>
      <t>销售费用</t>
    </r>
  </si>
  <si>
    <r>
      <t xml:space="preserve">            </t>
    </r>
    <r>
      <rPr>
        <sz val="10"/>
        <rFont val="宋体"/>
        <family val="3"/>
        <charset val="134"/>
      </rPr>
      <t>管理费用</t>
    </r>
    <phoneticPr fontId="5" type="noConversion"/>
  </si>
  <si>
    <r>
      <rPr>
        <sz val="10"/>
        <rFont val="宋体"/>
        <family val="3"/>
        <charset val="134"/>
      </rPr>
      <t>管理费用</t>
    </r>
  </si>
  <si>
    <r>
      <rPr>
        <sz val="10"/>
        <rFont val="宋体"/>
        <family val="3"/>
        <charset val="134"/>
      </rPr>
      <t>管理费用</t>
    </r>
    <r>
      <rPr>
        <sz val="10"/>
        <rFont val="Arial Narrow"/>
        <family val="2"/>
      </rPr>
      <t>—</t>
    </r>
    <r>
      <rPr>
        <sz val="10"/>
        <rFont val="宋体"/>
        <family val="3"/>
        <charset val="134"/>
      </rPr>
      <t>其他</t>
    </r>
    <phoneticPr fontId="5" type="noConversion"/>
  </si>
  <si>
    <r>
      <t xml:space="preserve">                 </t>
    </r>
    <r>
      <rPr>
        <sz val="10"/>
        <rFont val="宋体"/>
        <family val="3"/>
        <charset val="134"/>
      </rPr>
      <t>其中：研究与开发费</t>
    </r>
    <phoneticPr fontId="5" type="noConversion"/>
  </si>
  <si>
    <r>
      <rPr>
        <sz val="10"/>
        <rFont val="宋体"/>
        <family val="3"/>
        <charset val="134"/>
      </rPr>
      <t>管理费用</t>
    </r>
    <r>
      <rPr>
        <sz val="10"/>
        <rFont val="Arial Narrow"/>
        <family val="2"/>
      </rPr>
      <t>—</t>
    </r>
    <r>
      <rPr>
        <sz val="10"/>
        <rFont val="宋体"/>
        <family val="3"/>
        <charset val="134"/>
      </rPr>
      <t>研究与开发费</t>
    </r>
    <phoneticPr fontId="5" type="noConversion"/>
  </si>
  <si>
    <r>
      <t xml:space="preserve">           </t>
    </r>
    <r>
      <rPr>
        <sz val="10"/>
        <rFont val="宋体"/>
        <family val="3"/>
        <charset val="134"/>
      </rPr>
      <t>财务费用</t>
    </r>
    <phoneticPr fontId="5" type="noConversion"/>
  </si>
  <si>
    <r>
      <rPr>
        <sz val="10"/>
        <rFont val="宋体"/>
        <family val="3"/>
        <charset val="134"/>
      </rPr>
      <t>财务费用</t>
    </r>
    <r>
      <rPr>
        <sz val="10"/>
        <rFont val="Arial Narrow"/>
        <family val="2"/>
      </rPr>
      <t>—</t>
    </r>
    <r>
      <rPr>
        <sz val="10"/>
        <rFont val="宋体"/>
        <family val="3"/>
        <charset val="134"/>
      </rPr>
      <t>其他</t>
    </r>
    <phoneticPr fontId="5" type="noConversion"/>
  </si>
  <si>
    <r>
      <t xml:space="preserve">                </t>
    </r>
    <r>
      <rPr>
        <sz val="10"/>
        <rFont val="宋体"/>
        <family val="3"/>
        <charset val="134"/>
      </rPr>
      <t>其中：利息支出</t>
    </r>
    <phoneticPr fontId="5" type="noConversion"/>
  </si>
  <si>
    <r>
      <rPr>
        <sz val="10"/>
        <rFont val="宋体"/>
        <family val="3"/>
        <charset val="134"/>
      </rPr>
      <t>财务费用</t>
    </r>
    <r>
      <rPr>
        <sz val="10"/>
        <rFont val="Arial Narrow"/>
        <family val="2"/>
      </rPr>
      <t>—</t>
    </r>
    <r>
      <rPr>
        <sz val="10"/>
        <rFont val="宋体"/>
        <family val="3"/>
        <charset val="134"/>
      </rPr>
      <t>利息支出</t>
    </r>
    <phoneticPr fontId="5" type="noConversion"/>
  </si>
  <si>
    <r>
      <t xml:space="preserve">                      </t>
    </r>
    <r>
      <rPr>
        <sz val="10"/>
        <rFont val="宋体"/>
        <family val="3"/>
        <charset val="134"/>
      </rPr>
      <t>利息收入</t>
    </r>
    <phoneticPr fontId="5" type="noConversion"/>
  </si>
  <si>
    <r>
      <rPr>
        <sz val="10"/>
        <rFont val="宋体"/>
        <family val="3"/>
        <charset val="134"/>
      </rPr>
      <t>财务费用</t>
    </r>
    <r>
      <rPr>
        <sz val="10"/>
        <rFont val="Arial Narrow"/>
        <family val="2"/>
      </rPr>
      <t>—</t>
    </r>
    <r>
      <rPr>
        <sz val="10"/>
        <rFont val="宋体"/>
        <family val="3"/>
        <charset val="134"/>
      </rPr>
      <t>利息收入</t>
    </r>
    <phoneticPr fontId="5" type="noConversion"/>
  </si>
  <si>
    <r>
      <t xml:space="preserve">                     </t>
    </r>
    <r>
      <rPr>
        <sz val="10"/>
        <rFont val="宋体"/>
        <family val="3"/>
        <charset val="134"/>
      </rPr>
      <t>汇兑净损失（净收益以</t>
    </r>
    <r>
      <rPr>
        <sz val="10"/>
        <rFont val="Arial Narrow"/>
        <family val="2"/>
      </rPr>
      <t>“-”</t>
    </r>
    <r>
      <rPr>
        <sz val="10"/>
        <rFont val="宋体"/>
        <family val="3"/>
        <charset val="134"/>
      </rPr>
      <t>号填列）</t>
    </r>
    <phoneticPr fontId="5" type="noConversion"/>
  </si>
  <si>
    <r>
      <rPr>
        <sz val="10"/>
        <rFont val="宋体"/>
        <family val="3"/>
        <charset val="134"/>
      </rPr>
      <t>财务费用</t>
    </r>
    <r>
      <rPr>
        <sz val="10"/>
        <rFont val="Arial Narrow"/>
        <family val="2"/>
      </rPr>
      <t>—</t>
    </r>
    <r>
      <rPr>
        <sz val="10"/>
        <rFont val="宋体"/>
        <family val="3"/>
        <charset val="134"/>
      </rPr>
      <t>汇兑净损失</t>
    </r>
    <phoneticPr fontId="5" type="noConversion"/>
  </si>
  <si>
    <r>
      <t xml:space="preserve">          </t>
    </r>
    <r>
      <rPr>
        <sz val="10"/>
        <rFont val="宋体"/>
        <family val="3"/>
        <charset val="134"/>
      </rPr>
      <t>资产减值损失</t>
    </r>
    <phoneticPr fontId="5" type="noConversion"/>
  </si>
  <si>
    <r>
      <rPr>
        <sz val="10"/>
        <rFont val="宋体"/>
        <family val="3"/>
        <charset val="134"/>
      </rPr>
      <t>其他营业成本</t>
    </r>
    <phoneticPr fontId="5" type="noConversion"/>
  </si>
  <si>
    <r>
      <t xml:space="preserve">           </t>
    </r>
    <r>
      <rPr>
        <sz val="10"/>
        <rFont val="宋体"/>
        <family val="3"/>
        <charset val="134"/>
      </rPr>
      <t>加：公允价值变动收益（损失以</t>
    </r>
    <r>
      <rPr>
        <sz val="10"/>
        <rFont val="Arial Narrow"/>
        <family val="2"/>
      </rPr>
      <t>“-”</t>
    </r>
    <r>
      <rPr>
        <sz val="10"/>
        <rFont val="宋体"/>
        <family val="3"/>
        <charset val="134"/>
      </rPr>
      <t>号填列）</t>
    </r>
    <phoneticPr fontId="5" type="noConversion"/>
  </si>
  <si>
    <r>
      <rPr>
        <sz val="10"/>
        <rFont val="宋体"/>
        <family val="3"/>
        <charset val="134"/>
      </rPr>
      <t>公允价值变动收益</t>
    </r>
    <phoneticPr fontId="5" type="noConversion"/>
  </si>
  <si>
    <r>
      <t xml:space="preserve">              </t>
    </r>
    <r>
      <rPr>
        <sz val="10"/>
        <rFont val="宋体"/>
        <family val="3"/>
        <charset val="134"/>
      </rPr>
      <t>投资收益（损失以</t>
    </r>
    <r>
      <rPr>
        <sz val="10"/>
        <rFont val="Arial Narrow"/>
        <family val="2"/>
      </rPr>
      <t>“-”</t>
    </r>
    <r>
      <rPr>
        <sz val="10"/>
        <rFont val="宋体"/>
        <family val="3"/>
        <charset val="134"/>
      </rPr>
      <t>号填列）</t>
    </r>
    <phoneticPr fontId="5" type="noConversion"/>
  </si>
  <si>
    <r>
      <rPr>
        <sz val="10"/>
        <rFont val="宋体"/>
        <family val="3"/>
        <charset val="134"/>
      </rPr>
      <t>投资收益</t>
    </r>
    <phoneticPr fontId="5" type="noConversion"/>
  </si>
  <si>
    <r>
      <rPr>
        <sz val="10"/>
        <rFont val="宋体"/>
        <family val="3"/>
        <charset val="134"/>
      </rPr>
      <t>投资收益</t>
    </r>
    <r>
      <rPr>
        <sz val="10"/>
        <rFont val="Arial Narrow"/>
        <family val="2"/>
      </rPr>
      <t>—</t>
    </r>
    <r>
      <rPr>
        <sz val="10"/>
        <rFont val="宋体"/>
        <family val="3"/>
        <charset val="134"/>
      </rPr>
      <t>其他</t>
    </r>
    <phoneticPr fontId="5" type="noConversion"/>
  </si>
  <si>
    <r>
      <t xml:space="preserve">                </t>
    </r>
    <r>
      <rPr>
        <sz val="10"/>
        <rFont val="宋体"/>
        <family val="3"/>
        <charset val="134"/>
      </rPr>
      <t>其中：对联营企业和合营企业的投资收益</t>
    </r>
    <phoneticPr fontId="5" type="noConversion"/>
  </si>
  <si>
    <r>
      <rPr>
        <sz val="10"/>
        <rFont val="宋体"/>
        <family val="3"/>
        <charset val="134"/>
      </rPr>
      <t>投资收益</t>
    </r>
    <r>
      <rPr>
        <sz val="10"/>
        <rFont val="Arial Narrow"/>
        <family val="2"/>
      </rPr>
      <t>—</t>
    </r>
    <r>
      <rPr>
        <sz val="10"/>
        <rFont val="宋体"/>
        <family val="3"/>
        <charset val="134"/>
      </rPr>
      <t>对联营企业和合营企业的投资收益</t>
    </r>
    <phoneticPr fontId="5" type="noConversion"/>
  </si>
  <si>
    <r>
      <rPr>
        <sz val="10"/>
        <rFont val="宋体"/>
        <family val="3"/>
        <charset val="134"/>
      </rPr>
      <t>贷</t>
    </r>
    <phoneticPr fontId="5" type="noConversion"/>
  </si>
  <si>
    <r>
      <rPr>
        <b/>
        <sz val="10"/>
        <rFont val="宋体"/>
        <family val="3"/>
        <charset val="134"/>
      </rPr>
      <t>三、营业利润（亏损以</t>
    </r>
    <r>
      <rPr>
        <b/>
        <sz val="10"/>
        <rFont val="Arial Narrow"/>
        <family val="2"/>
      </rPr>
      <t>“</t>
    </r>
    <r>
      <rPr>
        <b/>
        <sz val="10"/>
        <rFont val="宋体"/>
        <family val="3"/>
        <charset val="134"/>
      </rPr>
      <t>－</t>
    </r>
    <r>
      <rPr>
        <b/>
        <sz val="10"/>
        <rFont val="Arial Narrow"/>
        <family val="2"/>
      </rPr>
      <t>”</t>
    </r>
    <r>
      <rPr>
        <b/>
        <sz val="10"/>
        <rFont val="宋体"/>
        <family val="3"/>
        <charset val="134"/>
      </rPr>
      <t>号填列）</t>
    </r>
  </si>
  <si>
    <r>
      <rPr>
        <sz val="10"/>
        <rFont val="宋体"/>
        <family val="3"/>
        <charset val="134"/>
      </rPr>
      <t>营业外收入</t>
    </r>
    <phoneticPr fontId="5" type="noConversion"/>
  </si>
  <si>
    <r>
      <rPr>
        <sz val="10"/>
        <rFont val="宋体"/>
        <family val="3"/>
        <charset val="134"/>
      </rPr>
      <t>营业外收入</t>
    </r>
    <r>
      <rPr>
        <sz val="10"/>
        <rFont val="Arial Narrow"/>
        <family val="2"/>
      </rPr>
      <t>—</t>
    </r>
    <r>
      <rPr>
        <sz val="10"/>
        <rFont val="宋体"/>
        <family val="3"/>
        <charset val="134"/>
      </rPr>
      <t>其他</t>
    </r>
    <phoneticPr fontId="5" type="noConversion"/>
  </si>
  <si>
    <r>
      <t xml:space="preserve">                </t>
    </r>
    <r>
      <rPr>
        <sz val="10"/>
        <rFont val="宋体"/>
        <family val="3"/>
        <charset val="134"/>
      </rPr>
      <t>其中：非流动资产处置利得</t>
    </r>
    <phoneticPr fontId="5" type="noConversion"/>
  </si>
  <si>
    <r>
      <rPr>
        <sz val="10"/>
        <rFont val="宋体"/>
        <family val="3"/>
        <charset val="134"/>
      </rPr>
      <t>营业外收入</t>
    </r>
    <r>
      <rPr>
        <sz val="10"/>
        <rFont val="Arial Narrow"/>
        <family val="2"/>
      </rPr>
      <t>—</t>
    </r>
    <r>
      <rPr>
        <sz val="10"/>
        <rFont val="宋体"/>
        <family val="3"/>
        <charset val="134"/>
      </rPr>
      <t>非流动资产处置利得</t>
    </r>
    <phoneticPr fontId="5" type="noConversion"/>
  </si>
  <si>
    <r>
      <t xml:space="preserve">               </t>
    </r>
    <r>
      <rPr>
        <sz val="10"/>
        <rFont val="宋体"/>
        <family val="3"/>
        <charset val="134"/>
      </rPr>
      <t>非货币性资产交换利得</t>
    </r>
    <phoneticPr fontId="5" type="noConversion"/>
  </si>
  <si>
    <r>
      <rPr>
        <sz val="10"/>
        <rFont val="宋体"/>
        <family val="3"/>
        <charset val="134"/>
      </rPr>
      <t>营业外收入</t>
    </r>
    <r>
      <rPr>
        <sz val="10"/>
        <rFont val="Arial Narrow"/>
        <family val="2"/>
      </rPr>
      <t>—</t>
    </r>
    <r>
      <rPr>
        <sz val="10"/>
        <rFont val="宋体"/>
        <family val="3"/>
        <charset val="134"/>
      </rPr>
      <t>非货币性资产交换利得</t>
    </r>
    <phoneticPr fontId="5" type="noConversion"/>
  </si>
  <si>
    <r>
      <t xml:space="preserve">               </t>
    </r>
    <r>
      <rPr>
        <sz val="10"/>
        <rFont val="宋体"/>
        <family val="3"/>
        <charset val="134"/>
      </rPr>
      <t>政府补助</t>
    </r>
    <phoneticPr fontId="5" type="noConversion"/>
  </si>
  <si>
    <r>
      <rPr>
        <sz val="10"/>
        <rFont val="宋体"/>
        <family val="3"/>
        <charset val="134"/>
      </rPr>
      <t>营业外收入</t>
    </r>
    <r>
      <rPr>
        <sz val="10"/>
        <rFont val="Arial Narrow"/>
        <family val="2"/>
      </rPr>
      <t>—</t>
    </r>
    <r>
      <rPr>
        <sz val="10"/>
        <rFont val="宋体"/>
        <family val="3"/>
        <charset val="134"/>
      </rPr>
      <t>政府补助</t>
    </r>
    <phoneticPr fontId="5" type="noConversion"/>
  </si>
  <si>
    <r>
      <t xml:space="preserve">               </t>
    </r>
    <r>
      <rPr>
        <sz val="10"/>
        <rFont val="宋体"/>
        <family val="3"/>
        <charset val="134"/>
      </rPr>
      <t>债务重组利得</t>
    </r>
    <phoneticPr fontId="5" type="noConversion"/>
  </si>
  <si>
    <r>
      <rPr>
        <sz val="10"/>
        <rFont val="宋体"/>
        <family val="3"/>
        <charset val="134"/>
      </rPr>
      <t>营业外收入</t>
    </r>
    <r>
      <rPr>
        <sz val="10"/>
        <rFont val="Arial Narrow"/>
        <family val="2"/>
      </rPr>
      <t>—</t>
    </r>
    <r>
      <rPr>
        <sz val="10"/>
        <rFont val="宋体"/>
        <family val="3"/>
        <charset val="134"/>
      </rPr>
      <t>债务重组利得</t>
    </r>
    <phoneticPr fontId="5" type="noConversion"/>
  </si>
  <si>
    <r>
      <t xml:space="preserve">    </t>
    </r>
    <r>
      <rPr>
        <sz val="10"/>
        <rFont val="宋体"/>
        <family val="3"/>
        <charset val="134"/>
      </rPr>
      <t>减：营业外支出</t>
    </r>
    <phoneticPr fontId="5" type="noConversion"/>
  </si>
  <si>
    <r>
      <rPr>
        <sz val="10"/>
        <rFont val="宋体"/>
        <family val="3"/>
        <charset val="134"/>
      </rPr>
      <t>营业外支出</t>
    </r>
    <phoneticPr fontId="5" type="noConversion"/>
  </si>
  <si>
    <r>
      <rPr>
        <sz val="10"/>
        <rFont val="宋体"/>
        <family val="3"/>
        <charset val="134"/>
      </rPr>
      <t>营业外支出</t>
    </r>
    <r>
      <rPr>
        <sz val="10"/>
        <rFont val="Arial Narrow"/>
        <family val="2"/>
      </rPr>
      <t>—</t>
    </r>
    <r>
      <rPr>
        <sz val="10"/>
        <rFont val="宋体"/>
        <family val="3"/>
        <charset val="134"/>
      </rPr>
      <t>其他</t>
    </r>
    <phoneticPr fontId="5" type="noConversion"/>
  </si>
  <si>
    <r>
      <t xml:space="preserve">                </t>
    </r>
    <r>
      <rPr>
        <sz val="10"/>
        <rFont val="宋体"/>
        <family val="3"/>
        <charset val="134"/>
      </rPr>
      <t>其中：非流动资产处置损失</t>
    </r>
    <phoneticPr fontId="5" type="noConversion"/>
  </si>
  <si>
    <r>
      <rPr>
        <sz val="10"/>
        <rFont val="宋体"/>
        <family val="3"/>
        <charset val="134"/>
      </rPr>
      <t>营业外支出</t>
    </r>
    <r>
      <rPr>
        <sz val="10"/>
        <rFont val="Arial Narrow"/>
        <family val="2"/>
      </rPr>
      <t>—</t>
    </r>
    <r>
      <rPr>
        <sz val="10"/>
        <rFont val="宋体"/>
        <family val="3"/>
        <charset val="134"/>
      </rPr>
      <t>非流动资产处置损失</t>
    </r>
    <phoneticPr fontId="5" type="noConversion"/>
  </si>
  <si>
    <r>
      <t xml:space="preserve">               </t>
    </r>
    <r>
      <rPr>
        <sz val="10"/>
        <rFont val="宋体"/>
        <family val="3"/>
        <charset val="134"/>
      </rPr>
      <t>非货币性资产交换损失</t>
    </r>
    <phoneticPr fontId="5" type="noConversion"/>
  </si>
  <si>
    <r>
      <rPr>
        <sz val="10"/>
        <rFont val="宋体"/>
        <family val="3"/>
        <charset val="134"/>
      </rPr>
      <t>营业外支出</t>
    </r>
    <r>
      <rPr>
        <sz val="10"/>
        <rFont val="Arial Narrow"/>
        <family val="2"/>
      </rPr>
      <t>—</t>
    </r>
    <r>
      <rPr>
        <sz val="10"/>
        <rFont val="宋体"/>
        <family val="3"/>
        <charset val="134"/>
      </rPr>
      <t>非货币性资产交换损失</t>
    </r>
    <phoneticPr fontId="5" type="noConversion"/>
  </si>
  <si>
    <r>
      <t xml:space="preserve">               </t>
    </r>
    <r>
      <rPr>
        <sz val="10"/>
        <rFont val="宋体"/>
        <family val="3"/>
        <charset val="134"/>
      </rPr>
      <t>债务重组损失</t>
    </r>
    <phoneticPr fontId="5" type="noConversion"/>
  </si>
  <si>
    <r>
      <rPr>
        <sz val="10"/>
        <rFont val="宋体"/>
        <family val="3"/>
        <charset val="134"/>
      </rPr>
      <t>营业外支出</t>
    </r>
    <r>
      <rPr>
        <sz val="10"/>
        <rFont val="Arial Narrow"/>
        <family val="2"/>
      </rPr>
      <t>—</t>
    </r>
    <r>
      <rPr>
        <sz val="10"/>
        <rFont val="宋体"/>
        <family val="3"/>
        <charset val="134"/>
      </rPr>
      <t>债务重组损失</t>
    </r>
    <phoneticPr fontId="5" type="noConversion"/>
  </si>
  <si>
    <r>
      <rPr>
        <b/>
        <sz val="10"/>
        <rFont val="宋体"/>
        <family val="3"/>
        <charset val="134"/>
      </rPr>
      <t>四、利润总额（亏损总额以</t>
    </r>
    <r>
      <rPr>
        <b/>
        <sz val="10"/>
        <rFont val="Arial Narrow"/>
        <family val="2"/>
      </rPr>
      <t>“</t>
    </r>
    <r>
      <rPr>
        <b/>
        <sz val="10"/>
        <rFont val="宋体"/>
        <family val="3"/>
        <charset val="134"/>
      </rPr>
      <t>－</t>
    </r>
    <r>
      <rPr>
        <b/>
        <sz val="10"/>
        <rFont val="Arial Narrow"/>
        <family val="2"/>
      </rPr>
      <t>”</t>
    </r>
    <r>
      <rPr>
        <b/>
        <sz val="10"/>
        <rFont val="宋体"/>
        <family val="3"/>
        <charset val="134"/>
      </rPr>
      <t>号填列）</t>
    </r>
  </si>
  <si>
    <r>
      <rPr>
        <b/>
        <sz val="10"/>
        <rFont val="宋体"/>
        <family val="3"/>
        <charset val="134"/>
      </rPr>
      <t>五、净利润（净亏损以</t>
    </r>
    <r>
      <rPr>
        <b/>
        <sz val="10"/>
        <rFont val="Arial Narrow"/>
        <family val="2"/>
      </rPr>
      <t>“</t>
    </r>
    <r>
      <rPr>
        <b/>
        <sz val="10"/>
        <rFont val="宋体"/>
        <family val="3"/>
        <charset val="134"/>
      </rPr>
      <t>－</t>
    </r>
    <r>
      <rPr>
        <b/>
        <sz val="10"/>
        <rFont val="Arial Narrow"/>
        <family val="2"/>
      </rPr>
      <t>”</t>
    </r>
    <r>
      <rPr>
        <b/>
        <sz val="10"/>
        <rFont val="宋体"/>
        <family val="3"/>
        <charset val="134"/>
      </rPr>
      <t>号填列）</t>
    </r>
    <phoneticPr fontId="5" type="noConversion"/>
  </si>
  <si>
    <r>
      <rPr>
        <sz val="10"/>
        <rFont val="宋体"/>
        <family val="3"/>
        <charset val="134"/>
      </rPr>
      <t>归属于母公司所有者的净利润</t>
    </r>
    <phoneticPr fontId="5" type="noConversion"/>
  </si>
  <si>
    <r>
      <rPr>
        <sz val="10"/>
        <rFont val="宋体"/>
        <family val="3"/>
        <charset val="134"/>
      </rPr>
      <t>少数股东损益</t>
    </r>
    <phoneticPr fontId="5" type="noConversion"/>
  </si>
  <si>
    <r>
      <rPr>
        <sz val="10"/>
        <rFont val="宋体"/>
        <family val="3"/>
        <charset val="134"/>
      </rPr>
      <t>少数股东损益</t>
    </r>
  </si>
  <si>
    <r>
      <rPr>
        <b/>
        <sz val="10"/>
        <rFont val="宋体"/>
        <family val="3"/>
        <charset val="134"/>
      </rPr>
      <t>六、其他综合收益的税后净额</t>
    </r>
    <phoneticPr fontId="5" type="noConversion"/>
  </si>
  <si>
    <r>
      <rPr>
        <sz val="10"/>
        <rFont val="宋体"/>
        <family val="3"/>
        <charset val="134"/>
      </rPr>
      <t>（一）以后不能重分类进损益的其他综合收益</t>
    </r>
  </si>
  <si>
    <r>
      <rPr>
        <sz val="10"/>
        <rFont val="宋体"/>
        <family val="3"/>
        <charset val="134"/>
      </rPr>
      <t>以后不能重分类进损益的其他综合收益</t>
    </r>
  </si>
  <si>
    <r>
      <rPr>
        <sz val="10"/>
        <rFont val="宋体"/>
        <family val="3"/>
        <charset val="134"/>
      </rPr>
      <t>以后不能重分类进损益的其他综合收益</t>
    </r>
    <r>
      <rPr>
        <sz val="10"/>
        <rFont val="Arial Narrow"/>
        <family val="2"/>
      </rPr>
      <t>-</t>
    </r>
    <r>
      <rPr>
        <sz val="10"/>
        <rFont val="宋体"/>
        <family val="3"/>
        <charset val="134"/>
      </rPr>
      <t>其他</t>
    </r>
  </si>
  <si>
    <r>
      <rPr>
        <sz val="10"/>
        <rFont val="宋体"/>
        <family val="3"/>
        <charset val="134"/>
      </rPr>
      <t>其中：</t>
    </r>
    <r>
      <rPr>
        <sz val="10"/>
        <rFont val="Arial Narrow"/>
        <family val="2"/>
      </rPr>
      <t>1.</t>
    </r>
    <r>
      <rPr>
        <sz val="10"/>
        <rFont val="宋体"/>
        <family val="3"/>
        <charset val="134"/>
      </rPr>
      <t>重新计量设定受益计划净负债或净资产的变动</t>
    </r>
  </si>
  <si>
    <r>
      <rPr>
        <sz val="10"/>
        <rFont val="宋体"/>
        <family val="3"/>
        <charset val="134"/>
      </rPr>
      <t>以后不能重分类进损益的其他综合收益重新计量设定受益计划净负债或净资产的变动</t>
    </r>
  </si>
  <si>
    <r>
      <t xml:space="preserve">      2.</t>
    </r>
    <r>
      <rPr>
        <sz val="10"/>
        <rFont val="宋体"/>
        <family val="3"/>
        <charset val="134"/>
      </rPr>
      <t>权益法下在被投资单位不能重分类进损益的其他综合收益中享有的份额</t>
    </r>
  </si>
  <si>
    <r>
      <rPr>
        <sz val="10"/>
        <rFont val="宋体"/>
        <family val="3"/>
        <charset val="134"/>
      </rPr>
      <t>以后不能重分类进损益的其他综合收益</t>
    </r>
    <r>
      <rPr>
        <sz val="10"/>
        <rFont val="Arial Narrow"/>
        <family val="2"/>
      </rPr>
      <t>-</t>
    </r>
    <r>
      <rPr>
        <sz val="10"/>
        <rFont val="宋体"/>
        <family val="3"/>
        <charset val="134"/>
      </rPr>
      <t>权益法下在被投资单位不能重分类进损益的其他综合收益中享有的份额</t>
    </r>
  </si>
  <si>
    <r>
      <rPr>
        <sz val="10"/>
        <rFont val="宋体"/>
        <family val="3"/>
        <charset val="134"/>
      </rPr>
      <t>（二）以后将重分类进损益的其他综合收益</t>
    </r>
  </si>
  <si>
    <r>
      <rPr>
        <sz val="10"/>
        <rFont val="宋体"/>
        <family val="3"/>
        <charset val="134"/>
      </rPr>
      <t>以后将重分类进损益的其他综合收益</t>
    </r>
  </si>
  <si>
    <r>
      <rPr>
        <sz val="10"/>
        <rFont val="宋体"/>
        <family val="3"/>
        <charset val="134"/>
      </rPr>
      <t>以后将重分类进损益的其他综合收益</t>
    </r>
    <r>
      <rPr>
        <sz val="10"/>
        <rFont val="Arial Narrow"/>
        <family val="2"/>
      </rPr>
      <t>-</t>
    </r>
    <r>
      <rPr>
        <sz val="10"/>
        <rFont val="宋体"/>
        <family val="3"/>
        <charset val="134"/>
      </rPr>
      <t>其他</t>
    </r>
  </si>
  <si>
    <r>
      <rPr>
        <sz val="10"/>
        <rFont val="宋体"/>
        <family val="3"/>
        <charset val="134"/>
      </rPr>
      <t>其中：</t>
    </r>
    <r>
      <rPr>
        <sz val="10"/>
        <rFont val="Arial Narrow"/>
        <family val="2"/>
      </rPr>
      <t>1.</t>
    </r>
    <r>
      <rPr>
        <sz val="10"/>
        <rFont val="宋体"/>
        <family val="3"/>
        <charset val="134"/>
      </rPr>
      <t>权益法下在被投资单位以后将重分类进损益的其他综合收益中享有的份额</t>
    </r>
  </si>
  <si>
    <r>
      <rPr>
        <sz val="10"/>
        <rFont val="宋体"/>
        <family val="3"/>
        <charset val="134"/>
      </rPr>
      <t>以后将重分类进损益的其他综合收益</t>
    </r>
    <r>
      <rPr>
        <sz val="10"/>
        <rFont val="Arial Narrow"/>
        <family val="2"/>
      </rPr>
      <t>-</t>
    </r>
    <r>
      <rPr>
        <sz val="10"/>
        <rFont val="宋体"/>
        <family val="3"/>
        <charset val="134"/>
      </rPr>
      <t>权益法下在被投资单位以后将重分类进损益的其他综合收益中享有的份额</t>
    </r>
  </si>
  <si>
    <r>
      <t xml:space="preserve">      2.</t>
    </r>
    <r>
      <rPr>
        <sz val="10"/>
        <rFont val="宋体"/>
        <family val="3"/>
        <charset val="134"/>
      </rPr>
      <t>可供出售金融资产公允价值变动损益</t>
    </r>
  </si>
  <si>
    <r>
      <rPr>
        <sz val="10"/>
        <rFont val="宋体"/>
        <family val="3"/>
        <charset val="134"/>
      </rPr>
      <t>以后将重分类进损益的其他综合收益</t>
    </r>
    <r>
      <rPr>
        <sz val="10"/>
        <rFont val="Arial Narrow"/>
        <family val="2"/>
      </rPr>
      <t>-</t>
    </r>
    <r>
      <rPr>
        <sz val="10"/>
        <rFont val="宋体"/>
        <family val="3"/>
        <charset val="134"/>
      </rPr>
      <t>可供出售金融资产公允价值变动损益</t>
    </r>
  </si>
  <si>
    <r>
      <t xml:space="preserve">      3.</t>
    </r>
    <r>
      <rPr>
        <sz val="10"/>
        <rFont val="宋体"/>
        <family val="3"/>
        <charset val="134"/>
      </rPr>
      <t>持有至到期投资重分类为可供出售金额资产损益</t>
    </r>
  </si>
  <si>
    <r>
      <rPr>
        <sz val="10"/>
        <rFont val="宋体"/>
        <family val="3"/>
        <charset val="134"/>
      </rPr>
      <t>以后将重分类进损益的其他综合收益</t>
    </r>
    <r>
      <rPr>
        <sz val="10"/>
        <rFont val="Arial Narrow"/>
        <family val="2"/>
      </rPr>
      <t>-</t>
    </r>
    <r>
      <rPr>
        <sz val="10"/>
        <rFont val="宋体"/>
        <family val="3"/>
        <charset val="134"/>
      </rPr>
      <t>持有至到期投资重分类为可供出售金额资产损益</t>
    </r>
  </si>
  <si>
    <r>
      <t xml:space="preserve">      4.</t>
    </r>
    <r>
      <rPr>
        <sz val="10"/>
        <rFont val="宋体"/>
        <family val="3"/>
        <charset val="134"/>
      </rPr>
      <t>现金流量套期损益的有效部分</t>
    </r>
  </si>
  <si>
    <r>
      <rPr>
        <sz val="10"/>
        <rFont val="宋体"/>
        <family val="3"/>
        <charset val="134"/>
      </rPr>
      <t>以后将重分类进损益的其他综合收益</t>
    </r>
    <r>
      <rPr>
        <sz val="10"/>
        <rFont val="Arial Narrow"/>
        <family val="2"/>
      </rPr>
      <t>-</t>
    </r>
    <r>
      <rPr>
        <sz val="10"/>
        <rFont val="宋体"/>
        <family val="3"/>
        <charset val="134"/>
      </rPr>
      <t>现金流量套期损益的有效部分</t>
    </r>
  </si>
  <si>
    <r>
      <t xml:space="preserve">      5.</t>
    </r>
    <r>
      <rPr>
        <sz val="10"/>
        <rFont val="宋体"/>
        <family val="3"/>
        <charset val="134"/>
      </rPr>
      <t>外币财务报表折算差额</t>
    </r>
  </si>
  <si>
    <r>
      <rPr>
        <sz val="10"/>
        <rFont val="宋体"/>
        <family val="3"/>
        <charset val="134"/>
      </rPr>
      <t>以后将重分类进损益的其他综合收益</t>
    </r>
    <r>
      <rPr>
        <sz val="10"/>
        <rFont val="Arial Narrow"/>
        <family val="2"/>
      </rPr>
      <t>-</t>
    </r>
    <r>
      <rPr>
        <sz val="10"/>
        <rFont val="宋体"/>
        <family val="3"/>
        <charset val="134"/>
      </rPr>
      <t>外币财务报表折算差额</t>
    </r>
  </si>
  <si>
    <r>
      <rPr>
        <b/>
        <sz val="10"/>
        <rFont val="宋体"/>
        <family val="3"/>
        <charset val="134"/>
      </rPr>
      <t>七、综合收益总额</t>
    </r>
    <phoneticPr fontId="5" type="noConversion"/>
  </si>
  <si>
    <r>
      <rPr>
        <sz val="10"/>
        <rFont val="宋体"/>
        <family val="3"/>
        <charset val="134"/>
      </rPr>
      <t>归属于母公司所有者的综合收益总额</t>
    </r>
    <phoneticPr fontId="5" type="noConversion"/>
  </si>
  <si>
    <r>
      <t xml:space="preserve"> </t>
    </r>
    <r>
      <rPr>
        <sz val="10"/>
        <rFont val="宋体"/>
        <family val="3"/>
        <charset val="134"/>
      </rPr>
      <t>归属于少数股东的综合收益总额</t>
    </r>
    <phoneticPr fontId="5" type="noConversion"/>
  </si>
  <si>
    <r>
      <rPr>
        <b/>
        <sz val="10"/>
        <rFont val="宋体"/>
        <family val="3"/>
        <charset val="134"/>
      </rPr>
      <t>八、每股收益：</t>
    </r>
    <phoneticPr fontId="5" type="noConversion"/>
  </si>
  <si>
    <r>
      <rPr>
        <sz val="10"/>
        <rFont val="宋体"/>
        <family val="3"/>
        <charset val="134"/>
      </rPr>
      <t>基本每股收益</t>
    </r>
    <phoneticPr fontId="5" type="noConversion"/>
  </si>
  <si>
    <r>
      <rPr>
        <sz val="10"/>
        <rFont val="宋体"/>
        <family val="3"/>
        <charset val="134"/>
      </rPr>
      <t>稀释每股收益</t>
    </r>
    <phoneticPr fontId="5" type="noConversion"/>
  </si>
  <si>
    <r>
      <rPr>
        <b/>
        <sz val="10"/>
        <rFont val="宋体"/>
        <family val="3"/>
        <charset val="134"/>
      </rPr>
      <t>未调整不符事项之分录</t>
    </r>
    <phoneticPr fontId="5" type="noConversion"/>
  </si>
  <si>
    <r>
      <rPr>
        <sz val="10"/>
        <rFont val="宋体"/>
        <family val="3"/>
        <charset val="134"/>
      </rPr>
      <t>上年借贷方平衡</t>
    </r>
    <phoneticPr fontId="5" type="noConversion"/>
  </si>
  <si>
    <r>
      <rPr>
        <sz val="10"/>
        <rFont val="宋体"/>
        <family val="3"/>
        <charset val="134"/>
      </rPr>
      <t>本年借贷方平衡</t>
    </r>
    <phoneticPr fontId="5" type="noConversion"/>
  </si>
  <si>
    <r>
      <rPr>
        <sz val="10"/>
        <rFont val="宋体"/>
        <family val="3"/>
        <charset val="134"/>
      </rPr>
      <t>编制时间：</t>
    </r>
    <phoneticPr fontId="5" type="noConversion"/>
  </si>
  <si>
    <r>
      <rPr>
        <sz val="10"/>
        <rFont val="宋体"/>
        <family val="3"/>
        <charset val="134"/>
      </rPr>
      <t>复核时间：</t>
    </r>
    <phoneticPr fontId="5" type="noConversion"/>
  </si>
  <si>
    <r>
      <rPr>
        <b/>
        <sz val="10"/>
        <rFont val="宋体"/>
        <family val="3"/>
        <charset val="134"/>
      </rPr>
      <t>序号</t>
    </r>
    <phoneticPr fontId="5" type="noConversion"/>
  </si>
  <si>
    <r>
      <rPr>
        <b/>
        <sz val="10"/>
        <rFont val="宋体"/>
        <family val="3"/>
        <charset val="134"/>
      </rPr>
      <t>调整说明</t>
    </r>
    <phoneticPr fontId="5" type="noConversion"/>
  </si>
  <si>
    <r>
      <rPr>
        <b/>
        <sz val="10"/>
        <rFont val="宋体"/>
        <family val="3"/>
        <charset val="134"/>
      </rPr>
      <t>科目类别</t>
    </r>
    <phoneticPr fontId="5" type="noConversion"/>
  </si>
  <si>
    <r>
      <rPr>
        <b/>
        <sz val="10"/>
        <rFont val="宋体"/>
        <family val="3"/>
        <charset val="134"/>
      </rPr>
      <t>科目</t>
    </r>
    <phoneticPr fontId="5" type="noConversion"/>
  </si>
  <si>
    <r>
      <rPr>
        <b/>
        <sz val="10"/>
        <rFont val="宋体"/>
        <family val="3"/>
        <charset val="134"/>
      </rPr>
      <t>明细科目</t>
    </r>
    <phoneticPr fontId="5" type="noConversion"/>
  </si>
  <si>
    <r>
      <rPr>
        <b/>
        <sz val="10"/>
        <rFont val="宋体"/>
        <family val="3"/>
        <charset val="134"/>
      </rPr>
      <t>上年借方</t>
    </r>
    <phoneticPr fontId="5" type="noConversion"/>
  </si>
  <si>
    <r>
      <rPr>
        <b/>
        <sz val="10"/>
        <rFont val="宋体"/>
        <family val="3"/>
        <charset val="134"/>
      </rPr>
      <t>上年贷方</t>
    </r>
    <phoneticPr fontId="5" type="noConversion"/>
  </si>
  <si>
    <r>
      <rPr>
        <b/>
        <sz val="10"/>
        <rFont val="宋体"/>
        <family val="3"/>
        <charset val="134"/>
      </rPr>
      <t>本年借方</t>
    </r>
    <phoneticPr fontId="5" type="noConversion"/>
  </si>
  <si>
    <r>
      <rPr>
        <b/>
        <sz val="10"/>
        <rFont val="宋体"/>
        <family val="3"/>
        <charset val="134"/>
      </rPr>
      <t>本年贷方</t>
    </r>
    <phoneticPr fontId="5" type="noConversion"/>
  </si>
  <si>
    <r>
      <rPr>
        <sz val="10"/>
        <rFont val="宋体"/>
        <family val="3"/>
        <charset val="134"/>
      </rPr>
      <t>所有者权益</t>
    </r>
  </si>
  <si>
    <r>
      <rPr>
        <sz val="10"/>
        <rFont val="宋体"/>
        <family val="3"/>
        <charset val="134"/>
      </rPr>
      <t>利润表项目</t>
    </r>
  </si>
  <si>
    <r>
      <rPr>
        <sz val="10"/>
        <rFont val="宋体"/>
        <family val="3"/>
        <charset val="134"/>
      </rPr>
      <t>一、经营活动产生的现金流量</t>
    </r>
  </si>
  <si>
    <r>
      <t xml:space="preserve">    </t>
    </r>
    <r>
      <rPr>
        <sz val="10"/>
        <rFont val="宋体"/>
        <family val="3"/>
        <charset val="134"/>
      </rPr>
      <t>客户存款和同业存放款项净增加额</t>
    </r>
  </si>
  <si>
    <r>
      <t xml:space="preserve">    </t>
    </r>
    <r>
      <rPr>
        <sz val="10"/>
        <rFont val="宋体"/>
        <family val="3"/>
        <charset val="134"/>
      </rPr>
      <t>向中央银行借款净增加额</t>
    </r>
  </si>
  <si>
    <r>
      <t xml:space="preserve">    </t>
    </r>
    <r>
      <rPr>
        <sz val="10"/>
        <rFont val="宋体"/>
        <family val="3"/>
        <charset val="134"/>
      </rPr>
      <t>向其他金融机构拆入资金净增加额</t>
    </r>
  </si>
  <si>
    <r>
      <t xml:space="preserve">    </t>
    </r>
    <r>
      <rPr>
        <sz val="10"/>
        <rFont val="宋体"/>
        <family val="3"/>
        <charset val="134"/>
      </rPr>
      <t>收到原保险合同保费取得的现金</t>
    </r>
  </si>
  <si>
    <r>
      <t xml:space="preserve">    </t>
    </r>
    <r>
      <rPr>
        <sz val="10"/>
        <rFont val="宋体"/>
        <family val="3"/>
        <charset val="134"/>
      </rPr>
      <t>收到再保险业务现金净额</t>
    </r>
  </si>
  <si>
    <r>
      <t xml:space="preserve">    </t>
    </r>
    <r>
      <rPr>
        <sz val="10"/>
        <rFont val="宋体"/>
        <family val="3"/>
        <charset val="134"/>
      </rPr>
      <t>保户储金及投资款净增加额</t>
    </r>
  </si>
  <si>
    <r>
      <t xml:space="preserve">    </t>
    </r>
    <r>
      <rPr>
        <sz val="10"/>
        <rFont val="宋体"/>
        <family val="3"/>
        <charset val="134"/>
      </rPr>
      <t>收取利息、手续费及佣金的现金</t>
    </r>
  </si>
  <si>
    <r>
      <t xml:space="preserve">    </t>
    </r>
    <r>
      <rPr>
        <sz val="10"/>
        <rFont val="宋体"/>
        <family val="3"/>
        <charset val="134"/>
      </rPr>
      <t>拆入资金净增加额</t>
    </r>
  </si>
  <si>
    <r>
      <t xml:space="preserve">    </t>
    </r>
    <r>
      <rPr>
        <sz val="10"/>
        <rFont val="宋体"/>
        <family val="3"/>
        <charset val="134"/>
      </rPr>
      <t>回购业务资金净增加额</t>
    </r>
  </si>
  <si>
    <r>
      <t xml:space="preserve">    </t>
    </r>
    <r>
      <rPr>
        <b/>
        <sz val="10"/>
        <rFont val="宋体"/>
        <family val="3"/>
        <charset val="134"/>
      </rPr>
      <t>经营活动现金流入小计</t>
    </r>
  </si>
  <si>
    <r>
      <t xml:space="preserve">    </t>
    </r>
    <r>
      <rPr>
        <sz val="10"/>
        <rFont val="宋体"/>
        <family val="3"/>
        <charset val="134"/>
      </rPr>
      <t>购买商品、接受劳务支付的现金</t>
    </r>
  </si>
  <si>
    <r>
      <t xml:space="preserve">    </t>
    </r>
    <r>
      <rPr>
        <sz val="10"/>
        <rFont val="宋体"/>
        <family val="3"/>
        <charset val="134"/>
      </rPr>
      <t>客户贷款及垫款净增加额</t>
    </r>
  </si>
  <si>
    <r>
      <t xml:space="preserve">    </t>
    </r>
    <r>
      <rPr>
        <sz val="10"/>
        <rFont val="宋体"/>
        <family val="3"/>
        <charset val="134"/>
      </rPr>
      <t>存放中央银行和同业款项净增加额</t>
    </r>
  </si>
  <si>
    <r>
      <t xml:space="preserve">    </t>
    </r>
    <r>
      <rPr>
        <sz val="10"/>
        <rFont val="宋体"/>
        <family val="3"/>
        <charset val="134"/>
      </rPr>
      <t>支付原保险合同赔付款项的现金</t>
    </r>
  </si>
  <si>
    <r>
      <t xml:space="preserve">    </t>
    </r>
    <r>
      <rPr>
        <sz val="10"/>
        <rFont val="宋体"/>
        <family val="3"/>
        <charset val="134"/>
      </rPr>
      <t>支付利息、手续费及佣金的现金</t>
    </r>
  </si>
  <si>
    <r>
      <t xml:space="preserve">    </t>
    </r>
    <r>
      <rPr>
        <sz val="10"/>
        <rFont val="宋体"/>
        <family val="3"/>
        <charset val="134"/>
      </rPr>
      <t>支付保单红利的现金</t>
    </r>
  </si>
  <si>
    <r>
      <rPr>
        <b/>
        <sz val="10"/>
        <rFont val="宋体"/>
        <family val="3"/>
        <charset val="134"/>
      </rPr>
      <t>经营活动现金流出小计</t>
    </r>
  </si>
  <si>
    <r>
      <rPr>
        <b/>
        <sz val="10"/>
        <rFont val="宋体"/>
        <family val="3"/>
        <charset val="134"/>
      </rPr>
      <t>经营活动产生的现金流量净额</t>
    </r>
  </si>
  <si>
    <r>
      <rPr>
        <sz val="10"/>
        <rFont val="宋体"/>
        <family val="3"/>
        <charset val="134"/>
      </rPr>
      <t>二、投资活动产生的现金流量</t>
    </r>
  </si>
  <si>
    <r>
      <rPr>
        <b/>
        <sz val="10"/>
        <rFont val="宋体"/>
        <family val="3"/>
        <charset val="134"/>
      </rPr>
      <t>投资活动现金流入小计</t>
    </r>
  </si>
  <si>
    <r>
      <rPr>
        <b/>
        <sz val="10"/>
        <rFont val="宋体"/>
        <family val="3"/>
        <charset val="134"/>
      </rPr>
      <t>投资活动现金流出小计</t>
    </r>
  </si>
  <si>
    <r>
      <rPr>
        <b/>
        <sz val="10"/>
        <rFont val="宋体"/>
        <family val="3"/>
        <charset val="134"/>
      </rPr>
      <t>投资活动产生的现金流量净额</t>
    </r>
  </si>
  <si>
    <r>
      <rPr>
        <sz val="10"/>
        <rFont val="宋体"/>
        <family val="3"/>
        <charset val="134"/>
      </rPr>
      <t>三、筹资活动产生的现金流量</t>
    </r>
  </si>
  <si>
    <r>
      <t xml:space="preserve">                  </t>
    </r>
    <r>
      <rPr>
        <sz val="10"/>
        <rFont val="宋体"/>
        <family val="3"/>
        <charset val="134"/>
      </rPr>
      <t>其中：子公司吸收少数股东投资收到的现金</t>
    </r>
    <phoneticPr fontId="5" type="noConversion"/>
  </si>
  <si>
    <r>
      <rPr>
        <b/>
        <sz val="10"/>
        <rFont val="宋体"/>
        <family val="3"/>
        <charset val="134"/>
      </rPr>
      <t>筹资活动现金流入小计</t>
    </r>
  </si>
  <si>
    <r>
      <t xml:space="preserve">                 </t>
    </r>
    <r>
      <rPr>
        <sz val="10"/>
        <rFont val="宋体"/>
        <family val="3"/>
        <charset val="134"/>
      </rPr>
      <t>其中：子公司支付给少数股东的股利、利润</t>
    </r>
    <phoneticPr fontId="5" type="noConversion"/>
  </si>
  <si>
    <r>
      <rPr>
        <b/>
        <sz val="10"/>
        <rFont val="宋体"/>
        <family val="3"/>
        <charset val="134"/>
      </rPr>
      <t>筹资活动现金流出小计</t>
    </r>
  </si>
  <si>
    <r>
      <rPr>
        <b/>
        <sz val="10"/>
        <rFont val="宋体"/>
        <family val="3"/>
        <charset val="134"/>
      </rPr>
      <t>筹资活动产生的小计流量净额</t>
    </r>
  </si>
  <si>
    <r>
      <rPr>
        <sz val="10"/>
        <rFont val="宋体"/>
        <family val="3"/>
        <charset val="134"/>
      </rPr>
      <t>四、汇率变动对现金的影响</t>
    </r>
  </si>
  <si>
    <r>
      <t xml:space="preserve">              </t>
    </r>
    <r>
      <rPr>
        <sz val="10"/>
        <rFont val="宋体"/>
        <family val="3"/>
        <charset val="134"/>
      </rPr>
      <t>债务转为资本</t>
    </r>
  </si>
  <si>
    <r>
      <t xml:space="preserve">              </t>
    </r>
    <r>
      <rPr>
        <sz val="10"/>
        <rFont val="宋体"/>
        <family val="3"/>
        <charset val="134"/>
      </rPr>
      <t>一年内到期的可转换公司债券</t>
    </r>
  </si>
  <si>
    <r>
      <t xml:space="preserve">              </t>
    </r>
    <r>
      <rPr>
        <sz val="10"/>
        <rFont val="宋体"/>
        <family val="3"/>
        <charset val="134"/>
      </rPr>
      <t>融资租入固定资产</t>
    </r>
  </si>
  <si>
    <r>
      <t xml:space="preserve">             </t>
    </r>
    <r>
      <rPr>
        <sz val="10"/>
        <rFont val="宋体"/>
        <family val="3"/>
        <charset val="134"/>
      </rPr>
      <t>现金的期末余额</t>
    </r>
  </si>
  <si>
    <r>
      <t xml:space="preserve">             </t>
    </r>
    <r>
      <rPr>
        <sz val="10"/>
        <rFont val="宋体"/>
        <family val="3"/>
        <charset val="134"/>
      </rPr>
      <t>减：现金的期初余额</t>
    </r>
  </si>
  <si>
    <r>
      <t xml:space="preserve">             </t>
    </r>
    <r>
      <rPr>
        <sz val="10"/>
        <rFont val="宋体"/>
        <family val="3"/>
        <charset val="134"/>
      </rPr>
      <t>加：现金等价物的期末余额</t>
    </r>
  </si>
  <si>
    <r>
      <t xml:space="preserve">             </t>
    </r>
    <r>
      <rPr>
        <sz val="10"/>
        <rFont val="宋体"/>
        <family val="3"/>
        <charset val="134"/>
      </rPr>
      <t>减：现金等价物的期初余额</t>
    </r>
  </si>
  <si>
    <r>
      <t xml:space="preserve">            </t>
    </r>
    <r>
      <rPr>
        <sz val="10"/>
        <rFont val="宋体"/>
        <family val="3"/>
        <charset val="134"/>
      </rPr>
      <t>现金及现金等价物净增加额</t>
    </r>
  </si>
  <si>
    <r>
      <rPr>
        <b/>
        <sz val="10"/>
        <rFont val="宋体"/>
        <family val="3"/>
        <charset val="134"/>
      </rPr>
      <t>瑞华会计师事务所</t>
    </r>
    <r>
      <rPr>
        <b/>
        <sz val="10"/>
        <rFont val="Arial Narrow"/>
        <family val="2"/>
      </rPr>
      <t xml:space="preserve">      </t>
    </r>
    <phoneticPr fontId="5" type="noConversion"/>
  </si>
  <si>
    <r>
      <rPr>
        <b/>
        <sz val="10"/>
        <rFont val="宋体"/>
        <family val="3"/>
        <charset val="134"/>
      </rPr>
      <t>项目：资产负债表</t>
    </r>
    <r>
      <rPr>
        <b/>
        <sz val="10"/>
        <rFont val="Arial Narrow"/>
        <family val="2"/>
      </rPr>
      <t>-</t>
    </r>
    <r>
      <rPr>
        <b/>
        <sz val="10"/>
        <rFont val="宋体"/>
        <family val="3"/>
        <charset val="134"/>
      </rPr>
      <t>资产分析</t>
    </r>
  </si>
  <si>
    <r>
      <rPr>
        <sz val="10"/>
        <rFont val="宋体"/>
        <family val="3"/>
        <charset val="134"/>
      </rPr>
      <t>项</t>
    </r>
    <r>
      <rPr>
        <sz val="10"/>
        <rFont val="Arial Narrow"/>
        <family val="2"/>
      </rPr>
      <t xml:space="preserve">       </t>
    </r>
    <r>
      <rPr>
        <sz val="10"/>
        <rFont val="宋体"/>
        <family val="3"/>
        <charset val="134"/>
      </rPr>
      <t>目</t>
    </r>
  </si>
  <si>
    <r>
      <rPr>
        <sz val="10"/>
        <rFont val="宋体"/>
        <family val="3"/>
        <charset val="134"/>
      </rPr>
      <t>上年审定金额</t>
    </r>
  </si>
  <si>
    <r>
      <rPr>
        <sz val="10"/>
        <rFont val="宋体"/>
        <family val="3"/>
        <charset val="134"/>
      </rPr>
      <t>计划阶段</t>
    </r>
  </si>
  <si>
    <r>
      <rPr>
        <sz val="10"/>
        <rFont val="宋体"/>
        <family val="3"/>
        <charset val="134"/>
      </rPr>
      <t>完成阶段</t>
    </r>
  </si>
  <si>
    <r>
      <rPr>
        <sz val="10"/>
        <rFont val="宋体"/>
        <family val="3"/>
        <charset val="134"/>
      </rPr>
      <t>报告期未审金额</t>
    </r>
  </si>
  <si>
    <r>
      <rPr>
        <sz val="10"/>
        <rFont val="宋体"/>
        <family val="3"/>
        <charset val="134"/>
      </rPr>
      <t>变动幅度</t>
    </r>
  </si>
  <si>
    <r>
      <rPr>
        <sz val="10"/>
        <rFont val="宋体"/>
        <family val="3"/>
        <charset val="134"/>
      </rPr>
      <t>增减变动原因</t>
    </r>
    <phoneticPr fontId="5" type="noConversion"/>
  </si>
  <si>
    <r>
      <rPr>
        <sz val="10"/>
        <rFont val="宋体"/>
        <family val="3"/>
        <charset val="134"/>
      </rPr>
      <t>报告期审定金额</t>
    </r>
  </si>
  <si>
    <r>
      <rPr>
        <sz val="10"/>
        <rFont val="宋体"/>
        <family val="3"/>
        <charset val="134"/>
      </rPr>
      <t>增减变动原因</t>
    </r>
    <phoneticPr fontId="5" type="noConversion"/>
  </si>
  <si>
    <r>
      <rPr>
        <sz val="10"/>
        <rFont val="宋体"/>
        <family val="3"/>
        <charset val="134"/>
      </rPr>
      <t>是否存在重大错报风险</t>
    </r>
    <phoneticPr fontId="4" type="noConversion"/>
  </si>
  <si>
    <r>
      <rPr>
        <sz val="10"/>
        <rFont val="宋体"/>
        <family val="3"/>
        <charset val="134"/>
      </rPr>
      <t>结构比</t>
    </r>
    <r>
      <rPr>
        <sz val="10"/>
        <rFont val="Arial Narrow"/>
        <family val="2"/>
      </rPr>
      <t>%</t>
    </r>
  </si>
  <si>
    <r>
      <rPr>
        <sz val="10"/>
        <rFont val="宋体"/>
        <family val="3"/>
        <charset val="134"/>
      </rPr>
      <t>横比</t>
    </r>
    <r>
      <rPr>
        <sz val="10"/>
        <rFont val="Arial Narrow"/>
        <family val="2"/>
      </rPr>
      <t>%</t>
    </r>
  </si>
  <si>
    <r>
      <rPr>
        <sz val="10"/>
        <rFont val="宋体"/>
        <family val="3"/>
        <charset val="134"/>
      </rPr>
      <t>变动结构比</t>
    </r>
  </si>
  <si>
    <r>
      <t xml:space="preserve">    </t>
    </r>
    <r>
      <rPr>
        <sz val="10"/>
        <rFont val="宋体"/>
        <family val="3"/>
        <charset val="134"/>
      </rPr>
      <t>货币资金</t>
    </r>
  </si>
  <si>
    <r>
      <t xml:space="preserve">    </t>
    </r>
    <r>
      <rPr>
        <sz val="10"/>
        <rFont val="宋体"/>
        <family val="3"/>
        <charset val="134"/>
      </rPr>
      <t>结算备付金</t>
    </r>
  </si>
  <si>
    <r>
      <t xml:space="preserve">    </t>
    </r>
    <r>
      <rPr>
        <sz val="10"/>
        <rFont val="宋体"/>
        <family val="3"/>
        <charset val="134"/>
      </rPr>
      <t>拆出资金</t>
    </r>
  </si>
  <si>
    <r>
      <t xml:space="preserve">    </t>
    </r>
    <r>
      <rPr>
        <sz val="10"/>
        <rFont val="宋体"/>
        <family val="3"/>
        <charset val="134"/>
      </rPr>
      <t>应收票据</t>
    </r>
  </si>
  <si>
    <r>
      <t xml:space="preserve">    </t>
    </r>
    <r>
      <rPr>
        <sz val="10"/>
        <rFont val="宋体"/>
        <family val="3"/>
        <charset val="134"/>
      </rPr>
      <t>应收账款</t>
    </r>
  </si>
  <si>
    <r>
      <t xml:space="preserve">    </t>
    </r>
    <r>
      <rPr>
        <sz val="10"/>
        <rFont val="宋体"/>
        <family val="3"/>
        <charset val="134"/>
      </rPr>
      <t>应收保费</t>
    </r>
  </si>
  <si>
    <r>
      <t xml:space="preserve">    </t>
    </r>
    <r>
      <rPr>
        <sz val="10"/>
        <rFont val="宋体"/>
        <family val="3"/>
        <charset val="134"/>
      </rPr>
      <t>应收利息</t>
    </r>
  </si>
  <si>
    <r>
      <t xml:space="preserve">    </t>
    </r>
    <r>
      <rPr>
        <sz val="10"/>
        <rFont val="宋体"/>
        <family val="3"/>
        <charset val="134"/>
      </rPr>
      <t>其他应收款</t>
    </r>
  </si>
  <si>
    <r>
      <t xml:space="preserve">    </t>
    </r>
    <r>
      <rPr>
        <sz val="10"/>
        <rFont val="宋体"/>
        <family val="3"/>
        <charset val="134"/>
      </rPr>
      <t>买入返售金融资产</t>
    </r>
  </si>
  <si>
    <r>
      <t xml:space="preserve">    </t>
    </r>
    <r>
      <rPr>
        <sz val="10"/>
        <rFont val="宋体"/>
        <family val="3"/>
        <charset val="134"/>
      </rPr>
      <t>存货</t>
    </r>
  </si>
  <si>
    <r>
      <t xml:space="preserve">    </t>
    </r>
    <r>
      <rPr>
        <sz val="10"/>
        <rFont val="宋体"/>
        <family val="3"/>
        <charset val="134"/>
      </rPr>
      <t>一年内到期的非流动资产</t>
    </r>
  </si>
  <si>
    <r>
      <t xml:space="preserve">    </t>
    </r>
    <r>
      <rPr>
        <sz val="10"/>
        <rFont val="宋体"/>
        <family val="3"/>
        <charset val="134"/>
      </rPr>
      <t>其他流动资产</t>
    </r>
  </si>
  <si>
    <r>
      <t xml:space="preserve">    </t>
    </r>
    <r>
      <rPr>
        <sz val="10"/>
        <rFont val="宋体"/>
        <family val="3"/>
        <charset val="134"/>
      </rPr>
      <t>可供出售金融资产</t>
    </r>
  </si>
  <si>
    <r>
      <t xml:space="preserve">    </t>
    </r>
    <r>
      <rPr>
        <sz val="10"/>
        <rFont val="宋体"/>
        <family val="3"/>
        <charset val="134"/>
      </rPr>
      <t>持有至到期投资</t>
    </r>
  </si>
  <si>
    <r>
      <t xml:space="preserve">    </t>
    </r>
    <r>
      <rPr>
        <sz val="10"/>
        <rFont val="宋体"/>
        <family val="3"/>
        <charset val="134"/>
      </rPr>
      <t>长期应收款</t>
    </r>
  </si>
  <si>
    <r>
      <t xml:space="preserve">    </t>
    </r>
    <r>
      <rPr>
        <sz val="10"/>
        <rFont val="宋体"/>
        <family val="3"/>
        <charset val="134"/>
      </rPr>
      <t>长期股权投资</t>
    </r>
  </si>
  <si>
    <r>
      <t xml:space="preserve">    </t>
    </r>
    <r>
      <rPr>
        <sz val="10"/>
        <rFont val="宋体"/>
        <family val="3"/>
        <charset val="134"/>
      </rPr>
      <t>投资性房地产</t>
    </r>
  </si>
  <si>
    <r>
      <t xml:space="preserve">    </t>
    </r>
    <r>
      <rPr>
        <sz val="10"/>
        <rFont val="宋体"/>
        <family val="3"/>
        <charset val="134"/>
      </rPr>
      <t>固定资产</t>
    </r>
  </si>
  <si>
    <r>
      <t xml:space="preserve">    </t>
    </r>
    <r>
      <rPr>
        <sz val="10"/>
        <rFont val="宋体"/>
        <family val="3"/>
        <charset val="134"/>
      </rPr>
      <t>减：累计折旧</t>
    </r>
  </si>
  <si>
    <r>
      <t xml:space="preserve">    </t>
    </r>
    <r>
      <rPr>
        <sz val="10"/>
        <rFont val="宋体"/>
        <family val="3"/>
        <charset val="134"/>
      </rPr>
      <t>固定资产净值</t>
    </r>
  </si>
  <si>
    <r>
      <t xml:space="preserve">    </t>
    </r>
    <r>
      <rPr>
        <sz val="10"/>
        <rFont val="宋体"/>
        <family val="3"/>
        <charset val="134"/>
      </rPr>
      <t>减：固定资产减值准备</t>
    </r>
  </si>
  <si>
    <r>
      <t xml:space="preserve">    </t>
    </r>
    <r>
      <rPr>
        <sz val="10"/>
        <rFont val="宋体"/>
        <family val="3"/>
        <charset val="134"/>
      </rPr>
      <t>固定资产净额</t>
    </r>
  </si>
  <si>
    <r>
      <t xml:space="preserve">    </t>
    </r>
    <r>
      <rPr>
        <sz val="10"/>
        <rFont val="宋体"/>
        <family val="3"/>
        <charset val="134"/>
      </rPr>
      <t>在建工程</t>
    </r>
  </si>
  <si>
    <r>
      <t xml:space="preserve">    </t>
    </r>
    <r>
      <rPr>
        <sz val="10"/>
        <rFont val="宋体"/>
        <family val="3"/>
        <charset val="134"/>
      </rPr>
      <t>工程物资</t>
    </r>
  </si>
  <si>
    <r>
      <t xml:space="preserve">    </t>
    </r>
    <r>
      <rPr>
        <sz val="10"/>
        <rFont val="宋体"/>
        <family val="3"/>
        <charset val="134"/>
      </rPr>
      <t>固定资产清理</t>
    </r>
  </si>
  <si>
    <r>
      <t xml:space="preserve">    </t>
    </r>
    <r>
      <rPr>
        <sz val="10"/>
        <rFont val="宋体"/>
        <family val="3"/>
        <charset val="134"/>
      </rPr>
      <t>生产性生物资产</t>
    </r>
  </si>
  <si>
    <r>
      <t xml:space="preserve">    </t>
    </r>
    <r>
      <rPr>
        <sz val="10"/>
        <rFont val="宋体"/>
        <family val="3"/>
        <charset val="134"/>
      </rPr>
      <t>油气资产</t>
    </r>
  </si>
  <si>
    <r>
      <t xml:space="preserve">    </t>
    </r>
    <r>
      <rPr>
        <sz val="10"/>
        <rFont val="宋体"/>
        <family val="3"/>
        <charset val="134"/>
      </rPr>
      <t>无形资产</t>
    </r>
  </si>
  <si>
    <r>
      <t xml:space="preserve">    </t>
    </r>
    <r>
      <rPr>
        <sz val="10"/>
        <rFont val="宋体"/>
        <family val="3"/>
        <charset val="134"/>
      </rPr>
      <t>开发支出</t>
    </r>
  </si>
  <si>
    <r>
      <t xml:space="preserve">    </t>
    </r>
    <r>
      <rPr>
        <sz val="10"/>
        <rFont val="宋体"/>
        <family val="3"/>
        <charset val="134"/>
      </rPr>
      <t>商誉</t>
    </r>
  </si>
  <si>
    <r>
      <t xml:space="preserve">    </t>
    </r>
    <r>
      <rPr>
        <sz val="10"/>
        <rFont val="宋体"/>
        <family val="3"/>
        <charset val="134"/>
      </rPr>
      <t>长期待摊费用</t>
    </r>
  </si>
  <si>
    <r>
      <t xml:space="preserve">    </t>
    </r>
    <r>
      <rPr>
        <sz val="10"/>
        <rFont val="宋体"/>
        <family val="3"/>
        <charset val="134"/>
      </rPr>
      <t>递延所得税资产</t>
    </r>
  </si>
  <si>
    <r>
      <t xml:space="preserve">    </t>
    </r>
    <r>
      <rPr>
        <sz val="10"/>
        <rFont val="宋体"/>
        <family val="3"/>
        <charset val="134"/>
      </rPr>
      <t>其他非流动资产</t>
    </r>
  </si>
  <si>
    <r>
      <rPr>
        <sz val="10"/>
        <rFont val="宋体"/>
        <family val="3"/>
        <charset val="134"/>
      </rPr>
      <t>资产总计</t>
    </r>
    <phoneticPr fontId="5" type="noConversion"/>
  </si>
  <si>
    <r>
      <rPr>
        <b/>
        <sz val="10"/>
        <rFont val="宋体"/>
        <family val="3"/>
        <charset val="134"/>
      </rPr>
      <t>瑞华会计师事务所</t>
    </r>
    <r>
      <rPr>
        <b/>
        <sz val="10"/>
        <rFont val="Arial Narrow"/>
        <family val="2"/>
      </rPr>
      <t xml:space="preserve">      </t>
    </r>
    <phoneticPr fontId="5" type="noConversion"/>
  </si>
  <si>
    <r>
      <rPr>
        <b/>
        <sz val="10"/>
        <rFont val="宋体"/>
        <family val="3"/>
        <charset val="134"/>
      </rPr>
      <t>项目：财务比率分析</t>
    </r>
  </si>
  <si>
    <r>
      <rPr>
        <sz val="10"/>
        <rFont val="宋体"/>
        <family val="3"/>
        <charset val="134"/>
      </rPr>
      <t>类别</t>
    </r>
  </si>
  <si>
    <r>
      <rPr>
        <sz val="10"/>
        <rFont val="宋体"/>
        <family val="3"/>
        <charset val="134"/>
      </rPr>
      <t>指标名称</t>
    </r>
  </si>
  <si>
    <r>
      <rPr>
        <sz val="10"/>
        <rFont val="宋体"/>
        <family val="3"/>
        <charset val="134"/>
      </rPr>
      <t>行业指标</t>
    </r>
  </si>
  <si>
    <r>
      <rPr>
        <sz val="10"/>
        <rFont val="宋体"/>
        <family val="3"/>
        <charset val="134"/>
      </rPr>
      <t>报告期未审数</t>
    </r>
  </si>
  <si>
    <r>
      <rPr>
        <sz val="10"/>
        <rFont val="宋体"/>
        <family val="3"/>
        <charset val="134"/>
      </rPr>
      <t>报告期审定报表</t>
    </r>
  </si>
  <si>
    <r>
      <rPr>
        <sz val="10"/>
        <rFont val="宋体"/>
        <family val="3"/>
        <charset val="134"/>
      </rPr>
      <t>指标数</t>
    </r>
  </si>
  <si>
    <r>
      <rPr>
        <sz val="10"/>
        <rFont val="宋体"/>
        <family val="3"/>
        <charset val="134"/>
      </rPr>
      <t>比上年增减</t>
    </r>
  </si>
  <si>
    <r>
      <rPr>
        <sz val="10"/>
        <rFont val="宋体"/>
        <family val="3"/>
        <charset val="134"/>
      </rPr>
      <t>比行业增减</t>
    </r>
  </si>
  <si>
    <r>
      <rPr>
        <sz val="10"/>
        <rFont val="宋体"/>
        <family val="3"/>
        <charset val="134"/>
      </rPr>
      <t>（计算公式）</t>
    </r>
  </si>
  <si>
    <r>
      <rPr>
        <sz val="10"/>
        <rFont val="宋体"/>
        <family val="3"/>
        <charset val="134"/>
      </rPr>
      <t>变现比率</t>
    </r>
  </si>
  <si>
    <r>
      <rPr>
        <sz val="10"/>
        <rFont val="宋体"/>
        <family val="3"/>
        <charset val="134"/>
      </rPr>
      <t>流动比率</t>
    </r>
  </si>
  <si>
    <r>
      <rPr>
        <sz val="10"/>
        <rFont val="宋体"/>
        <family val="3"/>
        <charset val="134"/>
      </rPr>
      <t>流动资产</t>
    </r>
    <r>
      <rPr>
        <sz val="10"/>
        <rFont val="Arial Narrow"/>
        <family val="2"/>
      </rPr>
      <t>÷</t>
    </r>
    <r>
      <rPr>
        <sz val="10"/>
        <rFont val="宋体"/>
        <family val="3"/>
        <charset val="134"/>
      </rPr>
      <t>流动负债</t>
    </r>
  </si>
  <si>
    <r>
      <rPr>
        <sz val="10"/>
        <rFont val="宋体"/>
        <family val="3"/>
        <charset val="134"/>
      </rPr>
      <t>速动比率</t>
    </r>
  </si>
  <si>
    <r>
      <rPr>
        <sz val="10"/>
        <rFont val="宋体"/>
        <family val="3"/>
        <charset val="134"/>
      </rPr>
      <t>速动资产</t>
    </r>
    <r>
      <rPr>
        <sz val="10"/>
        <rFont val="Arial Narrow"/>
        <family val="2"/>
      </rPr>
      <t>÷</t>
    </r>
    <r>
      <rPr>
        <sz val="10"/>
        <rFont val="宋体"/>
        <family val="3"/>
        <charset val="134"/>
      </rPr>
      <t>流动负债</t>
    </r>
  </si>
  <si>
    <r>
      <rPr>
        <sz val="10"/>
        <rFont val="宋体"/>
        <family val="3"/>
        <charset val="134"/>
      </rPr>
      <t>资产管理效率比率</t>
    </r>
  </si>
  <si>
    <r>
      <rPr>
        <sz val="10"/>
        <rFont val="宋体"/>
        <family val="3"/>
        <charset val="134"/>
      </rPr>
      <t>存货周转率</t>
    </r>
  </si>
  <si>
    <r>
      <rPr>
        <sz val="10"/>
        <rFont val="宋体"/>
        <family val="3"/>
        <charset val="134"/>
      </rPr>
      <t>销售成本</t>
    </r>
    <r>
      <rPr>
        <sz val="10"/>
        <rFont val="Arial Narrow"/>
        <family val="2"/>
      </rPr>
      <t>÷</t>
    </r>
    <r>
      <rPr>
        <sz val="10"/>
        <rFont val="宋体"/>
        <family val="3"/>
        <charset val="134"/>
      </rPr>
      <t>平均存货</t>
    </r>
  </si>
  <si>
    <r>
      <rPr>
        <sz val="10"/>
        <rFont val="宋体"/>
        <family val="3"/>
        <charset val="134"/>
      </rPr>
      <t>存货周转天数（天）</t>
    </r>
  </si>
  <si>
    <r>
      <t>360</t>
    </r>
    <r>
      <rPr>
        <sz val="10"/>
        <rFont val="宋体"/>
        <family val="3"/>
        <charset val="134"/>
      </rPr>
      <t>天</t>
    </r>
    <r>
      <rPr>
        <sz val="10"/>
        <rFont val="Arial Narrow"/>
        <family val="2"/>
      </rPr>
      <t>÷</t>
    </r>
    <r>
      <rPr>
        <sz val="10"/>
        <rFont val="宋体"/>
        <family val="3"/>
        <charset val="134"/>
      </rPr>
      <t>存货周转率</t>
    </r>
  </si>
  <si>
    <r>
      <rPr>
        <sz val="10"/>
        <rFont val="宋体"/>
        <family val="3"/>
        <charset val="134"/>
      </rPr>
      <t>应收账款周转率</t>
    </r>
  </si>
  <si>
    <r>
      <rPr>
        <sz val="10"/>
        <rFont val="宋体"/>
        <family val="3"/>
        <charset val="134"/>
      </rPr>
      <t>营业收入净额</t>
    </r>
    <r>
      <rPr>
        <sz val="10"/>
        <rFont val="Arial Narrow"/>
        <family val="2"/>
      </rPr>
      <t>÷</t>
    </r>
    <r>
      <rPr>
        <sz val="10"/>
        <rFont val="宋体"/>
        <family val="3"/>
        <charset val="134"/>
      </rPr>
      <t>平均应收账款</t>
    </r>
  </si>
  <si>
    <r>
      <rPr>
        <sz val="10"/>
        <rFont val="宋体"/>
        <family val="3"/>
        <charset val="134"/>
      </rPr>
      <t>应收账款周转天数</t>
    </r>
  </si>
  <si>
    <r>
      <t>360</t>
    </r>
    <r>
      <rPr>
        <sz val="10"/>
        <rFont val="宋体"/>
        <family val="3"/>
        <charset val="134"/>
      </rPr>
      <t>天</t>
    </r>
    <r>
      <rPr>
        <sz val="10"/>
        <rFont val="Arial Narrow"/>
        <family val="2"/>
      </rPr>
      <t>÷</t>
    </r>
    <r>
      <rPr>
        <sz val="10"/>
        <rFont val="宋体"/>
        <family val="3"/>
        <charset val="134"/>
      </rPr>
      <t>应收账款周转率</t>
    </r>
  </si>
  <si>
    <r>
      <rPr>
        <sz val="10"/>
        <rFont val="宋体"/>
        <family val="3"/>
        <charset val="134"/>
      </rPr>
      <t>流动资产周转率</t>
    </r>
  </si>
  <si>
    <r>
      <rPr>
        <sz val="10"/>
        <rFont val="宋体"/>
        <family val="3"/>
        <charset val="134"/>
      </rPr>
      <t>营业收入净额</t>
    </r>
    <r>
      <rPr>
        <sz val="10"/>
        <rFont val="Arial Narrow"/>
        <family val="2"/>
      </rPr>
      <t>÷</t>
    </r>
    <r>
      <rPr>
        <sz val="10"/>
        <rFont val="宋体"/>
        <family val="3"/>
        <charset val="134"/>
      </rPr>
      <t>平均流动资产</t>
    </r>
  </si>
  <si>
    <r>
      <rPr>
        <sz val="10"/>
        <rFont val="宋体"/>
        <family val="3"/>
        <charset val="134"/>
      </rPr>
      <t>总资产周转率</t>
    </r>
  </si>
  <si>
    <r>
      <rPr>
        <sz val="10"/>
        <rFont val="宋体"/>
        <family val="3"/>
        <charset val="134"/>
      </rPr>
      <t>营业收入净额</t>
    </r>
    <r>
      <rPr>
        <sz val="10"/>
        <rFont val="Arial Narrow"/>
        <family val="2"/>
      </rPr>
      <t>÷</t>
    </r>
    <r>
      <rPr>
        <sz val="10"/>
        <rFont val="宋体"/>
        <family val="3"/>
        <charset val="134"/>
      </rPr>
      <t>平均总资产</t>
    </r>
  </si>
  <si>
    <r>
      <rPr>
        <sz val="10"/>
        <rFont val="宋体"/>
        <family val="3"/>
        <charset val="134"/>
      </rPr>
      <t>营业周期</t>
    </r>
  </si>
  <si>
    <r>
      <rPr>
        <sz val="10"/>
        <rFont val="宋体"/>
        <family val="3"/>
        <charset val="134"/>
      </rPr>
      <t>存货</t>
    </r>
    <r>
      <rPr>
        <sz val="10"/>
        <rFont val="Arial Narrow"/>
        <family val="2"/>
      </rPr>
      <t>+</t>
    </r>
    <r>
      <rPr>
        <sz val="10"/>
        <rFont val="宋体"/>
        <family val="3"/>
        <charset val="134"/>
      </rPr>
      <t>应收账款周转天数</t>
    </r>
  </si>
  <si>
    <r>
      <rPr>
        <sz val="10"/>
        <rFont val="宋体"/>
        <family val="3"/>
        <charset val="134"/>
      </rPr>
      <t>营运资金周转率</t>
    </r>
  </si>
  <si>
    <r>
      <rPr>
        <sz val="10"/>
        <rFont val="宋体"/>
        <family val="3"/>
        <charset val="134"/>
      </rPr>
      <t>主营业务收入净额</t>
    </r>
    <r>
      <rPr>
        <sz val="10"/>
        <rFont val="Arial Narrow"/>
        <family val="2"/>
      </rPr>
      <t>÷(</t>
    </r>
    <r>
      <rPr>
        <sz val="10"/>
        <rFont val="宋体"/>
        <family val="3"/>
        <charset val="134"/>
      </rPr>
      <t>流动资产－流动负债</t>
    </r>
    <r>
      <rPr>
        <sz val="10"/>
        <rFont val="Arial Narrow"/>
        <family val="2"/>
      </rPr>
      <t>)×100%</t>
    </r>
  </si>
  <si>
    <r>
      <rPr>
        <sz val="10"/>
        <rFont val="宋体"/>
        <family val="3"/>
        <charset val="134"/>
      </rPr>
      <t>负债比率</t>
    </r>
  </si>
  <si>
    <r>
      <rPr>
        <sz val="10"/>
        <rFont val="宋体"/>
        <family val="3"/>
        <charset val="134"/>
      </rPr>
      <t>资产负债率</t>
    </r>
  </si>
  <si>
    <r>
      <rPr>
        <sz val="10"/>
        <rFont val="宋体"/>
        <family val="3"/>
        <charset val="134"/>
      </rPr>
      <t>负债总额</t>
    </r>
    <r>
      <rPr>
        <sz val="10"/>
        <rFont val="Arial Narrow"/>
        <family val="2"/>
      </rPr>
      <t>÷</t>
    </r>
    <r>
      <rPr>
        <sz val="10"/>
        <rFont val="宋体"/>
        <family val="3"/>
        <charset val="134"/>
      </rPr>
      <t>资产总额</t>
    </r>
  </si>
  <si>
    <r>
      <rPr>
        <sz val="10"/>
        <rFont val="宋体"/>
        <family val="3"/>
        <charset val="134"/>
      </rPr>
      <t>产权比率</t>
    </r>
  </si>
  <si>
    <r>
      <rPr>
        <sz val="10"/>
        <rFont val="宋体"/>
        <family val="3"/>
        <charset val="134"/>
      </rPr>
      <t>负债总额</t>
    </r>
    <r>
      <rPr>
        <sz val="10"/>
        <rFont val="Arial Narrow"/>
        <family val="2"/>
      </rPr>
      <t>÷</t>
    </r>
    <r>
      <rPr>
        <sz val="10"/>
        <rFont val="宋体"/>
        <family val="3"/>
        <charset val="134"/>
      </rPr>
      <t>股东权益</t>
    </r>
  </si>
  <si>
    <r>
      <rPr>
        <sz val="10"/>
        <rFont val="宋体"/>
        <family val="3"/>
        <charset val="134"/>
      </rPr>
      <t>有形净值债务率</t>
    </r>
  </si>
  <si>
    <r>
      <rPr>
        <sz val="10"/>
        <rFont val="宋体"/>
        <family val="3"/>
        <charset val="134"/>
      </rPr>
      <t>负债总额</t>
    </r>
    <r>
      <rPr>
        <sz val="10"/>
        <rFont val="Arial Narrow"/>
        <family val="2"/>
      </rPr>
      <t>÷(</t>
    </r>
    <r>
      <rPr>
        <sz val="10"/>
        <rFont val="宋体"/>
        <family val="3"/>
        <charset val="134"/>
      </rPr>
      <t>股东权益</t>
    </r>
    <r>
      <rPr>
        <sz val="10"/>
        <rFont val="Arial Narrow"/>
        <family val="2"/>
      </rPr>
      <t>-</t>
    </r>
    <r>
      <rPr>
        <sz val="10"/>
        <rFont val="宋体"/>
        <family val="3"/>
        <charset val="134"/>
      </rPr>
      <t>无形资产净值）</t>
    </r>
  </si>
  <si>
    <r>
      <rPr>
        <sz val="10"/>
        <rFont val="宋体"/>
        <family val="3"/>
        <charset val="134"/>
      </rPr>
      <t>固定支出保障倍数</t>
    </r>
  </si>
  <si>
    <r>
      <t>(</t>
    </r>
    <r>
      <rPr>
        <sz val="10"/>
        <rFont val="宋体"/>
        <family val="3"/>
        <charset val="134"/>
      </rPr>
      <t>税前利润</t>
    </r>
    <r>
      <rPr>
        <sz val="10"/>
        <rFont val="Arial Narrow"/>
        <family val="2"/>
      </rPr>
      <t>+</t>
    </r>
    <r>
      <rPr>
        <sz val="10"/>
        <rFont val="宋体"/>
        <family val="3"/>
        <charset val="134"/>
      </rPr>
      <t>固定支出</t>
    </r>
    <r>
      <rPr>
        <sz val="10"/>
        <rFont val="Arial Narrow"/>
        <family val="2"/>
      </rPr>
      <t>)÷</t>
    </r>
    <r>
      <rPr>
        <sz val="10"/>
        <rFont val="宋体"/>
        <family val="3"/>
        <charset val="134"/>
      </rPr>
      <t>固定支出</t>
    </r>
  </si>
  <si>
    <r>
      <rPr>
        <sz val="10"/>
        <rFont val="宋体"/>
        <family val="3"/>
        <charset val="134"/>
      </rPr>
      <t>已获利息倍数</t>
    </r>
  </si>
  <si>
    <r>
      <rPr>
        <sz val="10"/>
        <rFont val="宋体"/>
        <family val="3"/>
        <charset val="134"/>
      </rPr>
      <t>息税前利润</t>
    </r>
    <r>
      <rPr>
        <sz val="10"/>
        <rFont val="Arial Narrow"/>
        <family val="2"/>
      </rPr>
      <t>÷</t>
    </r>
    <r>
      <rPr>
        <sz val="10"/>
        <rFont val="宋体"/>
        <family val="3"/>
        <charset val="134"/>
      </rPr>
      <t>利息支出</t>
    </r>
  </si>
  <si>
    <r>
      <rPr>
        <sz val="10"/>
        <rFont val="宋体"/>
        <family val="3"/>
        <charset val="134"/>
      </rPr>
      <t>经营活动现金流量与固定资产支出比率</t>
    </r>
  </si>
  <si>
    <r>
      <rPr>
        <sz val="10"/>
        <rFont val="宋体"/>
        <family val="3"/>
        <charset val="134"/>
      </rPr>
      <t>经营活动现金流量</t>
    </r>
    <r>
      <rPr>
        <sz val="10"/>
        <rFont val="Arial Narrow"/>
        <family val="2"/>
      </rPr>
      <t>÷</t>
    </r>
    <r>
      <rPr>
        <sz val="10"/>
        <rFont val="宋体"/>
        <family val="3"/>
        <charset val="134"/>
      </rPr>
      <t>固定支出</t>
    </r>
  </si>
  <si>
    <r>
      <rPr>
        <sz val="10"/>
        <rFont val="宋体"/>
        <family val="3"/>
        <charset val="134"/>
      </rPr>
      <t>盈利能力比率</t>
    </r>
  </si>
  <si>
    <r>
      <rPr>
        <sz val="10"/>
        <rFont val="宋体"/>
        <family val="3"/>
        <charset val="134"/>
      </rPr>
      <t>销售净利率</t>
    </r>
  </si>
  <si>
    <r>
      <rPr>
        <sz val="10"/>
        <rFont val="宋体"/>
        <family val="3"/>
        <charset val="134"/>
      </rPr>
      <t>净利润</t>
    </r>
    <r>
      <rPr>
        <sz val="10"/>
        <rFont val="Arial Narrow"/>
        <family val="2"/>
      </rPr>
      <t>÷</t>
    </r>
    <r>
      <rPr>
        <sz val="10"/>
        <rFont val="宋体"/>
        <family val="3"/>
        <charset val="134"/>
      </rPr>
      <t>收入</t>
    </r>
  </si>
  <si>
    <r>
      <rPr>
        <sz val="10"/>
        <rFont val="宋体"/>
        <family val="3"/>
        <charset val="134"/>
      </rPr>
      <t>销售毛利率</t>
    </r>
  </si>
  <si>
    <r>
      <rPr>
        <sz val="10"/>
        <rFont val="宋体"/>
        <family val="3"/>
        <charset val="134"/>
      </rPr>
      <t>（收入</t>
    </r>
    <r>
      <rPr>
        <sz val="10"/>
        <rFont val="Arial Narrow"/>
        <family val="2"/>
      </rPr>
      <t>-</t>
    </r>
    <r>
      <rPr>
        <sz val="10"/>
        <rFont val="宋体"/>
        <family val="3"/>
        <charset val="134"/>
      </rPr>
      <t>成本）</t>
    </r>
    <r>
      <rPr>
        <sz val="10"/>
        <rFont val="Arial Narrow"/>
        <family val="2"/>
      </rPr>
      <t>÷</t>
    </r>
    <r>
      <rPr>
        <sz val="10"/>
        <rFont val="宋体"/>
        <family val="3"/>
        <charset val="134"/>
      </rPr>
      <t>收入</t>
    </r>
  </si>
  <si>
    <r>
      <rPr>
        <sz val="10"/>
        <rFont val="宋体"/>
        <family val="3"/>
        <charset val="134"/>
      </rPr>
      <t>资产利润率</t>
    </r>
  </si>
  <si>
    <r>
      <rPr>
        <sz val="10"/>
        <rFont val="宋体"/>
        <family val="3"/>
        <charset val="134"/>
      </rPr>
      <t>净利润</t>
    </r>
    <r>
      <rPr>
        <sz val="10"/>
        <rFont val="Arial Narrow"/>
        <family val="2"/>
      </rPr>
      <t>÷</t>
    </r>
    <r>
      <rPr>
        <sz val="10"/>
        <rFont val="宋体"/>
        <family val="3"/>
        <charset val="134"/>
      </rPr>
      <t>平均总资产</t>
    </r>
  </si>
  <si>
    <r>
      <rPr>
        <sz val="10"/>
        <rFont val="宋体"/>
        <family val="3"/>
        <charset val="134"/>
      </rPr>
      <t>净资产收益率</t>
    </r>
  </si>
  <si>
    <r>
      <rPr>
        <sz val="10"/>
        <rFont val="宋体"/>
        <family val="3"/>
        <charset val="134"/>
      </rPr>
      <t>净利润</t>
    </r>
    <r>
      <rPr>
        <sz val="10"/>
        <rFont val="Arial Narrow"/>
        <family val="2"/>
      </rPr>
      <t>÷</t>
    </r>
    <r>
      <rPr>
        <sz val="10"/>
        <rFont val="宋体"/>
        <family val="3"/>
        <charset val="134"/>
      </rPr>
      <t>平均净资产</t>
    </r>
  </si>
  <si>
    <r>
      <rPr>
        <sz val="10"/>
        <rFont val="宋体"/>
        <family val="3"/>
        <charset val="134"/>
      </rPr>
      <t>总资产回报率</t>
    </r>
  </si>
  <si>
    <r>
      <rPr>
        <sz val="10"/>
        <rFont val="宋体"/>
        <family val="3"/>
        <charset val="134"/>
      </rPr>
      <t>息税前利润</t>
    </r>
    <r>
      <rPr>
        <sz val="10"/>
        <rFont val="Arial Narrow"/>
        <family val="2"/>
      </rPr>
      <t>÷</t>
    </r>
    <r>
      <rPr>
        <sz val="10"/>
        <rFont val="宋体"/>
        <family val="3"/>
        <charset val="134"/>
      </rPr>
      <t>总资产</t>
    </r>
    <r>
      <rPr>
        <sz val="10"/>
        <rFont val="Arial Narrow"/>
        <family val="2"/>
      </rPr>
      <t>×100%</t>
    </r>
  </si>
  <si>
    <r>
      <rPr>
        <sz val="10"/>
        <rFont val="宋体"/>
        <family val="3"/>
        <charset val="134"/>
      </rPr>
      <t>权益回报率</t>
    </r>
  </si>
  <si>
    <r>
      <rPr>
        <sz val="10"/>
        <rFont val="宋体"/>
        <family val="3"/>
        <charset val="134"/>
      </rPr>
      <t>息税前利润</t>
    </r>
    <r>
      <rPr>
        <sz val="10"/>
        <rFont val="Arial Narrow"/>
        <family val="2"/>
      </rPr>
      <t>÷</t>
    </r>
    <r>
      <rPr>
        <sz val="10"/>
        <rFont val="宋体"/>
        <family val="3"/>
        <charset val="134"/>
      </rPr>
      <t>所有者权益总额</t>
    </r>
    <r>
      <rPr>
        <sz val="10"/>
        <rFont val="Arial Narrow"/>
        <family val="2"/>
      </rPr>
      <t>×100%</t>
    </r>
  </si>
  <si>
    <r>
      <rPr>
        <sz val="10"/>
        <rFont val="宋体"/>
        <family val="3"/>
        <charset val="134"/>
      </rPr>
      <t>主营业务毛利率</t>
    </r>
  </si>
  <si>
    <r>
      <rPr>
        <sz val="10"/>
        <rFont val="宋体"/>
        <family val="3"/>
        <charset val="134"/>
      </rPr>
      <t>（主营业务收入</t>
    </r>
    <r>
      <rPr>
        <sz val="10"/>
        <rFont val="Arial Narrow"/>
        <family val="2"/>
      </rPr>
      <t>-</t>
    </r>
    <r>
      <rPr>
        <sz val="10"/>
        <rFont val="宋体"/>
        <family val="3"/>
        <charset val="134"/>
      </rPr>
      <t>主营业务成本）</t>
    </r>
    <r>
      <rPr>
        <sz val="10"/>
        <rFont val="Arial Narrow"/>
        <family val="2"/>
      </rPr>
      <t>÷</t>
    </r>
    <r>
      <rPr>
        <sz val="10"/>
        <rFont val="宋体"/>
        <family val="3"/>
        <charset val="134"/>
      </rPr>
      <t>主营业务收入</t>
    </r>
  </si>
  <si>
    <r>
      <rPr>
        <sz val="10"/>
        <rFont val="宋体"/>
        <family val="3"/>
        <charset val="134"/>
      </rPr>
      <t>其他比率</t>
    </r>
  </si>
  <si>
    <r>
      <rPr>
        <sz val="10"/>
        <rFont val="宋体"/>
        <family val="3"/>
        <charset val="134"/>
      </rPr>
      <t>营业费用率</t>
    </r>
  </si>
  <si>
    <r>
      <rPr>
        <sz val="10"/>
        <rFont val="宋体"/>
        <family val="3"/>
        <charset val="134"/>
      </rPr>
      <t>营业费用</t>
    </r>
    <r>
      <rPr>
        <sz val="10"/>
        <rFont val="Arial Narrow"/>
        <family val="2"/>
      </rPr>
      <t>÷</t>
    </r>
    <r>
      <rPr>
        <sz val="10"/>
        <rFont val="宋体"/>
        <family val="3"/>
        <charset val="134"/>
      </rPr>
      <t>收入</t>
    </r>
  </si>
  <si>
    <r>
      <rPr>
        <sz val="10"/>
        <rFont val="宋体"/>
        <family val="3"/>
        <charset val="134"/>
      </rPr>
      <t>管理费用率</t>
    </r>
  </si>
  <si>
    <r>
      <rPr>
        <sz val="10"/>
        <rFont val="宋体"/>
        <family val="3"/>
        <charset val="134"/>
      </rPr>
      <t>管理费用</t>
    </r>
    <r>
      <rPr>
        <sz val="10"/>
        <rFont val="Arial Narrow"/>
        <family val="2"/>
      </rPr>
      <t>÷</t>
    </r>
    <r>
      <rPr>
        <sz val="10"/>
        <rFont val="宋体"/>
        <family val="3"/>
        <charset val="134"/>
      </rPr>
      <t>收入</t>
    </r>
  </si>
  <si>
    <r>
      <rPr>
        <sz val="10"/>
        <rFont val="宋体"/>
        <family val="3"/>
        <charset val="134"/>
      </rPr>
      <t>现金流动负债比率</t>
    </r>
  </si>
  <si>
    <r>
      <rPr>
        <sz val="10"/>
        <rFont val="宋体"/>
        <family val="3"/>
        <charset val="134"/>
      </rPr>
      <t>年经营现金净流入</t>
    </r>
    <r>
      <rPr>
        <sz val="10"/>
        <rFont val="Arial Narrow"/>
        <family val="2"/>
      </rPr>
      <t>÷</t>
    </r>
    <r>
      <rPr>
        <sz val="10"/>
        <rFont val="宋体"/>
        <family val="3"/>
        <charset val="134"/>
      </rPr>
      <t>流动负债</t>
    </r>
  </si>
  <si>
    <r>
      <rPr>
        <sz val="10"/>
        <rFont val="宋体"/>
        <family val="3"/>
        <charset val="134"/>
      </rPr>
      <t>每股经营活动产生的现金流量</t>
    </r>
  </si>
  <si>
    <r>
      <rPr>
        <sz val="10"/>
        <rFont val="宋体"/>
        <family val="3"/>
        <charset val="134"/>
      </rPr>
      <t>年经营现金净流入</t>
    </r>
    <r>
      <rPr>
        <sz val="10"/>
        <rFont val="Arial Narrow"/>
        <family val="2"/>
      </rPr>
      <t>÷</t>
    </r>
    <r>
      <rPr>
        <sz val="10"/>
        <rFont val="宋体"/>
        <family val="3"/>
        <charset val="134"/>
      </rPr>
      <t>股本</t>
    </r>
  </si>
  <si>
    <r>
      <rPr>
        <sz val="10"/>
        <rFont val="宋体"/>
        <family val="3"/>
        <charset val="134"/>
      </rPr>
      <t>每股净现金流量</t>
    </r>
  </si>
  <si>
    <r>
      <rPr>
        <sz val="10"/>
        <rFont val="宋体"/>
        <family val="3"/>
        <charset val="134"/>
      </rPr>
      <t>年现金净流入</t>
    </r>
    <r>
      <rPr>
        <sz val="10"/>
        <rFont val="Arial Narrow"/>
        <family val="2"/>
      </rPr>
      <t>÷</t>
    </r>
    <r>
      <rPr>
        <sz val="10"/>
        <rFont val="宋体"/>
        <family val="3"/>
        <charset val="134"/>
      </rPr>
      <t>股本</t>
    </r>
  </si>
  <si>
    <r>
      <rPr>
        <sz val="10"/>
        <rFont val="宋体"/>
        <family val="3"/>
        <charset val="134"/>
      </rPr>
      <t>生产能力比率</t>
    </r>
  </si>
  <si>
    <r>
      <rPr>
        <sz val="10"/>
        <rFont val="宋体"/>
        <family val="3"/>
        <charset val="134"/>
      </rPr>
      <t>原材料成本占收入比例</t>
    </r>
  </si>
  <si>
    <r>
      <rPr>
        <sz val="10"/>
        <rFont val="宋体"/>
        <family val="3"/>
        <charset val="134"/>
      </rPr>
      <t>销售成本中的原材料成本</t>
    </r>
    <r>
      <rPr>
        <sz val="10"/>
        <rFont val="Arial Narrow"/>
        <family val="2"/>
      </rPr>
      <t>÷</t>
    </r>
    <r>
      <rPr>
        <sz val="10"/>
        <rFont val="宋体"/>
        <family val="3"/>
        <charset val="134"/>
      </rPr>
      <t>相应的销售收入</t>
    </r>
    <r>
      <rPr>
        <sz val="10"/>
        <rFont val="Arial Narrow"/>
        <family val="2"/>
      </rPr>
      <t>×100</t>
    </r>
    <r>
      <rPr>
        <sz val="10"/>
        <rFont val="宋体"/>
        <family val="3"/>
        <charset val="134"/>
      </rPr>
      <t>％</t>
    </r>
  </si>
  <si>
    <r>
      <rPr>
        <sz val="10"/>
        <rFont val="宋体"/>
        <family val="3"/>
        <charset val="134"/>
      </rPr>
      <t>人工成本占收入比例</t>
    </r>
    <r>
      <rPr>
        <sz val="10"/>
        <rFont val="Arial Narrow"/>
        <family val="2"/>
      </rPr>
      <t xml:space="preserve"> </t>
    </r>
  </si>
  <si>
    <r>
      <rPr>
        <sz val="10"/>
        <rFont val="宋体"/>
        <family val="3"/>
        <charset val="134"/>
      </rPr>
      <t>销售成本中的人工成本</t>
    </r>
    <r>
      <rPr>
        <sz val="10"/>
        <rFont val="Arial Narrow"/>
        <family val="2"/>
      </rPr>
      <t>÷</t>
    </r>
    <r>
      <rPr>
        <sz val="10"/>
        <rFont val="宋体"/>
        <family val="3"/>
        <charset val="134"/>
      </rPr>
      <t>相应的销售收入</t>
    </r>
    <r>
      <rPr>
        <sz val="10"/>
        <rFont val="Arial Narrow"/>
        <family val="2"/>
      </rPr>
      <t>×100</t>
    </r>
    <r>
      <rPr>
        <sz val="10"/>
        <rFont val="宋体"/>
        <family val="3"/>
        <charset val="134"/>
      </rPr>
      <t>％</t>
    </r>
  </si>
  <si>
    <r>
      <rPr>
        <sz val="10"/>
        <rFont val="宋体"/>
        <family val="3"/>
        <charset val="134"/>
      </rPr>
      <t>人均收入</t>
    </r>
  </si>
  <si>
    <r>
      <rPr>
        <sz val="10"/>
        <rFont val="宋体"/>
        <family val="3"/>
        <charset val="134"/>
      </rPr>
      <t>收入总额</t>
    </r>
    <r>
      <rPr>
        <sz val="10"/>
        <rFont val="Arial Narrow"/>
        <family val="2"/>
      </rPr>
      <t>÷</t>
    </r>
    <r>
      <rPr>
        <sz val="10"/>
        <rFont val="宋体"/>
        <family val="3"/>
        <charset val="134"/>
      </rPr>
      <t>员工人数</t>
    </r>
    <r>
      <rPr>
        <sz val="10"/>
        <rFont val="Arial Narrow"/>
        <family val="2"/>
      </rPr>
      <t xml:space="preserve"> </t>
    </r>
  </si>
  <si>
    <r>
      <rPr>
        <sz val="10"/>
        <rFont val="宋体"/>
        <family val="3"/>
        <charset val="134"/>
      </rPr>
      <t>人均成本</t>
    </r>
  </si>
  <si>
    <r>
      <rPr>
        <sz val="10"/>
        <rFont val="宋体"/>
        <family val="3"/>
        <charset val="134"/>
      </rPr>
      <t>销售成本</t>
    </r>
    <r>
      <rPr>
        <sz val="10"/>
        <rFont val="Arial Narrow"/>
        <family val="2"/>
      </rPr>
      <t>÷</t>
    </r>
    <r>
      <rPr>
        <sz val="10"/>
        <rFont val="宋体"/>
        <family val="3"/>
        <charset val="134"/>
      </rPr>
      <t>生产员工人数</t>
    </r>
  </si>
  <si>
    <r>
      <rPr>
        <sz val="10"/>
        <rFont val="宋体"/>
        <family val="3"/>
        <charset val="134"/>
      </rPr>
      <t>人均人工成本</t>
    </r>
  </si>
  <si>
    <r>
      <rPr>
        <sz val="10"/>
        <rFont val="宋体"/>
        <family val="3"/>
        <charset val="134"/>
      </rPr>
      <t>人工成本</t>
    </r>
    <r>
      <rPr>
        <sz val="10"/>
        <rFont val="Arial Narrow"/>
        <family val="2"/>
      </rPr>
      <t>÷</t>
    </r>
    <r>
      <rPr>
        <sz val="10"/>
        <rFont val="宋体"/>
        <family val="3"/>
        <charset val="134"/>
      </rPr>
      <t>相应的员工人数</t>
    </r>
  </si>
  <si>
    <r>
      <rPr>
        <b/>
        <sz val="10"/>
        <rFont val="宋体"/>
        <family val="3"/>
        <charset val="134"/>
      </rPr>
      <t>需手工输入的数据</t>
    </r>
  </si>
  <si>
    <r>
      <rPr>
        <sz val="10"/>
        <rFont val="宋体"/>
        <family val="3"/>
        <charset val="134"/>
      </rPr>
      <t>生产经营数据</t>
    </r>
  </si>
  <si>
    <r>
      <rPr>
        <sz val="10"/>
        <rFont val="宋体"/>
        <family val="3"/>
        <charset val="134"/>
      </rPr>
      <t>利息费用</t>
    </r>
  </si>
  <si>
    <r>
      <rPr>
        <sz val="10"/>
        <rFont val="宋体"/>
        <family val="3"/>
        <charset val="134"/>
      </rPr>
      <t>固定支出</t>
    </r>
  </si>
  <si>
    <r>
      <rPr>
        <sz val="10"/>
        <rFont val="宋体"/>
        <family val="3"/>
        <charset val="134"/>
      </rPr>
      <t>销售成本中的原材料成本</t>
    </r>
  </si>
  <si>
    <r>
      <rPr>
        <sz val="10"/>
        <rFont val="宋体"/>
        <family val="3"/>
        <charset val="134"/>
      </rPr>
      <t>销售成本中的人工成本</t>
    </r>
  </si>
  <si>
    <r>
      <rPr>
        <sz val="10"/>
        <rFont val="宋体"/>
        <family val="3"/>
        <charset val="134"/>
      </rPr>
      <t>生产成本中的人工成本</t>
    </r>
  </si>
  <si>
    <r>
      <rPr>
        <sz val="10"/>
        <rFont val="宋体"/>
        <family val="3"/>
        <charset val="134"/>
      </rPr>
      <t>总人工成本</t>
    </r>
  </si>
  <si>
    <r>
      <rPr>
        <sz val="10"/>
        <rFont val="宋体"/>
        <family val="3"/>
        <charset val="134"/>
      </rPr>
      <t>员工人数</t>
    </r>
    <r>
      <rPr>
        <sz val="10"/>
        <rFont val="Arial Narrow"/>
        <family val="2"/>
      </rPr>
      <t xml:space="preserve"> </t>
    </r>
  </si>
  <si>
    <r>
      <rPr>
        <sz val="10"/>
        <rFont val="宋体"/>
        <family val="3"/>
        <charset val="134"/>
      </rPr>
      <t>生产员工人数</t>
    </r>
  </si>
  <si>
    <r>
      <rPr>
        <b/>
        <sz val="10"/>
        <rFont val="宋体"/>
        <family val="3"/>
        <charset val="134"/>
      </rPr>
      <t>瑞华会计师事务所</t>
    </r>
    <r>
      <rPr>
        <b/>
        <sz val="10"/>
        <rFont val="Arial Narrow"/>
        <family val="2"/>
      </rPr>
      <t xml:space="preserve">      </t>
    </r>
    <phoneticPr fontId="5" type="noConversion"/>
  </si>
  <si>
    <r>
      <rPr>
        <b/>
        <sz val="10"/>
        <rFont val="宋体"/>
        <family val="3"/>
        <charset val="134"/>
      </rPr>
      <t>项目：现金流量表分析</t>
    </r>
  </si>
  <si>
    <r>
      <rPr>
        <sz val="10"/>
        <rFont val="宋体"/>
        <family val="3"/>
        <charset val="134"/>
      </rPr>
      <t>项</t>
    </r>
    <r>
      <rPr>
        <sz val="10"/>
        <rFont val="Arial Narrow"/>
        <family val="2"/>
      </rPr>
      <t xml:space="preserve">       </t>
    </r>
    <r>
      <rPr>
        <sz val="10"/>
        <rFont val="宋体"/>
        <family val="3"/>
        <charset val="134"/>
      </rPr>
      <t>目</t>
    </r>
    <phoneticPr fontId="5" type="noConversion"/>
  </si>
  <si>
    <r>
      <rPr>
        <sz val="10"/>
        <rFont val="宋体"/>
        <family val="3"/>
        <charset val="134"/>
      </rPr>
      <t>是否存在重大错报风险</t>
    </r>
    <phoneticPr fontId="5" type="noConversion"/>
  </si>
  <si>
    <r>
      <t xml:space="preserve">    </t>
    </r>
    <r>
      <rPr>
        <sz val="10"/>
        <rFont val="宋体"/>
        <family val="3"/>
        <charset val="134"/>
      </rPr>
      <t>处置以公允价值计量且其变动计入当期损益的金融资产净增加额</t>
    </r>
  </si>
  <si>
    <r>
      <t xml:space="preserve">       </t>
    </r>
    <r>
      <rPr>
        <sz val="10"/>
        <rFont val="宋体"/>
        <family val="3"/>
        <charset val="134"/>
      </rPr>
      <t>收回投资收到的现金</t>
    </r>
  </si>
  <si>
    <r>
      <t xml:space="preserve">       </t>
    </r>
    <r>
      <rPr>
        <sz val="10"/>
        <rFont val="宋体"/>
        <family val="3"/>
        <charset val="134"/>
      </rPr>
      <t>取得投资收益收到的现金</t>
    </r>
  </si>
  <si>
    <r>
      <t xml:space="preserve">       </t>
    </r>
    <r>
      <rPr>
        <sz val="10"/>
        <rFont val="宋体"/>
        <family val="3"/>
        <charset val="134"/>
      </rPr>
      <t>处置固定资产、无形资产和其他长期资产收回的现金净额</t>
    </r>
  </si>
  <si>
    <r>
      <t xml:space="preserve">       </t>
    </r>
    <r>
      <rPr>
        <sz val="10"/>
        <rFont val="宋体"/>
        <family val="3"/>
        <charset val="134"/>
      </rPr>
      <t>处置子公司及其其他营业单位收到的现金净额</t>
    </r>
  </si>
  <si>
    <r>
      <t xml:space="preserve">       </t>
    </r>
    <r>
      <rPr>
        <sz val="10"/>
        <rFont val="宋体"/>
        <family val="3"/>
        <charset val="134"/>
      </rPr>
      <t>收到其他与投资活动有关的现金</t>
    </r>
  </si>
  <si>
    <r>
      <t xml:space="preserve">       </t>
    </r>
    <r>
      <rPr>
        <sz val="10"/>
        <rFont val="宋体"/>
        <family val="3"/>
        <charset val="134"/>
      </rPr>
      <t>购建固定资产、无形资产和其他长期资产支付的现金</t>
    </r>
  </si>
  <si>
    <r>
      <t xml:space="preserve">       </t>
    </r>
    <r>
      <rPr>
        <sz val="10"/>
        <rFont val="宋体"/>
        <family val="3"/>
        <charset val="134"/>
      </rPr>
      <t>投资支付的现金</t>
    </r>
  </si>
  <si>
    <r>
      <t xml:space="preserve">       </t>
    </r>
    <r>
      <rPr>
        <sz val="10"/>
        <rFont val="宋体"/>
        <family val="3"/>
        <charset val="134"/>
      </rPr>
      <t>质押贷款净增加额</t>
    </r>
  </si>
  <si>
    <r>
      <t xml:space="preserve">       </t>
    </r>
    <r>
      <rPr>
        <sz val="10"/>
        <rFont val="宋体"/>
        <family val="3"/>
        <charset val="134"/>
      </rPr>
      <t>取得子公司及其其他营业单位支付的现金净额</t>
    </r>
  </si>
  <si>
    <r>
      <t xml:space="preserve">       </t>
    </r>
    <r>
      <rPr>
        <sz val="10"/>
        <rFont val="宋体"/>
        <family val="3"/>
        <charset val="134"/>
      </rPr>
      <t>支付其他与投资活动有关的现金</t>
    </r>
  </si>
  <si>
    <r>
      <t xml:space="preserve">       </t>
    </r>
    <r>
      <rPr>
        <sz val="10"/>
        <rFont val="宋体"/>
        <family val="3"/>
        <charset val="134"/>
      </rPr>
      <t>吸收投资收到的现金</t>
    </r>
  </si>
  <si>
    <r>
      <t xml:space="preserve">       </t>
    </r>
    <r>
      <rPr>
        <sz val="10"/>
        <rFont val="宋体"/>
        <family val="3"/>
        <charset val="134"/>
      </rPr>
      <t>取得借款收到的现金</t>
    </r>
  </si>
  <si>
    <r>
      <t xml:space="preserve">       </t>
    </r>
    <r>
      <rPr>
        <sz val="10"/>
        <rFont val="宋体"/>
        <family val="3"/>
        <charset val="134"/>
      </rPr>
      <t>发行债券收到的现金</t>
    </r>
  </si>
  <si>
    <r>
      <t xml:space="preserve">       </t>
    </r>
    <r>
      <rPr>
        <sz val="10"/>
        <rFont val="宋体"/>
        <family val="3"/>
        <charset val="134"/>
      </rPr>
      <t>收到其他与筹资活动有关的现金</t>
    </r>
  </si>
  <si>
    <r>
      <t xml:space="preserve">       </t>
    </r>
    <r>
      <rPr>
        <sz val="10"/>
        <rFont val="宋体"/>
        <family val="3"/>
        <charset val="134"/>
      </rPr>
      <t>偿还债务支付的现金</t>
    </r>
  </si>
  <si>
    <r>
      <t xml:space="preserve">       </t>
    </r>
    <r>
      <rPr>
        <sz val="10"/>
        <rFont val="宋体"/>
        <family val="3"/>
        <charset val="134"/>
      </rPr>
      <t>分配股利、利润或偿付利息支付的现金</t>
    </r>
  </si>
  <si>
    <r>
      <t xml:space="preserve">       </t>
    </r>
    <r>
      <rPr>
        <sz val="10"/>
        <rFont val="宋体"/>
        <family val="3"/>
        <charset val="134"/>
      </rPr>
      <t>支付其他与筹资活动有关的现金</t>
    </r>
  </si>
  <si>
    <r>
      <t xml:space="preserve">       </t>
    </r>
    <r>
      <rPr>
        <sz val="10"/>
        <rFont val="宋体"/>
        <family val="3"/>
        <charset val="134"/>
      </rPr>
      <t>加：年初现金及现金等价物余额</t>
    </r>
  </si>
  <si>
    <r>
      <t xml:space="preserve"> </t>
    </r>
    <r>
      <rPr>
        <sz val="10"/>
        <rFont val="宋体"/>
        <family val="3"/>
        <charset val="134"/>
      </rPr>
      <t>六、年末现金及等价物余额</t>
    </r>
    <phoneticPr fontId="5" type="noConversion"/>
  </si>
  <si>
    <r>
      <t>1</t>
    </r>
    <r>
      <rPr>
        <sz val="10"/>
        <rFont val="宋体"/>
        <family val="3"/>
        <charset val="134"/>
      </rPr>
      <t>、将净利润调节为经营活动的现金流量：</t>
    </r>
  </si>
  <si>
    <r>
      <t xml:space="preserve">   </t>
    </r>
    <r>
      <rPr>
        <sz val="10"/>
        <rFont val="宋体"/>
        <family val="3"/>
        <charset val="134"/>
      </rPr>
      <t>净利润</t>
    </r>
  </si>
  <si>
    <r>
      <t xml:space="preserve">   </t>
    </r>
    <r>
      <rPr>
        <sz val="10"/>
        <rFont val="宋体"/>
        <family val="3"/>
        <charset val="134"/>
      </rPr>
      <t>加：资产减值准备</t>
    </r>
  </si>
  <si>
    <r>
      <t xml:space="preserve">       </t>
    </r>
    <r>
      <rPr>
        <sz val="10"/>
        <rFont val="宋体"/>
        <family val="3"/>
        <charset val="134"/>
      </rPr>
      <t>固定资产折旧、油气资产折耗、生产性生物资产折旧</t>
    </r>
  </si>
  <si>
    <r>
      <t xml:space="preserve">       </t>
    </r>
    <r>
      <rPr>
        <sz val="10"/>
        <rFont val="宋体"/>
        <family val="3"/>
        <charset val="134"/>
      </rPr>
      <t>无形资产摊销</t>
    </r>
  </si>
  <si>
    <r>
      <t xml:space="preserve">       </t>
    </r>
    <r>
      <rPr>
        <sz val="10"/>
        <rFont val="宋体"/>
        <family val="3"/>
        <charset val="134"/>
      </rPr>
      <t>长期待摊费用摊销</t>
    </r>
  </si>
  <si>
    <r>
      <t xml:space="preserve">       </t>
    </r>
    <r>
      <rPr>
        <sz val="10"/>
        <rFont val="宋体"/>
        <family val="3"/>
        <charset val="134"/>
      </rPr>
      <t>处置固定资产、无形资产和其他长期资产的损失（收益以</t>
    </r>
    <r>
      <rPr>
        <sz val="10"/>
        <rFont val="Arial Narrow"/>
        <family val="2"/>
      </rPr>
      <t>“</t>
    </r>
    <r>
      <rPr>
        <sz val="10"/>
        <rFont val="宋体"/>
        <family val="3"/>
        <charset val="134"/>
      </rPr>
      <t>－</t>
    </r>
    <r>
      <rPr>
        <sz val="10"/>
        <rFont val="Arial Narrow"/>
        <family val="2"/>
      </rPr>
      <t>”</t>
    </r>
    <r>
      <rPr>
        <sz val="10"/>
        <rFont val="宋体"/>
        <family val="3"/>
        <charset val="134"/>
      </rPr>
      <t>号填列）</t>
    </r>
  </si>
  <si>
    <r>
      <t xml:space="preserve">       </t>
    </r>
    <r>
      <rPr>
        <sz val="10"/>
        <rFont val="宋体"/>
        <family val="3"/>
        <charset val="134"/>
      </rPr>
      <t>固定资产报废损失（收益以</t>
    </r>
    <r>
      <rPr>
        <sz val="10"/>
        <rFont val="Arial Narrow"/>
        <family val="2"/>
      </rPr>
      <t>“</t>
    </r>
    <r>
      <rPr>
        <sz val="10"/>
        <rFont val="宋体"/>
        <family val="3"/>
        <charset val="134"/>
      </rPr>
      <t>－</t>
    </r>
    <r>
      <rPr>
        <sz val="10"/>
        <rFont val="Arial Narrow"/>
        <family val="2"/>
      </rPr>
      <t>”</t>
    </r>
    <r>
      <rPr>
        <sz val="10"/>
        <rFont val="宋体"/>
        <family val="3"/>
        <charset val="134"/>
      </rPr>
      <t>号填列）</t>
    </r>
  </si>
  <si>
    <r>
      <t xml:space="preserve">       </t>
    </r>
    <r>
      <rPr>
        <sz val="10"/>
        <rFont val="宋体"/>
        <family val="3"/>
        <charset val="134"/>
      </rPr>
      <t>公允价值变动损失（收益以</t>
    </r>
    <r>
      <rPr>
        <sz val="10"/>
        <rFont val="Arial Narrow"/>
        <family val="2"/>
      </rPr>
      <t>“</t>
    </r>
    <r>
      <rPr>
        <sz val="10"/>
        <rFont val="宋体"/>
        <family val="3"/>
        <charset val="134"/>
      </rPr>
      <t>－</t>
    </r>
    <r>
      <rPr>
        <sz val="10"/>
        <rFont val="Arial Narrow"/>
        <family val="2"/>
      </rPr>
      <t>”</t>
    </r>
    <r>
      <rPr>
        <sz val="10"/>
        <rFont val="宋体"/>
        <family val="3"/>
        <charset val="134"/>
      </rPr>
      <t>号填列）</t>
    </r>
  </si>
  <si>
    <r>
      <t xml:space="preserve">       </t>
    </r>
    <r>
      <rPr>
        <sz val="10"/>
        <rFont val="宋体"/>
        <family val="3"/>
        <charset val="134"/>
      </rPr>
      <t>财务费用（收益以</t>
    </r>
    <r>
      <rPr>
        <sz val="10"/>
        <rFont val="Arial Narrow"/>
        <family val="2"/>
      </rPr>
      <t>“</t>
    </r>
    <r>
      <rPr>
        <sz val="10"/>
        <rFont val="宋体"/>
        <family val="3"/>
        <charset val="134"/>
      </rPr>
      <t>－</t>
    </r>
    <r>
      <rPr>
        <sz val="10"/>
        <rFont val="Arial Narrow"/>
        <family val="2"/>
      </rPr>
      <t>”</t>
    </r>
    <r>
      <rPr>
        <sz val="10"/>
        <rFont val="宋体"/>
        <family val="3"/>
        <charset val="134"/>
      </rPr>
      <t>号填列）</t>
    </r>
  </si>
  <si>
    <r>
      <t xml:space="preserve">       </t>
    </r>
    <r>
      <rPr>
        <sz val="10"/>
        <rFont val="宋体"/>
        <family val="3"/>
        <charset val="134"/>
      </rPr>
      <t>投资损失（收益以</t>
    </r>
    <r>
      <rPr>
        <sz val="10"/>
        <rFont val="Arial Narrow"/>
        <family val="2"/>
      </rPr>
      <t>“</t>
    </r>
    <r>
      <rPr>
        <sz val="10"/>
        <rFont val="宋体"/>
        <family val="3"/>
        <charset val="134"/>
      </rPr>
      <t>－</t>
    </r>
    <r>
      <rPr>
        <sz val="10"/>
        <rFont val="Arial Narrow"/>
        <family val="2"/>
      </rPr>
      <t>”</t>
    </r>
    <r>
      <rPr>
        <sz val="10"/>
        <rFont val="宋体"/>
        <family val="3"/>
        <charset val="134"/>
      </rPr>
      <t>号填列）</t>
    </r>
  </si>
  <si>
    <r>
      <t xml:space="preserve">       </t>
    </r>
    <r>
      <rPr>
        <sz val="10"/>
        <rFont val="宋体"/>
        <family val="3"/>
        <charset val="134"/>
      </rPr>
      <t>递延所得税资产减少（增加以</t>
    </r>
    <r>
      <rPr>
        <sz val="10"/>
        <rFont val="Arial Narrow"/>
        <family val="2"/>
      </rPr>
      <t>“</t>
    </r>
    <r>
      <rPr>
        <sz val="10"/>
        <rFont val="宋体"/>
        <family val="3"/>
        <charset val="134"/>
      </rPr>
      <t>－</t>
    </r>
    <r>
      <rPr>
        <sz val="10"/>
        <rFont val="Arial Narrow"/>
        <family val="2"/>
      </rPr>
      <t>”</t>
    </r>
    <r>
      <rPr>
        <sz val="10"/>
        <rFont val="宋体"/>
        <family val="3"/>
        <charset val="134"/>
      </rPr>
      <t>号填列）</t>
    </r>
  </si>
  <si>
    <r>
      <t xml:space="preserve">       </t>
    </r>
    <r>
      <rPr>
        <sz val="10"/>
        <rFont val="宋体"/>
        <family val="3"/>
        <charset val="134"/>
      </rPr>
      <t>递延所得税负债增加（减少以</t>
    </r>
    <r>
      <rPr>
        <sz val="10"/>
        <rFont val="Arial Narrow"/>
        <family val="2"/>
      </rPr>
      <t>“</t>
    </r>
    <r>
      <rPr>
        <sz val="10"/>
        <rFont val="宋体"/>
        <family val="3"/>
        <charset val="134"/>
      </rPr>
      <t>－</t>
    </r>
    <r>
      <rPr>
        <sz val="10"/>
        <rFont val="Arial Narrow"/>
        <family val="2"/>
      </rPr>
      <t>”</t>
    </r>
    <r>
      <rPr>
        <sz val="10"/>
        <rFont val="宋体"/>
        <family val="3"/>
        <charset val="134"/>
      </rPr>
      <t>号填列）</t>
    </r>
  </si>
  <si>
    <r>
      <t xml:space="preserve">       </t>
    </r>
    <r>
      <rPr>
        <sz val="10"/>
        <rFont val="宋体"/>
        <family val="3"/>
        <charset val="134"/>
      </rPr>
      <t>存货的减少（增加以</t>
    </r>
    <r>
      <rPr>
        <sz val="10"/>
        <rFont val="Arial Narrow"/>
        <family val="2"/>
      </rPr>
      <t>“</t>
    </r>
    <r>
      <rPr>
        <sz val="10"/>
        <rFont val="宋体"/>
        <family val="3"/>
        <charset val="134"/>
      </rPr>
      <t>－</t>
    </r>
    <r>
      <rPr>
        <sz val="10"/>
        <rFont val="Arial Narrow"/>
        <family val="2"/>
      </rPr>
      <t>”</t>
    </r>
    <r>
      <rPr>
        <sz val="10"/>
        <rFont val="宋体"/>
        <family val="3"/>
        <charset val="134"/>
      </rPr>
      <t>号填列）</t>
    </r>
  </si>
  <si>
    <r>
      <t xml:space="preserve">       </t>
    </r>
    <r>
      <rPr>
        <sz val="10"/>
        <rFont val="宋体"/>
        <family val="3"/>
        <charset val="134"/>
      </rPr>
      <t>经营性应收项目的减少（增加以</t>
    </r>
    <r>
      <rPr>
        <sz val="10"/>
        <rFont val="Arial Narrow"/>
        <family val="2"/>
      </rPr>
      <t>“</t>
    </r>
    <r>
      <rPr>
        <sz val="10"/>
        <rFont val="宋体"/>
        <family val="3"/>
        <charset val="134"/>
      </rPr>
      <t>－</t>
    </r>
    <r>
      <rPr>
        <sz val="10"/>
        <rFont val="Arial Narrow"/>
        <family val="2"/>
      </rPr>
      <t>”</t>
    </r>
    <r>
      <rPr>
        <sz val="10"/>
        <rFont val="宋体"/>
        <family val="3"/>
        <charset val="134"/>
      </rPr>
      <t>号填列）</t>
    </r>
  </si>
  <si>
    <r>
      <t xml:space="preserve">       </t>
    </r>
    <r>
      <rPr>
        <sz val="10"/>
        <rFont val="宋体"/>
        <family val="3"/>
        <charset val="134"/>
      </rPr>
      <t>经营性应付项目的增加（减少以</t>
    </r>
    <r>
      <rPr>
        <sz val="10"/>
        <rFont val="Arial Narrow"/>
        <family val="2"/>
      </rPr>
      <t>“</t>
    </r>
    <r>
      <rPr>
        <sz val="10"/>
        <rFont val="宋体"/>
        <family val="3"/>
        <charset val="134"/>
      </rPr>
      <t>－</t>
    </r>
    <r>
      <rPr>
        <sz val="10"/>
        <rFont val="Arial Narrow"/>
        <family val="2"/>
      </rPr>
      <t>”</t>
    </r>
    <r>
      <rPr>
        <sz val="10"/>
        <rFont val="宋体"/>
        <family val="3"/>
        <charset val="134"/>
      </rPr>
      <t>号填列）</t>
    </r>
  </si>
  <si>
    <r>
      <t xml:space="preserve">       </t>
    </r>
    <r>
      <rPr>
        <sz val="10"/>
        <rFont val="宋体"/>
        <family val="3"/>
        <charset val="134"/>
      </rPr>
      <t>其他</t>
    </r>
  </si>
  <si>
    <r>
      <t xml:space="preserve">   </t>
    </r>
    <r>
      <rPr>
        <sz val="10"/>
        <rFont val="宋体"/>
        <family val="3"/>
        <charset val="134"/>
      </rPr>
      <t>经营活动产生的现金流量净额</t>
    </r>
  </si>
  <si>
    <r>
      <t>2</t>
    </r>
    <r>
      <rPr>
        <sz val="10"/>
        <rFont val="宋体"/>
        <family val="3"/>
        <charset val="134"/>
      </rPr>
      <t>、不涉及现金收支的投资和筹资活动：</t>
    </r>
  </si>
  <si>
    <r>
      <t>3</t>
    </r>
    <r>
      <rPr>
        <sz val="10"/>
        <rFont val="宋体"/>
        <family val="3"/>
        <charset val="134"/>
      </rPr>
      <t>、现金及现金等价物净增加情况：</t>
    </r>
  </si>
  <si>
    <r>
      <rPr>
        <b/>
        <sz val="10"/>
        <rFont val="宋体"/>
        <family val="3"/>
        <charset val="134"/>
      </rPr>
      <t>项目：利润表分析</t>
    </r>
  </si>
  <si>
    <r>
      <rPr>
        <sz val="10"/>
        <rFont val="宋体"/>
        <family val="3"/>
        <charset val="134"/>
      </rPr>
      <t>是否存在重大错报风险</t>
    </r>
    <phoneticPr fontId="5" type="noConversion"/>
  </si>
  <si>
    <r>
      <rPr>
        <sz val="10"/>
        <rFont val="宋体"/>
        <family val="3"/>
        <charset val="134"/>
      </rPr>
      <t>其中：营业收入</t>
    </r>
  </si>
  <si>
    <r>
      <t xml:space="preserve">      </t>
    </r>
    <r>
      <rPr>
        <sz val="10"/>
        <rFont val="宋体"/>
        <family val="3"/>
        <charset val="134"/>
      </rPr>
      <t>其中：主营业务收入</t>
    </r>
  </si>
  <si>
    <r>
      <t xml:space="preserve">           </t>
    </r>
    <r>
      <rPr>
        <sz val="10"/>
        <rFont val="宋体"/>
        <family val="3"/>
        <charset val="134"/>
      </rPr>
      <t>其他业务收入</t>
    </r>
  </si>
  <si>
    <r>
      <rPr>
        <sz val="10"/>
        <rFont val="宋体"/>
        <family val="3"/>
        <charset val="134"/>
      </rPr>
      <t>其中：营业成本</t>
    </r>
  </si>
  <si>
    <r>
      <t xml:space="preserve">     </t>
    </r>
    <r>
      <rPr>
        <sz val="10"/>
        <rFont val="宋体"/>
        <family val="3"/>
        <charset val="134"/>
      </rPr>
      <t>其中：主营业务成本</t>
    </r>
  </si>
  <si>
    <r>
      <t xml:space="preserve">          </t>
    </r>
    <r>
      <rPr>
        <sz val="10"/>
        <rFont val="宋体"/>
        <family val="3"/>
        <charset val="134"/>
      </rPr>
      <t>其他业务成本</t>
    </r>
  </si>
  <si>
    <r>
      <t xml:space="preserve">             </t>
    </r>
    <r>
      <rPr>
        <sz val="10"/>
        <rFont val="宋体"/>
        <family val="3"/>
        <charset val="134"/>
      </rPr>
      <t>销售费用</t>
    </r>
  </si>
  <si>
    <r>
      <t xml:space="preserve">             </t>
    </r>
    <r>
      <rPr>
        <sz val="10"/>
        <rFont val="宋体"/>
        <family val="3"/>
        <charset val="134"/>
      </rPr>
      <t>管理费用</t>
    </r>
  </si>
  <si>
    <r>
      <t xml:space="preserve">        </t>
    </r>
    <r>
      <rPr>
        <sz val="10"/>
        <rFont val="宋体"/>
        <family val="3"/>
        <charset val="134"/>
      </rPr>
      <t>其中：研究与开发费</t>
    </r>
    <phoneticPr fontId="5" type="noConversion"/>
  </si>
  <si>
    <r>
      <t xml:space="preserve">             </t>
    </r>
    <r>
      <rPr>
        <sz val="10"/>
        <rFont val="宋体"/>
        <family val="3"/>
        <charset val="134"/>
      </rPr>
      <t>财务费用</t>
    </r>
  </si>
  <si>
    <r>
      <t xml:space="preserve">                </t>
    </r>
    <r>
      <rPr>
        <sz val="10"/>
        <rFont val="宋体"/>
        <family val="3"/>
        <charset val="134"/>
      </rPr>
      <t>其中：利息支出</t>
    </r>
    <phoneticPr fontId="5" type="noConversion"/>
  </si>
  <si>
    <r>
      <t xml:space="preserve">                      </t>
    </r>
    <r>
      <rPr>
        <sz val="10"/>
        <rFont val="宋体"/>
        <family val="3"/>
        <charset val="134"/>
      </rPr>
      <t>利息收入</t>
    </r>
    <phoneticPr fontId="5" type="noConversion"/>
  </si>
  <si>
    <r>
      <t xml:space="preserve">                     </t>
    </r>
    <r>
      <rPr>
        <sz val="10"/>
        <rFont val="宋体"/>
        <family val="3"/>
        <charset val="134"/>
      </rPr>
      <t>汇兑净损失（净收益以</t>
    </r>
    <r>
      <rPr>
        <sz val="10"/>
        <rFont val="Arial Narrow"/>
        <family val="2"/>
      </rPr>
      <t>“-”</t>
    </r>
    <r>
      <rPr>
        <sz val="10"/>
        <rFont val="宋体"/>
        <family val="3"/>
        <charset val="134"/>
      </rPr>
      <t>号填列）</t>
    </r>
    <phoneticPr fontId="5" type="noConversion"/>
  </si>
  <si>
    <r>
      <t xml:space="preserve">             </t>
    </r>
    <r>
      <rPr>
        <sz val="10"/>
        <rFont val="宋体"/>
        <family val="3"/>
        <charset val="134"/>
      </rPr>
      <t>资产减值损失</t>
    </r>
  </si>
  <si>
    <r>
      <t xml:space="preserve">             </t>
    </r>
    <r>
      <rPr>
        <sz val="10"/>
        <rFont val="宋体"/>
        <family val="3"/>
        <charset val="134"/>
      </rPr>
      <t>其他</t>
    </r>
    <phoneticPr fontId="5" type="noConversion"/>
  </si>
  <si>
    <r>
      <t xml:space="preserve">  </t>
    </r>
    <r>
      <rPr>
        <sz val="10"/>
        <rFont val="宋体"/>
        <family val="3"/>
        <charset val="134"/>
      </rPr>
      <t>加：公允价值变动收益（损失以</t>
    </r>
    <r>
      <rPr>
        <sz val="10"/>
        <rFont val="Arial Narrow"/>
        <family val="2"/>
      </rPr>
      <t>“-”</t>
    </r>
    <r>
      <rPr>
        <sz val="10"/>
        <rFont val="宋体"/>
        <family val="3"/>
        <charset val="134"/>
      </rPr>
      <t>号填列）</t>
    </r>
  </si>
  <si>
    <r>
      <t xml:space="preserve">             </t>
    </r>
    <r>
      <rPr>
        <sz val="10"/>
        <rFont val="宋体"/>
        <family val="3"/>
        <charset val="134"/>
      </rPr>
      <t>投资收益（损失以</t>
    </r>
    <r>
      <rPr>
        <sz val="10"/>
        <rFont val="Arial Narrow"/>
        <family val="2"/>
      </rPr>
      <t>“-”</t>
    </r>
    <r>
      <rPr>
        <sz val="10"/>
        <rFont val="宋体"/>
        <family val="3"/>
        <charset val="134"/>
      </rPr>
      <t>号填列）</t>
    </r>
  </si>
  <si>
    <r>
      <rPr>
        <sz val="10"/>
        <rFont val="宋体"/>
        <family val="3"/>
        <charset val="134"/>
      </rPr>
      <t>三、营业利润（亏损以</t>
    </r>
    <r>
      <rPr>
        <sz val="10"/>
        <rFont val="Arial Narrow"/>
        <family val="2"/>
      </rPr>
      <t>“-”</t>
    </r>
    <r>
      <rPr>
        <sz val="10"/>
        <rFont val="宋体"/>
        <family val="3"/>
        <charset val="134"/>
      </rPr>
      <t>号填列）</t>
    </r>
  </si>
  <si>
    <r>
      <t xml:space="preserve">         </t>
    </r>
    <r>
      <rPr>
        <sz val="10"/>
        <rFont val="宋体"/>
        <family val="3"/>
        <charset val="134"/>
      </rPr>
      <t>其中：非流动资产处置利得</t>
    </r>
    <phoneticPr fontId="5" type="noConversion"/>
  </si>
  <si>
    <r>
      <t xml:space="preserve">              </t>
    </r>
    <r>
      <rPr>
        <sz val="10"/>
        <rFont val="宋体"/>
        <family val="3"/>
        <charset val="134"/>
      </rPr>
      <t>非货币性资产交换利得</t>
    </r>
    <phoneticPr fontId="5" type="noConversion"/>
  </si>
  <si>
    <r>
      <t xml:space="preserve">              </t>
    </r>
    <r>
      <rPr>
        <sz val="10"/>
        <rFont val="宋体"/>
        <family val="3"/>
        <charset val="134"/>
      </rPr>
      <t>政府补助</t>
    </r>
    <phoneticPr fontId="5" type="noConversion"/>
  </si>
  <si>
    <r>
      <t xml:space="preserve">              </t>
    </r>
    <r>
      <rPr>
        <sz val="10"/>
        <rFont val="宋体"/>
        <family val="3"/>
        <charset val="134"/>
      </rPr>
      <t>债务重组利得</t>
    </r>
    <phoneticPr fontId="5" type="noConversion"/>
  </si>
  <si>
    <r>
      <t xml:space="preserve">        </t>
    </r>
    <r>
      <rPr>
        <sz val="10"/>
        <rFont val="宋体"/>
        <family val="3"/>
        <charset val="134"/>
      </rPr>
      <t>其中：非流动资产处置损失</t>
    </r>
    <phoneticPr fontId="5" type="noConversion"/>
  </si>
  <si>
    <r>
      <t xml:space="preserve">             </t>
    </r>
    <r>
      <rPr>
        <sz val="10"/>
        <rFont val="宋体"/>
        <family val="3"/>
        <charset val="134"/>
      </rPr>
      <t>非货币性资产交换损失</t>
    </r>
    <phoneticPr fontId="5" type="noConversion"/>
  </si>
  <si>
    <r>
      <t xml:space="preserve">             </t>
    </r>
    <r>
      <rPr>
        <sz val="10"/>
        <rFont val="宋体"/>
        <family val="3"/>
        <charset val="134"/>
      </rPr>
      <t>债务重组损失</t>
    </r>
    <phoneticPr fontId="5" type="noConversion"/>
  </si>
  <si>
    <r>
      <rPr>
        <sz val="10"/>
        <rFont val="宋体"/>
        <family val="3"/>
        <charset val="134"/>
      </rPr>
      <t>四、利润总额（亏损以</t>
    </r>
    <r>
      <rPr>
        <sz val="10"/>
        <rFont val="Arial Narrow"/>
        <family val="2"/>
      </rPr>
      <t>“-”</t>
    </r>
    <r>
      <rPr>
        <sz val="10"/>
        <rFont val="宋体"/>
        <family val="3"/>
        <charset val="134"/>
      </rPr>
      <t>号填列）</t>
    </r>
  </si>
  <si>
    <r>
      <t xml:space="preserve">   </t>
    </r>
    <r>
      <rPr>
        <sz val="10"/>
        <rFont val="宋体"/>
        <family val="3"/>
        <charset val="134"/>
      </rPr>
      <t>减：所得税费用</t>
    </r>
  </si>
  <si>
    <r>
      <rPr>
        <sz val="10"/>
        <rFont val="宋体"/>
        <family val="3"/>
        <charset val="134"/>
      </rPr>
      <t>五、净利润（亏损以</t>
    </r>
    <r>
      <rPr>
        <sz val="10"/>
        <rFont val="Arial Narrow"/>
        <family val="2"/>
      </rPr>
      <t>“-”</t>
    </r>
    <r>
      <rPr>
        <sz val="10"/>
        <rFont val="宋体"/>
        <family val="3"/>
        <charset val="134"/>
      </rPr>
      <t>号填列）</t>
    </r>
  </si>
  <si>
    <r>
      <t xml:space="preserve">        </t>
    </r>
    <r>
      <rPr>
        <sz val="10"/>
        <rFont val="宋体"/>
        <family val="3"/>
        <charset val="134"/>
      </rPr>
      <t>其中</t>
    </r>
    <r>
      <rPr>
        <sz val="10"/>
        <rFont val="Arial Narrow"/>
        <family val="2"/>
      </rPr>
      <t>:</t>
    </r>
    <r>
      <rPr>
        <sz val="10"/>
        <rFont val="宋体"/>
        <family val="3"/>
        <charset val="134"/>
      </rPr>
      <t>被合并方在合并前实现的净利润</t>
    </r>
  </si>
  <si>
    <r>
      <rPr>
        <sz val="10"/>
        <rFont val="宋体"/>
        <family val="3"/>
        <charset val="134"/>
      </rPr>
      <t>六、其他综合收益的税后净额</t>
    </r>
  </si>
  <si>
    <r>
      <rPr>
        <sz val="10"/>
        <rFont val="宋体"/>
        <family val="3"/>
        <charset val="134"/>
      </rPr>
      <t>七、综合收益总额</t>
    </r>
    <phoneticPr fontId="5" type="noConversion"/>
  </si>
  <si>
    <r>
      <t xml:space="preserve">   </t>
    </r>
    <r>
      <rPr>
        <sz val="10"/>
        <rFont val="宋体"/>
        <family val="3"/>
        <charset val="134"/>
      </rPr>
      <t>归属于母公司所有者的综合收益总额</t>
    </r>
  </si>
  <si>
    <r>
      <t xml:space="preserve">   </t>
    </r>
    <r>
      <rPr>
        <sz val="10"/>
        <rFont val="宋体"/>
        <family val="3"/>
        <charset val="134"/>
      </rPr>
      <t>归属于少数股东的综合收益总额</t>
    </r>
  </si>
  <si>
    <r>
      <rPr>
        <sz val="10"/>
        <rFont val="宋体"/>
        <family val="3"/>
        <charset val="134"/>
      </rPr>
      <t>八、每股收益</t>
    </r>
    <phoneticPr fontId="5" type="noConversion"/>
  </si>
  <si>
    <r>
      <t xml:space="preserve">   </t>
    </r>
    <r>
      <rPr>
        <sz val="10"/>
        <rFont val="宋体"/>
        <family val="3"/>
        <charset val="134"/>
      </rPr>
      <t>（一）基本每股收益</t>
    </r>
  </si>
  <si>
    <r>
      <t xml:space="preserve">   </t>
    </r>
    <r>
      <rPr>
        <sz val="10"/>
        <rFont val="宋体"/>
        <family val="3"/>
        <charset val="134"/>
      </rPr>
      <t>（二）稀释每股收益</t>
    </r>
  </si>
  <si>
    <r>
      <rPr>
        <sz val="10"/>
        <rFont val="宋体"/>
        <family val="3"/>
        <charset val="134"/>
      </rPr>
      <t>营业总收入</t>
    </r>
    <phoneticPr fontId="5" type="noConversion"/>
  </si>
  <si>
    <r>
      <rPr>
        <sz val="10"/>
        <rFont val="宋体"/>
        <family val="3"/>
        <charset val="134"/>
      </rPr>
      <t>营业收入</t>
    </r>
    <phoneticPr fontId="5" type="noConversion"/>
  </si>
  <si>
    <r>
      <rPr>
        <sz val="10"/>
        <rFont val="宋体"/>
        <family val="3"/>
        <charset val="134"/>
      </rPr>
      <t>营业成本</t>
    </r>
    <phoneticPr fontId="5" type="noConversion"/>
  </si>
  <si>
    <r>
      <rPr>
        <sz val="10"/>
        <rFont val="宋体"/>
        <family val="3"/>
        <charset val="134"/>
      </rPr>
      <t>管理费用</t>
    </r>
    <phoneticPr fontId="5" type="noConversion"/>
  </si>
  <si>
    <r>
      <rPr>
        <sz val="10"/>
        <rFont val="宋体"/>
        <family val="3"/>
        <charset val="134"/>
      </rPr>
      <t>营业外收入</t>
    </r>
    <phoneticPr fontId="5" type="noConversion"/>
  </si>
  <si>
    <r>
      <rPr>
        <sz val="10"/>
        <rFont val="宋体"/>
        <family val="3"/>
        <charset val="134"/>
      </rPr>
      <t>利润总额</t>
    </r>
    <phoneticPr fontId="5" type="noConversion"/>
  </si>
  <si>
    <r>
      <rPr>
        <sz val="10"/>
        <rFont val="宋体"/>
        <family val="3"/>
        <charset val="134"/>
      </rPr>
      <t>综合收益</t>
    </r>
    <phoneticPr fontId="5" type="noConversion"/>
  </si>
  <si>
    <r>
      <rPr>
        <sz val="10"/>
        <rFont val="宋体"/>
        <family val="3"/>
        <charset val="134"/>
      </rPr>
      <t>归属于母公司综合收益</t>
    </r>
    <phoneticPr fontId="5" type="noConversion"/>
  </si>
  <si>
    <r>
      <rPr>
        <b/>
        <sz val="10"/>
        <rFont val="宋体"/>
        <family val="3"/>
        <charset val="134"/>
      </rPr>
      <t>项目：资产负债表</t>
    </r>
    <r>
      <rPr>
        <b/>
        <sz val="10"/>
        <rFont val="Arial Narrow"/>
        <family val="2"/>
      </rPr>
      <t>-</t>
    </r>
    <r>
      <rPr>
        <b/>
        <sz val="10"/>
        <rFont val="宋体"/>
        <family val="3"/>
        <charset val="134"/>
      </rPr>
      <t>负债及权益分析</t>
    </r>
  </si>
  <si>
    <r>
      <rPr>
        <sz val="10"/>
        <rFont val="宋体"/>
        <family val="3"/>
        <charset val="134"/>
      </rPr>
      <t>是否存在重大错报风险</t>
    </r>
    <phoneticPr fontId="5" type="noConversion"/>
  </si>
  <si>
    <r>
      <t xml:space="preserve">    </t>
    </r>
    <r>
      <rPr>
        <sz val="10"/>
        <rFont val="宋体"/>
        <family val="3"/>
        <charset val="134"/>
      </rPr>
      <t>向中央银行借款</t>
    </r>
  </si>
  <si>
    <r>
      <t xml:space="preserve">    </t>
    </r>
    <r>
      <rPr>
        <sz val="10"/>
        <rFont val="宋体"/>
        <family val="3"/>
        <charset val="134"/>
      </rPr>
      <t>吸收存款及同业存放</t>
    </r>
  </si>
  <si>
    <r>
      <t xml:space="preserve">    </t>
    </r>
    <r>
      <rPr>
        <sz val="10"/>
        <rFont val="宋体"/>
        <family val="3"/>
        <charset val="134"/>
      </rPr>
      <t>拆入资金</t>
    </r>
  </si>
  <si>
    <r>
      <t xml:space="preserve">    </t>
    </r>
    <r>
      <rPr>
        <sz val="10"/>
        <rFont val="宋体"/>
        <family val="3"/>
        <charset val="134"/>
      </rPr>
      <t>应付票据</t>
    </r>
  </si>
  <si>
    <r>
      <t xml:space="preserve">    </t>
    </r>
    <r>
      <rPr>
        <sz val="10"/>
        <rFont val="宋体"/>
        <family val="3"/>
        <charset val="134"/>
      </rPr>
      <t>应付账款</t>
    </r>
  </si>
  <si>
    <r>
      <t xml:space="preserve">    </t>
    </r>
    <r>
      <rPr>
        <sz val="10"/>
        <rFont val="宋体"/>
        <family val="3"/>
        <charset val="134"/>
      </rPr>
      <t>预收账款</t>
    </r>
  </si>
  <si>
    <r>
      <t xml:space="preserve">    </t>
    </r>
    <r>
      <rPr>
        <sz val="10"/>
        <rFont val="宋体"/>
        <family val="3"/>
        <charset val="134"/>
      </rPr>
      <t>卖出回购金融资产款</t>
    </r>
  </si>
  <si>
    <r>
      <t xml:space="preserve">    </t>
    </r>
    <r>
      <rPr>
        <sz val="10"/>
        <rFont val="宋体"/>
        <family val="3"/>
        <charset val="134"/>
      </rPr>
      <t>应付手续费及佣金</t>
    </r>
  </si>
  <si>
    <r>
      <t xml:space="preserve">    </t>
    </r>
    <r>
      <rPr>
        <sz val="10"/>
        <rFont val="宋体"/>
        <family val="3"/>
        <charset val="134"/>
      </rPr>
      <t>应付职工薪酬</t>
    </r>
  </si>
  <si>
    <r>
      <t xml:space="preserve">              </t>
    </r>
    <r>
      <rPr>
        <sz val="10"/>
        <rFont val="宋体"/>
        <family val="3"/>
        <charset val="134"/>
      </rPr>
      <t>其中：应付工资</t>
    </r>
    <phoneticPr fontId="5" type="noConversion"/>
  </si>
  <si>
    <r>
      <t xml:space="preserve">                         </t>
    </r>
    <r>
      <rPr>
        <sz val="10"/>
        <rFont val="宋体"/>
        <family val="3"/>
        <charset val="134"/>
      </rPr>
      <t>其中：职工奖励及福利基金</t>
    </r>
    <phoneticPr fontId="5" type="noConversion"/>
  </si>
  <si>
    <r>
      <t xml:space="preserve">    </t>
    </r>
    <r>
      <rPr>
        <sz val="10"/>
        <rFont val="宋体"/>
        <family val="3"/>
        <charset val="134"/>
      </rPr>
      <t>应交税费</t>
    </r>
  </si>
  <si>
    <r>
      <t xml:space="preserve">    </t>
    </r>
    <r>
      <rPr>
        <sz val="10"/>
        <rFont val="宋体"/>
        <family val="3"/>
        <charset val="134"/>
      </rPr>
      <t>应付利息</t>
    </r>
  </si>
  <si>
    <r>
      <t xml:space="preserve">    </t>
    </r>
    <r>
      <rPr>
        <sz val="10"/>
        <rFont val="宋体"/>
        <family val="3"/>
        <charset val="134"/>
      </rPr>
      <t>其他应付款</t>
    </r>
  </si>
  <si>
    <r>
      <t xml:space="preserve">    </t>
    </r>
    <r>
      <rPr>
        <sz val="10"/>
        <rFont val="宋体"/>
        <family val="3"/>
        <charset val="134"/>
      </rPr>
      <t>代理买卖证券款</t>
    </r>
  </si>
  <si>
    <r>
      <t xml:space="preserve">    </t>
    </r>
    <r>
      <rPr>
        <sz val="10"/>
        <rFont val="宋体"/>
        <family val="3"/>
        <charset val="134"/>
      </rPr>
      <t>代理承销证券款</t>
    </r>
  </si>
  <si>
    <r>
      <t xml:space="preserve">    </t>
    </r>
    <r>
      <rPr>
        <sz val="10"/>
        <rFont val="宋体"/>
        <family val="3"/>
        <charset val="134"/>
      </rPr>
      <t>其他流动负债</t>
    </r>
  </si>
  <si>
    <r>
      <t xml:space="preserve">    </t>
    </r>
    <r>
      <rPr>
        <sz val="10"/>
        <rFont val="宋体"/>
        <family val="3"/>
        <charset val="134"/>
      </rPr>
      <t>长期借款</t>
    </r>
  </si>
  <si>
    <r>
      <t xml:space="preserve">    </t>
    </r>
    <r>
      <rPr>
        <sz val="10"/>
        <rFont val="宋体"/>
        <family val="3"/>
        <charset val="134"/>
      </rPr>
      <t>应付债券</t>
    </r>
  </si>
  <si>
    <r>
      <t xml:space="preserve">    </t>
    </r>
    <r>
      <rPr>
        <sz val="10"/>
        <rFont val="宋体"/>
        <family val="3"/>
        <charset val="134"/>
      </rPr>
      <t>长期应付款</t>
    </r>
  </si>
  <si>
    <r>
      <t xml:space="preserve">    </t>
    </r>
    <r>
      <rPr>
        <sz val="10"/>
        <rFont val="宋体"/>
        <family val="3"/>
        <charset val="134"/>
      </rPr>
      <t>长期应付职工薪酬</t>
    </r>
  </si>
  <si>
    <r>
      <t xml:space="preserve">    </t>
    </r>
    <r>
      <rPr>
        <sz val="10"/>
        <rFont val="宋体"/>
        <family val="3"/>
        <charset val="134"/>
      </rPr>
      <t>专项应付款</t>
    </r>
  </si>
  <si>
    <r>
      <t xml:space="preserve">    </t>
    </r>
    <r>
      <rPr>
        <sz val="10"/>
        <rFont val="宋体"/>
        <family val="3"/>
        <charset val="134"/>
      </rPr>
      <t>预计负债</t>
    </r>
  </si>
  <si>
    <r>
      <t xml:space="preserve">    </t>
    </r>
    <r>
      <rPr>
        <sz val="10"/>
        <rFont val="宋体"/>
        <family val="3"/>
        <charset val="134"/>
      </rPr>
      <t>递延收益</t>
    </r>
  </si>
  <si>
    <r>
      <t xml:space="preserve">    </t>
    </r>
    <r>
      <rPr>
        <sz val="10"/>
        <rFont val="宋体"/>
        <family val="3"/>
        <charset val="134"/>
      </rPr>
      <t>递延所得税负债</t>
    </r>
  </si>
  <si>
    <r>
      <t xml:space="preserve">    </t>
    </r>
    <r>
      <rPr>
        <sz val="10"/>
        <rFont val="宋体"/>
        <family val="3"/>
        <charset val="134"/>
      </rPr>
      <t>其他非流动负债</t>
    </r>
  </si>
  <si>
    <r>
      <t xml:space="preserve">             </t>
    </r>
    <r>
      <rPr>
        <sz val="10"/>
        <rFont val="宋体"/>
        <family val="3"/>
        <charset val="134"/>
      </rPr>
      <t>其中：特种储备基金</t>
    </r>
    <phoneticPr fontId="5" type="noConversion"/>
  </si>
  <si>
    <r>
      <t xml:space="preserve">    </t>
    </r>
    <r>
      <rPr>
        <sz val="10"/>
        <rFont val="宋体"/>
        <family val="3"/>
        <charset val="134"/>
      </rPr>
      <t>实收资本</t>
    </r>
  </si>
  <si>
    <r>
      <t xml:space="preserve">          </t>
    </r>
    <r>
      <rPr>
        <sz val="10"/>
        <rFont val="宋体"/>
        <family val="3"/>
        <charset val="134"/>
      </rPr>
      <t>国有资本</t>
    </r>
  </si>
  <si>
    <r>
      <t xml:space="preserve">              </t>
    </r>
    <r>
      <rPr>
        <sz val="10"/>
        <rFont val="宋体"/>
        <family val="3"/>
        <charset val="134"/>
      </rPr>
      <t>其中：国有法人资本</t>
    </r>
  </si>
  <si>
    <r>
      <t xml:space="preserve">         </t>
    </r>
    <r>
      <rPr>
        <sz val="10"/>
        <rFont val="宋体"/>
        <family val="3"/>
        <charset val="134"/>
      </rPr>
      <t>集体资本</t>
    </r>
  </si>
  <si>
    <r>
      <t xml:space="preserve">         </t>
    </r>
    <r>
      <rPr>
        <sz val="10"/>
        <rFont val="宋体"/>
        <family val="3"/>
        <charset val="134"/>
      </rPr>
      <t>私营资本</t>
    </r>
  </si>
  <si>
    <r>
      <t xml:space="preserve">             </t>
    </r>
    <r>
      <rPr>
        <sz val="10"/>
        <rFont val="宋体"/>
        <family val="3"/>
        <charset val="134"/>
      </rPr>
      <t>其中：</t>
    </r>
    <r>
      <rPr>
        <sz val="10"/>
        <rFont val="Arial Narrow"/>
        <family val="2"/>
      </rPr>
      <t xml:space="preserve"> </t>
    </r>
    <r>
      <rPr>
        <sz val="10"/>
        <rFont val="宋体"/>
        <family val="3"/>
        <charset val="134"/>
      </rPr>
      <t>个人资本</t>
    </r>
  </si>
  <si>
    <r>
      <t xml:space="preserve">        </t>
    </r>
    <r>
      <rPr>
        <sz val="10"/>
        <rFont val="宋体"/>
        <family val="3"/>
        <charset val="134"/>
      </rPr>
      <t>外商资本</t>
    </r>
  </si>
  <si>
    <r>
      <t xml:space="preserve">    </t>
    </r>
    <r>
      <rPr>
        <sz val="10"/>
        <rFont val="宋体"/>
        <family val="3"/>
        <charset val="134"/>
      </rPr>
      <t>实收资本净额</t>
    </r>
    <phoneticPr fontId="5" type="noConversion"/>
  </si>
  <si>
    <r>
      <t xml:space="preserve">    </t>
    </r>
    <r>
      <rPr>
        <sz val="10"/>
        <rFont val="宋体"/>
        <family val="3"/>
        <charset val="134"/>
      </rPr>
      <t>其他权益工具</t>
    </r>
  </si>
  <si>
    <r>
      <t xml:space="preserve">    </t>
    </r>
    <r>
      <rPr>
        <sz val="10"/>
        <rFont val="宋体"/>
        <family val="3"/>
        <charset val="134"/>
      </rPr>
      <t>其他综合收益</t>
    </r>
  </si>
  <si>
    <r>
      <t xml:space="preserve">    </t>
    </r>
    <r>
      <rPr>
        <sz val="10"/>
        <rFont val="宋体"/>
        <family val="3"/>
        <charset val="134"/>
      </rPr>
      <t>盈余公积</t>
    </r>
  </si>
  <si>
    <r>
      <t xml:space="preserve">      </t>
    </r>
    <r>
      <rPr>
        <sz val="10"/>
        <rFont val="宋体"/>
        <family val="3"/>
        <charset val="134"/>
      </rPr>
      <t>其中：法定公积金</t>
    </r>
    <phoneticPr fontId="5" type="noConversion"/>
  </si>
  <si>
    <r>
      <t xml:space="preserve">    </t>
    </r>
    <r>
      <rPr>
        <sz val="10"/>
        <rFont val="宋体"/>
        <family val="3"/>
        <charset val="134"/>
      </rPr>
      <t>一般风险准备</t>
    </r>
  </si>
  <si>
    <r>
      <t xml:space="preserve">    </t>
    </r>
    <r>
      <rPr>
        <sz val="10"/>
        <rFont val="宋体"/>
        <family val="3"/>
        <charset val="134"/>
      </rPr>
      <t>未分配利润</t>
    </r>
  </si>
  <si>
    <r>
      <rPr>
        <sz val="10"/>
        <rFont val="宋体"/>
        <family val="3"/>
        <charset val="134"/>
      </rPr>
      <t>非流动负债</t>
    </r>
    <phoneticPr fontId="5" type="noConversion"/>
  </si>
  <si>
    <r>
      <rPr>
        <sz val="10"/>
        <rFont val="宋体"/>
        <family val="3"/>
        <charset val="134"/>
      </rPr>
      <t>负债</t>
    </r>
    <phoneticPr fontId="5" type="noConversion"/>
  </si>
  <si>
    <r>
      <rPr>
        <sz val="10"/>
        <rFont val="宋体"/>
        <family val="3"/>
        <charset val="134"/>
      </rPr>
      <t>股东权益</t>
    </r>
    <phoneticPr fontId="5" type="noConversion"/>
  </si>
  <si>
    <r>
      <rPr>
        <sz val="10"/>
        <rFont val="宋体"/>
        <family val="3"/>
        <charset val="134"/>
      </rPr>
      <t>负债和股东权益</t>
    </r>
    <phoneticPr fontId="5" type="noConversion"/>
  </si>
  <si>
    <r>
      <rPr>
        <b/>
        <sz val="10"/>
        <rFont val="宋体"/>
        <family val="3"/>
        <charset val="134"/>
      </rPr>
      <t>财务报表截止日</t>
    </r>
    <r>
      <rPr>
        <b/>
        <sz val="10"/>
        <rFont val="Arial Narrow"/>
        <family val="2"/>
      </rPr>
      <t>/</t>
    </r>
    <r>
      <rPr>
        <b/>
        <sz val="10"/>
        <rFont val="宋体"/>
        <family val="3"/>
        <charset val="134"/>
      </rPr>
      <t>期间：</t>
    </r>
    <r>
      <rPr>
        <b/>
        <sz val="10"/>
        <rFont val="Arial Narrow"/>
        <family val="2"/>
      </rPr>
      <t>2015</t>
    </r>
    <r>
      <rPr>
        <b/>
        <sz val="10"/>
        <rFont val="宋体"/>
        <family val="3"/>
        <charset val="134"/>
      </rPr>
      <t>年</t>
    </r>
    <r>
      <rPr>
        <b/>
        <sz val="10"/>
        <rFont val="Arial Narrow"/>
        <family val="2"/>
      </rPr>
      <t>12</t>
    </r>
    <r>
      <rPr>
        <b/>
        <sz val="10"/>
        <rFont val="宋体"/>
        <family val="3"/>
        <charset val="134"/>
      </rPr>
      <t>月</t>
    </r>
    <r>
      <rPr>
        <b/>
        <sz val="10"/>
        <rFont val="Arial Narrow"/>
        <family val="2"/>
      </rPr>
      <t>31</t>
    </r>
    <r>
      <rPr>
        <b/>
        <sz val="10"/>
        <rFont val="宋体"/>
        <family val="3"/>
        <charset val="134"/>
      </rPr>
      <t>日</t>
    </r>
    <r>
      <rPr>
        <b/>
        <sz val="10"/>
        <rFont val="Arial Narrow"/>
        <family val="2"/>
      </rPr>
      <t>/2015</t>
    </r>
    <r>
      <rPr>
        <b/>
        <sz val="10"/>
        <rFont val="宋体"/>
        <family val="3"/>
        <charset val="134"/>
      </rPr>
      <t>年度</t>
    </r>
    <phoneticPr fontId="5" type="noConversion"/>
  </si>
  <si>
    <r>
      <rPr>
        <b/>
        <sz val="10"/>
        <rFont val="宋体"/>
        <family val="3"/>
        <charset val="134"/>
      </rPr>
      <t>会计期间：</t>
    </r>
    <r>
      <rPr>
        <b/>
        <sz val="10"/>
        <rFont val="Arial Narrow"/>
        <family val="2"/>
      </rPr>
      <t>2015</t>
    </r>
    <r>
      <rPr>
        <b/>
        <sz val="10"/>
        <rFont val="宋体"/>
        <family val="3"/>
        <charset val="134"/>
      </rPr>
      <t>年度</t>
    </r>
    <phoneticPr fontId="5" type="noConversion"/>
  </si>
  <si>
    <r>
      <rPr>
        <b/>
        <sz val="10"/>
        <rFont val="宋体"/>
        <family val="3"/>
        <charset val="134"/>
      </rPr>
      <t>会计期间：</t>
    </r>
    <r>
      <rPr>
        <b/>
        <sz val="10"/>
        <rFont val="Arial Narrow"/>
        <family val="2"/>
      </rPr>
      <t>2015</t>
    </r>
    <r>
      <rPr>
        <b/>
        <sz val="10"/>
        <rFont val="宋体"/>
        <family val="3"/>
        <charset val="134"/>
      </rPr>
      <t>年度</t>
    </r>
    <phoneticPr fontId="5" type="noConversion"/>
  </si>
  <si>
    <r>
      <rPr>
        <b/>
        <sz val="10"/>
        <rFont val="宋体"/>
        <family val="3"/>
        <charset val="134"/>
      </rPr>
      <t>会计期间：</t>
    </r>
    <r>
      <rPr>
        <b/>
        <sz val="10"/>
        <rFont val="Arial Narrow"/>
        <family val="2"/>
      </rPr>
      <t>2015</t>
    </r>
    <r>
      <rPr>
        <b/>
        <sz val="10"/>
        <rFont val="宋体"/>
        <family val="3"/>
        <charset val="134"/>
      </rPr>
      <t>年度</t>
    </r>
    <phoneticPr fontId="5" type="noConversion"/>
  </si>
  <si>
    <r>
      <rPr>
        <b/>
        <sz val="10"/>
        <rFont val="宋体"/>
        <family val="3"/>
        <charset val="134"/>
      </rPr>
      <t>索引号：</t>
    </r>
    <r>
      <rPr>
        <b/>
        <sz val="10"/>
        <rFont val="Arial Narrow"/>
        <family val="2"/>
      </rPr>
      <t>9100</t>
    </r>
    <phoneticPr fontId="5" type="noConversion"/>
  </si>
  <si>
    <r>
      <rPr>
        <sz val="10"/>
        <rFont val="宋体"/>
        <family val="3"/>
        <charset val="134"/>
      </rPr>
      <t>编制时间：</t>
    </r>
    <phoneticPr fontId="5" type="noConversion"/>
  </si>
  <si>
    <r>
      <rPr>
        <sz val="10"/>
        <rFont val="宋体"/>
        <family val="3"/>
        <charset val="134"/>
      </rPr>
      <t>复核时间：</t>
    </r>
    <phoneticPr fontId="5" type="noConversion"/>
  </si>
  <si>
    <r>
      <rPr>
        <b/>
        <sz val="10"/>
        <rFont val="宋体"/>
        <family val="3"/>
        <charset val="134"/>
      </rPr>
      <t>上年借方</t>
    </r>
    <phoneticPr fontId="5" type="noConversion"/>
  </si>
  <si>
    <r>
      <rPr>
        <b/>
        <sz val="10"/>
        <rFont val="宋体"/>
        <family val="3"/>
        <charset val="134"/>
      </rPr>
      <t>上年贷方</t>
    </r>
    <phoneticPr fontId="5" type="noConversion"/>
  </si>
  <si>
    <r>
      <rPr>
        <b/>
        <sz val="10"/>
        <rFont val="宋体"/>
        <family val="3"/>
        <charset val="134"/>
      </rPr>
      <t>本年借方</t>
    </r>
    <phoneticPr fontId="5" type="noConversion"/>
  </si>
  <si>
    <r>
      <rPr>
        <b/>
        <sz val="10"/>
        <rFont val="宋体"/>
        <family val="3"/>
        <charset val="134"/>
      </rPr>
      <t>本年贷方</t>
    </r>
    <phoneticPr fontId="5" type="noConversion"/>
  </si>
  <si>
    <r>
      <rPr>
        <b/>
        <sz val="10"/>
        <rFont val="宋体"/>
        <family val="3"/>
        <charset val="134"/>
      </rPr>
      <t>序号</t>
    </r>
    <phoneticPr fontId="5" type="noConversion"/>
  </si>
  <si>
    <r>
      <rPr>
        <b/>
        <sz val="10"/>
        <rFont val="宋体"/>
        <family val="3"/>
        <charset val="134"/>
      </rPr>
      <t>调整说明</t>
    </r>
    <phoneticPr fontId="5" type="noConversion"/>
  </si>
  <si>
    <r>
      <rPr>
        <b/>
        <sz val="10"/>
        <rFont val="宋体"/>
        <family val="3"/>
        <charset val="134"/>
      </rPr>
      <t>科目类别</t>
    </r>
    <phoneticPr fontId="5" type="noConversion"/>
  </si>
  <si>
    <r>
      <rPr>
        <b/>
        <sz val="10"/>
        <rFont val="宋体"/>
        <family val="3"/>
        <charset val="134"/>
      </rPr>
      <t>科目</t>
    </r>
    <phoneticPr fontId="5" type="noConversion"/>
  </si>
  <si>
    <r>
      <rPr>
        <b/>
        <sz val="10"/>
        <rFont val="宋体"/>
        <family val="3"/>
        <charset val="134"/>
      </rPr>
      <t>明细科目</t>
    </r>
    <phoneticPr fontId="5" type="noConversion"/>
  </si>
  <si>
    <r>
      <rPr>
        <sz val="10"/>
        <rFont val="宋体"/>
        <family val="3"/>
        <charset val="134"/>
      </rPr>
      <t>划分为金融负债的优先股</t>
    </r>
    <r>
      <rPr>
        <sz val="10"/>
        <rFont val="Arial Narrow"/>
        <family val="2"/>
      </rPr>
      <t>\</t>
    </r>
    <r>
      <rPr>
        <sz val="10"/>
        <rFont val="宋体"/>
        <family val="3"/>
        <charset val="134"/>
      </rPr>
      <t>永续债利息</t>
    </r>
    <phoneticPr fontId="5" type="noConversion"/>
  </si>
  <si>
    <r>
      <rPr>
        <sz val="10"/>
        <rFont val="宋体"/>
        <family val="3"/>
        <charset val="134"/>
      </rPr>
      <t>其他</t>
    </r>
    <r>
      <rPr>
        <sz val="10"/>
        <rFont val="Arial Narrow"/>
        <family val="2"/>
      </rPr>
      <t>—</t>
    </r>
    <r>
      <rPr>
        <sz val="10"/>
        <rFont val="宋体"/>
        <family val="3"/>
        <charset val="134"/>
      </rPr>
      <t>1</t>
    </r>
    <phoneticPr fontId="5" type="noConversion"/>
  </si>
  <si>
    <r>
      <rPr>
        <sz val="10"/>
        <rFont val="宋体"/>
        <family val="3"/>
        <charset val="134"/>
      </rPr>
      <t>其他</t>
    </r>
    <r>
      <rPr>
        <sz val="10"/>
        <rFont val="Arial Narrow"/>
        <family val="2"/>
      </rPr>
      <t>—</t>
    </r>
    <r>
      <rPr>
        <sz val="10"/>
        <rFont val="宋体"/>
        <family val="3"/>
        <charset val="134"/>
      </rPr>
      <t>2</t>
    </r>
    <r>
      <rPr>
        <sz val="11"/>
        <color theme="1"/>
        <rFont val="宋体"/>
        <family val="2"/>
        <charset val="134"/>
        <scheme val="minor"/>
      </rPr>
      <t/>
    </r>
  </si>
  <si>
    <r>
      <rPr>
        <sz val="10"/>
        <rFont val="宋体"/>
        <family val="3"/>
        <charset val="134"/>
      </rPr>
      <t>其他</t>
    </r>
    <r>
      <rPr>
        <sz val="10"/>
        <rFont val="Arial Narrow"/>
        <family val="2"/>
      </rPr>
      <t>—</t>
    </r>
    <r>
      <rPr>
        <sz val="10"/>
        <rFont val="宋体"/>
        <family val="3"/>
        <charset val="134"/>
      </rPr>
      <t>3</t>
    </r>
    <r>
      <rPr>
        <sz val="11"/>
        <color theme="1"/>
        <rFont val="宋体"/>
        <family val="2"/>
        <charset val="134"/>
        <scheme val="minor"/>
      </rPr>
      <t/>
    </r>
  </si>
  <si>
    <r>
      <rPr>
        <sz val="10"/>
        <rFont val="宋体"/>
        <family val="3"/>
        <charset val="134"/>
      </rPr>
      <t>其他</t>
    </r>
    <r>
      <rPr>
        <sz val="10"/>
        <rFont val="Arial Narrow"/>
        <family val="2"/>
      </rPr>
      <t>—</t>
    </r>
    <r>
      <rPr>
        <sz val="10"/>
        <rFont val="宋体"/>
        <family val="3"/>
        <charset val="134"/>
      </rPr>
      <t>4</t>
    </r>
    <r>
      <rPr>
        <sz val="11"/>
        <color theme="1"/>
        <rFont val="宋体"/>
        <family val="2"/>
        <charset val="134"/>
        <scheme val="minor"/>
      </rPr>
      <t/>
    </r>
  </si>
  <si>
    <t>股利类型</t>
  </si>
  <si>
    <t>其他</t>
  </si>
  <si>
    <r>
      <rPr>
        <sz val="10"/>
        <rFont val="宋体"/>
        <family val="3"/>
        <charset val="134"/>
      </rPr>
      <t>年末利率区间</t>
    </r>
    <phoneticPr fontId="5" type="noConversion"/>
  </si>
  <si>
    <t>其中：国有独享资本公积</t>
    <phoneticPr fontId="5" type="noConversion"/>
  </si>
  <si>
    <t>其他减值损失</t>
    <phoneticPr fontId="5" type="noConversion"/>
  </si>
  <si>
    <t>丧失控制权后，剩余股权按公允价值重新计量产生的利得</t>
    <phoneticPr fontId="5" type="noConversion"/>
  </si>
  <si>
    <t>与现金流量表核对</t>
    <phoneticPr fontId="5" type="noConversion"/>
  </si>
  <si>
    <t>与现金流量表核对</t>
    <phoneticPr fontId="5" type="noConversion"/>
  </si>
  <si>
    <r>
      <rPr>
        <sz val="10"/>
        <rFont val="宋体"/>
        <family val="3"/>
        <charset val="134"/>
      </rPr>
      <t>取得借款收到的现金</t>
    </r>
    <r>
      <rPr>
        <sz val="10"/>
        <rFont val="Arial Narrow"/>
        <family val="2"/>
      </rPr>
      <t>”-“</t>
    </r>
    <r>
      <rPr>
        <sz val="10"/>
        <rFont val="宋体"/>
        <family val="3"/>
        <charset val="134"/>
      </rPr>
      <t>偿还债务支付的现金核对</t>
    </r>
    <phoneticPr fontId="5" type="noConversion"/>
  </si>
  <si>
    <t>分配股利、利润或偿付利息支付的现金</t>
    <phoneticPr fontId="5" type="noConversion"/>
  </si>
  <si>
    <t>核对3</t>
    <phoneticPr fontId="5" type="noConversion"/>
  </si>
  <si>
    <t>核对4</t>
    <phoneticPr fontId="5" type="noConversion"/>
  </si>
  <si>
    <t>核对5</t>
    <phoneticPr fontId="5" type="noConversion"/>
  </si>
  <si>
    <t>年末已质押的银行承兑汇票</t>
    <phoneticPr fontId="5" type="noConversion"/>
  </si>
  <si>
    <t>年末已质押的商业承兑汇票</t>
    <phoneticPr fontId="5" type="noConversion"/>
  </si>
  <si>
    <t>开发支出</t>
    <phoneticPr fontId="5" type="noConversion"/>
  </si>
  <si>
    <t>利润表金额</t>
    <phoneticPr fontId="5" type="noConversion"/>
  </si>
  <si>
    <t>核对</t>
    <phoneticPr fontId="5" type="noConversion"/>
  </si>
  <si>
    <r>
      <rPr>
        <b/>
        <sz val="10"/>
        <rFont val="宋体"/>
        <family val="3"/>
        <charset val="134"/>
      </rPr>
      <t>应收账款</t>
    </r>
    <r>
      <rPr>
        <b/>
        <sz val="10"/>
        <rFont val="Arial Narrow"/>
        <family val="2"/>
      </rPr>
      <t>-</t>
    </r>
    <r>
      <rPr>
        <b/>
        <sz val="10"/>
        <rFont val="宋体"/>
        <family val="3"/>
        <charset val="134"/>
      </rPr>
      <t>关联方</t>
    </r>
    <r>
      <rPr>
        <b/>
        <sz val="10"/>
        <rFont val="Arial Narrow"/>
        <family val="2"/>
      </rPr>
      <t>—</t>
    </r>
    <r>
      <rPr>
        <b/>
        <sz val="10"/>
        <rFont val="宋体"/>
        <family val="3"/>
        <charset val="134"/>
      </rPr>
      <t>无风险组合明细：</t>
    </r>
    <phoneticPr fontId="5" type="noConversion"/>
  </si>
  <si>
    <r>
      <rPr>
        <b/>
        <sz val="10"/>
        <rFont val="宋体"/>
        <family val="3"/>
        <charset val="134"/>
      </rPr>
      <t>应收账款</t>
    </r>
    <r>
      <rPr>
        <b/>
        <sz val="10"/>
        <rFont val="Arial Narrow"/>
        <family val="2"/>
      </rPr>
      <t>-</t>
    </r>
    <r>
      <rPr>
        <b/>
        <sz val="10"/>
        <rFont val="宋体"/>
        <family val="3"/>
        <charset val="134"/>
      </rPr>
      <t>外部单位</t>
    </r>
    <r>
      <rPr>
        <b/>
        <sz val="10"/>
        <rFont val="Arial Narrow"/>
        <family val="2"/>
      </rPr>
      <t>—</t>
    </r>
    <r>
      <rPr>
        <b/>
        <sz val="10"/>
        <rFont val="宋体"/>
        <family val="3"/>
        <charset val="134"/>
      </rPr>
      <t>无风险组合明细：</t>
    </r>
    <phoneticPr fontId="5" type="noConversion"/>
  </si>
  <si>
    <r>
      <rPr>
        <b/>
        <sz val="10"/>
        <rFont val="宋体"/>
        <family val="3"/>
        <charset val="134"/>
      </rPr>
      <t>其他应收款</t>
    </r>
    <r>
      <rPr>
        <b/>
        <sz val="10"/>
        <rFont val="Arial Narrow"/>
        <family val="2"/>
      </rPr>
      <t>-</t>
    </r>
    <r>
      <rPr>
        <b/>
        <sz val="10"/>
        <rFont val="宋体"/>
        <family val="3"/>
        <charset val="134"/>
      </rPr>
      <t>关联方</t>
    </r>
    <r>
      <rPr>
        <b/>
        <sz val="10"/>
        <rFont val="Arial Narrow"/>
        <family val="2"/>
      </rPr>
      <t>—</t>
    </r>
    <r>
      <rPr>
        <b/>
        <sz val="10"/>
        <rFont val="宋体"/>
        <family val="3"/>
        <charset val="134"/>
      </rPr>
      <t>无风险组合明细：</t>
    </r>
    <phoneticPr fontId="5" type="noConversion"/>
  </si>
  <si>
    <r>
      <rPr>
        <b/>
        <sz val="10"/>
        <rFont val="宋体"/>
        <family val="3"/>
        <charset val="134"/>
      </rPr>
      <t>其他应收款</t>
    </r>
    <r>
      <rPr>
        <b/>
        <sz val="10"/>
        <rFont val="Arial Narrow"/>
        <family val="2"/>
      </rPr>
      <t>-</t>
    </r>
    <r>
      <rPr>
        <b/>
        <sz val="10"/>
        <rFont val="宋体"/>
        <family val="3"/>
        <charset val="134"/>
      </rPr>
      <t>外部单位</t>
    </r>
    <r>
      <rPr>
        <b/>
        <sz val="10"/>
        <rFont val="Arial Narrow"/>
        <family val="2"/>
      </rPr>
      <t>—</t>
    </r>
    <r>
      <rPr>
        <b/>
        <sz val="10"/>
        <rFont val="宋体"/>
        <family val="3"/>
        <charset val="134"/>
      </rPr>
      <t>无风险组合明细：</t>
    </r>
    <phoneticPr fontId="5" type="noConversion"/>
  </si>
  <si>
    <r>
      <rPr>
        <b/>
        <sz val="10"/>
        <rFont val="宋体"/>
        <family val="3"/>
        <charset val="134"/>
      </rPr>
      <t>预付账款</t>
    </r>
    <r>
      <rPr>
        <b/>
        <sz val="10"/>
        <rFont val="Arial Narrow"/>
        <family val="2"/>
      </rPr>
      <t>-</t>
    </r>
    <r>
      <rPr>
        <b/>
        <sz val="10"/>
        <rFont val="宋体"/>
        <family val="3"/>
        <charset val="134"/>
      </rPr>
      <t>关联方单位明细</t>
    </r>
    <r>
      <rPr>
        <b/>
        <sz val="10"/>
        <rFont val="Arial Narrow"/>
        <family val="2"/>
      </rPr>
      <t>:</t>
    </r>
    <phoneticPr fontId="5" type="noConversion"/>
  </si>
  <si>
    <r>
      <rPr>
        <b/>
        <sz val="10"/>
        <rFont val="宋体"/>
        <family val="3"/>
        <charset val="134"/>
      </rPr>
      <t>应付账款</t>
    </r>
    <r>
      <rPr>
        <b/>
        <sz val="10"/>
        <rFont val="Arial Narrow"/>
        <family val="2"/>
      </rPr>
      <t>-</t>
    </r>
    <r>
      <rPr>
        <b/>
        <sz val="10"/>
        <rFont val="宋体"/>
        <family val="3"/>
        <charset val="134"/>
      </rPr>
      <t>关联方单位明细</t>
    </r>
    <r>
      <rPr>
        <b/>
        <sz val="10"/>
        <rFont val="Arial Narrow"/>
        <family val="2"/>
      </rPr>
      <t>:</t>
    </r>
    <phoneticPr fontId="5" type="noConversion"/>
  </si>
  <si>
    <r>
      <rPr>
        <b/>
        <sz val="10"/>
        <rFont val="宋体"/>
        <family val="3"/>
        <charset val="134"/>
      </rPr>
      <t>预收账款</t>
    </r>
    <r>
      <rPr>
        <b/>
        <sz val="10"/>
        <rFont val="Arial Narrow"/>
        <family val="2"/>
      </rPr>
      <t>-</t>
    </r>
    <r>
      <rPr>
        <b/>
        <sz val="10"/>
        <rFont val="宋体"/>
        <family val="3"/>
        <charset val="134"/>
      </rPr>
      <t>关联方单位明细</t>
    </r>
    <r>
      <rPr>
        <b/>
        <sz val="10"/>
        <rFont val="Arial Narrow"/>
        <family val="2"/>
      </rPr>
      <t>:</t>
    </r>
    <phoneticPr fontId="5" type="noConversion"/>
  </si>
  <si>
    <r>
      <rPr>
        <b/>
        <sz val="10"/>
        <rFont val="宋体"/>
        <family val="3"/>
        <charset val="134"/>
      </rPr>
      <t>其他应付款</t>
    </r>
    <r>
      <rPr>
        <b/>
        <sz val="10"/>
        <rFont val="Arial Narrow"/>
        <family val="2"/>
      </rPr>
      <t>-</t>
    </r>
    <r>
      <rPr>
        <b/>
        <sz val="10"/>
        <rFont val="宋体"/>
        <family val="3"/>
        <charset val="134"/>
      </rPr>
      <t>关联方单位明细</t>
    </r>
    <r>
      <rPr>
        <b/>
        <sz val="10"/>
        <rFont val="Arial Narrow"/>
        <family val="2"/>
      </rPr>
      <t>:</t>
    </r>
    <phoneticPr fontId="5" type="noConversion"/>
  </si>
  <si>
    <t>其中：按公允价值计量的</t>
    <phoneticPr fontId="5" type="noConversion"/>
  </si>
  <si>
    <r>
      <t xml:space="preserve">      </t>
    </r>
    <r>
      <rPr>
        <sz val="10"/>
        <rFont val="宋体"/>
        <family val="3"/>
        <charset val="134"/>
      </rPr>
      <t>按成本计量的</t>
    </r>
    <phoneticPr fontId="5" type="noConversion"/>
  </si>
  <si>
    <t>其他</t>
    <phoneticPr fontId="5" type="noConversion"/>
  </si>
  <si>
    <r>
      <t>2020</t>
    </r>
    <r>
      <rPr>
        <sz val="8"/>
        <rFont val="宋体"/>
        <family val="3"/>
        <charset val="134"/>
      </rPr>
      <t>年</t>
    </r>
    <phoneticPr fontId="5" type="noConversion"/>
  </si>
  <si>
    <t>增值税待抵扣进项税</t>
  </si>
  <si>
    <t>预缴企业所得税</t>
  </si>
  <si>
    <t>资金平台</t>
  </si>
  <si>
    <t>预付银行利息</t>
  </si>
  <si>
    <t>项目</t>
  </si>
  <si>
    <t>一、企业人工成本总额（含劳务派遣费用）</t>
  </si>
  <si>
    <r>
      <t xml:space="preserve">    </t>
    </r>
    <r>
      <rPr>
        <sz val="9"/>
        <color theme="1"/>
        <rFont val="宋体"/>
        <family val="3"/>
        <charset val="134"/>
      </rPr>
      <t>其中：劳务派遣费用</t>
    </r>
  </si>
  <si>
    <t>二、从业人员人工成本总额</t>
  </si>
  <si>
    <r>
      <t xml:space="preserve">    </t>
    </r>
    <r>
      <rPr>
        <sz val="9"/>
        <color theme="1"/>
        <rFont val="宋体"/>
        <family val="3"/>
        <charset val="134"/>
      </rPr>
      <t>其中：从业人员劳动报酬</t>
    </r>
  </si>
  <si>
    <r>
      <t xml:space="preserve">        </t>
    </r>
    <r>
      <rPr>
        <sz val="9"/>
        <color theme="1"/>
        <rFont val="宋体"/>
        <family val="3"/>
        <charset val="134"/>
      </rPr>
      <t>其中：劳务派遣劳动报酬</t>
    </r>
  </si>
  <si>
    <t>三、职工人工成本总额</t>
  </si>
  <si>
    <r>
      <t>1</t>
    </r>
    <r>
      <rPr>
        <sz val="9"/>
        <color theme="1"/>
        <rFont val="宋体"/>
        <family val="3"/>
        <charset val="134"/>
      </rPr>
      <t>、工资总额</t>
    </r>
  </si>
  <si>
    <r>
      <t>2</t>
    </r>
    <r>
      <rPr>
        <sz val="9"/>
        <color theme="1"/>
        <rFont val="宋体"/>
        <family val="3"/>
        <charset val="134"/>
      </rPr>
      <t>、社会保险费用</t>
    </r>
  </si>
  <si>
    <r>
      <t>3</t>
    </r>
    <r>
      <rPr>
        <sz val="9"/>
        <color theme="1"/>
        <rFont val="宋体"/>
        <family val="3"/>
        <charset val="134"/>
      </rPr>
      <t>、补充保险费用</t>
    </r>
  </si>
  <si>
    <r>
      <t xml:space="preserve">      </t>
    </r>
    <r>
      <rPr>
        <sz val="9"/>
        <color theme="1"/>
        <rFont val="宋体"/>
        <family val="3"/>
        <charset val="134"/>
      </rPr>
      <t>其中：补充养老保险</t>
    </r>
  </si>
  <si>
    <r>
      <t xml:space="preserve">            </t>
    </r>
    <r>
      <rPr>
        <sz val="9"/>
        <color theme="1"/>
        <rFont val="宋体"/>
        <family val="3"/>
        <charset val="134"/>
      </rPr>
      <t>补充医疗保险</t>
    </r>
  </si>
  <si>
    <r>
      <t>4</t>
    </r>
    <r>
      <rPr>
        <sz val="9"/>
        <color theme="1"/>
        <rFont val="宋体"/>
        <family val="3"/>
        <charset val="134"/>
      </rPr>
      <t>、福利费用</t>
    </r>
  </si>
  <si>
    <r>
      <t xml:space="preserve">      </t>
    </r>
    <r>
      <rPr>
        <sz val="9"/>
        <color theme="1"/>
        <rFont val="宋体"/>
        <family val="3"/>
        <charset val="134"/>
      </rPr>
      <t>其中：非货币性福利</t>
    </r>
  </si>
  <si>
    <r>
      <t>5</t>
    </r>
    <r>
      <rPr>
        <sz val="9"/>
        <color theme="1"/>
        <rFont val="宋体"/>
        <family val="3"/>
        <charset val="134"/>
      </rPr>
      <t>、教育培训经费</t>
    </r>
  </si>
  <si>
    <r>
      <t>6</t>
    </r>
    <r>
      <rPr>
        <sz val="9"/>
        <color theme="1"/>
        <rFont val="宋体"/>
        <family val="3"/>
        <charset val="134"/>
      </rPr>
      <t>、工会经费</t>
    </r>
  </si>
  <si>
    <r>
      <t>7</t>
    </r>
    <r>
      <rPr>
        <sz val="9"/>
        <color theme="1"/>
        <rFont val="宋体"/>
        <family val="3"/>
        <charset val="134"/>
      </rPr>
      <t>、劳动保护费用</t>
    </r>
  </si>
  <si>
    <r>
      <t>8</t>
    </r>
    <r>
      <rPr>
        <sz val="9"/>
        <color theme="1"/>
        <rFont val="宋体"/>
        <family val="3"/>
        <charset val="134"/>
      </rPr>
      <t>、住房费用</t>
    </r>
  </si>
  <si>
    <r>
      <t xml:space="preserve">  </t>
    </r>
    <r>
      <rPr>
        <sz val="9"/>
        <color theme="1"/>
        <rFont val="宋体"/>
        <family val="3"/>
        <charset val="134"/>
      </rPr>
      <t>其中：住房公积金</t>
    </r>
  </si>
  <si>
    <r>
      <t xml:space="preserve">        </t>
    </r>
    <r>
      <rPr>
        <sz val="9"/>
        <color theme="1"/>
        <rFont val="宋体"/>
        <family val="3"/>
        <charset val="134"/>
      </rPr>
      <t>一次性支付的住房补贴</t>
    </r>
  </si>
  <si>
    <r>
      <t>9</t>
    </r>
    <r>
      <rPr>
        <sz val="9"/>
        <color theme="1"/>
        <rFont val="宋体"/>
        <family val="3"/>
        <charset val="134"/>
      </rPr>
      <t>、技术奖酬金及业余设计奖</t>
    </r>
  </si>
  <si>
    <r>
      <t>10</t>
    </r>
    <r>
      <rPr>
        <sz val="9"/>
        <color theme="1"/>
        <rFont val="宋体"/>
        <family val="3"/>
        <charset val="134"/>
      </rPr>
      <t>、辞退福利</t>
    </r>
  </si>
  <si>
    <r>
      <t>11</t>
    </r>
    <r>
      <rPr>
        <sz val="9"/>
        <color theme="1"/>
        <rFont val="宋体"/>
        <family val="3"/>
        <charset val="134"/>
      </rPr>
      <t>、股份支付</t>
    </r>
  </si>
  <si>
    <r>
      <t>12</t>
    </r>
    <r>
      <rPr>
        <sz val="9"/>
        <color theme="1"/>
        <rFont val="宋体"/>
        <family val="3"/>
        <charset val="134"/>
      </rPr>
      <t>、其他人工成本</t>
    </r>
  </si>
  <si>
    <t>四、在岗职工人工成本总额</t>
  </si>
  <si>
    <r>
      <t xml:space="preserve">    </t>
    </r>
    <r>
      <rPr>
        <sz val="9"/>
        <color theme="1"/>
        <rFont val="宋体"/>
        <family val="3"/>
        <charset val="134"/>
      </rPr>
      <t>其中：工资总额</t>
    </r>
  </si>
  <si>
    <t>五、境外从业人员人工成本总额</t>
  </si>
  <si>
    <r>
      <t xml:space="preserve">    </t>
    </r>
    <r>
      <rPr>
        <sz val="9"/>
        <color theme="1"/>
        <rFont val="宋体"/>
        <family val="3"/>
        <charset val="134"/>
      </rPr>
      <t>其中：中方从业人员人工成本总额</t>
    </r>
  </si>
  <si>
    <r>
      <t xml:space="preserve">          </t>
    </r>
    <r>
      <rPr>
        <sz val="9"/>
        <color theme="1"/>
        <rFont val="宋体"/>
        <family val="3"/>
        <charset val="134"/>
      </rPr>
      <t>其中：中方职工人工成本总额</t>
    </r>
  </si>
  <si>
    <r>
      <t xml:space="preserve">          </t>
    </r>
    <r>
      <rPr>
        <sz val="9"/>
        <color theme="1"/>
        <rFont val="宋体"/>
        <family val="3"/>
        <charset val="134"/>
      </rPr>
      <t>外籍从业人员人工成本总额</t>
    </r>
  </si>
  <si>
    <t>其中：工资金额</t>
    <phoneticPr fontId="5" type="noConversion"/>
  </si>
  <si>
    <t>其中：工会经费</t>
    <phoneticPr fontId="5" type="noConversion"/>
  </si>
  <si>
    <t>其中：职工教育经费</t>
    <phoneticPr fontId="5" type="noConversion"/>
  </si>
  <si>
    <t>请填写以下数据，已与人工成本表建立链接</t>
    <phoneticPr fontId="5" type="noConversion"/>
  </si>
  <si>
    <t>本期发生数</t>
    <phoneticPr fontId="5" type="noConversion"/>
  </si>
  <si>
    <t>账龄</t>
    <phoneticPr fontId="5" type="noConversion"/>
  </si>
  <si>
    <t>账龄</t>
    <phoneticPr fontId="5" type="noConversion"/>
  </si>
  <si>
    <t>库存现金</t>
    <phoneticPr fontId="5" type="noConversion"/>
  </si>
  <si>
    <t>银行承兑汇票保证金</t>
    <phoneticPr fontId="5" type="noConversion"/>
  </si>
  <si>
    <t>信用证保证金</t>
    <phoneticPr fontId="5" type="noConversion"/>
  </si>
  <si>
    <t>履约保证金</t>
    <phoneticPr fontId="5" type="noConversion"/>
  </si>
  <si>
    <t>用于担保的定期存款或通知存款</t>
    <phoneticPr fontId="5" type="noConversion"/>
  </si>
  <si>
    <t>放在境外且资金汇回受到限制的款项</t>
    <phoneticPr fontId="5" type="noConversion"/>
  </si>
  <si>
    <t>银行承兑汇票保证金</t>
    <phoneticPr fontId="5" type="noConversion"/>
  </si>
  <si>
    <t>转回或收回前累计已计提坏账准备金额</t>
    <phoneticPr fontId="5" type="noConversion"/>
  </si>
  <si>
    <t>转回或收回原因、方式</t>
    <phoneticPr fontId="5" type="noConversion"/>
  </si>
  <si>
    <t>履行的核销程序</t>
    <phoneticPr fontId="5" type="noConversion"/>
  </si>
  <si>
    <t>坏账准备</t>
  </si>
  <si>
    <r>
      <t>占应收账款合计的比例（</t>
    </r>
    <r>
      <rPr>
        <sz val="10"/>
        <rFont val="Arial"/>
        <family val="2"/>
      </rPr>
      <t>%</t>
    </r>
    <r>
      <rPr>
        <sz val="10"/>
        <rFont val="宋体"/>
        <family val="3"/>
        <charset val="134"/>
      </rPr>
      <t>）</t>
    </r>
  </si>
  <si>
    <t>债务人名称</t>
  </si>
  <si>
    <t>账面余额</t>
  </si>
  <si>
    <r>
      <t>占其他应收款合计的比例（</t>
    </r>
    <r>
      <rPr>
        <sz val="9"/>
        <rFont val="Arial Narrow"/>
        <family val="2"/>
      </rPr>
      <t>%</t>
    </r>
    <r>
      <rPr>
        <sz val="9"/>
        <rFont val="宋体"/>
        <family val="3"/>
        <charset val="134"/>
      </rPr>
      <t>）</t>
    </r>
  </si>
  <si>
    <r>
      <t>合</t>
    </r>
    <r>
      <rPr>
        <sz val="9"/>
        <rFont val="Arial Narrow"/>
        <family val="2"/>
      </rPr>
      <t xml:space="preserve">   </t>
    </r>
    <r>
      <rPr>
        <sz val="9"/>
        <rFont val="宋体"/>
        <family val="3"/>
        <charset val="134"/>
      </rPr>
      <t>计</t>
    </r>
  </si>
  <si>
    <t>款项性质</t>
    <phoneticPr fontId="5" type="noConversion"/>
  </si>
  <si>
    <t>账龄</t>
    <phoneticPr fontId="5" type="noConversion"/>
  </si>
  <si>
    <t>按欠款方归集的年末余额前五名的预付账款情况</t>
    <phoneticPr fontId="5" type="noConversion"/>
  </si>
  <si>
    <r>
      <t>占预付账款合计的比例（</t>
    </r>
    <r>
      <rPr>
        <sz val="9"/>
        <rFont val="Arial Narrow"/>
        <family val="2"/>
      </rPr>
      <t>%</t>
    </r>
    <r>
      <rPr>
        <sz val="9"/>
        <rFont val="宋体"/>
        <family val="3"/>
        <charset val="134"/>
      </rPr>
      <t>）</t>
    </r>
  </si>
  <si>
    <t>应收账款-坏账准备</t>
    <phoneticPr fontId="5" type="noConversion"/>
  </si>
  <si>
    <t>其他应收款-坏账准备</t>
    <phoneticPr fontId="5" type="noConversion"/>
  </si>
  <si>
    <t>职工薪酬及协力服务费</t>
  </si>
  <si>
    <t>机物料消耗</t>
  </si>
  <si>
    <t>存货</t>
    <phoneticPr fontId="5" type="noConversion"/>
  </si>
  <si>
    <t>持有待售非流动资产和处置组的基本情况</t>
  </si>
  <si>
    <r>
      <t>合</t>
    </r>
    <r>
      <rPr>
        <sz val="10.5"/>
        <rFont val="Arial"/>
        <family val="2"/>
      </rPr>
      <t xml:space="preserve">   </t>
    </r>
    <r>
      <rPr>
        <sz val="10.5"/>
        <rFont val="宋体"/>
        <family val="3"/>
        <charset val="134"/>
      </rPr>
      <t>计</t>
    </r>
  </si>
  <si>
    <t>资产合计</t>
  </si>
  <si>
    <t>负债合计</t>
  </si>
  <si>
    <t>期末账面价值</t>
    <phoneticPr fontId="5" type="noConversion"/>
  </si>
  <si>
    <t>公允价值</t>
    <phoneticPr fontId="5" type="noConversion"/>
  </si>
  <si>
    <t>出售原因、方式</t>
    <phoneticPr fontId="5" type="noConversion"/>
  </si>
  <si>
    <t>持有待售非流动资产</t>
    <phoneticPr fontId="5" type="noConversion"/>
  </si>
  <si>
    <r>
      <t>持有待售的处置组——</t>
    </r>
    <r>
      <rPr>
        <b/>
        <sz val="10.5"/>
        <rFont val="Arial"/>
        <family val="2"/>
      </rPr>
      <t>XX</t>
    </r>
    <phoneticPr fontId="5" type="noConversion"/>
  </si>
  <si>
    <t>预计出售费用</t>
    <phoneticPr fontId="5" type="noConversion"/>
  </si>
  <si>
    <t>所属分部</t>
    <phoneticPr fontId="5" type="noConversion"/>
  </si>
  <si>
    <r>
      <t>项</t>
    </r>
    <r>
      <rPr>
        <sz val="10.5"/>
        <rFont val="宋体"/>
        <family val="3"/>
        <charset val="134"/>
      </rPr>
      <t xml:space="preserve">    目</t>
    </r>
    <phoneticPr fontId="5" type="noConversion"/>
  </si>
  <si>
    <t>预计出售时间</t>
    <phoneticPr fontId="5" type="noConversion"/>
  </si>
  <si>
    <r>
      <t xml:space="preserve">      </t>
    </r>
    <r>
      <rPr>
        <sz val="10"/>
        <rFont val="宋体"/>
        <family val="3"/>
        <charset val="134"/>
      </rPr>
      <t>商誉</t>
    </r>
    <phoneticPr fontId="5" type="noConversion"/>
  </si>
  <si>
    <t>持有待售资产减值准备情况</t>
  </si>
  <si>
    <t xml:space="preserve"> </t>
  </si>
  <si>
    <r>
      <rPr>
        <sz val="10"/>
        <rFont val="宋体"/>
        <family val="3"/>
        <charset val="134"/>
      </rPr>
      <t>本期计提</t>
    </r>
  </si>
  <si>
    <r>
      <rPr>
        <sz val="10"/>
        <rFont val="宋体"/>
        <family val="3"/>
        <charset val="134"/>
      </rPr>
      <t>本期减少</t>
    </r>
  </si>
  <si>
    <r>
      <rPr>
        <sz val="10"/>
        <rFont val="宋体"/>
        <family val="3"/>
        <charset val="134"/>
      </rPr>
      <t>期末余额</t>
    </r>
  </si>
  <si>
    <r>
      <rPr>
        <sz val="10"/>
        <rFont val="宋体"/>
        <family val="3"/>
        <charset val="134"/>
      </rPr>
      <t>转回</t>
    </r>
  </si>
  <si>
    <r>
      <rPr>
        <sz val="10"/>
        <rFont val="宋体"/>
        <family val="3"/>
        <charset val="134"/>
      </rPr>
      <t>其他减少</t>
    </r>
  </si>
  <si>
    <r>
      <rPr>
        <b/>
        <sz val="10"/>
        <rFont val="宋体"/>
        <family val="3"/>
        <charset val="134"/>
      </rPr>
      <t>持有待售非流动资产</t>
    </r>
    <phoneticPr fontId="5" type="noConversion"/>
  </si>
  <si>
    <r>
      <rPr>
        <b/>
        <sz val="10"/>
        <rFont val="宋体"/>
        <family val="3"/>
        <charset val="134"/>
      </rPr>
      <t>持有待售的处置组</t>
    </r>
    <phoneticPr fontId="5" type="noConversion"/>
  </si>
  <si>
    <r>
      <t xml:space="preserve">                </t>
    </r>
    <r>
      <rPr>
        <sz val="10"/>
        <rFont val="宋体"/>
        <family val="3"/>
        <charset val="134"/>
      </rPr>
      <t>其他收益</t>
    </r>
    <phoneticPr fontId="5" type="noConversion"/>
  </si>
  <si>
    <r>
      <t>——</t>
    </r>
    <r>
      <rPr>
        <b/>
        <sz val="10"/>
        <rFont val="宋体"/>
        <family val="3"/>
        <charset val="134"/>
      </rPr>
      <t>政府补助</t>
    </r>
    <phoneticPr fontId="5" type="noConversion"/>
  </si>
  <si>
    <r>
      <t>1</t>
    </r>
    <r>
      <rPr>
        <sz val="10"/>
        <rFont val="宋体"/>
        <family val="3"/>
        <charset val="134"/>
      </rPr>
      <t>、本期初始确认的政府补助的基本情况</t>
    </r>
    <phoneticPr fontId="5" type="noConversion"/>
  </si>
  <si>
    <r>
      <rPr>
        <sz val="10"/>
        <rFont val="宋体"/>
        <family val="3"/>
        <charset val="134"/>
      </rPr>
      <t>补助项目</t>
    </r>
  </si>
  <si>
    <r>
      <rPr>
        <sz val="10"/>
        <rFont val="宋体"/>
        <family val="3"/>
        <charset val="134"/>
      </rPr>
      <t>与资产相关</t>
    </r>
  </si>
  <si>
    <r>
      <rPr>
        <sz val="10"/>
        <rFont val="宋体"/>
        <family val="3"/>
        <charset val="134"/>
      </rPr>
      <t>与收益相关</t>
    </r>
  </si>
  <si>
    <r>
      <rPr>
        <sz val="10"/>
        <rFont val="宋体"/>
        <family val="3"/>
        <charset val="134"/>
      </rPr>
      <t>是否实际收到</t>
    </r>
    <phoneticPr fontId="5" type="noConversion"/>
  </si>
  <si>
    <r>
      <rPr>
        <sz val="10"/>
        <rFont val="宋体"/>
        <family val="3"/>
        <charset val="134"/>
      </rPr>
      <t>冲减资产账面价值</t>
    </r>
  </si>
  <si>
    <r>
      <rPr>
        <sz val="10"/>
        <rFont val="宋体"/>
        <family val="3"/>
        <charset val="134"/>
      </rPr>
      <t>递延收益</t>
    </r>
  </si>
  <si>
    <r>
      <rPr>
        <sz val="10"/>
        <rFont val="宋体"/>
        <family val="3"/>
        <charset val="134"/>
      </rPr>
      <t>其他收益</t>
    </r>
  </si>
  <si>
    <r>
      <rPr>
        <sz val="10"/>
        <rFont val="宋体"/>
        <family val="3"/>
        <charset val="134"/>
      </rPr>
      <t>冲减成本费用</t>
    </r>
    <phoneticPr fontId="5" type="noConversion"/>
  </si>
  <si>
    <r>
      <t>2</t>
    </r>
    <r>
      <rPr>
        <sz val="10"/>
        <rFont val="宋体"/>
        <family val="3"/>
        <charset val="134"/>
      </rPr>
      <t>、计入当期损益的政府补助情况</t>
    </r>
    <phoneticPr fontId="5" type="noConversion"/>
  </si>
  <si>
    <r>
      <rPr>
        <sz val="10"/>
        <rFont val="宋体"/>
        <family val="3"/>
        <charset val="134"/>
      </rPr>
      <t>补助项目</t>
    </r>
    <phoneticPr fontId="5" type="noConversion"/>
  </si>
  <si>
    <r>
      <rPr>
        <sz val="10"/>
        <rFont val="宋体"/>
        <family val="3"/>
        <charset val="134"/>
      </rPr>
      <t>与资产</t>
    </r>
    <r>
      <rPr>
        <sz val="10"/>
        <rFont val="Arial Narrow"/>
        <family val="2"/>
      </rPr>
      <t>/</t>
    </r>
    <r>
      <rPr>
        <sz val="10"/>
        <rFont val="宋体"/>
        <family val="3"/>
        <charset val="134"/>
      </rPr>
      <t>收益相关</t>
    </r>
    <phoneticPr fontId="5" type="noConversion"/>
  </si>
  <si>
    <r>
      <rPr>
        <sz val="10"/>
        <rFont val="宋体"/>
        <family val="3"/>
        <charset val="134"/>
      </rPr>
      <t>计入其他收益</t>
    </r>
    <phoneticPr fontId="5" type="noConversion"/>
  </si>
  <si>
    <r>
      <rPr>
        <sz val="10"/>
        <rFont val="宋体"/>
        <family val="3"/>
        <charset val="134"/>
      </rPr>
      <t>计入营业外收入</t>
    </r>
    <phoneticPr fontId="5" type="noConversion"/>
  </si>
  <si>
    <t>其他收益</t>
    <phoneticPr fontId="5" type="noConversion"/>
  </si>
  <si>
    <t>政府补助</t>
    <phoneticPr fontId="5" type="noConversion"/>
  </si>
  <si>
    <r>
      <t>——</t>
    </r>
    <r>
      <rPr>
        <b/>
        <sz val="10"/>
        <rFont val="宋体"/>
        <family val="3"/>
        <charset val="134"/>
      </rPr>
      <t>其他收益</t>
    </r>
    <phoneticPr fontId="5" type="noConversion"/>
  </si>
  <si>
    <t>项目</t>
    <phoneticPr fontId="5" type="noConversion"/>
  </si>
  <si>
    <t>其他收益</t>
  </si>
  <si>
    <t>其他收益</t>
    <phoneticPr fontId="5" type="noConversion"/>
  </si>
  <si>
    <r>
      <t xml:space="preserve">               </t>
    </r>
    <r>
      <rPr>
        <sz val="10"/>
        <rFont val="宋体"/>
        <family val="3"/>
        <charset val="134"/>
      </rPr>
      <t>其他收益</t>
    </r>
    <phoneticPr fontId="5" type="noConversion"/>
  </si>
  <si>
    <r>
      <t xml:space="preserve">                  </t>
    </r>
    <r>
      <rPr>
        <sz val="10"/>
        <rFont val="宋体"/>
        <family val="3"/>
        <charset val="134"/>
      </rPr>
      <t>其他收益</t>
    </r>
    <phoneticPr fontId="5" type="noConversion"/>
  </si>
  <si>
    <t xml:space="preserve">    其他收益</t>
    <phoneticPr fontId="5" type="noConversion"/>
  </si>
  <si>
    <t>利润表项目</t>
  </si>
  <si>
    <r>
      <t xml:space="preserve">             </t>
    </r>
    <r>
      <rPr>
        <sz val="10"/>
        <rFont val="宋体"/>
        <family val="3"/>
        <charset val="134"/>
      </rPr>
      <t>其他收益</t>
    </r>
    <phoneticPr fontId="5" type="noConversion"/>
  </si>
  <si>
    <r>
      <t xml:space="preserve">                   </t>
    </r>
    <r>
      <rPr>
        <sz val="10"/>
        <rFont val="宋体"/>
        <family val="3"/>
        <charset val="134"/>
      </rPr>
      <t>其他收益</t>
    </r>
    <phoneticPr fontId="5" type="noConversion"/>
  </si>
  <si>
    <t>年初账面价值</t>
  </si>
  <si>
    <t>本期计提</t>
  </si>
  <si>
    <t>本期减少</t>
  </si>
  <si>
    <t>期末余额</t>
  </si>
  <si>
    <t>转回</t>
  </si>
  <si>
    <t>其他减少</t>
  </si>
  <si>
    <t>终止经营的资产</t>
  </si>
  <si>
    <t>其中：固定资产</t>
  </si>
  <si>
    <t>终止经营的处置组</t>
  </si>
  <si>
    <t>项    目</t>
  </si>
  <si>
    <t xml:space="preserve">      投资性房地产</t>
  </si>
  <si>
    <t>合  计</t>
  </si>
  <si>
    <t xml:space="preserve">      无形资产</t>
    <phoneticPr fontId="5" type="noConversion"/>
  </si>
  <si>
    <t>1、终止经营的基本情况</t>
    <phoneticPr fontId="5" type="noConversion"/>
  </si>
  <si>
    <t>2、终止经营的资产或处置组减值准备情况</t>
    <phoneticPr fontId="5" type="noConversion"/>
  </si>
  <si>
    <t>长期股权投资</t>
    <phoneticPr fontId="5" type="noConversion"/>
  </si>
  <si>
    <t xml:space="preserve">      长期股权投资</t>
    <phoneticPr fontId="5" type="noConversion"/>
  </si>
  <si>
    <t>商誉</t>
    <phoneticPr fontId="5" type="noConversion"/>
  </si>
  <si>
    <t xml:space="preserve">      商誉</t>
    <phoneticPr fontId="5" type="noConversion"/>
  </si>
  <si>
    <t>固定资产</t>
    <phoneticPr fontId="5" type="noConversion"/>
  </si>
  <si>
    <t>投资性房地产</t>
    <phoneticPr fontId="5" type="noConversion"/>
  </si>
  <si>
    <t>无形资产</t>
    <phoneticPr fontId="5" type="noConversion"/>
  </si>
  <si>
    <t xml:space="preserve">      其他-1</t>
    <phoneticPr fontId="5" type="noConversion"/>
  </si>
  <si>
    <t xml:space="preserve">      其他-2</t>
  </si>
  <si>
    <t xml:space="preserve">      其他-2</t>
    <phoneticPr fontId="5" type="noConversion"/>
  </si>
  <si>
    <t xml:space="preserve">      其他-3</t>
  </si>
  <si>
    <t xml:space="preserve">      其他-3</t>
    <phoneticPr fontId="5" type="noConversion"/>
  </si>
  <si>
    <t xml:space="preserve">      其他-4</t>
  </si>
  <si>
    <t xml:space="preserve">      其他-4</t>
    <phoneticPr fontId="5" type="noConversion"/>
  </si>
  <si>
    <t xml:space="preserve">      其他-5</t>
  </si>
  <si>
    <t xml:space="preserve">      其他-5</t>
    <phoneticPr fontId="5" type="noConversion"/>
  </si>
  <si>
    <t xml:space="preserve">      其他-6</t>
    <phoneticPr fontId="5" type="noConversion"/>
  </si>
  <si>
    <t xml:space="preserve">      其他-7</t>
    <phoneticPr fontId="5" type="noConversion"/>
  </si>
  <si>
    <t xml:space="preserve">      其他-8</t>
    <phoneticPr fontId="5" type="noConversion"/>
  </si>
  <si>
    <t xml:space="preserve">      其他-9</t>
    <phoneticPr fontId="5" type="noConversion"/>
  </si>
  <si>
    <t xml:space="preserve">      其他-10</t>
    <phoneticPr fontId="5" type="noConversion"/>
  </si>
  <si>
    <r>
      <t>——</t>
    </r>
    <r>
      <rPr>
        <b/>
        <sz val="10"/>
        <rFont val="宋体"/>
        <family val="3"/>
        <charset val="134"/>
      </rPr>
      <t>主营业务税金及附加</t>
    </r>
    <phoneticPr fontId="5" type="noConversion"/>
  </si>
  <si>
    <r>
      <t>2018</t>
    </r>
    <r>
      <rPr>
        <sz val="8"/>
        <rFont val="宋体"/>
        <family val="3"/>
        <charset val="134"/>
      </rPr>
      <t>年</t>
    </r>
    <phoneticPr fontId="5" type="noConversion"/>
  </si>
  <si>
    <r>
      <t>2019</t>
    </r>
    <r>
      <rPr>
        <sz val="8"/>
        <rFont val="宋体"/>
        <family val="3"/>
        <charset val="134"/>
      </rPr>
      <t>年</t>
    </r>
    <phoneticPr fontId="5" type="noConversion"/>
  </si>
  <si>
    <r>
      <t>2021</t>
    </r>
    <r>
      <rPr>
        <sz val="8"/>
        <rFont val="宋体"/>
        <family val="3"/>
        <charset val="134"/>
      </rPr>
      <t>年</t>
    </r>
    <phoneticPr fontId="5" type="noConversion"/>
  </si>
  <si>
    <r>
      <t>2022</t>
    </r>
    <r>
      <rPr>
        <sz val="8"/>
        <rFont val="宋体"/>
        <family val="3"/>
        <charset val="134"/>
      </rPr>
      <t>年</t>
    </r>
    <phoneticPr fontId="5" type="noConversion"/>
  </si>
  <si>
    <t>其他</t>
    <phoneticPr fontId="5" type="noConversion"/>
  </si>
  <si>
    <r>
      <t xml:space="preserve">   </t>
    </r>
    <r>
      <rPr>
        <sz val="10"/>
        <rFont val="宋体"/>
        <family val="3"/>
        <charset val="134"/>
        <scheme val="minor"/>
      </rPr>
      <t>应收股利</t>
    </r>
    <phoneticPr fontId="5" type="noConversion"/>
  </si>
  <si>
    <t xml:space="preserve">  划分为持有待售的资产</t>
    <phoneticPr fontId="5" type="noConversion"/>
  </si>
  <si>
    <t xml:space="preserve">  划分为持有待售的负债</t>
    <phoneticPr fontId="5" type="noConversion"/>
  </si>
  <si>
    <r>
      <t xml:space="preserve">            </t>
    </r>
    <r>
      <rPr>
        <sz val="10"/>
        <rFont val="楷体_GB2312"/>
        <family val="3"/>
        <charset val="134"/>
      </rPr>
      <t>税金及附加</t>
    </r>
    <phoneticPr fontId="5" type="noConversion"/>
  </si>
  <si>
    <r>
      <t xml:space="preserve">                              </t>
    </r>
    <r>
      <rPr>
        <sz val="10"/>
        <rFont val="宋体"/>
        <family val="3"/>
        <charset val="134"/>
      </rPr>
      <t>党建工作经费</t>
    </r>
    <phoneticPr fontId="5" type="noConversion"/>
  </si>
  <si>
    <r>
      <t xml:space="preserve">                </t>
    </r>
    <r>
      <rPr>
        <sz val="10"/>
        <rFont val="宋体"/>
        <family val="3"/>
        <charset val="134"/>
      </rPr>
      <t>汇兑收益</t>
    </r>
    <phoneticPr fontId="5" type="noConversion"/>
  </si>
  <si>
    <t>持续经营损益</t>
  </si>
  <si>
    <t>持续经营损益</t>
    <phoneticPr fontId="5" type="noConversion"/>
  </si>
  <si>
    <t>终止经营损益</t>
  </si>
  <si>
    <t>终止经营损益</t>
    <phoneticPr fontId="5" type="noConversion"/>
  </si>
  <si>
    <t>其中：法定公积金</t>
    <phoneticPr fontId="5" type="noConversion"/>
  </si>
  <si>
    <r>
      <t xml:space="preserve">             </t>
    </r>
    <r>
      <rPr>
        <sz val="10"/>
        <rFont val="楷体_GB2312"/>
        <family val="3"/>
        <charset val="134"/>
      </rPr>
      <t>任意公积金</t>
    </r>
    <phoneticPr fontId="5" type="noConversion"/>
  </si>
  <si>
    <t>资产价值
回升转回额</t>
    <phoneticPr fontId="5" type="noConversion"/>
  </si>
  <si>
    <t>三、持有待售资产减值准备</t>
    <phoneticPr fontId="5" type="noConversion"/>
  </si>
  <si>
    <t>四、可供出售金融资产减值准备</t>
    <phoneticPr fontId="5" type="noConversion"/>
  </si>
  <si>
    <t>五、持有至到期投资减值准备</t>
    <phoneticPr fontId="5" type="noConversion"/>
  </si>
  <si>
    <t>六、长期股权投资减值准备</t>
    <phoneticPr fontId="5" type="noConversion"/>
  </si>
  <si>
    <t>七、投资性房地产减值准备</t>
    <phoneticPr fontId="5" type="noConversion"/>
  </si>
  <si>
    <t>八、固定资产减值准备</t>
    <phoneticPr fontId="5" type="noConversion"/>
  </si>
  <si>
    <t>九、工程物资减值准备</t>
    <phoneticPr fontId="5" type="noConversion"/>
  </si>
  <si>
    <t>十、在建工程减值准备</t>
    <phoneticPr fontId="5" type="noConversion"/>
  </si>
  <si>
    <t>十一、生产性生物资产减值准备</t>
    <phoneticPr fontId="5" type="noConversion"/>
  </si>
  <si>
    <t>十二、油气资产减值准备</t>
    <phoneticPr fontId="5" type="noConversion"/>
  </si>
  <si>
    <t>十三、无形资产减值准备</t>
    <phoneticPr fontId="5" type="noConversion"/>
  </si>
  <si>
    <t>十四、商誉减值准备</t>
    <phoneticPr fontId="5" type="noConversion"/>
  </si>
  <si>
    <t>十五、其他减值准备</t>
    <phoneticPr fontId="5" type="noConversion"/>
  </si>
  <si>
    <r>
      <t xml:space="preserve">                               </t>
    </r>
    <r>
      <rPr>
        <sz val="10"/>
        <rFont val="宋体"/>
        <family val="3"/>
        <charset val="134"/>
      </rPr>
      <t>党建工作经费</t>
    </r>
    <phoneticPr fontId="5" type="noConversion"/>
  </si>
  <si>
    <r>
      <t xml:space="preserve">                  </t>
    </r>
    <r>
      <rPr>
        <sz val="10"/>
        <rFont val="宋体"/>
        <family val="3"/>
        <charset val="134"/>
      </rPr>
      <t>汇兑收益</t>
    </r>
    <phoneticPr fontId="5" type="noConversion"/>
  </si>
  <si>
    <t>划分为持有待售的资产</t>
    <phoneticPr fontId="5" type="noConversion"/>
  </si>
  <si>
    <t>划分为持有待售的负债</t>
    <phoneticPr fontId="5" type="noConversion"/>
  </si>
  <si>
    <t>税金及附加</t>
    <phoneticPr fontId="5" type="noConversion"/>
  </si>
  <si>
    <r>
      <t xml:space="preserve">                                 </t>
    </r>
    <r>
      <rPr>
        <sz val="10"/>
        <rFont val="宋体"/>
        <family val="3"/>
        <charset val="134"/>
      </rPr>
      <t>党建工作经费</t>
    </r>
    <phoneticPr fontId="5" type="noConversion"/>
  </si>
  <si>
    <r>
      <rPr>
        <sz val="10"/>
        <rFont val="楷体_GB2312"/>
        <family val="3"/>
        <charset val="134"/>
      </rPr>
      <t>管理费用</t>
    </r>
    <r>
      <rPr>
        <sz val="10"/>
        <rFont val="Arial Narrow"/>
        <family val="2"/>
      </rPr>
      <t>—</t>
    </r>
    <r>
      <rPr>
        <sz val="10"/>
        <rFont val="楷体_GB2312"/>
        <family val="3"/>
        <charset val="134"/>
      </rPr>
      <t>党建工作经费</t>
    </r>
    <phoneticPr fontId="5" type="noConversion"/>
  </si>
  <si>
    <t>借</t>
    <phoneticPr fontId="5" type="noConversion"/>
  </si>
  <si>
    <r>
      <t xml:space="preserve">          </t>
    </r>
    <r>
      <rPr>
        <sz val="10"/>
        <rFont val="宋体"/>
        <family val="3"/>
        <charset val="134"/>
      </rPr>
      <t>汇兑收益</t>
    </r>
    <phoneticPr fontId="5" type="noConversion"/>
  </si>
  <si>
    <t>汇兑收益</t>
  </si>
  <si>
    <t>贷</t>
    <phoneticPr fontId="5" type="noConversion"/>
  </si>
  <si>
    <r>
      <t xml:space="preserve">              </t>
    </r>
    <r>
      <rPr>
        <sz val="10"/>
        <rFont val="宋体"/>
        <family val="3"/>
        <charset val="134"/>
      </rPr>
      <t>汇兑收益</t>
    </r>
    <phoneticPr fontId="5" type="noConversion"/>
  </si>
  <si>
    <t>定期存款</t>
    <phoneticPr fontId="5" type="noConversion"/>
  </si>
  <si>
    <t>委托贷款</t>
    <phoneticPr fontId="5" type="noConversion"/>
  </si>
  <si>
    <t>其他</t>
    <phoneticPr fontId="5" type="noConversion"/>
  </si>
  <si>
    <t>债券投资</t>
    <phoneticPr fontId="5" type="noConversion"/>
  </si>
  <si>
    <t>相关款项是否发生减值及判断依据</t>
    <phoneticPr fontId="5" type="noConversion"/>
  </si>
  <si>
    <t>转回或收回原因、方式</t>
    <phoneticPr fontId="5" type="noConversion"/>
  </si>
  <si>
    <t>转回或收回金额</t>
    <phoneticPr fontId="5" type="noConversion"/>
  </si>
  <si>
    <t>是否因关联交易产生</t>
    <phoneticPr fontId="5" type="noConversion"/>
  </si>
  <si>
    <r>
      <t>——</t>
    </r>
    <r>
      <rPr>
        <b/>
        <sz val="10"/>
        <rFont val="宋体"/>
        <family val="3"/>
        <charset val="134"/>
      </rPr>
      <t>划分为持有待售的资产</t>
    </r>
    <phoneticPr fontId="5" type="noConversion"/>
  </si>
  <si>
    <t>可供出售权益工具项目</t>
    <phoneticPr fontId="5" type="noConversion"/>
  </si>
  <si>
    <t>期末余额</t>
    <phoneticPr fontId="5" type="noConversion"/>
  </si>
  <si>
    <t>年初余额</t>
    <phoneticPr fontId="5" type="noConversion"/>
  </si>
  <si>
    <t>期末折现率区间</t>
    <phoneticPr fontId="5" type="noConversion"/>
  </si>
  <si>
    <t>账面余额</t>
    <phoneticPr fontId="5" type="noConversion"/>
  </si>
  <si>
    <t>坏账准备</t>
    <phoneticPr fontId="5" type="noConversion"/>
  </si>
  <si>
    <t>账面价值</t>
    <phoneticPr fontId="5" type="noConversion"/>
  </si>
  <si>
    <r>
      <rPr>
        <sz val="9"/>
        <rFont val="宋体"/>
        <family val="3"/>
        <charset val="134"/>
      </rPr>
      <t>工程累计投入占预算比例</t>
    </r>
    <r>
      <rPr>
        <sz val="9"/>
        <rFont val="Arial Narrow"/>
        <family val="2"/>
      </rPr>
      <t>(%)</t>
    </r>
    <phoneticPr fontId="5" type="noConversion"/>
  </si>
  <si>
    <t>年末账面价值</t>
    <phoneticPr fontId="5" type="noConversion"/>
  </si>
  <si>
    <t>年初账面价值</t>
    <phoneticPr fontId="5" type="noConversion"/>
  </si>
  <si>
    <t>确认为无形资产</t>
    <phoneticPr fontId="5" type="noConversion"/>
  </si>
  <si>
    <t>计入当期损益</t>
    <phoneticPr fontId="5" type="noConversion"/>
  </si>
  <si>
    <r>
      <rPr>
        <b/>
        <sz val="10"/>
        <rFont val="宋体"/>
        <family val="3"/>
        <charset val="134"/>
      </rPr>
      <t>（</t>
    </r>
    <r>
      <rPr>
        <b/>
        <sz val="10"/>
        <rFont val="Arial Narrow"/>
        <family val="2"/>
      </rPr>
      <t>1</t>
    </r>
    <r>
      <rPr>
        <b/>
        <sz val="10"/>
        <rFont val="宋体"/>
        <family val="3"/>
        <charset val="134"/>
      </rPr>
      <t>）商誉账面价值</t>
    </r>
    <phoneticPr fontId="5" type="noConversion"/>
  </si>
  <si>
    <t>计入其他综合收益的可供出售金融资产公允价值变动</t>
    <phoneticPr fontId="5" type="noConversion"/>
  </si>
  <si>
    <t>交易性金融工具、衍生金融工具的估值</t>
    <phoneticPr fontId="5" type="noConversion"/>
  </si>
  <si>
    <t>计入其他综合收益的可供出售金融资产公允价值变动</t>
    <phoneticPr fontId="5" type="noConversion"/>
  </si>
  <si>
    <r>
      <rPr>
        <sz val="10"/>
        <rFont val="宋体"/>
        <family val="3"/>
        <charset val="134"/>
      </rPr>
      <t>其他</t>
    </r>
    <r>
      <rPr>
        <sz val="10"/>
        <rFont val="Arial Narrow"/>
        <family val="2"/>
      </rPr>
      <t>-5</t>
    </r>
    <r>
      <rPr>
        <sz val="11"/>
        <color theme="1"/>
        <rFont val="宋体"/>
        <family val="2"/>
        <charset val="134"/>
        <scheme val="minor"/>
      </rPr>
      <t/>
    </r>
  </si>
  <si>
    <r>
      <rPr>
        <sz val="10"/>
        <rFont val="宋体"/>
        <family val="3"/>
        <charset val="134"/>
      </rPr>
      <t>其他</t>
    </r>
    <r>
      <rPr>
        <sz val="10"/>
        <rFont val="Arial Narrow"/>
        <family val="2"/>
      </rPr>
      <t>-6</t>
    </r>
    <r>
      <rPr>
        <sz val="11"/>
        <color theme="1"/>
        <rFont val="宋体"/>
        <family val="2"/>
        <charset val="134"/>
        <scheme val="minor"/>
      </rPr>
      <t/>
    </r>
  </si>
  <si>
    <t>交易性金融资产、衍生金融工具的估值</t>
    <phoneticPr fontId="5" type="noConversion"/>
  </si>
  <si>
    <t>报告年末互抵后可抵扣或应纳税暂时性差异</t>
    <phoneticPr fontId="5" type="noConversion"/>
  </si>
  <si>
    <t>报告年初互抵后可抵扣或应纳税暂时性差异</t>
    <phoneticPr fontId="5" type="noConversion"/>
  </si>
  <si>
    <t>开办费</t>
    <phoneticPr fontId="5" type="noConversion"/>
  </si>
  <si>
    <t>债权单位</t>
    <phoneticPr fontId="5" type="noConversion"/>
  </si>
  <si>
    <t>借款利率</t>
    <phoneticPr fontId="5" type="noConversion"/>
  </si>
  <si>
    <t>逾期时间（月）</t>
    <phoneticPr fontId="5" type="noConversion"/>
  </si>
  <si>
    <t>逾期利率</t>
    <phoneticPr fontId="5" type="noConversion"/>
  </si>
  <si>
    <t>其中：发行的交易性债券</t>
    <phoneticPr fontId="5" type="noConversion"/>
  </si>
  <si>
    <t>五、其他</t>
    <phoneticPr fontId="5" type="noConversion"/>
  </si>
  <si>
    <t>其中：医疗保险费</t>
    <phoneticPr fontId="5" type="noConversion"/>
  </si>
  <si>
    <r>
      <t xml:space="preserve">             </t>
    </r>
    <r>
      <rPr>
        <sz val="10"/>
        <rFont val="宋体"/>
        <family val="3"/>
        <charset val="134"/>
      </rPr>
      <t>工伤保险费</t>
    </r>
    <phoneticPr fontId="5" type="noConversion"/>
  </si>
  <si>
    <r>
      <t xml:space="preserve">              </t>
    </r>
    <r>
      <rPr>
        <sz val="10"/>
        <rFont val="宋体"/>
        <family val="3"/>
        <charset val="134"/>
      </rPr>
      <t>生育保险费</t>
    </r>
    <phoneticPr fontId="5" type="noConversion"/>
  </si>
  <si>
    <r>
      <t xml:space="preserve">              </t>
    </r>
    <r>
      <rPr>
        <sz val="10"/>
        <rFont val="宋体"/>
        <family val="3"/>
        <charset val="134"/>
      </rPr>
      <t>其他</t>
    </r>
    <phoneticPr fontId="5" type="noConversion"/>
  </si>
  <si>
    <t>八、其他短期薪酬</t>
    <phoneticPr fontId="5" type="noConversion"/>
  </si>
  <si>
    <t>项目</t>
    <phoneticPr fontId="5" type="noConversion"/>
  </si>
  <si>
    <t>普通股股利</t>
    <phoneticPr fontId="5" type="noConversion"/>
  </si>
  <si>
    <r>
      <rPr>
        <sz val="10"/>
        <rFont val="宋体"/>
        <family val="3"/>
        <charset val="134"/>
      </rPr>
      <t>划分为权益工具的优先股</t>
    </r>
    <r>
      <rPr>
        <sz val="10"/>
        <rFont val="Arial Narrow"/>
        <family val="2"/>
      </rPr>
      <t>/</t>
    </r>
    <r>
      <rPr>
        <sz val="10"/>
        <rFont val="宋体"/>
        <family val="3"/>
        <charset val="134"/>
      </rPr>
      <t>永续债股利</t>
    </r>
    <phoneticPr fontId="5" type="noConversion"/>
  </si>
  <si>
    <t>合计</t>
    <phoneticPr fontId="5" type="noConversion"/>
  </si>
  <si>
    <r>
      <t>——</t>
    </r>
    <r>
      <rPr>
        <b/>
        <sz val="10"/>
        <rFont val="宋体"/>
        <family val="3"/>
        <charset val="134"/>
      </rPr>
      <t xml:space="preserve">划分为持有待售的负债
</t>
    </r>
    <phoneticPr fontId="5" type="noConversion"/>
  </si>
  <si>
    <t>期末公允价值</t>
    <phoneticPr fontId="5" type="noConversion"/>
  </si>
  <si>
    <t>预计处置费用</t>
    <phoneticPr fontId="5" type="noConversion"/>
  </si>
  <si>
    <t>时间安排</t>
    <phoneticPr fontId="5" type="noConversion"/>
  </si>
  <si>
    <t>短期应付债券</t>
    <phoneticPr fontId="5" type="noConversion"/>
  </si>
  <si>
    <t>一、离职后福利-设定收益计划净负债</t>
    <phoneticPr fontId="5" type="noConversion"/>
  </si>
  <si>
    <t>二、辞退福利</t>
    <phoneticPr fontId="5" type="noConversion"/>
  </si>
  <si>
    <t>三、其他长期福利</t>
    <phoneticPr fontId="5" type="noConversion"/>
  </si>
  <si>
    <t>本期发生额</t>
    <phoneticPr fontId="5" type="noConversion"/>
  </si>
  <si>
    <t>项  目</t>
  </si>
  <si>
    <t>上期发生额</t>
    <phoneticPr fontId="5" type="noConversion"/>
  </si>
  <si>
    <t>一、终止经营收入</t>
    <phoneticPr fontId="5" type="noConversion"/>
  </si>
  <si>
    <t>二、来自已终止经营业务的利润总额</t>
    <phoneticPr fontId="5" type="noConversion"/>
  </si>
  <si>
    <t xml:space="preserve">   减：终止成本及经营费用</t>
    <phoneticPr fontId="5" type="noConversion"/>
  </si>
  <si>
    <t xml:space="preserve">   减：终止经营所得税费用</t>
    <phoneticPr fontId="5" type="noConversion"/>
  </si>
  <si>
    <t>三、终止经营净利润</t>
    <phoneticPr fontId="5" type="noConversion"/>
  </si>
  <si>
    <t xml:space="preserve">    其中：归属于母公司的终止经营净利润</t>
    <phoneticPr fontId="5" type="noConversion"/>
  </si>
  <si>
    <t xml:space="preserve">    加：处置业务的净收益（税后）</t>
    <phoneticPr fontId="5" type="noConversion"/>
  </si>
  <si>
    <t xml:space="preserve">        其中：处置损益总额</t>
    <phoneticPr fontId="5" type="noConversion"/>
  </si>
  <si>
    <t xml:space="preserve">              减：所得税费用（或收益）</t>
    <phoneticPr fontId="5" type="noConversion"/>
  </si>
  <si>
    <t>四：来自已终止经营业务的净利润总计</t>
    <phoneticPr fontId="5" type="noConversion"/>
  </si>
  <si>
    <t xml:space="preserve">    其中：归属于母公司所有者的来自已终止经营业务的净利润总计</t>
    <phoneticPr fontId="5" type="noConversion"/>
  </si>
  <si>
    <t>五：终止经营的现金流量净额</t>
    <phoneticPr fontId="5" type="noConversion"/>
  </si>
  <si>
    <t xml:space="preserve">    其中：经营活动现金流量净额</t>
    <phoneticPr fontId="5" type="noConversion"/>
  </si>
  <si>
    <t xml:space="preserve">          投资活动现金流量净额</t>
    <phoneticPr fontId="5" type="noConversion"/>
  </si>
  <si>
    <t xml:space="preserve">          筹资活动现金流量净额</t>
    <phoneticPr fontId="5" type="noConversion"/>
  </si>
  <si>
    <t>一、本期发生的企业合并于本期支付的现金或现金等价物</t>
    <phoneticPr fontId="5" type="noConversion"/>
  </si>
  <si>
    <t>减：购买日子公司持有的现金及现金等价物</t>
    <phoneticPr fontId="5" type="noConversion"/>
  </si>
  <si>
    <t>加：以前期间发生的企业合并于本期支付的现金或现金等价物</t>
  </si>
  <si>
    <t>取得子公司支付的现金净额</t>
  </si>
  <si>
    <r>
      <t>二、本期处置子公司于本期收到的现金或现金等价物</t>
    </r>
    <r>
      <rPr>
        <sz val="10"/>
        <rFont val="Arial Narrow"/>
        <family val="2"/>
      </rPr>
      <t xml:space="preserve"> </t>
    </r>
  </si>
  <si>
    <r>
      <t>减：丧失控制权日子公司持有的现金及现金等价物</t>
    </r>
    <r>
      <rPr>
        <sz val="10"/>
        <rFont val="Arial Narrow"/>
        <family val="2"/>
      </rPr>
      <t xml:space="preserve"> </t>
    </r>
  </si>
  <si>
    <r>
      <t>加：以前期间处置子公司于本期收到的现金或现金等价物</t>
    </r>
    <r>
      <rPr>
        <sz val="10"/>
        <rFont val="Arial Narrow"/>
        <family val="2"/>
      </rPr>
      <t xml:space="preserve"> </t>
    </r>
  </si>
  <si>
    <r>
      <t>处置子公司收到的现金净额</t>
    </r>
    <r>
      <rPr>
        <sz val="10"/>
        <rFont val="Arial Narrow"/>
        <family val="2"/>
      </rPr>
      <t xml:space="preserve"> </t>
    </r>
  </si>
  <si>
    <r>
      <rPr>
        <b/>
        <sz val="12"/>
        <rFont val="楷体_GB2312"/>
        <family val="3"/>
        <charset val="134"/>
      </rPr>
      <t>审计单户调整系统（</t>
    </r>
    <r>
      <rPr>
        <b/>
        <sz val="12"/>
        <rFont val="Arial Narrow"/>
        <family val="2"/>
      </rPr>
      <t>2017</t>
    </r>
    <r>
      <rPr>
        <b/>
        <sz val="12"/>
        <rFont val="楷体_GB2312"/>
        <family val="3"/>
        <charset val="134"/>
      </rPr>
      <t>年版）</t>
    </r>
    <phoneticPr fontId="5" type="noConversion"/>
  </si>
  <si>
    <t>交易性金融资产</t>
    <phoneticPr fontId="5" type="noConversion"/>
  </si>
  <si>
    <t xml:space="preserve">   其中：债务工具投资</t>
    <phoneticPr fontId="5" type="noConversion"/>
  </si>
  <si>
    <t xml:space="preserve">         权益工具投资</t>
    <phoneticPr fontId="5" type="noConversion"/>
  </si>
  <si>
    <t>指定为以公允价值计量且其变动计入当期损益的金融资产</t>
    <phoneticPr fontId="5" type="noConversion"/>
  </si>
  <si>
    <t>专项储备结余</t>
    <phoneticPr fontId="5" type="noConversion"/>
  </si>
  <si>
    <r>
      <rPr>
        <sz val="10"/>
        <rFont val="宋体"/>
        <family val="3"/>
        <charset val="134"/>
      </rPr>
      <t>其他</t>
    </r>
    <r>
      <rPr>
        <sz val="10"/>
        <rFont val="Arial Narrow"/>
        <family val="2"/>
      </rPr>
      <t>-1</t>
    </r>
    <phoneticPr fontId="5" type="noConversion"/>
  </si>
  <si>
    <r>
      <rPr>
        <sz val="10"/>
        <rFont val="宋体"/>
        <family val="3"/>
        <charset val="134"/>
      </rPr>
      <t>其他</t>
    </r>
    <r>
      <rPr>
        <sz val="10"/>
        <rFont val="Arial Narrow"/>
        <family val="2"/>
      </rPr>
      <t>-2</t>
    </r>
    <phoneticPr fontId="5" type="noConversion"/>
  </si>
  <si>
    <r>
      <rPr>
        <sz val="10"/>
        <rFont val="宋体"/>
        <family val="3"/>
        <charset val="134"/>
      </rPr>
      <t>其他</t>
    </r>
    <r>
      <rPr>
        <sz val="10"/>
        <rFont val="Arial Narrow"/>
        <family val="2"/>
      </rPr>
      <t>-3</t>
    </r>
    <phoneticPr fontId="5" type="noConversion"/>
  </si>
  <si>
    <t>持有至到期投资在持有期间取得的投资收益</t>
    <phoneticPr fontId="5" type="noConversion"/>
  </si>
  <si>
    <t>划分为持有待售的资产</t>
  </si>
  <si>
    <t>划分为持有待售的负债</t>
  </si>
  <si>
    <r>
      <t xml:space="preserve">          </t>
    </r>
    <r>
      <rPr>
        <sz val="10"/>
        <rFont val="宋体"/>
        <family val="3"/>
        <charset val="134"/>
      </rPr>
      <t>税金及附加</t>
    </r>
    <phoneticPr fontId="5" type="noConversion"/>
  </si>
  <si>
    <t>税金及附加</t>
    <phoneticPr fontId="5" type="noConversion"/>
  </si>
  <si>
    <r>
      <t xml:space="preserve">                              </t>
    </r>
    <r>
      <rPr>
        <sz val="10"/>
        <rFont val="宋体"/>
        <family val="3"/>
        <charset val="134"/>
      </rPr>
      <t>党建工作经费</t>
    </r>
    <phoneticPr fontId="5" type="noConversion"/>
  </si>
  <si>
    <r>
      <rPr>
        <sz val="10"/>
        <rFont val="宋体"/>
        <family val="3"/>
        <charset val="134"/>
      </rPr>
      <t>管理费用</t>
    </r>
    <r>
      <rPr>
        <sz val="10"/>
        <rFont val="Arial Narrow"/>
        <family val="2"/>
      </rPr>
      <t>—</t>
    </r>
    <r>
      <rPr>
        <sz val="10"/>
        <rFont val="宋体"/>
        <family val="3"/>
        <charset val="134"/>
      </rPr>
      <t>党建工作经费</t>
    </r>
    <phoneticPr fontId="5" type="noConversion"/>
  </si>
  <si>
    <t>借</t>
    <phoneticPr fontId="5" type="noConversion"/>
  </si>
  <si>
    <r>
      <t xml:space="preserve">                  </t>
    </r>
    <r>
      <rPr>
        <sz val="10"/>
        <rFont val="宋体"/>
        <family val="3"/>
        <charset val="134"/>
      </rPr>
      <t>汇兑收益</t>
    </r>
    <phoneticPr fontId="5" type="noConversion"/>
  </si>
  <si>
    <t>汇兑收益</t>
    <phoneticPr fontId="5" type="noConversion"/>
  </si>
  <si>
    <t>贷</t>
    <phoneticPr fontId="5" type="noConversion"/>
  </si>
  <si>
    <t>持续经营损益</t>
    <phoneticPr fontId="5" type="noConversion"/>
  </si>
  <si>
    <t>终止经营损益</t>
    <phoneticPr fontId="5" type="noConversion"/>
  </si>
  <si>
    <t xml:space="preserve">划分为持有待售的资产
</t>
    <phoneticPr fontId="5" type="noConversion"/>
  </si>
  <si>
    <t>划分为持有待售的负债</t>
    <phoneticPr fontId="5" type="noConversion"/>
  </si>
  <si>
    <r>
      <t xml:space="preserve">                    </t>
    </r>
    <r>
      <rPr>
        <sz val="10"/>
        <rFont val="宋体"/>
        <family val="3"/>
        <charset val="134"/>
      </rPr>
      <t>党建工作经费</t>
    </r>
    <phoneticPr fontId="5" type="noConversion"/>
  </si>
  <si>
    <r>
      <t xml:space="preserve">          </t>
    </r>
    <r>
      <rPr>
        <sz val="10"/>
        <rFont val="宋体"/>
        <family val="3"/>
        <charset val="134"/>
      </rPr>
      <t>税金及附加</t>
    </r>
    <phoneticPr fontId="5" type="noConversion"/>
  </si>
  <si>
    <r>
      <t xml:space="preserve">             </t>
    </r>
    <r>
      <rPr>
        <sz val="10"/>
        <rFont val="宋体"/>
        <family val="3"/>
        <charset val="134"/>
      </rPr>
      <t>汇兑收益</t>
    </r>
    <phoneticPr fontId="5" type="noConversion"/>
  </si>
  <si>
    <r>
      <t xml:space="preserve">        </t>
    </r>
    <r>
      <rPr>
        <sz val="10"/>
        <rFont val="宋体"/>
        <family val="3"/>
        <charset val="134"/>
      </rPr>
      <t>持续经营损益</t>
    </r>
    <phoneticPr fontId="5" type="noConversion"/>
  </si>
  <si>
    <r>
      <t xml:space="preserve">        </t>
    </r>
    <r>
      <rPr>
        <sz val="10"/>
        <rFont val="宋体"/>
        <family val="3"/>
        <charset val="134"/>
      </rPr>
      <t>终止经营损益</t>
    </r>
    <phoneticPr fontId="5" type="noConversion"/>
  </si>
  <si>
    <t>表间核对</t>
    <phoneticPr fontId="5" type="noConversion"/>
  </si>
  <si>
    <t>逾期时间（月）</t>
    <phoneticPr fontId="5" type="noConversion"/>
  </si>
  <si>
    <t>期末建造合同形成的已完工未结算资产情况</t>
    <phoneticPr fontId="5" type="noConversion"/>
  </si>
  <si>
    <t>项目</t>
    <phoneticPr fontId="5" type="noConversion"/>
  </si>
  <si>
    <t>期末余额</t>
    <phoneticPr fontId="5" type="noConversion"/>
  </si>
  <si>
    <r>
      <t>累计已发生成本</t>
    </r>
    <r>
      <rPr>
        <sz val="9"/>
        <rFont val="Arial Narrow"/>
        <family val="2"/>
      </rPr>
      <t xml:space="preserve"> </t>
    </r>
  </si>
  <si>
    <r>
      <t>累计已确认毛利</t>
    </r>
    <r>
      <rPr>
        <sz val="9"/>
        <rFont val="Arial Narrow"/>
        <family val="2"/>
      </rPr>
      <t xml:space="preserve"> </t>
    </r>
  </si>
  <si>
    <r>
      <t>减：预计损失</t>
    </r>
    <r>
      <rPr>
        <sz val="9"/>
        <rFont val="Arial Narrow"/>
        <family val="2"/>
      </rPr>
      <t xml:space="preserve"> </t>
    </r>
  </si>
  <si>
    <r>
      <t>已办理结算的金额</t>
    </r>
    <r>
      <rPr>
        <sz val="9"/>
        <rFont val="Arial Narrow"/>
        <family val="2"/>
      </rPr>
      <t xml:space="preserve"> </t>
    </r>
  </si>
  <si>
    <t>建造合同形成的已完工未结算资产</t>
  </si>
  <si>
    <t>核对</t>
    <phoneticPr fontId="5" type="noConversion"/>
  </si>
  <si>
    <t>其他</t>
    <phoneticPr fontId="5" type="noConversion"/>
  </si>
  <si>
    <t>消费税</t>
  </si>
  <si>
    <t>营业税</t>
  </si>
  <si>
    <t>城市维护建设税</t>
  </si>
  <si>
    <t>土地增值税</t>
  </si>
  <si>
    <t>房产税</t>
  </si>
  <si>
    <t>土地使用税</t>
  </si>
  <si>
    <t>车船使用税</t>
  </si>
  <si>
    <t>印花税</t>
  </si>
  <si>
    <t>小计</t>
    <phoneticPr fontId="5" type="noConversion"/>
  </si>
  <si>
    <t>减：工程物资减值准备</t>
    <phoneticPr fontId="5" type="noConversion"/>
  </si>
  <si>
    <t>应付中人补偿及其他</t>
    <phoneticPr fontId="5" type="noConversion"/>
  </si>
  <si>
    <t>应付职工薪酬-内退福利</t>
    <phoneticPr fontId="5" type="noConversion"/>
  </si>
  <si>
    <t>预计负债</t>
    <phoneticPr fontId="5" type="noConversion"/>
  </si>
  <si>
    <t>其他应付款-应付阜康神龙债务款</t>
    <phoneticPr fontId="5" type="noConversion"/>
  </si>
  <si>
    <t>预付设备款</t>
    <phoneticPr fontId="5" type="noConversion"/>
  </si>
  <si>
    <t>地质详查及勘探支出</t>
  </si>
  <si>
    <t>待抵扣进项税</t>
  </si>
  <si>
    <t>职工医院前期支出</t>
  </si>
  <si>
    <t>印花税</t>
    <phoneticPr fontId="5" type="noConversion"/>
  </si>
  <si>
    <t>土地增值税</t>
    <phoneticPr fontId="5" type="noConversion"/>
  </si>
  <si>
    <t>车船税</t>
    <phoneticPr fontId="5" type="noConversion"/>
  </si>
  <si>
    <t>财务费用附注</t>
    <phoneticPr fontId="5" type="noConversion"/>
  </si>
  <si>
    <t xml:space="preserve">   </t>
    <phoneticPr fontId="5" type="noConversion"/>
  </si>
  <si>
    <t>其他-1</t>
    <phoneticPr fontId="5" type="noConversion"/>
  </si>
  <si>
    <r>
      <rPr>
        <sz val="10"/>
        <rFont val="宋体"/>
        <family val="3"/>
        <charset val="134"/>
      </rPr>
      <t>（</t>
    </r>
    <r>
      <rPr>
        <sz val="10"/>
        <rFont val="Arial Narrow"/>
        <family val="2"/>
      </rPr>
      <t>2</t>
    </r>
    <r>
      <rPr>
        <sz val="10"/>
        <rFont val="宋体"/>
        <family val="3"/>
        <charset val="134"/>
      </rPr>
      <t>）本年取得或处置子公司及其他营业单位的有关信息</t>
    </r>
    <phoneticPr fontId="5" type="noConversion"/>
  </si>
  <si>
    <t>工程进度</t>
    <phoneticPr fontId="5" type="noConversion"/>
  </si>
  <si>
    <t>矿产资源补偿费</t>
    <phoneticPr fontId="5" type="noConversion"/>
  </si>
  <si>
    <t>归属于母公司所有者的其他综合收益的税后净额</t>
    <phoneticPr fontId="5" type="noConversion"/>
  </si>
  <si>
    <t>归属于少数股东的其他综合收益的税后净额</t>
    <phoneticPr fontId="5" type="noConversion"/>
  </si>
  <si>
    <t>贷</t>
    <phoneticPr fontId="5" type="noConversion"/>
  </si>
  <si>
    <t>以后不能重分类进损益的其他综合收益重新计量设定受益计划净负债或净资产的变动</t>
  </si>
  <si>
    <t>以后将重分类进损益的其他综合收益-可供出售金融资产公允价值变动损益</t>
  </si>
  <si>
    <t>其他综合收益的税后净额</t>
  </si>
  <si>
    <t>以后不能重分类进损益的其他综合收益-其他</t>
  </si>
  <si>
    <t>以后不能重分类进损益的其他综合收益-权益法下在被投资单位不能重分类进损益的其他综合收益中享有的份额</t>
  </si>
  <si>
    <t>以后将重分类进损益的其他综合收益-其他</t>
  </si>
  <si>
    <t>以后将重分类进损益的其他综合收益-权益法下在被投资单位以后将重分类进损益的其他综合收益中享有的份额</t>
  </si>
  <si>
    <t>以后将重分类进损益的其他综合收益-持有至到期投资重分类为可供出售金额资产损益</t>
  </si>
  <si>
    <t>以后将重分类进损益的其他综合收益-现金流量套期损益的有效部分</t>
  </si>
  <si>
    <t>以后将重分类进损益的其他综合收益-外币财务报表折算差额</t>
  </si>
  <si>
    <t>“试算平衡表、导引表、审定资产负债表、审定利润表、核对检查”系自动生成，但试算平衡表中的每股收益需手动填入数据；</t>
    <phoneticPr fontId="5" type="noConversion"/>
  </si>
  <si>
    <t>归属于少数股东的其他综合收益的税后净额</t>
  </si>
  <si>
    <t>贷</t>
    <phoneticPr fontId="5" type="noConversion"/>
  </si>
  <si>
    <t>借</t>
    <phoneticPr fontId="5" type="noConversion"/>
  </si>
  <si>
    <r>
      <t>凡是有公式的单元格，都已标上颜色，请注意保护公式，填写附注的过程中如发现公式有问题，请与</t>
    </r>
    <r>
      <rPr>
        <u/>
        <sz val="10"/>
        <rFont val="宋体"/>
        <family val="3"/>
        <charset val="134"/>
      </rPr>
      <t>张斌（13520664223）</t>
    </r>
    <r>
      <rPr>
        <sz val="10"/>
        <rFont val="宋体"/>
        <family val="3"/>
        <charset val="134"/>
      </rPr>
      <t>联系，并由张斌统一修改,以方便通知到其他使用人；</t>
    </r>
    <phoneticPr fontId="5" type="noConversion"/>
  </si>
  <si>
    <t>使用过程中如有任何问题，请与张斌（13520664223）联系，并由张斌统一修改,以方便他人；</t>
    <phoneticPr fontId="5" type="noConversion"/>
  </si>
  <si>
    <t xml:space="preserve">       资产处置收益</t>
    <phoneticPr fontId="5" type="noConversion"/>
  </si>
  <si>
    <t xml:space="preserve">    资产处置收益</t>
    <phoneticPr fontId="5" type="noConversion"/>
  </si>
  <si>
    <t>资产处置收益</t>
    <phoneticPr fontId="5" type="noConversion"/>
  </si>
  <si>
    <t>资产处置收益</t>
    <phoneticPr fontId="5" type="noConversion"/>
  </si>
  <si>
    <t xml:space="preserve">      资产处置收益</t>
    <phoneticPr fontId="5" type="noConversion"/>
  </si>
  <si>
    <t>注：其他类别进行了隐藏，如需要可以取消隐藏</t>
    <phoneticPr fontId="5" type="noConversion"/>
  </si>
  <si>
    <t>其中:1-3个月</t>
    <phoneticPr fontId="5" type="noConversion"/>
  </si>
  <si>
    <r>
      <t xml:space="preserve">          4-12</t>
    </r>
    <r>
      <rPr>
        <sz val="10"/>
        <color rgb="FFFF0000"/>
        <rFont val="宋体"/>
        <family val="3"/>
        <charset val="134"/>
      </rPr>
      <t>个月</t>
    </r>
    <phoneticPr fontId="5" type="noConversion"/>
  </si>
  <si>
    <t>被审计单位</t>
    <phoneticPr fontId="5" type="noConversion"/>
  </si>
  <si>
    <t>注：确保校验计提比例与被审计单位账龄设置比例一致</t>
    <phoneticPr fontId="5" type="noConversion"/>
  </si>
  <si>
    <t>其中：1-3个月</t>
    <phoneticPr fontId="5" type="noConversion"/>
  </si>
  <si>
    <r>
      <t xml:space="preserve">              4-12</t>
    </r>
    <r>
      <rPr>
        <sz val="10"/>
        <color rgb="FFFF0000"/>
        <rFont val="宋体"/>
        <family val="3"/>
        <charset val="134"/>
      </rPr>
      <t>个月</t>
    </r>
    <phoneticPr fontId="5" type="noConversion"/>
  </si>
  <si>
    <r>
      <rPr>
        <sz val="10"/>
        <rFont val="楷体_GB2312"/>
        <family val="3"/>
        <charset val="134"/>
      </rPr>
      <t>坏账准备计提比例</t>
    </r>
    <phoneticPr fontId="57" type="noConversion"/>
  </si>
  <si>
    <t>注:确保集团内各个公司填写的项目类别和顺序保持一致</t>
    <phoneticPr fontId="5" type="noConversion"/>
  </si>
  <si>
    <r>
      <rPr>
        <b/>
        <sz val="9"/>
        <rFont val="宋体"/>
        <family val="3"/>
        <charset val="134"/>
      </rPr>
      <t>（</t>
    </r>
    <r>
      <rPr>
        <b/>
        <sz val="9"/>
        <rFont val="Arial"/>
        <family val="2"/>
      </rPr>
      <t>1</t>
    </r>
    <r>
      <rPr>
        <b/>
        <sz val="9"/>
        <rFont val="宋体"/>
        <family val="3"/>
        <charset val="134"/>
      </rPr>
      <t>）固定资产情况</t>
    </r>
    <phoneticPr fontId="5" type="noConversion"/>
  </si>
  <si>
    <r>
      <rPr>
        <sz val="9"/>
        <rFont val="宋体"/>
        <family val="3"/>
        <charset val="134"/>
      </rPr>
      <t>项</t>
    </r>
    <r>
      <rPr>
        <sz val="9"/>
        <rFont val="Arial"/>
        <family val="2"/>
      </rPr>
      <t xml:space="preserve">   </t>
    </r>
    <r>
      <rPr>
        <sz val="9"/>
        <rFont val="宋体"/>
        <family val="3"/>
        <charset val="134"/>
      </rPr>
      <t>目</t>
    </r>
  </si>
  <si>
    <r>
      <rPr>
        <sz val="9"/>
        <rFont val="宋体"/>
        <family val="3"/>
        <charset val="134"/>
      </rPr>
      <t>房屋及建筑物</t>
    </r>
  </si>
  <si>
    <r>
      <rPr>
        <sz val="9"/>
        <rFont val="宋体"/>
        <family val="3"/>
        <charset val="134"/>
      </rPr>
      <t>机器设备</t>
    </r>
  </si>
  <si>
    <r>
      <rPr>
        <sz val="9"/>
        <rFont val="宋体"/>
        <family val="3"/>
        <charset val="134"/>
      </rPr>
      <t>运输工具</t>
    </r>
  </si>
  <si>
    <r>
      <rPr>
        <sz val="9"/>
        <rFont val="宋体"/>
        <family val="3"/>
        <charset val="134"/>
      </rPr>
      <t>电子设备</t>
    </r>
  </si>
  <si>
    <r>
      <rPr>
        <sz val="9"/>
        <rFont val="宋体"/>
        <family val="3"/>
        <charset val="134"/>
      </rPr>
      <t>办公设备</t>
    </r>
  </si>
  <si>
    <r>
      <rPr>
        <sz val="9"/>
        <rFont val="宋体"/>
        <family val="3"/>
        <charset val="134"/>
      </rPr>
      <t>酒店业家具</t>
    </r>
  </si>
  <si>
    <r>
      <rPr>
        <sz val="9"/>
        <rFont val="宋体"/>
        <family val="3"/>
        <charset val="134"/>
      </rPr>
      <t>合</t>
    </r>
    <r>
      <rPr>
        <sz val="9"/>
        <rFont val="Arial"/>
        <family val="2"/>
      </rPr>
      <t xml:space="preserve">  </t>
    </r>
    <r>
      <rPr>
        <sz val="9"/>
        <rFont val="宋体"/>
        <family val="3"/>
        <charset val="134"/>
      </rPr>
      <t>计</t>
    </r>
  </si>
  <si>
    <r>
      <rPr>
        <sz val="9"/>
        <rFont val="宋体"/>
        <family val="3"/>
        <charset val="134"/>
      </rPr>
      <t>一、账面原值</t>
    </r>
  </si>
  <si>
    <r>
      <t>1</t>
    </r>
    <r>
      <rPr>
        <sz val="9"/>
        <rFont val="宋体"/>
        <family val="3"/>
        <charset val="134"/>
      </rPr>
      <t>、年初余额</t>
    </r>
  </si>
  <si>
    <r>
      <t>2</t>
    </r>
    <r>
      <rPr>
        <sz val="9"/>
        <rFont val="宋体"/>
        <family val="3"/>
        <charset val="134"/>
      </rPr>
      <t>、本年增加金额</t>
    </r>
  </si>
  <si>
    <r>
      <rPr>
        <sz val="9"/>
        <rFont val="宋体"/>
        <family val="3"/>
        <charset val="134"/>
      </rPr>
      <t>（</t>
    </r>
    <r>
      <rPr>
        <sz val="9"/>
        <rFont val="Arial"/>
        <family val="2"/>
      </rPr>
      <t>1</t>
    </r>
    <r>
      <rPr>
        <sz val="9"/>
        <rFont val="宋体"/>
        <family val="3"/>
        <charset val="134"/>
      </rPr>
      <t>）购置</t>
    </r>
  </si>
  <si>
    <r>
      <rPr>
        <sz val="9"/>
        <rFont val="宋体"/>
        <family val="3"/>
        <charset val="134"/>
      </rPr>
      <t>（</t>
    </r>
    <r>
      <rPr>
        <sz val="9"/>
        <rFont val="Arial"/>
        <family val="2"/>
      </rPr>
      <t>2</t>
    </r>
    <r>
      <rPr>
        <sz val="9"/>
        <rFont val="宋体"/>
        <family val="3"/>
        <charset val="134"/>
      </rPr>
      <t>）在建工程转入</t>
    </r>
  </si>
  <si>
    <r>
      <rPr>
        <sz val="9"/>
        <rFont val="宋体"/>
        <family val="3"/>
        <charset val="134"/>
      </rPr>
      <t>（</t>
    </r>
    <r>
      <rPr>
        <sz val="9"/>
        <rFont val="Arial"/>
        <family val="2"/>
      </rPr>
      <t>3</t>
    </r>
    <r>
      <rPr>
        <sz val="9"/>
        <rFont val="宋体"/>
        <family val="3"/>
        <charset val="134"/>
      </rPr>
      <t>）企业合并增加</t>
    </r>
  </si>
  <si>
    <r>
      <rPr>
        <sz val="9"/>
        <rFont val="宋体"/>
        <family val="3"/>
        <charset val="134"/>
      </rPr>
      <t>（</t>
    </r>
    <r>
      <rPr>
        <sz val="9"/>
        <rFont val="Arial"/>
        <family val="2"/>
      </rPr>
      <t>4</t>
    </r>
    <r>
      <rPr>
        <sz val="9"/>
        <rFont val="宋体"/>
        <family val="3"/>
        <charset val="134"/>
      </rPr>
      <t>）其他</t>
    </r>
    <phoneticPr fontId="5" type="noConversion"/>
  </si>
  <si>
    <r>
      <t>3</t>
    </r>
    <r>
      <rPr>
        <sz val="9"/>
        <rFont val="宋体"/>
        <family val="3"/>
        <charset val="134"/>
      </rPr>
      <t>、本年减少金额</t>
    </r>
  </si>
  <si>
    <r>
      <rPr>
        <sz val="9"/>
        <rFont val="宋体"/>
        <family val="3"/>
        <charset val="134"/>
      </rPr>
      <t>（</t>
    </r>
    <r>
      <rPr>
        <sz val="9"/>
        <rFont val="Arial"/>
        <family val="2"/>
      </rPr>
      <t>1</t>
    </r>
    <r>
      <rPr>
        <sz val="9"/>
        <rFont val="宋体"/>
        <family val="3"/>
        <charset val="134"/>
      </rPr>
      <t>）处置或报废</t>
    </r>
  </si>
  <si>
    <t>（2）其他</t>
    <phoneticPr fontId="5" type="noConversion"/>
  </si>
  <si>
    <r>
      <t>4</t>
    </r>
    <r>
      <rPr>
        <sz val="9"/>
        <rFont val="宋体"/>
        <family val="3"/>
        <charset val="134"/>
      </rPr>
      <t>、年末余额</t>
    </r>
  </si>
  <si>
    <r>
      <rPr>
        <sz val="9"/>
        <rFont val="宋体"/>
        <family val="3"/>
        <charset val="134"/>
      </rPr>
      <t>二、累计折旧</t>
    </r>
  </si>
  <si>
    <r>
      <rPr>
        <sz val="9"/>
        <rFont val="宋体"/>
        <family val="3"/>
        <charset val="134"/>
      </rPr>
      <t>（</t>
    </r>
    <r>
      <rPr>
        <sz val="9"/>
        <rFont val="Arial"/>
        <family val="2"/>
      </rPr>
      <t>1</t>
    </r>
    <r>
      <rPr>
        <sz val="9"/>
        <rFont val="宋体"/>
        <family val="3"/>
        <charset val="134"/>
      </rPr>
      <t>）计提</t>
    </r>
  </si>
  <si>
    <t>（2）其他</t>
    <phoneticPr fontId="5" type="noConversion"/>
  </si>
  <si>
    <r>
      <rPr>
        <sz val="9"/>
        <rFont val="宋体"/>
        <family val="3"/>
        <charset val="134"/>
      </rPr>
      <t>三、减值准备</t>
    </r>
  </si>
  <si>
    <t>（2）其他</t>
    <phoneticPr fontId="5" type="noConversion"/>
  </si>
  <si>
    <r>
      <rPr>
        <sz val="9"/>
        <rFont val="宋体"/>
        <family val="3"/>
        <charset val="134"/>
      </rPr>
      <t>四、账面价值</t>
    </r>
  </si>
  <si>
    <r>
      <t>1</t>
    </r>
    <r>
      <rPr>
        <sz val="9"/>
        <rFont val="宋体"/>
        <family val="3"/>
        <charset val="134"/>
      </rPr>
      <t>、年末账面价值</t>
    </r>
  </si>
  <si>
    <r>
      <t>2</t>
    </r>
    <r>
      <rPr>
        <sz val="9"/>
        <rFont val="宋体"/>
        <family val="3"/>
        <charset val="134"/>
      </rPr>
      <t>、年初账面价值</t>
    </r>
  </si>
  <si>
    <r>
      <rPr>
        <b/>
        <sz val="9"/>
        <rFont val="宋体"/>
        <family val="3"/>
        <charset val="134"/>
      </rPr>
      <t>（</t>
    </r>
    <r>
      <rPr>
        <b/>
        <sz val="9"/>
        <rFont val="Arial"/>
        <family val="2"/>
      </rPr>
      <t>2</t>
    </r>
    <r>
      <rPr>
        <b/>
        <sz val="9"/>
        <rFont val="宋体"/>
        <family val="3"/>
        <charset val="134"/>
      </rPr>
      <t>）暂时闲置的固定资产情况</t>
    </r>
  </si>
  <si>
    <r>
      <rPr>
        <sz val="9"/>
        <rFont val="宋体"/>
        <family val="3"/>
        <charset val="134"/>
      </rPr>
      <t>账面原值</t>
    </r>
  </si>
  <si>
    <r>
      <rPr>
        <sz val="9"/>
        <rFont val="宋体"/>
        <family val="3"/>
        <charset val="134"/>
      </rPr>
      <t>累计折旧</t>
    </r>
  </si>
  <si>
    <r>
      <rPr>
        <sz val="9"/>
        <rFont val="宋体"/>
        <family val="3"/>
        <charset val="134"/>
      </rPr>
      <t>备注</t>
    </r>
  </si>
  <si>
    <r>
      <rPr>
        <b/>
        <sz val="9"/>
        <rFont val="宋体"/>
        <family val="3"/>
        <charset val="134"/>
      </rPr>
      <t>（</t>
    </r>
    <r>
      <rPr>
        <b/>
        <sz val="9"/>
        <rFont val="Arial"/>
        <family val="2"/>
      </rPr>
      <t>3</t>
    </r>
    <r>
      <rPr>
        <b/>
        <sz val="9"/>
        <rFont val="宋体"/>
        <family val="3"/>
        <charset val="134"/>
      </rPr>
      <t>）通过融资租赁租入的固定资产情况</t>
    </r>
  </si>
  <si>
    <r>
      <rPr>
        <b/>
        <sz val="9"/>
        <rFont val="宋体"/>
        <family val="3"/>
        <charset val="134"/>
      </rPr>
      <t>（</t>
    </r>
    <r>
      <rPr>
        <b/>
        <sz val="9"/>
        <rFont val="Arial"/>
        <family val="2"/>
      </rPr>
      <t>4</t>
    </r>
    <r>
      <rPr>
        <b/>
        <sz val="9"/>
        <rFont val="宋体"/>
        <family val="3"/>
        <charset val="134"/>
      </rPr>
      <t>）通过经营租赁租出的固定资产</t>
    </r>
  </si>
  <si>
    <r>
      <rPr>
        <sz val="9"/>
        <rFont val="宋体"/>
        <family val="3"/>
        <charset val="134"/>
      </rPr>
      <t>项</t>
    </r>
    <r>
      <rPr>
        <sz val="9"/>
        <rFont val="Arial"/>
        <family val="2"/>
      </rPr>
      <t xml:space="preserve">  </t>
    </r>
    <r>
      <rPr>
        <sz val="9"/>
        <rFont val="宋体"/>
        <family val="3"/>
        <charset val="134"/>
      </rPr>
      <t>目</t>
    </r>
  </si>
  <si>
    <r>
      <rPr>
        <b/>
        <sz val="9"/>
        <rFont val="宋体"/>
        <family val="3"/>
        <charset val="134"/>
      </rPr>
      <t>（</t>
    </r>
    <r>
      <rPr>
        <b/>
        <sz val="9"/>
        <rFont val="Arial"/>
        <family val="2"/>
      </rPr>
      <t>5</t>
    </r>
    <r>
      <rPr>
        <b/>
        <sz val="9"/>
        <rFont val="宋体"/>
        <family val="3"/>
        <charset val="134"/>
      </rPr>
      <t>）未办妥产权证书的固定资产情况</t>
    </r>
  </si>
  <si>
    <r>
      <rPr>
        <sz val="9"/>
        <rFont val="宋体"/>
        <family val="3"/>
        <charset val="134"/>
      </rPr>
      <t>未办妥产权证书的原因</t>
    </r>
  </si>
  <si>
    <t>期初</t>
    <phoneticPr fontId="5" type="noConversion"/>
  </si>
  <si>
    <t>期末</t>
    <phoneticPr fontId="5" type="noConversion"/>
  </si>
  <si>
    <t>报表数</t>
    <phoneticPr fontId="5" type="noConversion"/>
  </si>
  <si>
    <t>与报表核对</t>
    <phoneticPr fontId="5" type="noConversion"/>
  </si>
  <si>
    <r>
      <t>（</t>
    </r>
    <r>
      <rPr>
        <b/>
        <sz val="9"/>
        <rFont val="Arial"/>
        <family val="2"/>
      </rPr>
      <t>1</t>
    </r>
    <r>
      <rPr>
        <b/>
        <sz val="9"/>
        <rFont val="宋体"/>
        <family val="3"/>
        <charset val="134"/>
      </rPr>
      <t>）无形资产情况</t>
    </r>
  </si>
  <si>
    <r>
      <rPr>
        <sz val="9"/>
        <color indexed="8"/>
        <rFont val="宋体"/>
        <family val="3"/>
        <charset val="134"/>
      </rPr>
      <t>项</t>
    </r>
    <r>
      <rPr>
        <sz val="9"/>
        <color indexed="8"/>
        <rFont val="Arial"/>
        <family val="2"/>
      </rPr>
      <t xml:space="preserve">   </t>
    </r>
    <r>
      <rPr>
        <sz val="9"/>
        <color indexed="8"/>
        <rFont val="宋体"/>
        <family val="3"/>
        <charset val="134"/>
      </rPr>
      <t>目</t>
    </r>
  </si>
  <si>
    <r>
      <rPr>
        <sz val="9"/>
        <color indexed="8"/>
        <rFont val="宋体"/>
        <family val="3"/>
        <charset val="134"/>
      </rPr>
      <t>软件</t>
    </r>
    <phoneticPr fontId="5" type="noConversion"/>
  </si>
  <si>
    <t>土地使用权</t>
  </si>
  <si>
    <t>专利权</t>
  </si>
  <si>
    <t>非专利技术</t>
  </si>
  <si>
    <t>商标权</t>
  </si>
  <si>
    <t>著作权</t>
  </si>
  <si>
    <t>特许权</t>
  </si>
  <si>
    <t>矿业权（采矿权、探矿权）</t>
  </si>
  <si>
    <r>
      <rPr>
        <sz val="9"/>
        <color indexed="8"/>
        <rFont val="宋体"/>
        <family val="3"/>
        <charset val="134"/>
      </rPr>
      <t>合</t>
    </r>
    <r>
      <rPr>
        <sz val="9"/>
        <color indexed="8"/>
        <rFont val="Arial"/>
        <family val="2"/>
      </rPr>
      <t xml:space="preserve">  </t>
    </r>
    <r>
      <rPr>
        <sz val="9"/>
        <color indexed="8"/>
        <rFont val="宋体"/>
        <family val="3"/>
        <charset val="134"/>
      </rPr>
      <t>计</t>
    </r>
  </si>
  <si>
    <r>
      <rPr>
        <sz val="9"/>
        <color indexed="8"/>
        <rFont val="宋体"/>
        <family val="3"/>
        <charset val="134"/>
      </rPr>
      <t>一、账面原值</t>
    </r>
  </si>
  <si>
    <r>
      <t>1</t>
    </r>
    <r>
      <rPr>
        <sz val="9"/>
        <color indexed="8"/>
        <rFont val="宋体"/>
        <family val="3"/>
        <charset val="134"/>
      </rPr>
      <t>、年初余额</t>
    </r>
  </si>
  <si>
    <r>
      <t>2</t>
    </r>
    <r>
      <rPr>
        <sz val="9"/>
        <color indexed="8"/>
        <rFont val="宋体"/>
        <family val="3"/>
        <charset val="134"/>
      </rPr>
      <t>、本年增加金额</t>
    </r>
  </si>
  <si>
    <r>
      <rPr>
        <sz val="9"/>
        <color indexed="8"/>
        <rFont val="宋体"/>
        <family val="3"/>
        <charset val="134"/>
      </rPr>
      <t>（</t>
    </r>
    <r>
      <rPr>
        <sz val="9"/>
        <color indexed="8"/>
        <rFont val="Arial"/>
        <family val="2"/>
      </rPr>
      <t>1</t>
    </r>
    <r>
      <rPr>
        <sz val="9"/>
        <color indexed="8"/>
        <rFont val="宋体"/>
        <family val="3"/>
        <charset val="134"/>
      </rPr>
      <t>）购置</t>
    </r>
  </si>
  <si>
    <r>
      <rPr>
        <sz val="9"/>
        <color indexed="8"/>
        <rFont val="宋体"/>
        <family val="3"/>
        <charset val="134"/>
      </rPr>
      <t>（</t>
    </r>
    <r>
      <rPr>
        <sz val="9"/>
        <color indexed="8"/>
        <rFont val="Arial"/>
        <family val="2"/>
      </rPr>
      <t>2</t>
    </r>
    <r>
      <rPr>
        <sz val="9"/>
        <color indexed="8"/>
        <rFont val="宋体"/>
        <family val="3"/>
        <charset val="134"/>
      </rPr>
      <t>）内部研发</t>
    </r>
  </si>
  <si>
    <r>
      <rPr>
        <sz val="9"/>
        <color indexed="8"/>
        <rFont val="宋体"/>
        <family val="3"/>
        <charset val="134"/>
      </rPr>
      <t>（</t>
    </r>
    <r>
      <rPr>
        <sz val="9"/>
        <color indexed="8"/>
        <rFont val="Arial"/>
        <family val="2"/>
      </rPr>
      <t>3</t>
    </r>
    <r>
      <rPr>
        <sz val="9"/>
        <color indexed="8"/>
        <rFont val="宋体"/>
        <family val="3"/>
        <charset val="134"/>
      </rPr>
      <t>）企业合并增加</t>
    </r>
  </si>
  <si>
    <r>
      <rPr>
        <sz val="9"/>
        <color indexed="8"/>
        <rFont val="宋体"/>
        <family val="3"/>
        <charset val="134"/>
      </rPr>
      <t>（</t>
    </r>
    <r>
      <rPr>
        <sz val="9"/>
        <color indexed="8"/>
        <rFont val="Arial"/>
        <family val="2"/>
      </rPr>
      <t>4</t>
    </r>
    <r>
      <rPr>
        <sz val="9"/>
        <color indexed="8"/>
        <rFont val="宋体"/>
        <family val="3"/>
        <charset val="134"/>
      </rPr>
      <t>）其他</t>
    </r>
    <phoneticPr fontId="5" type="noConversion"/>
  </si>
  <si>
    <r>
      <t>3</t>
    </r>
    <r>
      <rPr>
        <sz val="9"/>
        <color indexed="8"/>
        <rFont val="宋体"/>
        <family val="3"/>
        <charset val="134"/>
      </rPr>
      <t>、本年减少金额</t>
    </r>
  </si>
  <si>
    <r>
      <rPr>
        <sz val="9"/>
        <color indexed="8"/>
        <rFont val="宋体"/>
        <family val="3"/>
        <charset val="134"/>
      </rPr>
      <t>（</t>
    </r>
    <r>
      <rPr>
        <sz val="9"/>
        <color indexed="8"/>
        <rFont val="Arial"/>
        <family val="2"/>
      </rPr>
      <t>1</t>
    </r>
    <r>
      <rPr>
        <sz val="9"/>
        <color indexed="8"/>
        <rFont val="宋体"/>
        <family val="3"/>
        <charset val="134"/>
      </rPr>
      <t>）处置</t>
    </r>
  </si>
  <si>
    <r>
      <rPr>
        <sz val="9"/>
        <color indexed="8"/>
        <rFont val="宋体"/>
        <family val="3"/>
        <charset val="134"/>
      </rPr>
      <t>（</t>
    </r>
    <r>
      <rPr>
        <sz val="9"/>
        <color indexed="8"/>
        <rFont val="Arial"/>
        <family val="2"/>
      </rPr>
      <t>2</t>
    </r>
    <r>
      <rPr>
        <sz val="9"/>
        <color indexed="8"/>
        <rFont val="宋体"/>
        <family val="3"/>
        <charset val="134"/>
      </rPr>
      <t>）其他</t>
    </r>
    <phoneticPr fontId="5" type="noConversion"/>
  </si>
  <si>
    <r>
      <t>4</t>
    </r>
    <r>
      <rPr>
        <sz val="9"/>
        <color indexed="8"/>
        <rFont val="宋体"/>
        <family val="3"/>
        <charset val="134"/>
      </rPr>
      <t>、年末余额</t>
    </r>
  </si>
  <si>
    <r>
      <rPr>
        <sz val="9"/>
        <color indexed="8"/>
        <rFont val="宋体"/>
        <family val="3"/>
        <charset val="134"/>
      </rPr>
      <t>二、累计摊销</t>
    </r>
  </si>
  <si>
    <r>
      <rPr>
        <sz val="9"/>
        <color indexed="8"/>
        <rFont val="宋体"/>
        <family val="3"/>
        <charset val="134"/>
      </rPr>
      <t>（</t>
    </r>
    <r>
      <rPr>
        <sz val="9"/>
        <color indexed="8"/>
        <rFont val="Arial"/>
        <family val="2"/>
      </rPr>
      <t>1</t>
    </r>
    <r>
      <rPr>
        <sz val="9"/>
        <color indexed="8"/>
        <rFont val="宋体"/>
        <family val="3"/>
        <charset val="134"/>
      </rPr>
      <t>）计提</t>
    </r>
  </si>
  <si>
    <r>
      <rPr>
        <sz val="9"/>
        <color indexed="8"/>
        <rFont val="宋体"/>
        <family val="3"/>
        <charset val="134"/>
      </rPr>
      <t>三、减值准备</t>
    </r>
  </si>
  <si>
    <r>
      <rPr>
        <sz val="9"/>
        <color indexed="8"/>
        <rFont val="宋体"/>
        <family val="3"/>
        <charset val="134"/>
      </rPr>
      <t>四、账面价值</t>
    </r>
  </si>
  <si>
    <r>
      <t>1</t>
    </r>
    <r>
      <rPr>
        <sz val="9"/>
        <color indexed="8"/>
        <rFont val="宋体"/>
        <family val="3"/>
        <charset val="134"/>
      </rPr>
      <t>、年末账面价值</t>
    </r>
  </si>
  <si>
    <r>
      <t>2</t>
    </r>
    <r>
      <rPr>
        <sz val="9"/>
        <color indexed="8"/>
        <rFont val="宋体"/>
        <family val="3"/>
        <charset val="134"/>
      </rPr>
      <t>、年初账面价值</t>
    </r>
  </si>
  <si>
    <r>
      <t>（</t>
    </r>
    <r>
      <rPr>
        <b/>
        <sz val="9"/>
        <rFont val="Arial"/>
        <family val="2"/>
      </rPr>
      <t>2</t>
    </r>
    <r>
      <rPr>
        <b/>
        <sz val="9"/>
        <rFont val="宋体"/>
        <family val="3"/>
        <charset val="134"/>
      </rPr>
      <t>）未办妥产权证书的土地使用权情况</t>
    </r>
  </si>
  <si>
    <t>账面价值</t>
  </si>
  <si>
    <t>未办妥产权证书的原因</t>
  </si>
  <si>
    <t>期初</t>
    <phoneticPr fontId="5" type="noConversion"/>
  </si>
  <si>
    <t>期末</t>
    <phoneticPr fontId="5" type="noConversion"/>
  </si>
  <si>
    <t>报表数</t>
    <phoneticPr fontId="5" type="noConversion"/>
  </si>
  <si>
    <t>与报表核对</t>
    <phoneticPr fontId="5" type="noConversion"/>
  </si>
  <si>
    <t>注:长期待摊费用分类，集团内各公司披露项目及顺序请保持一致</t>
    <phoneticPr fontId="5" type="noConversion"/>
  </si>
  <si>
    <t>注:其他非流动资产分类，集团内各公司披露项目及顺序请保持一致</t>
    <phoneticPr fontId="5" type="noConversion"/>
  </si>
  <si>
    <t>注:其他应付款分类，集团内各公司披露项目及顺序请保持一致</t>
    <phoneticPr fontId="5" type="noConversion"/>
  </si>
  <si>
    <t>注:其他流动负债分类，集团内各公司披露项目及顺序请保持一致</t>
    <phoneticPr fontId="5" type="noConversion"/>
  </si>
  <si>
    <t>本年返还的原因</t>
  </si>
  <si>
    <r>
      <t>与资产相关/与收益相关</t>
    </r>
    <r>
      <rPr>
        <sz val="10"/>
        <color indexed="10"/>
        <rFont val="宋体"/>
        <family val="3"/>
        <charset val="134"/>
      </rPr>
      <t>（上市公司填写）</t>
    </r>
    <phoneticPr fontId="5" type="noConversion"/>
  </si>
  <si>
    <t>注：集团内收入类别填写请保持项目及顺序一致</t>
    <phoneticPr fontId="5" type="noConversion"/>
  </si>
  <si>
    <t>研发费用明细</t>
    <phoneticPr fontId="5" type="noConversion"/>
  </si>
  <si>
    <t>项目</t>
    <phoneticPr fontId="5" type="noConversion"/>
  </si>
  <si>
    <t>本期发生数</t>
    <phoneticPr fontId="5" type="noConversion"/>
  </si>
  <si>
    <t>上期发生数</t>
    <phoneticPr fontId="5" type="noConversion"/>
  </si>
  <si>
    <t>合计</t>
    <phoneticPr fontId="5" type="noConversion"/>
  </si>
  <si>
    <t>研发费用</t>
    <phoneticPr fontId="5" type="noConversion"/>
  </si>
  <si>
    <t>校验</t>
    <phoneticPr fontId="5" type="noConversion"/>
  </si>
  <si>
    <r>
      <rPr>
        <b/>
        <sz val="10"/>
        <rFont val="宋体"/>
        <family val="3"/>
        <charset val="134"/>
      </rPr>
      <t>（</t>
    </r>
    <r>
      <rPr>
        <b/>
        <sz val="10"/>
        <rFont val="Arial Narrow"/>
        <family val="2"/>
      </rPr>
      <t>3</t>
    </r>
    <r>
      <rPr>
        <b/>
        <sz val="10"/>
        <rFont val="宋体"/>
        <family val="3"/>
        <charset val="134"/>
      </rPr>
      <t>）收到其他与投资活动有关的现金</t>
    </r>
    <phoneticPr fontId="5" type="noConversion"/>
  </si>
  <si>
    <r>
      <rPr>
        <b/>
        <sz val="10"/>
        <rFont val="宋体"/>
        <family val="3"/>
        <charset val="134"/>
      </rPr>
      <t>（</t>
    </r>
    <r>
      <rPr>
        <b/>
        <sz val="10"/>
        <rFont val="Arial Narrow"/>
        <family val="2"/>
      </rPr>
      <t>5</t>
    </r>
    <r>
      <rPr>
        <b/>
        <sz val="10"/>
        <rFont val="宋体"/>
        <family val="3"/>
        <charset val="134"/>
      </rPr>
      <t>）收到其他与筹资活动有关的现金</t>
    </r>
    <phoneticPr fontId="5" type="noConversion"/>
  </si>
  <si>
    <t>资产处置收益</t>
    <phoneticPr fontId="5" type="noConversion"/>
  </si>
  <si>
    <r>
      <t>——</t>
    </r>
    <r>
      <rPr>
        <b/>
        <sz val="10"/>
        <rFont val="宋体"/>
        <family val="3"/>
        <charset val="134"/>
      </rPr>
      <t>资产处置收益</t>
    </r>
    <phoneticPr fontId="5" type="noConversion"/>
  </si>
  <si>
    <t>被审计单位</t>
    <phoneticPr fontId="5" type="noConversion"/>
  </si>
  <si>
    <t>其中:1-3个月</t>
    <phoneticPr fontId="5" type="noConversion"/>
  </si>
  <si>
    <r>
      <t xml:space="preserve">         4-12</t>
    </r>
    <r>
      <rPr>
        <sz val="10"/>
        <rFont val="宋体"/>
        <family val="3"/>
        <charset val="134"/>
      </rPr>
      <t>个月</t>
    </r>
    <phoneticPr fontId="5" type="noConversion"/>
  </si>
  <si>
    <t>其中：1-3个月</t>
    <phoneticPr fontId="5" type="noConversion"/>
  </si>
  <si>
    <r>
      <t xml:space="preserve">             4-12</t>
    </r>
    <r>
      <rPr>
        <sz val="10"/>
        <rFont val="宋体"/>
        <family val="3"/>
        <charset val="134"/>
      </rPr>
      <t>个月</t>
    </r>
    <phoneticPr fontId="5" type="noConversion"/>
  </si>
  <si>
    <t>本年发生数</t>
  </si>
  <si>
    <t>固定资产（上市公司）</t>
    <phoneticPr fontId="5" type="noConversion"/>
  </si>
  <si>
    <t>无形资产（上市公司）</t>
    <phoneticPr fontId="5" type="noConversion"/>
  </si>
  <si>
    <t>营运资本</t>
    <phoneticPr fontId="5" type="noConversion"/>
  </si>
  <si>
    <t>期初</t>
    <phoneticPr fontId="5" type="noConversion"/>
  </si>
  <si>
    <r>
      <rPr>
        <b/>
        <sz val="9"/>
        <rFont val="宋体"/>
        <family val="3"/>
        <charset val="134"/>
      </rPr>
      <t>期末</t>
    </r>
    <phoneticPr fontId="5" type="noConversion"/>
  </si>
  <si>
    <t>流动比率</t>
    <phoneticPr fontId="5" type="noConversion"/>
  </si>
  <si>
    <t>速动比率</t>
    <phoneticPr fontId="5" type="noConversion"/>
  </si>
  <si>
    <t>营运资本配置率</t>
    <phoneticPr fontId="5" type="noConversion"/>
  </si>
  <si>
    <t>资产负债率</t>
    <phoneticPr fontId="5" type="noConversion"/>
  </si>
  <si>
    <t>权益乘数</t>
    <phoneticPr fontId="5" type="noConversion"/>
  </si>
  <si>
    <t>产权比率</t>
    <phoneticPr fontId="5" type="noConversion"/>
  </si>
  <si>
    <t>长期资本负债率</t>
    <phoneticPr fontId="5" type="noConversion"/>
  </si>
  <si>
    <t>现金比率</t>
    <phoneticPr fontId="5" type="noConversion"/>
  </si>
  <si>
    <t>负债与有形净值比率</t>
    <phoneticPr fontId="5" type="noConversion"/>
  </si>
  <si>
    <t>应收账款周转率</t>
    <phoneticPr fontId="5" type="noConversion"/>
  </si>
  <si>
    <t>存货周转率</t>
    <phoneticPr fontId="5" type="noConversion"/>
  </si>
  <si>
    <t>流动资产周转率</t>
  </si>
  <si>
    <t>营运资本周转率</t>
  </si>
  <si>
    <t>非流动资产周转率</t>
  </si>
  <si>
    <t>总资产周转率</t>
  </si>
  <si>
    <t>常用财务指标</t>
    <phoneticPr fontId="5" type="noConversion"/>
  </si>
  <si>
    <t>固定资产利用率</t>
    <phoneticPr fontId="5" type="noConversion"/>
  </si>
  <si>
    <r>
      <rPr>
        <b/>
        <sz val="9"/>
        <rFont val="宋体"/>
        <family val="3"/>
        <charset val="134"/>
      </rPr>
      <t>常用财务指标</t>
    </r>
    <phoneticPr fontId="5" type="noConversion"/>
  </si>
  <si>
    <r>
      <rPr>
        <b/>
        <sz val="9"/>
        <rFont val="宋体"/>
        <family val="3"/>
        <charset val="134"/>
      </rPr>
      <t>常用财务指标</t>
    </r>
    <phoneticPr fontId="5" type="noConversion"/>
  </si>
  <si>
    <r>
      <rPr>
        <b/>
        <sz val="9"/>
        <rFont val="楷体_GB2312"/>
        <family val="3"/>
        <charset val="134"/>
      </rPr>
      <t>主营业务毛利率</t>
    </r>
    <phoneticPr fontId="5" type="noConversion"/>
  </si>
  <si>
    <t>其他业务毛利率</t>
    <phoneticPr fontId="5" type="noConversion"/>
  </si>
  <si>
    <r>
      <t xml:space="preserve">                 </t>
    </r>
    <r>
      <rPr>
        <sz val="10"/>
        <rFont val="楷体_GB2312"/>
        <family val="3"/>
        <charset val="134"/>
      </rPr>
      <t>其中：利息费用</t>
    </r>
    <phoneticPr fontId="5" type="noConversion"/>
  </si>
  <si>
    <r>
      <rPr>
        <b/>
        <sz val="9"/>
        <rFont val="宋体"/>
        <family val="3"/>
        <charset val="134"/>
      </rPr>
      <t>息税前利润（</t>
    </r>
    <r>
      <rPr>
        <b/>
        <sz val="9"/>
        <rFont val="Arial Narrow"/>
        <family val="2"/>
      </rPr>
      <t>EBIT</t>
    </r>
    <r>
      <rPr>
        <b/>
        <sz val="9"/>
        <rFont val="宋体"/>
        <family val="3"/>
        <charset val="134"/>
      </rPr>
      <t>）</t>
    </r>
    <phoneticPr fontId="5" type="noConversion"/>
  </si>
  <si>
    <t>销售净利率</t>
    <phoneticPr fontId="5" type="noConversion"/>
  </si>
  <si>
    <t>权益净利率（ROE）</t>
    <phoneticPr fontId="5" type="noConversion"/>
  </si>
  <si>
    <t>总资产回报率</t>
    <phoneticPr fontId="5" type="noConversion"/>
  </si>
  <si>
    <t>权益回报率</t>
    <phoneticPr fontId="5" type="noConversion"/>
  </si>
  <si>
    <r>
      <rPr>
        <b/>
        <sz val="9"/>
        <rFont val="宋体"/>
        <family val="3"/>
        <charset val="134"/>
      </rPr>
      <t>投资资本回报率（</t>
    </r>
    <r>
      <rPr>
        <b/>
        <sz val="9"/>
        <rFont val="Arial Narrow"/>
        <family val="2"/>
      </rPr>
      <t>ROIC</t>
    </r>
    <r>
      <rPr>
        <b/>
        <sz val="9"/>
        <rFont val="宋体"/>
        <family val="3"/>
        <charset val="134"/>
      </rPr>
      <t>）</t>
    </r>
    <phoneticPr fontId="5" type="noConversion"/>
  </si>
  <si>
    <t>总资产净利率</t>
    <phoneticPr fontId="5" type="noConversion"/>
  </si>
  <si>
    <t>本期</t>
    <phoneticPr fontId="5" type="noConversion"/>
  </si>
  <si>
    <t>上期</t>
    <phoneticPr fontId="5" type="noConversion"/>
  </si>
  <si>
    <t>利息保障倍数</t>
    <phoneticPr fontId="5" type="noConversion"/>
  </si>
  <si>
    <t>所得税税率：</t>
    <phoneticPr fontId="5" type="noConversion"/>
  </si>
  <si>
    <t>资本化利息</t>
    <phoneticPr fontId="5" type="noConversion"/>
  </si>
  <si>
    <t>现金流量利息保障倍数</t>
    <phoneticPr fontId="5" type="noConversion"/>
  </si>
  <si>
    <r>
      <rPr>
        <b/>
        <sz val="9"/>
        <rFont val="宋体"/>
        <family val="3"/>
        <charset val="134"/>
      </rPr>
      <t>本期</t>
    </r>
    <phoneticPr fontId="5" type="noConversion"/>
  </si>
  <si>
    <r>
      <rPr>
        <b/>
        <sz val="9"/>
        <rFont val="宋体"/>
        <family val="3"/>
        <charset val="134"/>
      </rPr>
      <t>上期</t>
    </r>
    <phoneticPr fontId="5" type="noConversion"/>
  </si>
  <si>
    <r>
      <rPr>
        <b/>
        <sz val="9"/>
        <rFont val="楷体_GB2312"/>
        <family val="3"/>
        <charset val="134"/>
      </rPr>
      <t>净利润含现比</t>
    </r>
    <phoneticPr fontId="5" type="noConversion"/>
  </si>
  <si>
    <t>营业收入含现比</t>
    <phoneticPr fontId="5" type="noConversion"/>
  </si>
  <si>
    <t>营业成本含现比</t>
    <phoneticPr fontId="5" type="noConversion"/>
  </si>
  <si>
    <r>
      <t>2019</t>
    </r>
    <r>
      <rPr>
        <sz val="10"/>
        <rFont val="宋体"/>
        <family val="3"/>
        <charset val="134"/>
      </rPr>
      <t>年</t>
    </r>
    <r>
      <rPr>
        <sz val="10"/>
        <rFont val="Arial Narrow"/>
        <family val="2"/>
      </rPr>
      <t>1-5</t>
    </r>
    <r>
      <rPr>
        <sz val="10"/>
        <rFont val="宋体"/>
        <family val="3"/>
        <charset val="134"/>
      </rPr>
      <t>月</t>
    </r>
    <phoneticPr fontId="5" type="noConversion"/>
  </si>
  <si>
    <t>王咲晨</t>
    <phoneticPr fontId="5" type="noConversion"/>
  </si>
  <si>
    <t>逯敏</t>
    <phoneticPr fontId="5" type="noConversion"/>
  </si>
  <si>
    <r>
      <t>2018</t>
    </r>
    <r>
      <rPr>
        <b/>
        <sz val="10"/>
        <rFont val="宋体"/>
        <family val="3"/>
        <charset val="134"/>
      </rPr>
      <t>年未审数</t>
    </r>
    <phoneticPr fontId="5" type="noConversion"/>
  </si>
  <si>
    <r>
      <t>2019</t>
    </r>
    <r>
      <rPr>
        <b/>
        <sz val="10"/>
        <rFont val="楷体_GB2312"/>
        <family val="3"/>
        <charset val="134"/>
      </rPr>
      <t>年</t>
    </r>
    <r>
      <rPr>
        <b/>
        <sz val="10"/>
        <rFont val="Arial Narrow"/>
        <family val="2"/>
      </rPr>
      <t>1-5</t>
    </r>
    <r>
      <rPr>
        <b/>
        <sz val="10"/>
        <rFont val="楷体_GB2312"/>
        <family val="3"/>
        <charset val="134"/>
      </rPr>
      <t>月未审数</t>
    </r>
    <phoneticPr fontId="5" type="noConversion"/>
  </si>
  <si>
    <t>期初重分类调整</t>
    <phoneticPr fontId="5" type="noConversion"/>
  </si>
  <si>
    <t>期末重分类调整</t>
    <phoneticPr fontId="5" type="noConversion"/>
  </si>
  <si>
    <t>增值税进项税额</t>
    <phoneticPr fontId="5" type="noConversion"/>
  </si>
  <si>
    <t>库存现金</t>
    <phoneticPr fontId="5" type="noConversion"/>
  </si>
  <si>
    <t>期初余额</t>
    <phoneticPr fontId="5" type="noConversion"/>
  </si>
  <si>
    <t>本期借方发生额</t>
    <phoneticPr fontId="5" type="noConversion"/>
  </si>
  <si>
    <t>本期贷方发生额</t>
    <phoneticPr fontId="5" type="noConversion"/>
  </si>
  <si>
    <t>期末余额</t>
    <phoneticPr fontId="5" type="noConversion"/>
  </si>
  <si>
    <t>银行存款→光大银行</t>
  </si>
  <si>
    <t>银行存款→平安银行中关村支行3006</t>
  </si>
  <si>
    <t>办公家具</t>
    <phoneticPr fontId="5" type="noConversion"/>
  </si>
  <si>
    <t>电子设备及其他</t>
    <phoneticPr fontId="5" type="noConversion"/>
  </si>
  <si>
    <t>华鼎泰新投资管理（北京）有限公司</t>
    <phoneticPr fontId="5" type="noConversion"/>
  </si>
  <si>
    <t>有研鼎盛投资发展有限公司</t>
    <phoneticPr fontId="5" type="noConversion"/>
  </si>
  <si>
    <t>基金管理费收入</t>
    <phoneticPr fontId="5" type="noConversion"/>
  </si>
  <si>
    <t>财务顾问费</t>
    <phoneticPr fontId="5" type="noConversion"/>
  </si>
  <si>
    <t>教育费附加</t>
    <phoneticPr fontId="5" type="noConversion"/>
  </si>
  <si>
    <t>地方教育费附加</t>
    <phoneticPr fontId="5" type="noConversion"/>
  </si>
  <si>
    <t>租赁费</t>
    <phoneticPr fontId="5" type="noConversion"/>
  </si>
  <si>
    <t>办公费</t>
    <phoneticPr fontId="5" type="noConversion"/>
  </si>
  <si>
    <t>招待费</t>
    <phoneticPr fontId="5" type="noConversion"/>
  </si>
  <si>
    <t>差旅费</t>
    <phoneticPr fontId="5" type="noConversion"/>
  </si>
  <si>
    <t>折旧费</t>
    <phoneticPr fontId="5" type="noConversion"/>
  </si>
  <si>
    <t>摊销费</t>
    <phoneticPr fontId="5" type="noConversion"/>
  </si>
  <si>
    <t>通讯费</t>
    <phoneticPr fontId="5" type="noConversion"/>
  </si>
  <si>
    <t>服务费</t>
    <phoneticPr fontId="5" type="noConversion"/>
  </si>
  <si>
    <t>利息费用</t>
    <phoneticPr fontId="5" type="noConversion"/>
  </si>
  <si>
    <t>资产负债表及利润表校验</t>
    <phoneticPr fontId="5" type="noConversion"/>
  </si>
  <si>
    <t>调整年终奖跨期</t>
    <phoneticPr fontId="5" type="noConversion"/>
  </si>
  <si>
    <r>
      <t>2018</t>
    </r>
    <r>
      <rPr>
        <sz val="10"/>
        <rFont val="宋体"/>
        <family val="3"/>
        <charset val="134"/>
      </rPr>
      <t>年年终奖</t>
    </r>
    <phoneticPr fontId="5" type="noConversion"/>
  </si>
  <si>
    <t>合计</t>
    <phoneticPr fontId="5" type="noConversion"/>
  </si>
  <si>
    <t>项目</t>
    <phoneticPr fontId="5" type="noConversion"/>
  </si>
  <si>
    <t>客户</t>
    <phoneticPr fontId="5" type="noConversion"/>
  </si>
  <si>
    <t>期初余额</t>
  </si>
  <si>
    <t>期初余额</t>
    <phoneticPr fontId="5" type="noConversion"/>
  </si>
  <si>
    <t>借方发生额</t>
  </si>
  <si>
    <t>借方发生额</t>
    <phoneticPr fontId="5" type="noConversion"/>
  </si>
  <si>
    <t>贷方发生额</t>
  </si>
  <si>
    <t>贷方发生额</t>
    <phoneticPr fontId="5" type="noConversion"/>
  </si>
  <si>
    <t>期末余额</t>
    <phoneticPr fontId="5" type="noConversion"/>
  </si>
  <si>
    <t xml:space="preserve">    1133003 房租押金</t>
  </si>
  <si>
    <t xml:space="preserve">    1133004 其他</t>
  </si>
  <si>
    <t xml:space="preserve">    1133007 王捷</t>
  </si>
  <si>
    <t xml:space="preserve">    1133008 腾达电话押金</t>
  </si>
  <si>
    <t xml:space="preserve">    1133009 押金</t>
  </si>
  <si>
    <t xml:space="preserve">    1133015 腾达餐卡押金</t>
  </si>
  <si>
    <t xml:space="preserve">    1133017 华鼎新动力基金</t>
  </si>
  <si>
    <t xml:space="preserve">    1133019 叶劲柏（房屋租赁）</t>
  </si>
  <si>
    <t xml:space="preserve">    1133026 华鼎新能量基金</t>
  </si>
  <si>
    <t xml:space="preserve">    1133028 北京城建深港建筑装饰有限公司</t>
  </si>
  <si>
    <t xml:space="preserve">    1133031 王爽</t>
  </si>
  <si>
    <t>合计</t>
    <phoneticPr fontId="5" type="noConversion"/>
  </si>
  <si>
    <t>项目</t>
    <phoneticPr fontId="5" type="noConversion"/>
  </si>
  <si>
    <t>应收账款坏账准备</t>
    <phoneticPr fontId="5" type="noConversion"/>
  </si>
  <si>
    <t>考虑是否转回或补提坏账</t>
    <phoneticPr fontId="5" type="noConversion"/>
  </si>
  <si>
    <t>北京华鼎新基石股权投资金基金（有限合伙）</t>
  </si>
  <si>
    <t>北京华鼎新动力股权投资基金（有限合伙）</t>
  </si>
  <si>
    <t>北京华鼎新动力股权投资基金（有限合伙）</t>
    <phoneticPr fontId="5" type="noConversion"/>
  </si>
  <si>
    <t>北京华鼎新维度企业并购管理中心（有限合伙）</t>
  </si>
  <si>
    <t>北京华鼎新维度企业并购管理中心（有限合伙）</t>
    <phoneticPr fontId="5" type="noConversion"/>
  </si>
  <si>
    <t>名称</t>
  </si>
  <si>
    <t>2019年5月31日账面金额</t>
  </si>
  <si>
    <t>本期新增</t>
  </si>
  <si>
    <t>实缴出资额</t>
  </si>
  <si>
    <t>合伙协议认缴金额</t>
  </si>
  <si>
    <t>电子设备及其他</t>
  </si>
  <si>
    <t>电子设备及其他</t>
    <phoneticPr fontId="5" type="noConversion"/>
  </si>
  <si>
    <t>分类</t>
    <phoneticPr fontId="163" type="noConversion"/>
  </si>
  <si>
    <t xml:space="preserve">    1501001 税控打印机</t>
  </si>
  <si>
    <t>借</t>
  </si>
  <si>
    <t xml:space="preserve">    1501002 税控系统</t>
  </si>
  <si>
    <t xml:space="preserve">    1501003 电脑一台（财务）</t>
  </si>
  <si>
    <t xml:space="preserve">    1501004 家具（元象）</t>
  </si>
  <si>
    <t>办公家具</t>
    <phoneticPr fontId="163" type="noConversion"/>
  </si>
  <si>
    <t xml:space="preserve">    1501005 电脑一台（联想）</t>
  </si>
  <si>
    <t xml:space="preserve">    1501006 明基投影仪</t>
  </si>
  <si>
    <t xml:space="preserve">    1501007 网络系统</t>
  </si>
  <si>
    <t xml:space="preserve">    1501008 电话交换机</t>
  </si>
  <si>
    <t xml:space="preserve">    1501009 国林家具</t>
  </si>
  <si>
    <t xml:space="preserve">    1501010 一体机（戴尔）</t>
  </si>
  <si>
    <t xml:space="preserve">    1501011 台式电脑一台</t>
  </si>
  <si>
    <t xml:space="preserve">    1501012 办公前台</t>
  </si>
  <si>
    <t xml:space="preserve">    1501013 办公室背柜</t>
  </si>
  <si>
    <t xml:space="preserve">    1501014 BX0520明基投影仪（基金发行部）</t>
  </si>
  <si>
    <t xml:space="preserve">    1501015 联想一体机（基金发行部）</t>
  </si>
  <si>
    <t xml:space="preserve">    1501016 X250笔记本一台1（基金发行部）</t>
  </si>
  <si>
    <t xml:space="preserve">    1501017 X250笔记本一台2（基金发行部）</t>
  </si>
  <si>
    <t xml:space="preserve">    1501018 X250笔记本一台3（基金发行部）</t>
  </si>
  <si>
    <t xml:space="preserve">    1501019 X250笔记本一台4（基金发行部）</t>
  </si>
  <si>
    <t xml:space="preserve">    1501020 X250笔记本一台5（基金发行部）</t>
  </si>
  <si>
    <t xml:space="preserve">    1501021 X250笔记本一台6（基金发行部）</t>
  </si>
  <si>
    <t xml:space="preserve">    1501022 X250笔记本一台7（基金发行部）</t>
  </si>
  <si>
    <t xml:space="preserve">    1501023 X1笔记本一台（基金发行部）</t>
  </si>
  <si>
    <t xml:space="preserve">    1501024 创维电视一台（基金发行部）</t>
  </si>
  <si>
    <t xml:space="preserve">    1501025 ADC223震旦打印机</t>
  </si>
  <si>
    <t xml:space="preserve">    1501026 ThinkPad电脑一台(基金发行部）</t>
  </si>
  <si>
    <t xml:space="preserve">    1501027 空气净化器</t>
  </si>
  <si>
    <t xml:space="preserve">    1501028 冰箱</t>
  </si>
  <si>
    <t xml:space="preserve">    1501029 平板电脑</t>
  </si>
  <si>
    <t xml:space="preserve">    1501030 茶水组合柜</t>
  </si>
  <si>
    <t xml:space="preserve">    1501031 烤漆玄关柜</t>
  </si>
  <si>
    <t xml:space="preserve">    1501032 三星电视</t>
  </si>
  <si>
    <t xml:space="preserve">    1501033 Thinkpad笔记本电脑1</t>
  </si>
  <si>
    <t xml:space="preserve">    1501034 Thinkpad笔记本电脑2</t>
  </si>
  <si>
    <t xml:space="preserve">    1501035 Thinkpad笔记本电脑3</t>
  </si>
  <si>
    <t xml:space="preserve">    1501036 Thinkpad笔记本电脑4</t>
  </si>
  <si>
    <t xml:space="preserve">    1501037 Thinkpad笔记本电脑5</t>
  </si>
  <si>
    <t xml:space="preserve">    1501038 笔记本电脑6</t>
  </si>
  <si>
    <t xml:space="preserve">    1501039 笔记本电脑7</t>
  </si>
  <si>
    <t xml:space="preserve">    1501040 会议电话</t>
  </si>
  <si>
    <t xml:space="preserve">    1501041 员工书柜</t>
  </si>
  <si>
    <t xml:space="preserve">    1501042 长茶几</t>
  </si>
  <si>
    <t xml:space="preserve">    1501043 双人沙发</t>
  </si>
  <si>
    <t xml:space="preserve">    1501044 班椅</t>
  </si>
  <si>
    <t>固定资产明细</t>
    <phoneticPr fontId="5" type="noConversion"/>
  </si>
  <si>
    <t>方向</t>
    <phoneticPr fontId="5" type="noConversion"/>
  </si>
  <si>
    <t>原值</t>
    <phoneticPr fontId="5" type="noConversion"/>
  </si>
  <si>
    <t>期初累计折旧</t>
    <phoneticPr fontId="5" type="noConversion"/>
  </si>
  <si>
    <t>本期计提折旧</t>
  </si>
  <si>
    <t>本期计提折旧</t>
    <phoneticPr fontId="5" type="noConversion"/>
  </si>
  <si>
    <t>办公家具</t>
    <phoneticPr fontId="5" type="noConversion"/>
  </si>
  <si>
    <t>电子设备及其他</t>
    <phoneticPr fontId="5" type="noConversion"/>
  </si>
  <si>
    <t>基金发行部装修费</t>
  </si>
  <si>
    <t>计提原值</t>
  </si>
  <si>
    <t>摊销总月数</t>
  </si>
  <si>
    <r>
      <rPr>
        <b/>
        <sz val="9"/>
        <rFont val="宋体"/>
        <family val="3"/>
        <charset val="134"/>
      </rPr>
      <t>截止至</t>
    </r>
    <r>
      <rPr>
        <b/>
        <sz val="9"/>
        <rFont val="Arial Narrow"/>
        <family val="2"/>
      </rPr>
      <t>2019</t>
    </r>
    <r>
      <rPr>
        <b/>
        <sz val="9"/>
        <rFont val="宋体"/>
        <family val="3"/>
        <charset val="134"/>
      </rPr>
      <t>年</t>
    </r>
    <r>
      <rPr>
        <b/>
        <sz val="9"/>
        <rFont val="Arial Narrow"/>
        <family val="2"/>
      </rPr>
      <t>5</t>
    </r>
    <r>
      <rPr>
        <b/>
        <sz val="9"/>
        <rFont val="宋体"/>
        <family val="3"/>
        <charset val="134"/>
      </rPr>
      <t>月</t>
    </r>
    <r>
      <rPr>
        <b/>
        <sz val="9"/>
        <rFont val="Arial Narrow"/>
        <family val="2"/>
      </rPr>
      <t>32</t>
    </r>
    <r>
      <rPr>
        <b/>
        <sz val="9"/>
        <rFont val="宋体"/>
        <family val="3"/>
        <charset val="134"/>
      </rPr>
      <t>日摊销月数</t>
    </r>
    <phoneticPr fontId="5" type="noConversion"/>
  </si>
  <si>
    <t>月摊销额</t>
    <phoneticPr fontId="5" type="noConversion"/>
  </si>
  <si>
    <t>基金发行部装修费</t>
    <phoneticPr fontId="5" type="noConversion"/>
  </si>
  <si>
    <t xml:space="preserve">    2151001 养老保险</t>
  </si>
  <si>
    <t xml:space="preserve">    2151002 失业保险</t>
  </si>
  <si>
    <t xml:space="preserve">    2151003 工伤保险</t>
  </si>
  <si>
    <t xml:space="preserve">    2151004 生育保险</t>
  </si>
  <si>
    <t xml:space="preserve">    2151005 医疗保险</t>
  </si>
  <si>
    <t xml:space="preserve">    2151006 住房公积金</t>
  </si>
  <si>
    <t xml:space="preserve">    2151007 工资</t>
  </si>
  <si>
    <t xml:space="preserve">    2151008 职工福利</t>
  </si>
  <si>
    <t xml:space="preserve">    2151009 基金发行部社保及公积金</t>
  </si>
  <si>
    <t xml:space="preserve">        2151009001 养老保险</t>
  </si>
  <si>
    <t xml:space="preserve">        2151009002 失业保险</t>
  </si>
  <si>
    <t xml:space="preserve">        2151009003 工伤保险</t>
  </si>
  <si>
    <t xml:space="preserve">        2151009004 生育保险</t>
  </si>
  <si>
    <t xml:space="preserve">        2151009005 医疗保险</t>
  </si>
  <si>
    <t xml:space="preserve">        2151009006 住房公积金</t>
  </si>
  <si>
    <t xml:space="preserve">    2151010 解除职工劳动关系补偿</t>
  </si>
  <si>
    <t>项目</t>
    <phoneticPr fontId="5" type="noConversion"/>
  </si>
  <si>
    <t>期初数</t>
  </si>
  <si>
    <t>借方累计数</t>
  </si>
  <si>
    <t>贷方累计数</t>
  </si>
  <si>
    <t>期末数</t>
  </si>
  <si>
    <t>2171 应交税金</t>
  </si>
  <si>
    <t xml:space="preserve">    2171001 应交增值税</t>
  </si>
  <si>
    <t xml:space="preserve">        2171001001 进项税额</t>
  </si>
  <si>
    <t xml:space="preserve">            2171001001001 认证抵扣</t>
  </si>
  <si>
    <t xml:space="preserve">            2171001001002 其他抵扣</t>
  </si>
  <si>
    <t xml:space="preserve">        2171001003 转出未交增值税</t>
  </si>
  <si>
    <t xml:space="preserve">        2171001004 减免税款</t>
  </si>
  <si>
    <t xml:space="preserve">        2171001005 销项税额</t>
  </si>
  <si>
    <t xml:space="preserve">    2171006 应交所得税</t>
  </si>
  <si>
    <t xml:space="preserve">    2171012 应交个人所得税</t>
  </si>
  <si>
    <t xml:space="preserve">    2181001 代收投资款</t>
  </si>
  <si>
    <t xml:space="preserve">    2181002 养老保险</t>
  </si>
  <si>
    <t xml:space="preserve">    2181003 失业保险</t>
  </si>
  <si>
    <t xml:space="preserve">    2181004 医疗保险</t>
  </si>
  <si>
    <t xml:space="preserve">    2181005 住房公积金</t>
  </si>
  <si>
    <t xml:space="preserve">    2181007 基金发行部社保及公积金</t>
  </si>
  <si>
    <t>应付社保及住房公积金</t>
  </si>
  <si>
    <r>
      <t xml:space="preserve">    2181006 </t>
    </r>
    <r>
      <rPr>
        <sz val="10"/>
        <rFont val="宋体"/>
        <family val="3"/>
        <charset val="134"/>
      </rPr>
      <t>其他</t>
    </r>
    <r>
      <rPr>
        <sz val="10"/>
        <rFont val="Arial Narrow"/>
        <family val="2"/>
      </rPr>
      <t>(</t>
    </r>
    <r>
      <rPr>
        <sz val="10"/>
        <rFont val="宋体"/>
        <family val="3"/>
        <charset val="134"/>
      </rPr>
      <t>个税返还）</t>
    </r>
    <phoneticPr fontId="5" type="noConversion"/>
  </si>
  <si>
    <t>个税返还调入其他收益</t>
    <phoneticPr fontId="5" type="noConversion"/>
  </si>
  <si>
    <t>个税手续费返还</t>
    <phoneticPr fontId="5" type="noConversion"/>
  </si>
  <si>
    <t>职工薪酬</t>
    <phoneticPr fontId="5" type="noConversion"/>
  </si>
  <si>
    <t>其他</t>
    <phoneticPr fontId="5" type="noConversion"/>
  </si>
  <si>
    <t>税金及附加</t>
  </si>
  <si>
    <t>残保金</t>
    <phoneticPr fontId="5" type="noConversion"/>
  </si>
  <si>
    <t>转回无风险组合坏账</t>
    <phoneticPr fontId="5" type="noConversion"/>
  </si>
  <si>
    <t>转回递延所得税资产</t>
    <phoneticPr fontId="5" type="noConversion"/>
  </si>
  <si>
    <t>补提递延所得税资产</t>
    <phoneticPr fontId="5" type="noConversion"/>
  </si>
  <si>
    <r>
      <rPr>
        <sz val="10"/>
        <rFont val="宋体"/>
        <family val="3"/>
        <charset val="134"/>
      </rPr>
      <t>调整基金发行部</t>
    </r>
    <r>
      <rPr>
        <sz val="10"/>
        <rFont val="Arial Narrow"/>
        <family val="2"/>
      </rPr>
      <t>12</t>
    </r>
    <r>
      <rPr>
        <sz val="10"/>
        <rFont val="宋体"/>
        <family val="3"/>
        <charset val="134"/>
      </rPr>
      <t>月工资跨期</t>
    </r>
    <phoneticPr fontId="5" type="noConversion"/>
  </si>
  <si>
    <r>
      <t>发行部</t>
    </r>
    <r>
      <rPr>
        <sz val="10"/>
        <rFont val="Arial Narrow"/>
        <family val="2"/>
      </rPr>
      <t>12</t>
    </r>
    <r>
      <rPr>
        <sz val="10"/>
        <rFont val="宋体"/>
        <family val="3"/>
        <charset val="134"/>
      </rPr>
      <t>月工资跨期</t>
    </r>
  </si>
  <si>
    <t>调整跨期管理费用</t>
    <phoneticPr fontId="5" type="noConversion"/>
  </si>
  <si>
    <t>明细详见管理费用附注列示</t>
    <phoneticPr fontId="5" type="noConversion"/>
  </si>
  <si>
    <t>残保金调整入税金及附加</t>
    <phoneticPr fontId="5" type="noConversion"/>
  </si>
  <si>
    <t>期初坏账转回并补提本期</t>
    <phoneticPr fontId="5" type="noConversion"/>
  </si>
  <si>
    <t>其他应收款</t>
    <phoneticPr fontId="5" type="noConversion"/>
  </si>
  <si>
    <t>华鼎资本（北京）有限公司</t>
    <phoneticPr fontId="5" type="noConversion"/>
  </si>
  <si>
    <t>北京金隅集团股份有限公司</t>
  </si>
  <si>
    <t>华鼎江山投资咨询（北京）有限公司</t>
  </si>
  <si>
    <t>王捷</t>
  </si>
  <si>
    <t>腾达电话押金</t>
  </si>
  <si>
    <t>押金</t>
  </si>
  <si>
    <t>腾达餐卡押金</t>
  </si>
  <si>
    <t>华鼎新动力基金</t>
  </si>
  <si>
    <t>叶劲柏（房屋租赁）</t>
  </si>
  <si>
    <t>华鼎新能量基金</t>
  </si>
  <si>
    <t>北京城建深港建筑装饰有限公司</t>
  </si>
  <si>
    <t>王爽</t>
  </si>
  <si>
    <t>账龄</t>
    <phoneticPr fontId="5" type="noConversion"/>
  </si>
  <si>
    <r>
      <t>1</t>
    </r>
    <r>
      <rPr>
        <sz val="10"/>
        <rFont val="宋体"/>
        <family val="3"/>
        <charset val="134"/>
      </rPr>
      <t>年以内</t>
    </r>
    <phoneticPr fontId="5" type="noConversion"/>
  </si>
  <si>
    <t>1年以内</t>
  </si>
  <si>
    <r>
      <t>2-3</t>
    </r>
    <r>
      <rPr>
        <sz val="10"/>
        <rFont val="宋体"/>
        <family val="3"/>
        <charset val="134"/>
      </rPr>
      <t>年</t>
    </r>
    <phoneticPr fontId="5" type="noConversion"/>
  </si>
  <si>
    <r>
      <t>1-2</t>
    </r>
    <r>
      <rPr>
        <sz val="10"/>
        <rFont val="宋体"/>
        <family val="3"/>
        <charset val="134"/>
      </rPr>
      <t>年</t>
    </r>
    <phoneticPr fontId="5" type="noConversion"/>
  </si>
  <si>
    <t>合计</t>
    <phoneticPr fontId="5" type="noConversion"/>
  </si>
  <si>
    <t>客户</t>
    <phoneticPr fontId="5" type="noConversion"/>
  </si>
  <si>
    <t>—</t>
    <phoneticPr fontId="5" type="noConversion"/>
  </si>
  <si>
    <r>
      <t>2018</t>
    </r>
    <r>
      <rPr>
        <b/>
        <sz val="10"/>
        <rFont val="宋体"/>
        <family val="3"/>
        <charset val="134"/>
      </rPr>
      <t>年</t>
    </r>
    <r>
      <rPr>
        <b/>
        <sz val="10"/>
        <rFont val="Arial Narrow"/>
        <family val="2"/>
      </rPr>
      <t>12</t>
    </r>
    <r>
      <rPr>
        <b/>
        <sz val="10"/>
        <rFont val="宋体"/>
        <family val="3"/>
        <charset val="134"/>
      </rPr>
      <t>月</t>
    </r>
    <r>
      <rPr>
        <b/>
        <sz val="10"/>
        <rFont val="Arial Narrow"/>
        <family val="2"/>
      </rPr>
      <t>31</t>
    </r>
    <r>
      <rPr>
        <b/>
        <sz val="10"/>
        <rFont val="宋体"/>
        <family val="3"/>
        <charset val="134"/>
      </rPr>
      <t>日余额</t>
    </r>
    <phoneticPr fontId="5" type="noConversion"/>
  </si>
  <si>
    <r>
      <t>2019</t>
    </r>
    <r>
      <rPr>
        <b/>
        <sz val="10"/>
        <rFont val="宋体"/>
        <family val="3"/>
        <charset val="134"/>
      </rPr>
      <t>年</t>
    </r>
    <r>
      <rPr>
        <b/>
        <sz val="10"/>
        <rFont val="Arial Narrow"/>
        <family val="2"/>
      </rPr>
      <t>5</t>
    </r>
    <r>
      <rPr>
        <b/>
        <sz val="10"/>
        <rFont val="宋体"/>
        <family val="3"/>
        <charset val="134"/>
      </rPr>
      <t>月</t>
    </r>
    <r>
      <rPr>
        <b/>
        <sz val="10"/>
        <rFont val="Arial Narrow"/>
        <family val="2"/>
      </rPr>
      <t>31</t>
    </r>
    <r>
      <rPr>
        <b/>
        <sz val="10"/>
        <rFont val="宋体"/>
        <family val="3"/>
        <charset val="134"/>
      </rPr>
      <t>日余额</t>
    </r>
    <phoneticPr fontId="5" type="noConversion"/>
  </si>
  <si>
    <t>芦乔玲借款</t>
  </si>
  <si>
    <t>合计</t>
    <phoneticPr fontId="5" type="noConversion"/>
  </si>
  <si>
    <r>
      <t>1-2</t>
    </r>
    <r>
      <rPr>
        <sz val="10"/>
        <rFont val="宋体"/>
        <family val="3"/>
        <charset val="134"/>
      </rPr>
      <t>年</t>
    </r>
    <phoneticPr fontId="5" type="noConversion"/>
  </si>
  <si>
    <r>
      <t>1</t>
    </r>
    <r>
      <rPr>
        <sz val="10"/>
        <rFont val="宋体"/>
        <family val="3"/>
        <charset val="134"/>
      </rPr>
      <t>年以内</t>
    </r>
    <phoneticPr fontId="5" type="noConversion"/>
  </si>
  <si>
    <r>
      <t>2-3</t>
    </r>
    <r>
      <rPr>
        <sz val="10"/>
        <rFont val="宋体"/>
        <family val="3"/>
        <charset val="134"/>
      </rPr>
      <t>年</t>
    </r>
    <phoneticPr fontId="5" type="noConversion"/>
  </si>
  <si>
    <t>北京金隅集团股份有限公司</t>
    <phoneticPr fontId="5" type="noConversion"/>
  </si>
  <si>
    <t>房屋租赁押金</t>
    <phoneticPr fontId="5" type="noConversion"/>
  </si>
  <si>
    <t>往来款</t>
    <phoneticPr fontId="5" type="noConversion"/>
  </si>
  <si>
    <r>
      <t>1-2</t>
    </r>
    <r>
      <rPr>
        <sz val="10"/>
        <rFont val="宋体"/>
        <family val="3"/>
        <charset val="134"/>
      </rPr>
      <t>年</t>
    </r>
    <phoneticPr fontId="5" type="noConversion"/>
  </si>
  <si>
    <t>备用金</t>
    <phoneticPr fontId="5" type="noConversion"/>
  </si>
  <si>
    <r>
      <t>1</t>
    </r>
    <r>
      <rPr>
        <sz val="10"/>
        <rFont val="宋体"/>
        <family val="3"/>
        <charset val="134"/>
      </rPr>
      <t>年以内</t>
    </r>
    <phoneticPr fontId="5" type="noConversion"/>
  </si>
  <si>
    <t>房租押金</t>
  </si>
  <si>
    <t>1-2年</t>
  </si>
  <si>
    <t>个税手续费返还</t>
    <phoneticPr fontId="5" type="noConversion"/>
  </si>
  <si>
    <r>
      <rPr>
        <sz val="10"/>
        <rFont val="楷体_GB2312"/>
        <family val="3"/>
        <charset val="134"/>
      </rPr>
      <t>（一）以后不能重分类进损益的其他综合收益</t>
    </r>
    <phoneticPr fontId="5" type="noConversion"/>
  </si>
  <si>
    <t>固定资产盘亏</t>
    <phoneticPr fontId="5" type="noConversion"/>
  </si>
  <si>
    <t>电子设备—平板电脑</t>
    <phoneticPr fontId="5" type="noConversion"/>
  </si>
  <si>
    <t>电子设备—电脑</t>
    <phoneticPr fontId="5" type="noConversion"/>
  </si>
  <si>
    <t>电子设备—平板电脑</t>
    <phoneticPr fontId="5" type="noConversion"/>
  </si>
  <si>
    <t>固定资产盘亏，调整当年计提折旧</t>
    <phoneticPr fontId="5" type="noConversion"/>
  </si>
  <si>
    <t>盘亏</t>
    <phoneticPr fontId="5" type="noConversion"/>
  </si>
  <si>
    <r>
      <rPr>
        <sz val="10"/>
        <rFont val="宋体"/>
        <family val="3"/>
        <charset val="134"/>
      </rPr>
      <t>补提</t>
    </r>
    <r>
      <rPr>
        <sz val="10"/>
        <rFont val="Arial Narrow"/>
        <family val="2"/>
      </rPr>
      <t>2018</t>
    </r>
    <r>
      <rPr>
        <sz val="10"/>
        <rFont val="宋体"/>
        <family val="3"/>
        <charset val="134"/>
      </rPr>
      <t>年基金管理费收入</t>
    </r>
    <phoneticPr fontId="5" type="noConversion"/>
  </si>
  <si>
    <t>新动力</t>
  </si>
  <si>
    <t>新动力</t>
    <phoneticPr fontId="5" type="noConversion"/>
  </si>
  <si>
    <t>新基石</t>
  </si>
  <si>
    <t>新基石</t>
    <phoneticPr fontId="5" type="noConversion"/>
  </si>
  <si>
    <t>新维度</t>
  </si>
  <si>
    <t>新维度</t>
    <phoneticPr fontId="5" type="noConversion"/>
  </si>
  <si>
    <t>主营业务收入</t>
  </si>
  <si>
    <t>增值税销项</t>
  </si>
  <si>
    <t>增值税销项</t>
    <phoneticPr fontId="5" type="noConversion"/>
  </si>
  <si>
    <t>需确定补提明细</t>
    <phoneticPr fontId="5" type="noConversion"/>
  </si>
  <si>
    <r>
      <rPr>
        <sz val="10"/>
        <rFont val="宋体"/>
        <family val="3"/>
        <charset val="134"/>
      </rPr>
      <t>补提</t>
    </r>
    <r>
      <rPr>
        <sz val="10"/>
        <rFont val="Arial Narrow"/>
        <family val="2"/>
      </rPr>
      <t>2018</t>
    </r>
    <r>
      <rPr>
        <sz val="10"/>
        <rFont val="宋体"/>
        <family val="3"/>
        <charset val="134"/>
      </rPr>
      <t>年城市维护建设及教育费附加</t>
    </r>
    <phoneticPr fontId="5" type="noConversion"/>
  </si>
  <si>
    <t>补提2019年基金管理费收入</t>
    <phoneticPr fontId="5" type="noConversion"/>
  </si>
  <si>
    <r>
      <rPr>
        <sz val="10"/>
        <rFont val="宋体"/>
        <family val="3"/>
        <charset val="134"/>
      </rPr>
      <t>补提</t>
    </r>
    <r>
      <rPr>
        <sz val="10"/>
        <rFont val="Arial Narrow"/>
        <family val="2"/>
      </rPr>
      <t>2019</t>
    </r>
    <r>
      <rPr>
        <sz val="10"/>
        <rFont val="宋体"/>
        <family val="3"/>
        <charset val="134"/>
      </rPr>
      <t>年城市维护建设及教育费附加</t>
    </r>
    <phoneticPr fontId="5" type="noConversion"/>
  </si>
  <si>
    <t>应收账款</t>
    <phoneticPr fontId="5" type="noConversion"/>
  </si>
  <si>
    <t>坏账</t>
    <phoneticPr fontId="5" type="noConversion"/>
  </si>
  <si>
    <t>转回坏账</t>
    <phoneticPr fontId="5" type="noConversion"/>
  </si>
  <si>
    <t>管理费用→水电费</t>
  </si>
  <si>
    <t>管理费用→通讯费</t>
  </si>
  <si>
    <t>管理费用→服务费</t>
  </si>
  <si>
    <t>管理费用→审计费</t>
  </si>
  <si>
    <t>调整费用明细</t>
    <phoneticPr fontId="5" type="noConversion"/>
  </si>
  <si>
    <t>其他</t>
    <phoneticPr fontId="5" type="noConversion"/>
  </si>
  <si>
    <t>税金及附加</t>
    <phoneticPr fontId="5" type="noConversion"/>
  </si>
  <si>
    <t>企业所得税25%</t>
    <phoneticPr fontId="5" type="noConversion"/>
  </si>
  <si>
    <t>往来款等</t>
    <phoneticPr fontId="5" type="noConversion"/>
  </si>
  <si>
    <t>期间费用</t>
    <phoneticPr fontId="5" type="noConversion"/>
  </si>
  <si>
    <t>手续费支出</t>
    <phoneticPr fontId="5" type="noConversion"/>
  </si>
  <si>
    <t>存款利息收入</t>
    <phoneticPr fontId="5" type="noConversion"/>
  </si>
  <si>
    <t>流动负债</t>
    <phoneticPr fontId="5" type="noConversion"/>
  </si>
  <si>
    <t>应交税费—应交税金</t>
    <phoneticPr fontId="5" type="noConversion"/>
  </si>
  <si>
    <t>流动资产</t>
    <phoneticPr fontId="5" type="noConversion"/>
  </si>
  <si>
    <t>其他流动资产</t>
    <phoneticPr fontId="5" type="noConversion"/>
  </si>
  <si>
    <t>利润表项目</t>
    <phoneticPr fontId="5" type="noConversion"/>
  </si>
  <si>
    <t>管理费用—其他</t>
    <phoneticPr fontId="5" type="noConversion"/>
  </si>
  <si>
    <t>应付职工薪酬—应付工资</t>
    <phoneticPr fontId="5" type="noConversion"/>
  </si>
  <si>
    <t>所有者权益</t>
    <phoneticPr fontId="5" type="noConversion"/>
  </si>
  <si>
    <t>未分配利润—其他</t>
    <phoneticPr fontId="5" type="noConversion"/>
  </si>
  <si>
    <t>其他应付款</t>
    <phoneticPr fontId="5" type="noConversion"/>
  </si>
  <si>
    <t>资产减值损失</t>
    <phoneticPr fontId="5" type="noConversion"/>
  </si>
  <si>
    <t>非流动资产</t>
    <phoneticPr fontId="5" type="noConversion"/>
  </si>
  <si>
    <t>营业外支出—其他</t>
    <phoneticPr fontId="5" type="noConversion"/>
  </si>
  <si>
    <t>累计折旧</t>
    <phoneticPr fontId="5" type="noConversion"/>
  </si>
  <si>
    <t>固定资产原价</t>
    <phoneticPr fontId="5" type="noConversion"/>
  </si>
  <si>
    <t>主营业务收入</t>
    <phoneticPr fontId="5" type="noConversion"/>
  </si>
  <si>
    <t>应交税费—其他</t>
    <phoneticPr fontId="5" type="noConversion"/>
  </si>
  <si>
    <t>基金名称</t>
    <phoneticPr fontId="163" type="noConversion"/>
  </si>
  <si>
    <t>日期</t>
    <phoneticPr fontId="163" type="noConversion"/>
  </si>
  <si>
    <t>华鼎资本应确认管理费</t>
    <phoneticPr fontId="163" type="noConversion"/>
  </si>
  <si>
    <t>实际收到管理费</t>
    <phoneticPr fontId="163" type="noConversion"/>
  </si>
  <si>
    <t>补提</t>
    <phoneticPr fontId="163" type="noConversion"/>
  </si>
  <si>
    <t>2014年</t>
  </si>
  <si>
    <t>2015年</t>
    <phoneticPr fontId="163" type="noConversion"/>
  </si>
  <si>
    <t>2016年</t>
  </si>
  <si>
    <t>2017年</t>
  </si>
  <si>
    <t>2018年</t>
  </si>
  <si>
    <t>2019年</t>
  </si>
  <si>
    <t>新动力</t>
    <phoneticPr fontId="5" type="noConversion"/>
  </si>
  <si>
    <t>新基石</t>
    <phoneticPr fontId="5" type="noConversion"/>
  </si>
  <si>
    <t>新维度</t>
    <phoneticPr fontId="5" type="noConversion"/>
  </si>
  <si>
    <t>城建税</t>
    <phoneticPr fontId="5" type="noConversion"/>
  </si>
  <si>
    <t>教育费附加</t>
    <phoneticPr fontId="5" type="noConversion"/>
  </si>
  <si>
    <r>
      <rPr>
        <sz val="10"/>
        <rFont val="宋体"/>
        <family val="3"/>
        <charset val="134"/>
      </rPr>
      <t>电子设备</t>
    </r>
    <r>
      <rPr>
        <sz val="10"/>
        <rFont val="Arial Narrow"/>
        <family val="2"/>
      </rPr>
      <t>—</t>
    </r>
    <r>
      <rPr>
        <sz val="10"/>
        <rFont val="宋体"/>
        <family val="3"/>
        <charset val="134"/>
      </rPr>
      <t>平板电脑</t>
    </r>
    <phoneticPr fontId="5" type="noConversion"/>
  </si>
  <si>
    <t>个税手续费返还</t>
    <phoneticPr fontId="5" type="noConversion"/>
  </si>
  <si>
    <r>
      <rPr>
        <sz val="10"/>
        <rFont val="宋体"/>
        <family val="3"/>
        <charset val="134"/>
      </rPr>
      <t>计提</t>
    </r>
    <r>
      <rPr>
        <sz val="10"/>
        <rFont val="Arial Narrow"/>
        <family val="2"/>
      </rPr>
      <t>2019</t>
    </r>
    <r>
      <rPr>
        <sz val="10"/>
        <rFont val="宋体"/>
        <family val="3"/>
        <charset val="134"/>
      </rPr>
      <t>年应收账款的坏账准备</t>
    </r>
    <phoneticPr fontId="5" type="noConversion"/>
  </si>
  <si>
    <t>坏账准备</t>
    <phoneticPr fontId="5" type="noConversion"/>
  </si>
  <si>
    <t>补提印花税</t>
    <phoneticPr fontId="5" type="noConversion"/>
  </si>
  <si>
    <t>应交税费—应交税金</t>
  </si>
  <si>
    <t>印花税</t>
    <phoneticPr fontId="5" type="noConversion"/>
  </si>
  <si>
    <t>计提递延所得税资产</t>
    <phoneticPr fontId="5" type="noConversion"/>
  </si>
  <si>
    <t>递延所得税资产</t>
  </si>
  <si>
    <t>坏账准备对应递延所得税资产</t>
    <phoneticPr fontId="5" type="noConversion"/>
  </si>
  <si>
    <t>调整及补提企业所得税</t>
    <phoneticPr fontId="5" type="noConversion"/>
  </si>
  <si>
    <r>
      <t>1</t>
    </r>
    <r>
      <rPr>
        <sz val="10"/>
        <rFont val="宋体"/>
        <family val="3"/>
        <charset val="134"/>
      </rPr>
      <t>年以内</t>
    </r>
    <phoneticPr fontId="5" type="noConversion"/>
  </si>
  <si>
    <r>
      <t>1-2</t>
    </r>
    <r>
      <rPr>
        <sz val="10"/>
        <rFont val="宋体"/>
        <family val="3"/>
        <charset val="134"/>
      </rPr>
      <t>年</t>
    </r>
    <phoneticPr fontId="5" type="noConversion"/>
  </si>
  <si>
    <r>
      <t>2-3</t>
    </r>
    <r>
      <rPr>
        <sz val="10"/>
        <rFont val="宋体"/>
        <family val="3"/>
        <charset val="134"/>
      </rPr>
      <t>年</t>
    </r>
    <phoneticPr fontId="5" type="noConversion"/>
  </si>
  <si>
    <t>本期转回期初多计提坏账准备</t>
    <phoneticPr fontId="5" type="noConversion"/>
  </si>
  <si>
    <t>转回递延所得税资产</t>
    <phoneticPr fontId="5" type="noConversion"/>
  </si>
  <si>
    <t>非流动资产</t>
    <phoneticPr fontId="5" type="noConversion"/>
  </si>
  <si>
    <t>递延所得税资产</t>
    <phoneticPr fontId="5" type="noConversion"/>
  </si>
  <si>
    <t>利润表项目</t>
    <phoneticPr fontId="5" type="noConversion"/>
  </si>
  <si>
    <t>所得税费用</t>
    <phoneticPr fontId="5" type="noConversion"/>
  </si>
  <si>
    <t xml:space="preserve"> </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</si>
</sst>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8">
    <numFmt numFmtId="41" formatCode="_ * #,##0_ ;_ * \-#,##0_ ;_ * &quot;-&quot;_ ;_ @_ "/>
    <numFmt numFmtId="43" formatCode="_ * #,##0.00_ ;_ * \-#,##0.00_ ;_ * &quot;-&quot;??_ ;_ @_ "/>
    <numFmt numFmtId="176" formatCode="_(* #,##0_);_(* \(#,##0\);_(* &quot;-&quot;_);_(@_)"/>
    <numFmt numFmtId="177" formatCode="_(* #,##0.00_);_(* \(#,##0.00\);_(* &quot;-&quot;??_);_(@_)"/>
    <numFmt numFmtId="178" formatCode="#,##0.00_ "/>
    <numFmt numFmtId="179" formatCode="0.00_ "/>
    <numFmt numFmtId="180" formatCode="_-* #,##0.00_-;\-* #,##0.00_-;_-* &quot;-&quot;??_-;_-@_-"/>
    <numFmt numFmtId="181" formatCode="#,##0;\-#,##0;&quot;-&quot;"/>
    <numFmt numFmtId="182" formatCode="0.00000"/>
    <numFmt numFmtId="183" formatCode="&quot;\&quot;#,##0;[Red]&quot;\&quot;&quot;\&quot;&quot;\&quot;\-#,##0"/>
    <numFmt numFmtId="184" formatCode="&quot;\&quot;#,##0.00;[Red]&quot;\&quot;&quot;\&quot;&quot;\&quot;\-#,##0.00"/>
    <numFmt numFmtId="185" formatCode="0.000"/>
    <numFmt numFmtId="186" formatCode="0.0000"/>
    <numFmt numFmtId="187" formatCode="&quot;\&quot;#,##0.00_);\(&quot;\&quot;#,##0.00\)"/>
    <numFmt numFmtId="188" formatCode="&quot;\&quot;#,##0;[Red]&quot;\&quot;&quot;\&quot;\-#,##0"/>
    <numFmt numFmtId="189" formatCode="#,##0\ ;\-#,##0"/>
    <numFmt numFmtId="190" formatCode="&quot;\&quot;#,##0.00;[Red]&quot;\&quot;\-#,##0.00"/>
    <numFmt numFmtId="191" formatCode="&quot;\&quot;#,##0;[Red]&quot;\&quot;\-#,##0"/>
    <numFmt numFmtId="192" formatCode="[$-F800]dddd\,\ mmmm\ dd\,\ yyyy"/>
    <numFmt numFmtId="193" formatCode=";;;"/>
    <numFmt numFmtId="194" formatCode="#,##0.0_ "/>
    <numFmt numFmtId="195" formatCode="yyyy&quot;年&quot;m&quot;月&quot;d&quot;日&quot;;@"/>
    <numFmt numFmtId="196" formatCode="yyyy\-m\-d"/>
    <numFmt numFmtId="197" formatCode="0_);[Red]\(0\)"/>
    <numFmt numFmtId="198" formatCode="_ * #,##0.000_ ;_ * \-#,##0.000_ ;_ * &quot;-&quot;??_ ;_ @_ "/>
    <numFmt numFmtId="199" formatCode="#,##0.000_ "/>
    <numFmt numFmtId="200" formatCode="0%;\(0%\)"/>
    <numFmt numFmtId="201" formatCode="0.0%"/>
    <numFmt numFmtId="202" formatCode="&quot;$&quot;#,##0_);\(&quot;$&quot;#,##0\)"/>
    <numFmt numFmtId="203" formatCode="#,##0.0_);\(#,##0.0\)"/>
    <numFmt numFmtId="204" formatCode="&quot;$&quot;#,##0.00_);\(&quot;$&quot;#,##0.00\)"/>
    <numFmt numFmtId="205" formatCode="_-&quot;$&quot;\ * #,##0_-;_-&quot;$&quot;\ * #,##0\-;_-&quot;$&quot;\ * &quot;-&quot;_-;_-@_-"/>
    <numFmt numFmtId="206" formatCode="&quot;$&quot;#,##0_);[Red]\(&quot;$&quot;#,##0\)"/>
    <numFmt numFmtId="207" formatCode="&quot;$&quot;#,##0.00_);[Red]\(&quot;$&quot;#,##0.00\)"/>
    <numFmt numFmtId="208" formatCode="&quot;$&quot;\ #,##0.00_-;[Red]&quot;$&quot;\ #,##0.00\-"/>
    <numFmt numFmtId="209" formatCode="yy\.mm\.dd"/>
    <numFmt numFmtId="210" formatCode="_ * #,##0.0000_ ;_ * \-#,##0.0000_ ;_ * &quot;-&quot;??_ ;_ @_ "/>
    <numFmt numFmtId="211" formatCode="0.00_);[Red]\(0.00\)"/>
  </numFmts>
  <fonts count="169">
    <font>
      <sz val="12"/>
      <name val="宋体"/>
      <charset val="134"/>
    </font>
    <font>
      <sz val="11"/>
      <color theme="1"/>
      <name val="宋体"/>
      <family val="2"/>
      <charset val="134"/>
      <scheme val="minor"/>
    </font>
    <font>
      <sz val="11"/>
      <color theme="1"/>
      <name val="宋体"/>
      <family val="2"/>
      <charset val="134"/>
      <scheme val="minor"/>
    </font>
    <font>
      <sz val="12"/>
      <name val="宋体"/>
      <family val="3"/>
      <charset val="134"/>
    </font>
    <font>
      <sz val="12"/>
      <name val="宋体"/>
      <family val="3"/>
      <charset val="134"/>
    </font>
    <font>
      <sz val="9"/>
      <name val="宋体"/>
      <family val="3"/>
      <charset val="134"/>
    </font>
    <font>
      <u/>
      <sz val="12"/>
      <color indexed="12"/>
      <name val="宋体"/>
      <family val="3"/>
      <charset val="134"/>
    </font>
    <font>
      <sz val="12"/>
      <name val="Times New Roman"/>
      <family val="1"/>
    </font>
    <font>
      <sz val="12"/>
      <name val="楷体"/>
      <family val="3"/>
      <charset val="134"/>
    </font>
    <font>
      <sz val="11"/>
      <color indexed="8"/>
      <name val="宋体"/>
      <family val="3"/>
      <charset val="134"/>
    </font>
    <font>
      <sz val="11"/>
      <color indexed="9"/>
      <name val="宋体"/>
      <family val="3"/>
      <charset val="134"/>
    </font>
    <font>
      <sz val="10"/>
      <color indexed="8"/>
      <name val="Arial"/>
      <family val="2"/>
    </font>
    <font>
      <sz val="10"/>
      <name val="Arial"/>
      <family val="2"/>
    </font>
    <font>
      <sz val="8"/>
      <name val="Arial"/>
      <family val="2"/>
    </font>
    <font>
      <b/>
      <sz val="12"/>
      <name val="Arial"/>
      <family val="2"/>
    </font>
    <font>
      <sz val="10"/>
      <name val="Times New Roman"/>
      <family val="1"/>
    </font>
    <font>
      <sz val="14"/>
      <name val="柧挬"/>
      <family val="2"/>
    </font>
    <font>
      <b/>
      <sz val="18"/>
      <color indexed="56"/>
      <name val="宋体"/>
      <family val="3"/>
      <charset val="134"/>
    </font>
    <font>
      <b/>
      <sz val="15"/>
      <color indexed="56"/>
      <name val="宋体"/>
      <family val="3"/>
      <charset val="134"/>
    </font>
    <font>
      <b/>
      <sz val="13"/>
      <color indexed="56"/>
      <name val="宋体"/>
      <family val="3"/>
      <charset val="134"/>
    </font>
    <font>
      <b/>
      <sz val="11"/>
      <color indexed="56"/>
      <name val="宋体"/>
      <family val="3"/>
      <charset val="134"/>
    </font>
    <font>
      <sz val="11"/>
      <color indexed="20"/>
      <name val="宋体"/>
      <family val="3"/>
      <charset val="134"/>
    </font>
    <font>
      <sz val="12"/>
      <name val="仿宋_GB2312"/>
      <family val="3"/>
      <charset val="134"/>
    </font>
    <font>
      <sz val="11"/>
      <color indexed="17"/>
      <name val="宋体"/>
      <family val="3"/>
      <charset val="134"/>
    </font>
    <font>
      <b/>
      <sz val="11"/>
      <color indexed="8"/>
      <name val="宋体"/>
      <family val="3"/>
      <charset val="134"/>
    </font>
    <font>
      <b/>
      <sz val="11"/>
      <color indexed="52"/>
      <name val="宋体"/>
      <family val="3"/>
      <charset val="134"/>
    </font>
    <font>
      <b/>
      <sz val="11"/>
      <color indexed="9"/>
      <name val="宋体"/>
      <family val="3"/>
      <charset val="134"/>
    </font>
    <font>
      <i/>
      <sz val="11"/>
      <color indexed="23"/>
      <name val="宋体"/>
      <family val="3"/>
      <charset val="134"/>
    </font>
    <font>
      <sz val="11"/>
      <color indexed="10"/>
      <name val="宋体"/>
      <family val="3"/>
      <charset val="134"/>
    </font>
    <font>
      <sz val="11"/>
      <color indexed="52"/>
      <name val="宋体"/>
      <family val="3"/>
      <charset val="134"/>
    </font>
    <font>
      <sz val="11"/>
      <name val="ＭＳ Ｐゴシック"/>
      <family val="3"/>
      <charset val="134"/>
    </font>
    <font>
      <sz val="12"/>
      <name val="바탕체"/>
      <family val="3"/>
    </font>
    <font>
      <sz val="12"/>
      <name val="官帕眉"/>
      <family val="2"/>
    </font>
    <font>
      <sz val="10"/>
      <name val="奔覆眉"/>
      <family val="2"/>
    </font>
    <font>
      <sz val="11"/>
      <color indexed="60"/>
      <name val="宋体"/>
      <family val="3"/>
      <charset val="134"/>
    </font>
    <font>
      <b/>
      <sz val="11"/>
      <color indexed="63"/>
      <name val="宋体"/>
      <family val="3"/>
      <charset val="134"/>
    </font>
    <font>
      <sz val="11"/>
      <color indexed="62"/>
      <name val="宋体"/>
      <family val="3"/>
      <charset val="134"/>
    </font>
    <font>
      <sz val="10"/>
      <name val="Helv"/>
      <family val="2"/>
    </font>
    <font>
      <sz val="12"/>
      <name val="柧挬"/>
      <family val="2"/>
    </font>
    <font>
      <sz val="10"/>
      <name val="Arial Narrow"/>
      <family val="2"/>
    </font>
    <font>
      <sz val="9"/>
      <name val="仿宋_GB2312"/>
      <family val="3"/>
      <charset val="134"/>
    </font>
    <font>
      <b/>
      <sz val="12"/>
      <name val="宋体"/>
      <family val="3"/>
      <charset val="134"/>
    </font>
    <font>
      <b/>
      <sz val="9"/>
      <name val="宋体"/>
      <family val="3"/>
      <charset val="134"/>
    </font>
    <font>
      <sz val="9"/>
      <color indexed="12"/>
      <name val="宋体"/>
      <family val="3"/>
      <charset val="134"/>
    </font>
    <font>
      <sz val="8"/>
      <name val="宋体"/>
      <family val="3"/>
      <charset val="134"/>
    </font>
    <font>
      <sz val="12"/>
      <name val="楷体_GB2312"/>
      <family val="3"/>
      <charset val="134"/>
    </font>
    <font>
      <b/>
      <sz val="18"/>
      <name val="楷体_GB2312"/>
      <family val="3"/>
      <charset val="134"/>
    </font>
    <font>
      <sz val="10"/>
      <name val="楷体_GB2312"/>
      <family val="3"/>
      <charset val="134"/>
    </font>
    <font>
      <b/>
      <sz val="12"/>
      <name val="楷体_GB2312"/>
      <family val="3"/>
      <charset val="134"/>
    </font>
    <font>
      <b/>
      <sz val="10"/>
      <name val="楷体_GB2312"/>
      <family val="3"/>
      <charset val="134"/>
    </font>
    <font>
      <sz val="9"/>
      <name val="Arial"/>
      <family val="2"/>
    </font>
    <font>
      <b/>
      <sz val="9"/>
      <name val="Arial"/>
      <family val="2"/>
    </font>
    <font>
      <sz val="12"/>
      <name val="Arial"/>
      <family val="2"/>
    </font>
    <font>
      <b/>
      <sz val="8"/>
      <name val="Arial"/>
      <family val="2"/>
    </font>
    <font>
      <sz val="12"/>
      <name val="隶书"/>
      <family val="3"/>
      <charset val="134"/>
    </font>
    <font>
      <b/>
      <sz val="12"/>
      <name val="Arial Narrow"/>
      <family val="2"/>
    </font>
    <font>
      <b/>
      <sz val="10"/>
      <name val="Arial Narrow"/>
      <family val="2"/>
    </font>
    <font>
      <sz val="10"/>
      <name val="宋体"/>
      <family val="3"/>
      <charset val="134"/>
    </font>
    <font>
      <sz val="10"/>
      <color indexed="12"/>
      <name val="宋体"/>
      <family val="3"/>
      <charset val="134"/>
    </font>
    <font>
      <sz val="10"/>
      <color indexed="10"/>
      <name val="宋体"/>
      <family val="3"/>
      <charset val="134"/>
    </font>
    <font>
      <b/>
      <sz val="10"/>
      <color indexed="10"/>
      <name val="宋体"/>
      <family val="3"/>
      <charset val="134"/>
    </font>
    <font>
      <sz val="10"/>
      <color indexed="8"/>
      <name val="宋体"/>
      <family val="3"/>
      <charset val="134"/>
    </font>
    <font>
      <b/>
      <sz val="10"/>
      <name val="宋体"/>
      <family val="3"/>
      <charset val="134"/>
    </font>
    <font>
      <sz val="9"/>
      <name val="Arial Narrow"/>
      <family val="2"/>
    </font>
    <font>
      <b/>
      <sz val="9"/>
      <color indexed="81"/>
      <name val="宋体"/>
      <family val="3"/>
      <charset val="134"/>
    </font>
    <font>
      <b/>
      <sz val="10"/>
      <name val="黑体"/>
      <family val="3"/>
      <charset val="134"/>
    </font>
    <font>
      <u/>
      <sz val="10"/>
      <color indexed="12"/>
      <name val="宋体"/>
      <family val="3"/>
      <charset val="134"/>
    </font>
    <font>
      <b/>
      <sz val="9"/>
      <name val="Arial Narrow"/>
      <family val="2"/>
    </font>
    <font>
      <b/>
      <sz val="10"/>
      <name val="Arial"/>
      <family val="2"/>
    </font>
    <font>
      <sz val="12"/>
      <name val="Arial Narrow"/>
      <family val="2"/>
    </font>
    <font>
      <sz val="9"/>
      <name val="楷体_GB2312"/>
      <family val="3"/>
      <charset val="134"/>
    </font>
    <font>
      <u/>
      <sz val="9"/>
      <color indexed="12"/>
      <name val="Arial Narrow"/>
      <family val="2"/>
    </font>
    <font>
      <sz val="8"/>
      <name val="Arial Narrow"/>
      <family val="2"/>
    </font>
    <font>
      <sz val="10"/>
      <color indexed="8"/>
      <name val="Arial Narrow"/>
      <family val="2"/>
    </font>
    <font>
      <sz val="9"/>
      <name val="宋体"/>
      <family val="3"/>
      <charset val="134"/>
    </font>
    <font>
      <sz val="10"/>
      <name val="宋体"/>
      <family val="3"/>
      <charset val="134"/>
      <scheme val="minor"/>
    </font>
    <font>
      <b/>
      <sz val="14"/>
      <name val="Arial"/>
      <family val="2"/>
    </font>
    <font>
      <sz val="10"/>
      <color indexed="12"/>
      <name val="Arial Narrow"/>
      <family val="2"/>
    </font>
    <font>
      <u/>
      <sz val="10"/>
      <name val="宋体"/>
      <family val="3"/>
      <charset val="134"/>
    </font>
    <font>
      <b/>
      <sz val="9"/>
      <color indexed="81"/>
      <name val="Tahoma"/>
      <family val="2"/>
    </font>
    <font>
      <sz val="9"/>
      <color indexed="81"/>
      <name val="Tahoma"/>
      <family val="2"/>
    </font>
    <font>
      <sz val="9"/>
      <color indexed="81"/>
      <name val="宋体"/>
      <family val="3"/>
      <charset val="134"/>
    </font>
    <font>
      <sz val="9"/>
      <name val="宋体"/>
      <family val="2"/>
      <charset val="134"/>
      <scheme val="minor"/>
    </font>
    <font>
      <u/>
      <sz val="10"/>
      <color indexed="12"/>
      <name val="Arial Narrow"/>
      <family val="2"/>
    </font>
    <font>
      <sz val="10"/>
      <color indexed="12"/>
      <name val="楷体"/>
      <family val="3"/>
      <charset val="134"/>
    </font>
    <font>
      <sz val="10"/>
      <color indexed="10"/>
      <name val="Arial Narrow"/>
      <family val="2"/>
    </font>
    <font>
      <sz val="10"/>
      <name val="Geneva"/>
      <family val="2"/>
    </font>
    <font>
      <sz val="13"/>
      <name val="Tms Rmn"/>
      <family val="1"/>
    </font>
    <font>
      <sz val="8"/>
      <name val="Times New Roman"/>
      <family val="1"/>
    </font>
    <font>
      <sz val="7"/>
      <name val="Helv"/>
      <family val="2"/>
    </font>
    <font>
      <b/>
      <sz val="10"/>
      <name val="MS Sans Serif"/>
      <family val="2"/>
    </font>
    <font>
      <b/>
      <sz val="13"/>
      <name val="Tms Rmn"/>
      <family val="1"/>
    </font>
    <font>
      <u/>
      <sz val="7.5"/>
      <color indexed="36"/>
      <name val="Arial"/>
      <family val="2"/>
    </font>
    <font>
      <b/>
      <sz val="18"/>
      <name val="Arial"/>
      <family val="2"/>
    </font>
    <font>
      <u/>
      <sz val="7.5"/>
      <color indexed="12"/>
      <name val="Arial"/>
      <family val="2"/>
    </font>
    <font>
      <sz val="12"/>
      <name val="Helv"/>
      <family val="2"/>
    </font>
    <font>
      <sz val="12"/>
      <color indexed="9"/>
      <name val="Helv"/>
      <family val="2"/>
    </font>
    <font>
      <sz val="10"/>
      <name val="MS Sans Serif"/>
      <family val="2"/>
    </font>
    <font>
      <sz val="7"/>
      <name val="Small Fonts"/>
      <family val="2"/>
    </font>
    <font>
      <sz val="10"/>
      <name val="Courier"/>
      <family val="3"/>
    </font>
    <font>
      <sz val="7"/>
      <color indexed="10"/>
      <name val="Helv"/>
      <family val="2"/>
    </font>
    <font>
      <b/>
      <sz val="10"/>
      <name val="Tms Rmn"/>
      <family val="1"/>
    </font>
    <font>
      <sz val="10"/>
      <color indexed="8"/>
      <name val="MS Sans Serif"/>
      <family val="2"/>
    </font>
    <font>
      <b/>
      <sz val="12"/>
      <name val="MS Sans Serif"/>
      <family val="2"/>
    </font>
    <font>
      <sz val="12"/>
      <name val="MS Sans Serif"/>
      <family val="2"/>
    </font>
    <font>
      <b/>
      <sz val="14"/>
      <name val="楷体"/>
      <family val="3"/>
      <charset val="134"/>
    </font>
    <font>
      <sz val="10"/>
      <name val="楷体"/>
      <family val="3"/>
      <charset val="134"/>
    </font>
    <font>
      <sz val="10"/>
      <color indexed="20"/>
      <name val="宋体"/>
      <family val="3"/>
      <charset val="134"/>
    </font>
    <font>
      <sz val="10"/>
      <color indexed="17"/>
      <name val="宋体"/>
      <family val="3"/>
      <charset val="134"/>
    </font>
    <font>
      <b/>
      <u/>
      <sz val="12"/>
      <name val="宋体"/>
      <family val="3"/>
      <charset val="134"/>
    </font>
    <font>
      <b/>
      <u/>
      <sz val="14"/>
      <name val="宋体"/>
      <family val="3"/>
      <charset val="134"/>
    </font>
    <font>
      <u/>
      <sz val="10"/>
      <color theme="2"/>
      <name val="宋体"/>
      <family val="3"/>
      <charset val="134"/>
    </font>
    <font>
      <b/>
      <u/>
      <sz val="10"/>
      <name val="宋体"/>
      <family val="3"/>
      <charset val="134"/>
    </font>
    <font>
      <u/>
      <sz val="9"/>
      <name val="宋体"/>
      <family val="3"/>
      <charset val="134"/>
    </font>
    <font>
      <sz val="10"/>
      <color theme="2"/>
      <name val="宋体"/>
      <family val="3"/>
      <charset val="134"/>
    </font>
    <font>
      <sz val="11"/>
      <name val="Arial Narrow"/>
      <family val="2"/>
    </font>
    <font>
      <sz val="10"/>
      <color indexed="12"/>
      <name val="楷体_GB2312"/>
      <family val="3"/>
      <charset val="134"/>
    </font>
    <font>
      <sz val="10"/>
      <color indexed="17"/>
      <name val="楷体_GB2312"/>
      <family val="3"/>
      <charset val="134"/>
    </font>
    <font>
      <sz val="9"/>
      <color theme="0" tint="-0.14999847407452621"/>
      <name val="楷体_GB2312"/>
      <family val="3"/>
      <charset val="134"/>
    </font>
    <font>
      <sz val="10"/>
      <color rgb="FFFF0000"/>
      <name val="宋体"/>
      <family val="3"/>
      <charset val="134"/>
    </font>
    <font>
      <sz val="10"/>
      <color theme="0"/>
      <name val="宋体"/>
      <family val="3"/>
      <charset val="134"/>
    </font>
    <font>
      <b/>
      <sz val="11"/>
      <name val="楷体"/>
      <family val="3"/>
      <charset val="134"/>
    </font>
    <font>
      <b/>
      <sz val="20"/>
      <name val="Arial Narrow"/>
      <family val="2"/>
    </font>
    <font>
      <sz val="10"/>
      <color indexed="17"/>
      <name val="Arial Narrow"/>
      <family val="2"/>
    </font>
    <font>
      <sz val="9"/>
      <color theme="0" tint="-0.14999847407452621"/>
      <name val="Arial Narrow"/>
      <family val="2"/>
    </font>
    <font>
      <u/>
      <sz val="10"/>
      <color theme="2"/>
      <name val="Arial Narrow"/>
      <family val="2"/>
    </font>
    <font>
      <u/>
      <sz val="10"/>
      <name val="Arial Narrow"/>
      <family val="2"/>
    </font>
    <font>
      <b/>
      <u/>
      <sz val="12"/>
      <name val="Arial Narrow"/>
      <family val="2"/>
    </font>
    <font>
      <b/>
      <u/>
      <sz val="10"/>
      <name val="Arial Narrow"/>
      <family val="2"/>
    </font>
    <font>
      <sz val="10"/>
      <color theme="2"/>
      <name val="楷体_GB2312"/>
      <family val="3"/>
      <charset val="134"/>
    </font>
    <font>
      <sz val="10"/>
      <color theme="2"/>
      <name val="Arial Narrow"/>
      <family val="2"/>
    </font>
    <font>
      <b/>
      <sz val="18"/>
      <name val="Arial Narrow"/>
      <family val="2"/>
    </font>
    <font>
      <sz val="10"/>
      <color theme="0"/>
      <name val="Arial Narrow"/>
      <family val="2"/>
    </font>
    <font>
      <b/>
      <sz val="10"/>
      <name val="楷体"/>
      <family val="3"/>
      <charset val="134"/>
    </font>
    <font>
      <u/>
      <sz val="10"/>
      <name val="Arial"/>
      <family val="2"/>
    </font>
    <font>
      <b/>
      <sz val="11"/>
      <name val="Arial Narrow"/>
      <family val="2"/>
    </font>
    <font>
      <b/>
      <u/>
      <sz val="10"/>
      <color theme="0"/>
      <name val="宋体"/>
      <family val="3"/>
      <charset val="134"/>
    </font>
    <font>
      <u/>
      <sz val="10"/>
      <name val="宋体"/>
      <family val="3"/>
      <charset val="134"/>
      <scheme val="minor"/>
    </font>
    <font>
      <b/>
      <sz val="10"/>
      <name val="宋体"/>
      <family val="3"/>
      <charset val="134"/>
      <scheme val="minor"/>
    </font>
    <font>
      <b/>
      <sz val="11"/>
      <name val="宋体"/>
      <family val="3"/>
      <charset val="134"/>
    </font>
    <font>
      <u/>
      <sz val="9"/>
      <name val="Arial Narrow"/>
      <family val="2"/>
    </font>
    <font>
      <sz val="10"/>
      <color rgb="FF000000"/>
      <name val="Arial Narrow"/>
      <family val="2"/>
    </font>
    <font>
      <i/>
      <sz val="10"/>
      <color theme="2"/>
      <name val="宋体"/>
      <family val="3"/>
      <charset val="134"/>
    </font>
    <font>
      <b/>
      <sz val="10"/>
      <color theme="2"/>
      <name val="宋体"/>
      <family val="3"/>
      <charset val="134"/>
    </font>
    <font>
      <i/>
      <sz val="10"/>
      <name val="宋体"/>
      <family val="3"/>
      <charset val="134"/>
    </font>
    <font>
      <b/>
      <sz val="10"/>
      <color theme="2"/>
      <name val="Arial Narrow"/>
      <family val="2"/>
    </font>
    <font>
      <i/>
      <sz val="10"/>
      <name val="Arial Narrow"/>
      <family val="2"/>
    </font>
    <font>
      <sz val="9"/>
      <color theme="1"/>
      <name val="宋体"/>
      <family val="3"/>
      <charset val="134"/>
    </font>
    <font>
      <sz val="9"/>
      <color theme="1"/>
      <name val="Arial Narrow"/>
      <family val="2"/>
    </font>
    <font>
      <sz val="10.5"/>
      <name val="宋体"/>
      <family val="3"/>
      <charset val="134"/>
    </font>
    <font>
      <sz val="10.5"/>
      <name val="Arial"/>
      <family val="2"/>
    </font>
    <font>
      <b/>
      <sz val="10.5"/>
      <name val="Arial"/>
      <family val="2"/>
    </font>
    <font>
      <sz val="10"/>
      <name val="Arial Narrow"/>
      <family val="3"/>
      <charset val="134"/>
    </font>
    <font>
      <sz val="9"/>
      <name val="Arial Narrow"/>
      <family val="3"/>
      <charset val="134"/>
    </font>
    <font>
      <b/>
      <sz val="10"/>
      <name val="Arial Narrow"/>
      <family val="3"/>
      <charset val="134"/>
    </font>
    <font>
      <sz val="10"/>
      <name val="宋体"/>
      <family val="3"/>
      <charset val="134"/>
      <scheme val="major"/>
    </font>
    <font>
      <b/>
      <sz val="12"/>
      <name val="Arial Narrow"/>
      <family val="3"/>
      <charset val="134"/>
    </font>
    <font>
      <sz val="10"/>
      <color rgb="FFFF0000"/>
      <name val="Arial Narrow"/>
      <family val="2"/>
    </font>
    <font>
      <sz val="9"/>
      <color rgb="FFFF0000"/>
      <name val="宋体"/>
      <family val="3"/>
      <charset val="134"/>
    </font>
    <font>
      <sz val="9"/>
      <color indexed="8"/>
      <name val="宋体"/>
      <family val="3"/>
      <charset val="134"/>
    </font>
    <font>
      <sz val="9"/>
      <color theme="1"/>
      <name val="Arial"/>
      <family val="2"/>
    </font>
    <font>
      <sz val="9"/>
      <color indexed="8"/>
      <name val="Arial"/>
      <family val="2"/>
    </font>
    <font>
      <u/>
      <sz val="12"/>
      <color theme="11"/>
      <name val="宋体"/>
      <family val="3"/>
      <charset val="134"/>
    </font>
    <font>
      <sz val="9"/>
      <name val="宋体"/>
      <family val="3"/>
      <charset val="134"/>
      <scheme val="minor"/>
    </font>
    <font>
      <b/>
      <sz val="9"/>
      <name val="宋体"/>
      <family val="3"/>
      <charset val="134"/>
      <scheme val="minor"/>
    </font>
    <font>
      <b/>
      <sz val="9"/>
      <name val="楷体_GB2312"/>
      <family val="3"/>
      <charset val="134"/>
    </font>
    <font>
      <sz val="9"/>
      <color theme="1"/>
      <name val="宋体"/>
      <family val="3"/>
      <charset val="134"/>
      <scheme val="minor"/>
    </font>
    <font>
      <b/>
      <sz val="11"/>
      <color theme="1"/>
      <name val="宋体"/>
      <family val="3"/>
      <charset val="134"/>
      <scheme val="minor"/>
    </font>
    <font>
      <sz val="11"/>
      <color theme="1"/>
      <name val="Arial Narrow"/>
      <family val="2"/>
    </font>
  </fonts>
  <fills count="4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bgColor indexed="64"/>
      </patternFill>
    </fill>
    <fill>
      <patternFill patternType="solid">
        <fgColor indexed="26"/>
        <bgColor indexed="64"/>
      </patternFill>
    </fill>
    <fill>
      <patternFill patternType="solid">
        <fgColor indexed="45"/>
        <bgColor indexed="64"/>
      </patternFill>
    </fill>
    <fill>
      <patternFill patternType="solid">
        <fgColor indexed="42"/>
        <bgColor indexed="64"/>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indexed="15"/>
        <bgColor indexed="64"/>
      </patternFill>
    </fill>
    <fill>
      <patternFill patternType="solid">
        <fgColor rgb="FFFFFF00"/>
        <bgColor indexed="64"/>
      </patternFill>
    </fill>
    <fill>
      <patternFill patternType="solid">
        <fgColor theme="0"/>
        <bgColor indexed="64"/>
      </patternFill>
    </fill>
    <fill>
      <patternFill patternType="solid">
        <fgColor indexed="15"/>
      </patternFill>
    </fill>
    <fill>
      <patternFill patternType="solid">
        <fgColor indexed="12"/>
      </patternFill>
    </fill>
    <fill>
      <patternFill patternType="mediumGray">
        <fgColor indexed="22"/>
      </patternFill>
    </fill>
    <fill>
      <patternFill patternType="gray0625"/>
    </fill>
    <fill>
      <patternFill patternType="solid">
        <fgColor indexed="9"/>
        <bgColor indexed="9"/>
      </patternFill>
    </fill>
    <fill>
      <patternFill patternType="solid">
        <fgColor rgb="FF339966"/>
        <bgColor indexed="64"/>
      </patternFill>
    </fill>
    <fill>
      <patternFill patternType="darkGray">
        <fgColor rgb="FFFFFF00"/>
        <bgColor rgb="FFFFFF00"/>
      </patternFill>
    </fill>
    <fill>
      <patternFill patternType="solid">
        <fgColor rgb="FF00B0F0"/>
        <bgColor indexed="64"/>
      </patternFill>
    </fill>
    <fill>
      <patternFill patternType="solid">
        <fgColor rgb="FFCCFFCC"/>
        <bgColor indexed="64"/>
      </patternFill>
    </fill>
    <fill>
      <patternFill patternType="solid">
        <fgColor theme="1" tint="0.499984740745262"/>
        <bgColor indexed="64"/>
      </patternFill>
    </fill>
    <fill>
      <patternFill patternType="solid">
        <fgColor theme="8" tint="0.79998168889431442"/>
        <bgColor indexed="64"/>
      </patternFill>
    </fill>
  </fills>
  <borders count="110">
    <border>
      <left/>
      <right/>
      <top/>
      <bottom/>
      <diagonal/>
    </border>
    <border>
      <left/>
      <right/>
      <top style="medium">
        <color auto="1"/>
      </top>
      <bottom style="medium">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auto="1"/>
      </left>
      <right style="thin">
        <color auto="1"/>
      </right>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style="medium">
        <color auto="1"/>
      </left>
      <right/>
      <top style="medium">
        <color auto="1"/>
      </top>
      <bottom/>
      <diagonal/>
    </border>
    <border>
      <left style="medium">
        <color auto="1"/>
      </left>
      <right/>
      <top/>
      <bottom/>
      <diagonal/>
    </border>
    <border>
      <left style="medium">
        <color auto="1"/>
      </left>
      <right style="medium">
        <color auto="1"/>
      </right>
      <top style="medium">
        <color auto="1"/>
      </top>
      <bottom style="medium">
        <color auto="1"/>
      </bottom>
      <diagonal/>
    </border>
    <border>
      <left style="thin">
        <color auto="1"/>
      </left>
      <right/>
      <top/>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bottom style="medium">
        <color auto="1"/>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top style="thin">
        <color auto="1"/>
      </top>
      <bottom/>
      <diagonal/>
    </border>
    <border>
      <left/>
      <right/>
      <top/>
      <bottom style="thin">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thin">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thin">
        <color auto="1"/>
      </right>
      <top style="hair">
        <color auto="1"/>
      </top>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right/>
      <top/>
      <bottom style="thin">
        <color indexed="17"/>
      </bottom>
      <diagonal/>
    </border>
    <border>
      <left/>
      <right style="thin">
        <color auto="1"/>
      </right>
      <top style="thin">
        <color auto="1"/>
      </top>
      <bottom style="thin">
        <color auto="1"/>
      </bottom>
      <diagonal/>
    </border>
    <border>
      <left/>
      <right style="thin">
        <color auto="1"/>
      </right>
      <top style="medium">
        <color auto="1"/>
      </top>
      <bottom style="thin">
        <color auto="1"/>
      </bottom>
      <diagonal/>
    </border>
    <border>
      <left style="hair">
        <color auto="1"/>
      </left>
      <right style="medium">
        <color auto="1"/>
      </right>
      <top style="medium">
        <color auto="1"/>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hair">
        <color auto="1"/>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hair">
        <color auto="1"/>
      </left>
      <right style="hair">
        <color auto="1"/>
      </right>
      <top style="medium">
        <color auto="1"/>
      </top>
      <bottom style="hair">
        <color auto="1"/>
      </bottom>
      <diagonal/>
    </border>
    <border>
      <left style="thin">
        <color indexed="17"/>
      </left>
      <right/>
      <top/>
      <bottom/>
      <diagonal/>
    </border>
    <border>
      <left style="thin">
        <color indexed="17"/>
      </left>
      <right/>
      <top/>
      <bottom style="thin">
        <color indexed="17"/>
      </bottom>
      <diagonal/>
    </border>
    <border>
      <left/>
      <right style="double">
        <color auto="1"/>
      </right>
      <top style="double">
        <color auto="1"/>
      </top>
      <bottom/>
      <diagonal/>
    </border>
    <border>
      <left/>
      <right style="double">
        <color auto="1"/>
      </right>
      <top/>
      <bottom/>
      <diagonal/>
    </border>
    <border>
      <left/>
      <right/>
      <top/>
      <bottom style="double">
        <color auto="1"/>
      </bottom>
      <diagonal/>
    </border>
    <border>
      <left/>
      <right style="double">
        <color auto="1"/>
      </right>
      <top/>
      <bottom style="double">
        <color auto="1"/>
      </bottom>
      <diagonal/>
    </border>
    <border>
      <left/>
      <right/>
      <top style="double">
        <color auto="1"/>
      </top>
      <bottom/>
      <diagonal/>
    </border>
    <border>
      <left style="thin">
        <color indexed="12"/>
      </left>
      <right style="thin">
        <color indexed="12"/>
      </right>
      <top style="thin">
        <color indexed="12"/>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bottom/>
      <diagonal/>
    </border>
    <border>
      <left style="thin">
        <color indexed="12"/>
      </left>
      <right style="thin">
        <color indexed="12"/>
      </right>
      <top/>
      <bottom style="thin">
        <color indexed="12"/>
      </bottom>
      <diagonal/>
    </border>
    <border>
      <left style="thin">
        <color indexed="17"/>
      </left>
      <right style="thin">
        <color indexed="17"/>
      </right>
      <top style="thin">
        <color indexed="17"/>
      </top>
      <bottom style="thin">
        <color indexed="17"/>
      </bottom>
      <diagonal/>
    </border>
    <border>
      <left style="thin">
        <color auto="1"/>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style="thin">
        <color auto="1"/>
      </left>
      <right style="thin">
        <color auto="1"/>
      </right>
      <top style="medium">
        <color auto="1"/>
      </top>
      <bottom/>
      <diagonal/>
    </border>
    <border>
      <left style="medium">
        <color auto="1"/>
      </left>
      <right style="hair">
        <color auto="1"/>
      </right>
      <top style="medium">
        <color auto="1"/>
      </top>
      <bottom style="hair">
        <color auto="1"/>
      </bottom>
      <diagonal/>
    </border>
    <border>
      <left style="hair">
        <color auto="1"/>
      </left>
      <right style="hair">
        <color auto="1"/>
      </right>
      <top style="thin">
        <color auto="1"/>
      </top>
      <bottom/>
      <diagonal/>
    </border>
    <border>
      <left style="hair">
        <color auto="1"/>
      </left>
      <right style="hair">
        <color auto="1"/>
      </right>
      <top/>
      <bottom style="hair">
        <color auto="1"/>
      </bottom>
      <diagonal/>
    </border>
    <border>
      <left style="thin">
        <color auto="1"/>
      </left>
      <right style="hair">
        <color auto="1"/>
      </right>
      <top style="thin">
        <color auto="1"/>
      </top>
      <bottom style="hair">
        <color auto="1"/>
      </bottom>
      <diagonal/>
    </border>
    <border>
      <left style="thin">
        <color auto="1"/>
      </left>
      <right style="hair">
        <color auto="1"/>
      </right>
      <top/>
      <bottom/>
      <diagonal/>
    </border>
    <border>
      <left style="thin">
        <color auto="1"/>
      </left>
      <right style="hair">
        <color auto="1"/>
      </right>
      <top/>
      <bottom style="hair">
        <color auto="1"/>
      </bottom>
      <diagonal/>
    </border>
    <border>
      <left style="hair">
        <color auto="1"/>
      </left>
      <right/>
      <top style="thin">
        <color auto="1"/>
      </top>
      <bottom/>
      <diagonal/>
    </border>
    <border>
      <left/>
      <right style="hair">
        <color auto="1"/>
      </right>
      <top style="thin">
        <color auto="1"/>
      </top>
      <bottom/>
      <diagonal/>
    </border>
    <border>
      <left style="double">
        <color auto="1"/>
      </left>
      <right/>
      <top style="double">
        <color auto="1"/>
      </top>
      <bottom/>
      <diagonal/>
    </border>
    <border>
      <left style="double">
        <color auto="1"/>
      </left>
      <right/>
      <top/>
      <bottom/>
      <diagonal/>
    </border>
    <border>
      <left style="double">
        <color auto="1"/>
      </left>
      <right style="thin">
        <color indexed="23"/>
      </right>
      <top style="thin">
        <color indexed="23"/>
      </top>
      <bottom style="thin">
        <color indexed="23"/>
      </bottom>
      <diagonal/>
    </border>
    <border>
      <left style="double">
        <color auto="1"/>
      </left>
      <right/>
      <top/>
      <bottom style="double">
        <color auto="1"/>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top/>
      <bottom style="thin">
        <color auto="1"/>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top style="medium">
        <color auto="1"/>
      </top>
      <bottom style="medium">
        <color auto="1"/>
      </bottom>
      <diagonal/>
    </border>
    <border>
      <left/>
      <right style="thin">
        <color auto="1"/>
      </right>
      <top style="medium">
        <color auto="1"/>
      </top>
      <bottom style="medium">
        <color auto="1"/>
      </bottom>
      <diagonal/>
    </border>
    <border>
      <left/>
      <right style="medium">
        <color auto="1"/>
      </right>
      <top/>
      <bottom style="thin">
        <color auto="1"/>
      </bottom>
      <diagonal/>
    </border>
    <border>
      <left/>
      <right/>
      <top style="thin">
        <color auto="1"/>
      </top>
      <bottom style="double">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right/>
      <top/>
      <bottom style="medium">
        <color auto="1"/>
      </bottom>
      <diagonal/>
    </border>
    <border>
      <left/>
      <right style="thin">
        <color auto="1"/>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s>
  <cellStyleXfs count="213">
    <xf numFmtId="0" fontId="0" fillId="0" borderId="0">
      <alignment vertical="top"/>
    </xf>
    <xf numFmtId="0" fontId="12" fillId="0" borderId="0"/>
    <xf numFmtId="0" fontId="7" fillId="0" borderId="0"/>
    <xf numFmtId="0" fontId="64" fillId="0" borderId="0">
      <alignment vertical="top"/>
    </xf>
    <xf numFmtId="0" fontId="37" fillId="0" borderId="0"/>
    <xf numFmtId="0" fontId="7" fillId="0" borderId="0"/>
    <xf numFmtId="0" fontId="4" fillId="0" borderId="0"/>
    <xf numFmtId="41" fontId="8" fillId="0" borderId="0" applyFont="0" applyFill="0" applyBorder="0" applyAlignment="0" applyProtection="0"/>
    <xf numFmtId="0" fontId="9" fillId="2" borderId="0" applyNumberFormat="0" applyBorder="0" applyAlignment="0" applyProtection="0">
      <alignment vertical="center"/>
    </xf>
    <xf numFmtId="0" fontId="9" fillId="3" borderId="0" applyNumberFormat="0" applyBorder="0" applyAlignment="0" applyProtection="0">
      <alignment vertical="center"/>
    </xf>
    <xf numFmtId="0" fontId="9" fillId="4" borderId="0" applyNumberFormat="0" applyBorder="0" applyAlignment="0" applyProtection="0">
      <alignment vertical="center"/>
    </xf>
    <xf numFmtId="0" fontId="9" fillId="5" borderId="0" applyNumberFormat="0" applyBorder="0" applyAlignment="0" applyProtection="0">
      <alignment vertical="center"/>
    </xf>
    <xf numFmtId="0" fontId="9" fillId="6" borderId="0" applyNumberFormat="0" applyBorder="0" applyAlignment="0" applyProtection="0">
      <alignment vertical="center"/>
    </xf>
    <xf numFmtId="0" fontId="9" fillId="7" borderId="0" applyNumberFormat="0" applyBorder="0" applyAlignment="0" applyProtection="0">
      <alignment vertical="center"/>
    </xf>
    <xf numFmtId="0" fontId="9" fillId="8" borderId="0" applyNumberFormat="0" applyBorder="0" applyAlignment="0" applyProtection="0">
      <alignment vertical="center"/>
    </xf>
    <xf numFmtId="0" fontId="9" fillId="9" borderId="0" applyNumberFormat="0" applyBorder="0" applyAlignment="0" applyProtection="0">
      <alignment vertical="center"/>
    </xf>
    <xf numFmtId="0" fontId="9" fillId="10" borderId="0" applyNumberFormat="0" applyBorder="0" applyAlignment="0" applyProtection="0">
      <alignment vertical="center"/>
    </xf>
    <xf numFmtId="0" fontId="9" fillId="5" borderId="0" applyNumberFormat="0" applyBorder="0" applyAlignment="0" applyProtection="0">
      <alignment vertical="center"/>
    </xf>
    <xf numFmtId="0" fontId="9" fillId="8" borderId="0" applyNumberFormat="0" applyBorder="0" applyAlignment="0" applyProtection="0">
      <alignment vertical="center"/>
    </xf>
    <xf numFmtId="0" fontId="9" fillId="11" borderId="0" applyNumberFormat="0" applyBorder="0" applyAlignment="0" applyProtection="0">
      <alignment vertical="center"/>
    </xf>
    <xf numFmtId="0" fontId="10" fillId="12" borderId="0" applyNumberFormat="0" applyBorder="0" applyAlignment="0" applyProtection="0">
      <alignment vertical="center"/>
    </xf>
    <xf numFmtId="0" fontId="10" fillId="9" borderId="0" applyNumberFormat="0" applyBorder="0" applyAlignment="0" applyProtection="0">
      <alignment vertical="center"/>
    </xf>
    <xf numFmtId="0" fontId="10" fillId="10" borderId="0" applyNumberFormat="0" applyBorder="0" applyAlignment="0" applyProtection="0">
      <alignment vertical="center"/>
    </xf>
    <xf numFmtId="0" fontId="10" fillId="13" borderId="0" applyNumberFormat="0" applyBorder="0" applyAlignment="0" applyProtection="0">
      <alignment vertical="center"/>
    </xf>
    <xf numFmtId="0" fontId="10" fillId="14" borderId="0" applyNumberFormat="0" applyBorder="0" applyAlignment="0" applyProtection="0">
      <alignment vertical="center"/>
    </xf>
    <xf numFmtId="0" fontId="10" fillId="15" borderId="0" applyNumberFormat="0" applyBorder="0" applyAlignment="0" applyProtection="0">
      <alignment vertical="center"/>
    </xf>
    <xf numFmtId="181" fontId="11" fillId="0" borderId="0" applyFill="0" applyBorder="0" applyAlignment="0"/>
    <xf numFmtId="0" fontId="41" fillId="0" borderId="0" applyNumberFormat="0" applyFill="0" applyBorder="0" applyAlignment="0" applyProtection="0"/>
    <xf numFmtId="0" fontId="12" fillId="0" borderId="0" applyFont="0" applyFill="0" applyBorder="0" applyAlignment="0" applyProtection="0"/>
    <xf numFmtId="182" fontId="8" fillId="0" borderId="0"/>
    <xf numFmtId="0" fontId="12" fillId="0" borderId="0" applyFont="0" applyFill="0" applyBorder="0" applyAlignment="0" applyProtection="0"/>
    <xf numFmtId="183" fontId="7" fillId="0" borderId="0" applyFont="0" applyFill="0" applyBorder="0" applyAlignment="0" applyProtection="0"/>
    <xf numFmtId="184" fontId="7" fillId="0" borderId="0" applyFont="0" applyFill="0" applyBorder="0" applyAlignment="0" applyProtection="0"/>
    <xf numFmtId="185" fontId="8" fillId="0" borderId="0"/>
    <xf numFmtId="186" fontId="8" fillId="0" borderId="0"/>
    <xf numFmtId="38" fontId="13" fillId="16" borderId="0" applyNumberFormat="0" applyBorder="0" applyAlignment="0" applyProtection="0"/>
    <xf numFmtId="0" fontId="14" fillId="0" borderId="1" applyNumberFormat="0" applyAlignment="0" applyProtection="0">
      <alignment horizontal="left" vertical="center"/>
    </xf>
    <xf numFmtId="0" fontId="14" fillId="0" borderId="2">
      <alignment horizontal="left" vertical="center"/>
    </xf>
    <xf numFmtId="10" fontId="13" fillId="17" borderId="3" applyNumberFormat="0" applyBorder="0" applyAlignment="0" applyProtection="0"/>
    <xf numFmtId="187" fontId="7" fillId="0" borderId="0"/>
    <xf numFmtId="0" fontId="12" fillId="0" borderId="0"/>
    <xf numFmtId="10" fontId="12" fillId="0" borderId="0" applyFont="0" applyFill="0" applyBorder="0" applyAlignment="0" applyProtection="0"/>
    <xf numFmtId="41" fontId="15" fillId="0" borderId="0" applyFont="0" applyFill="0" applyBorder="0" applyAlignment="0" applyProtection="0"/>
    <xf numFmtId="0" fontId="41" fillId="0" borderId="0" applyNumberFormat="0" applyFill="0" applyBorder="0" applyAlignment="0" applyProtection="0"/>
    <xf numFmtId="9" fontId="4" fillId="0" borderId="0" applyFont="0" applyFill="0" applyBorder="0" applyAlignment="0" applyProtection="0">
      <alignment vertical="center"/>
    </xf>
    <xf numFmtId="9" fontId="4" fillId="0" borderId="0" applyFont="0" applyFill="0" applyBorder="0" applyAlignment="0" applyProtection="0"/>
    <xf numFmtId="0" fontId="16" fillId="0" borderId="0" applyFont="0" applyFill="0" applyBorder="0" applyAlignment="0" applyProtection="0"/>
    <xf numFmtId="0" fontId="16" fillId="0" borderId="0" applyFont="0" applyFill="0" applyBorder="0" applyAlignment="0" applyProtection="0"/>
    <xf numFmtId="0" fontId="17" fillId="0" borderId="0" applyNumberFormat="0" applyFill="0" applyBorder="0" applyAlignment="0" applyProtection="0">
      <alignment vertical="center"/>
    </xf>
    <xf numFmtId="0" fontId="18" fillId="0" borderId="4" applyNumberFormat="0" applyFill="0" applyAlignment="0" applyProtection="0">
      <alignment vertical="center"/>
    </xf>
    <xf numFmtId="0" fontId="19" fillId="0" borderId="5" applyNumberFormat="0" applyFill="0" applyAlignment="0" applyProtection="0">
      <alignment vertical="center"/>
    </xf>
    <xf numFmtId="0" fontId="20" fillId="0" borderId="6" applyNumberFormat="0" applyFill="0" applyAlignment="0" applyProtection="0">
      <alignment vertical="center"/>
    </xf>
    <xf numFmtId="0" fontId="20" fillId="0" borderId="0" applyNumberFormat="0" applyFill="0" applyBorder="0" applyAlignment="0" applyProtection="0">
      <alignment vertical="center"/>
    </xf>
    <xf numFmtId="0" fontId="21" fillId="3" borderId="0" applyNumberFormat="0" applyBorder="0" applyAlignment="0" applyProtection="0">
      <alignment vertical="center"/>
    </xf>
    <xf numFmtId="0" fontId="21" fillId="18" borderId="0" applyNumberFormat="0" applyBorder="0" applyAlignment="0" applyProtection="0">
      <alignment vertical="center"/>
    </xf>
    <xf numFmtId="0" fontId="4" fillId="0" borderId="0"/>
    <xf numFmtId="0" fontId="4" fillId="0" borderId="0"/>
    <xf numFmtId="0" fontId="5" fillId="0" borderId="0">
      <alignment vertical="center"/>
    </xf>
    <xf numFmtId="0" fontId="4" fillId="0" borderId="0"/>
    <xf numFmtId="0" fontId="7" fillId="0" borderId="0"/>
    <xf numFmtId="0" fontId="22" fillId="0" borderId="0"/>
    <xf numFmtId="0" fontId="4" fillId="0" borderId="0"/>
    <xf numFmtId="0" fontId="4" fillId="0" borderId="0"/>
    <xf numFmtId="0" fontId="4" fillId="0" borderId="0"/>
    <xf numFmtId="0" fontId="4" fillId="0" borderId="0"/>
    <xf numFmtId="0" fontId="4" fillId="0" borderId="0">
      <alignment vertical="center"/>
    </xf>
    <xf numFmtId="0" fontId="4" fillId="0" borderId="0">
      <alignment vertical="center"/>
    </xf>
    <xf numFmtId="0" fontId="4" fillId="0" borderId="0"/>
    <xf numFmtId="0" fontId="6" fillId="0" borderId="0" applyNumberFormat="0" applyFill="0" applyBorder="0" applyAlignment="0" applyProtection="0">
      <alignment vertical="top"/>
      <protection locked="0"/>
    </xf>
    <xf numFmtId="0" fontId="6" fillId="0" borderId="0" applyNumberFormat="0" applyFill="0" applyBorder="0" applyAlignment="0" applyProtection="0">
      <alignment vertical="top"/>
      <protection locked="0"/>
    </xf>
    <xf numFmtId="0" fontId="23" fillId="4" borderId="0" applyNumberFormat="0" applyBorder="0" applyAlignment="0" applyProtection="0">
      <alignment vertical="center"/>
    </xf>
    <xf numFmtId="0" fontId="23" fillId="19" borderId="0" applyNumberFormat="0" applyBorder="0" applyAlignment="0" applyProtection="0">
      <alignment vertical="center"/>
    </xf>
    <xf numFmtId="0" fontId="24" fillId="0" borderId="7" applyNumberFormat="0" applyFill="0" applyAlignment="0" applyProtection="0">
      <alignment vertical="center"/>
    </xf>
    <xf numFmtId="0" fontId="25" fillId="20" borderId="8" applyNumberFormat="0" applyAlignment="0" applyProtection="0">
      <alignment vertical="center"/>
    </xf>
    <xf numFmtId="0" fontId="26" fillId="21" borderId="9" applyNumberFormat="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10" applyNumberFormat="0" applyFill="0" applyAlignment="0" applyProtection="0">
      <alignment vertical="center"/>
    </xf>
    <xf numFmtId="38" fontId="30" fillId="0" borderId="0" applyFont="0" applyFill="0" applyBorder="0" applyAlignment="0" applyProtection="0"/>
    <xf numFmtId="40" fontId="30" fillId="0" borderId="0" applyFont="0" applyFill="0" applyBorder="0" applyAlignment="0" applyProtection="0"/>
    <xf numFmtId="0" fontId="30" fillId="0" borderId="0" applyFont="0" applyFill="0" applyBorder="0" applyAlignment="0" applyProtection="0"/>
    <xf numFmtId="0" fontId="30" fillId="0" borderId="0" applyFont="0" applyFill="0" applyBorder="0" applyAlignment="0" applyProtection="0"/>
    <xf numFmtId="0" fontId="31" fillId="0" borderId="0"/>
    <xf numFmtId="188" fontId="12" fillId="0" borderId="0" applyFont="0" applyFill="0" applyBorder="0" applyAlignment="0" applyProtection="0"/>
    <xf numFmtId="189" fontId="7" fillId="0" borderId="0" applyFont="0" applyFill="0" applyBorder="0" applyAlignment="0" applyProtection="0"/>
    <xf numFmtId="190" fontId="32" fillId="0" borderId="0" applyFont="0" applyFill="0" applyBorder="0" applyAlignment="0" applyProtection="0"/>
    <xf numFmtId="191" fontId="32" fillId="0" borderId="0" applyFont="0" applyFill="0" applyBorder="0" applyAlignment="0" applyProtection="0"/>
    <xf numFmtId="41" fontId="15" fillId="0" borderId="0" applyFont="0" applyFill="0" applyBorder="0" applyAlignment="0" applyProtection="0"/>
    <xf numFmtId="43" fontId="15"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4" fillId="0" borderId="0" applyFont="0" applyFill="0" applyBorder="0" applyAlignment="0" applyProtection="0">
      <alignment vertical="center"/>
    </xf>
    <xf numFmtId="43" fontId="4" fillId="0" borderId="0" applyFont="0" applyFill="0" applyBorder="0" applyAlignment="0" applyProtection="0"/>
    <xf numFmtId="43" fontId="4" fillId="0" borderId="0" applyFont="0" applyFill="0" applyBorder="0" applyAlignment="0" applyProtection="0"/>
    <xf numFmtId="41" fontId="4" fillId="0" borderId="0" applyFont="0" applyFill="0" applyBorder="0" applyAlignment="0" applyProtection="0">
      <alignment vertical="center"/>
    </xf>
    <xf numFmtId="41" fontId="4" fillId="0" borderId="0" applyFont="0" applyFill="0" applyBorder="0" applyAlignment="0" applyProtection="0"/>
    <xf numFmtId="0" fontId="33" fillId="0" borderId="0"/>
    <xf numFmtId="0" fontId="10" fillId="22"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10" fillId="13" borderId="0" applyNumberFormat="0" applyBorder="0" applyAlignment="0" applyProtection="0">
      <alignment vertical="center"/>
    </xf>
    <xf numFmtId="0" fontId="10" fillId="14" borderId="0" applyNumberFormat="0" applyBorder="0" applyAlignment="0" applyProtection="0">
      <alignment vertical="center"/>
    </xf>
    <xf numFmtId="0" fontId="10" fillId="25" borderId="0" applyNumberFormat="0" applyBorder="0" applyAlignment="0" applyProtection="0">
      <alignment vertical="center"/>
    </xf>
    <xf numFmtId="0" fontId="34" fillId="26" borderId="0" applyNumberFormat="0" applyBorder="0" applyAlignment="0" applyProtection="0">
      <alignment vertical="center"/>
    </xf>
    <xf numFmtId="0" fontId="35" fillId="20" borderId="11" applyNumberFormat="0" applyAlignment="0" applyProtection="0">
      <alignment vertical="center"/>
    </xf>
    <xf numFmtId="0" fontId="36" fillId="7" borderId="8" applyNumberFormat="0" applyAlignment="0" applyProtection="0">
      <alignment vertical="center"/>
    </xf>
    <xf numFmtId="0" fontId="37" fillId="0" borderId="0"/>
    <xf numFmtId="0" fontId="38" fillId="0" borderId="0"/>
    <xf numFmtId="40" fontId="16" fillId="0" borderId="0" applyFont="0" applyFill="0" applyBorder="0" applyAlignment="0" applyProtection="0"/>
    <xf numFmtId="38" fontId="16" fillId="0" borderId="0" applyFont="0" applyFill="0" applyBorder="0" applyAlignment="0" applyProtection="0"/>
    <xf numFmtId="0" fontId="9" fillId="27" borderId="12" applyNumberFormat="0" applyFont="0" applyAlignment="0" applyProtection="0">
      <alignment vertical="center"/>
    </xf>
    <xf numFmtId="0" fontId="39" fillId="0" borderId="0"/>
    <xf numFmtId="9" fontId="7" fillId="0" borderId="0" applyFont="0" applyFill="0" applyBorder="0" applyAlignment="0" applyProtection="0"/>
    <xf numFmtId="43" fontId="3" fillId="0" borderId="0" applyFont="0" applyFill="0" applyBorder="0" applyAlignment="0" applyProtection="0">
      <alignment vertical="center"/>
    </xf>
    <xf numFmtId="0" fontId="3" fillId="0" borderId="0">
      <alignment vertical="top"/>
    </xf>
    <xf numFmtId="0" fontId="5" fillId="0" borderId="0"/>
    <xf numFmtId="0" fontId="3" fillId="0" borderId="0"/>
    <xf numFmtId="9" fontId="3" fillId="0" borderId="0" applyFont="0" applyFill="0" applyBorder="0" applyAlignment="0" applyProtection="0">
      <alignment vertical="center"/>
    </xf>
    <xf numFmtId="0" fontId="12" fillId="0" borderId="0"/>
    <xf numFmtId="0" fontId="2" fillId="0" borderId="0">
      <alignment vertical="center"/>
    </xf>
    <xf numFmtId="43" fontId="3" fillId="0" borderId="0" applyFont="0" applyFill="0" applyBorder="0" applyAlignment="0" applyProtection="0"/>
    <xf numFmtId="43" fontId="2" fillId="0" borderId="0" applyFont="0" applyFill="0" applyBorder="0" applyAlignment="0" applyProtection="0">
      <alignment vertical="center"/>
    </xf>
    <xf numFmtId="0" fontId="11" fillId="0" borderId="0">
      <alignment vertical="top"/>
    </xf>
    <xf numFmtId="0" fontId="15" fillId="27" borderId="12" applyNumberFormat="0" applyFont="0" applyAlignment="0" applyProtection="0">
      <alignment vertical="center"/>
    </xf>
    <xf numFmtId="9" fontId="3" fillId="0" borderId="0" applyFont="0" applyFill="0" applyBorder="0" applyAlignment="0" applyProtection="0"/>
    <xf numFmtId="0" fontId="3" fillId="0" borderId="0">
      <alignment vertical="center"/>
    </xf>
    <xf numFmtId="0" fontId="3" fillId="0" borderId="0"/>
    <xf numFmtId="0" fontId="3" fillId="0" borderId="0">
      <alignment vertical="center"/>
    </xf>
    <xf numFmtId="0" fontId="3" fillId="0" borderId="0"/>
    <xf numFmtId="177" fontId="3" fillId="0" borderId="0" applyFont="0" applyFill="0" applyBorder="0" applyAlignment="0" applyProtection="0">
      <alignment vertical="center"/>
    </xf>
    <xf numFmtId="0" fontId="7" fillId="0" borderId="0"/>
    <xf numFmtId="0" fontId="12" fillId="0" borderId="0">
      <protection locked="0"/>
    </xf>
    <xf numFmtId="0" fontId="86" fillId="0" borderId="0"/>
    <xf numFmtId="200" fontId="87" fillId="0" borderId="0" applyFont="0" applyFill="0" applyBorder="0" applyAlignment="0" applyProtection="0"/>
    <xf numFmtId="201" fontId="87" fillId="0" borderId="0" applyFont="0" applyFill="0" applyBorder="0" applyAlignment="0" applyProtection="0"/>
    <xf numFmtId="10" fontId="87" fillId="0" borderId="0" applyFont="0" applyFill="0" applyBorder="0" applyAlignment="0" applyProtection="0"/>
    <xf numFmtId="0" fontId="37" fillId="0" borderId="0">
      <protection locked="0"/>
    </xf>
    <xf numFmtId="0" fontId="88" fillId="0" borderId="0">
      <alignment horizontal="center" wrapText="1"/>
      <protection locked="0"/>
    </xf>
    <xf numFmtId="3" fontId="89" fillId="0" borderId="0"/>
    <xf numFmtId="202" fontId="90" fillId="0" borderId="40" applyAlignment="0" applyProtection="0"/>
    <xf numFmtId="0" fontId="91" fillId="0" borderId="41" applyNumberFormat="0" applyFill="0" applyProtection="0">
      <alignment horizontal="center"/>
    </xf>
    <xf numFmtId="0" fontId="53" fillId="0" borderId="75">
      <alignment horizontal="center"/>
    </xf>
    <xf numFmtId="37" fontId="87" fillId="0" borderId="0" applyFont="0" applyFill="0" applyBorder="0" applyAlignment="0" applyProtection="0"/>
    <xf numFmtId="203" fontId="87" fillId="0" borderId="0" applyFont="0" applyFill="0" applyBorder="0" applyAlignment="0" applyProtection="0"/>
    <xf numFmtId="39" fontId="87" fillId="0" borderId="0" applyFont="0" applyFill="0" applyBorder="0" applyAlignment="0" applyProtection="0"/>
    <xf numFmtId="202" fontId="87" fillId="0" borderId="0" applyFont="0" applyFill="0" applyBorder="0" applyAlignment="0" applyProtection="0"/>
    <xf numFmtId="204" fontId="87" fillId="0" borderId="0" applyFont="0" applyFill="0" applyBorder="0" applyAlignment="0" applyProtection="0"/>
    <xf numFmtId="0" fontId="52" fillId="0" borderId="0" applyProtection="0"/>
    <xf numFmtId="176" fontId="12" fillId="0" borderId="0" applyFont="0" applyFill="0" applyBorder="0" applyAlignment="0" applyProtection="0"/>
    <xf numFmtId="177" fontId="12" fillId="0" borderId="0" applyFont="0" applyFill="0" applyBorder="0" applyAlignment="0" applyProtection="0"/>
    <xf numFmtId="2" fontId="52" fillId="0" borderId="0" applyProtection="0"/>
    <xf numFmtId="0" fontId="92" fillId="0" borderId="0" applyNumberFormat="0" applyFill="0" applyBorder="0" applyAlignment="0" applyProtection="0">
      <alignment vertical="top"/>
      <protection locked="0"/>
    </xf>
    <xf numFmtId="0" fontId="93" fillId="0" borderId="0" applyProtection="0"/>
    <xf numFmtId="0" fontId="14" fillId="0" borderId="0" applyProtection="0"/>
    <xf numFmtId="0" fontId="94" fillId="0" borderId="0" applyNumberFormat="0" applyFill="0" applyBorder="0" applyAlignment="0" applyProtection="0">
      <alignment vertical="top"/>
      <protection locked="0"/>
    </xf>
    <xf numFmtId="203" fontId="95" fillId="32" borderId="0"/>
    <xf numFmtId="203" fontId="96" fillId="33" borderId="0"/>
    <xf numFmtId="38" fontId="97" fillId="0" borderId="0" applyFont="0" applyFill="0" applyBorder="0" applyAlignment="0" applyProtection="0"/>
    <xf numFmtId="40" fontId="97" fillId="0" borderId="0" applyFont="0" applyFill="0" applyBorder="0" applyAlignment="0" applyProtection="0"/>
    <xf numFmtId="205" fontId="12" fillId="0" borderId="0" applyFont="0" applyFill="0" applyBorder="0" applyAlignment="0" applyProtection="0"/>
    <xf numFmtId="0" fontId="12" fillId="0" borderId="0" applyFont="0" applyFill="0" applyBorder="0" applyAlignment="0" applyProtection="0"/>
    <xf numFmtId="206" fontId="97" fillId="0" borderId="0" applyFont="0" applyFill="0" applyBorder="0" applyAlignment="0" applyProtection="0"/>
    <xf numFmtId="207" fontId="97" fillId="0" borderId="0" applyFont="0" applyFill="0" applyBorder="0" applyAlignment="0" applyProtection="0"/>
    <xf numFmtId="208" fontId="12" fillId="0" borderId="0" applyFont="0" applyFill="0" applyBorder="0" applyAlignment="0" applyProtection="0"/>
    <xf numFmtId="205" fontId="12" fillId="0" borderId="0" applyFont="0" applyFill="0" applyBorder="0" applyAlignment="0" applyProtection="0"/>
    <xf numFmtId="0" fontId="15" fillId="0" borderId="0"/>
    <xf numFmtId="37" fontId="98" fillId="0" borderId="0"/>
    <xf numFmtId="0" fontId="99" fillId="0" borderId="0"/>
    <xf numFmtId="14" fontId="88" fillId="0" borderId="0">
      <alignment horizontal="center" wrapText="1"/>
      <protection locked="0"/>
    </xf>
    <xf numFmtId="9" fontId="37" fillId="0" borderId="0" applyFont="0" applyFill="0" applyBorder="0" applyAlignment="0" applyProtection="0"/>
    <xf numFmtId="13" fontId="12" fillId="0" borderId="0" applyFont="0" applyFill="0" applyProtection="0"/>
    <xf numFmtId="0" fontId="97" fillId="0" borderId="0" applyNumberFormat="0" applyFont="0" applyFill="0" applyBorder="0" applyAlignment="0" applyProtection="0">
      <alignment horizontal="left"/>
    </xf>
    <xf numFmtId="15" fontId="97" fillId="0" borderId="0" applyFont="0" applyFill="0" applyBorder="0" applyAlignment="0" applyProtection="0"/>
    <xf numFmtId="4" fontId="97" fillId="0" borderId="0" applyFont="0" applyFill="0" applyBorder="0" applyAlignment="0" applyProtection="0"/>
    <xf numFmtId="0" fontId="90" fillId="0" borderId="16">
      <alignment horizontal="center"/>
    </xf>
    <xf numFmtId="3" fontId="97" fillId="0" borderId="0" applyFont="0" applyFill="0" applyBorder="0" applyAlignment="0" applyProtection="0"/>
    <xf numFmtId="0" fontId="97" fillId="34" borderId="0" applyNumberFormat="0" applyFont="0" applyBorder="0" applyAlignment="0" applyProtection="0"/>
    <xf numFmtId="3" fontId="100" fillId="0" borderId="0"/>
    <xf numFmtId="0" fontId="101" fillId="35" borderId="13">
      <protection locked="0"/>
    </xf>
    <xf numFmtId="0" fontId="102" fillId="0" borderId="0"/>
    <xf numFmtId="0" fontId="103" fillId="0" borderId="3">
      <alignment horizontal="center"/>
    </xf>
    <xf numFmtId="0" fontId="103" fillId="0" borderId="0">
      <alignment horizontal="center" vertical="center"/>
    </xf>
    <xf numFmtId="0" fontId="104" fillId="36" borderId="0" applyNumberFormat="0" applyFill="0">
      <alignment horizontal="left" vertical="center"/>
    </xf>
    <xf numFmtId="0" fontId="101" fillId="35" borderId="13">
      <protection locked="0"/>
    </xf>
    <xf numFmtId="0" fontId="101" fillId="35" borderId="13">
      <protection locked="0"/>
    </xf>
    <xf numFmtId="0" fontId="52" fillId="0" borderId="101" applyProtection="0"/>
    <xf numFmtId="0" fontId="12" fillId="0" borderId="23" applyNumberFormat="0" applyFill="0" applyProtection="0">
      <alignment horizontal="right"/>
    </xf>
    <xf numFmtId="0" fontId="105" fillId="0" borderId="23" applyNumberFormat="0" applyFill="0" applyProtection="0">
      <alignment horizontal="center"/>
    </xf>
    <xf numFmtId="0" fontId="106" fillId="0" borderId="39" applyNumberFormat="0" applyFill="0" applyProtection="0">
      <alignment horizontal="center"/>
    </xf>
    <xf numFmtId="0" fontId="21" fillId="3" borderId="0" applyNumberFormat="0" applyBorder="0" applyAlignment="0" applyProtection="0">
      <alignment vertical="center"/>
    </xf>
    <xf numFmtId="0" fontId="21" fillId="3" borderId="0" applyNumberFormat="0" applyBorder="0" applyAlignment="0" applyProtection="0">
      <alignment vertical="center"/>
    </xf>
    <xf numFmtId="0" fontId="107" fillId="3" borderId="0" applyNumberFormat="0" applyBorder="0" applyAlignment="0" applyProtection="0">
      <alignment vertical="center"/>
    </xf>
    <xf numFmtId="0" fontId="3" fillId="0" borderId="0"/>
    <xf numFmtId="0" fontId="6" fillId="0" borderId="0" applyNumberFormat="0" applyFill="0" applyBorder="0" applyAlignment="0" applyProtection="0">
      <alignment vertical="top"/>
      <protection locked="0"/>
    </xf>
    <xf numFmtId="0" fontId="90" fillId="0" borderId="0" applyNumberFormat="0" applyFill="0" applyBorder="0" applyAlignment="0" applyProtection="0"/>
    <xf numFmtId="0" fontId="51" fillId="0" borderId="0" applyNumberFormat="0" applyFill="0" applyBorder="0" applyAlignment="0" applyProtection="0"/>
    <xf numFmtId="0" fontId="23" fillId="4" borderId="0" applyNumberFormat="0" applyBorder="0" applyAlignment="0" applyProtection="0">
      <alignment vertical="center"/>
    </xf>
    <xf numFmtId="0" fontId="23" fillId="4" borderId="0" applyNumberFormat="0" applyBorder="0" applyAlignment="0" applyProtection="0">
      <alignment vertical="center"/>
    </xf>
    <xf numFmtId="0" fontId="108" fillId="4" borderId="0" applyNumberFormat="0" applyBorder="0" applyAlignment="0" applyProtection="0">
      <alignment vertical="center"/>
    </xf>
    <xf numFmtId="0" fontId="106" fillId="0" borderId="39" applyNumberFormat="0" applyFill="0" applyProtection="0">
      <alignment horizontal="left"/>
    </xf>
    <xf numFmtId="178" fontId="11" fillId="0" borderId="0"/>
    <xf numFmtId="209" fontId="12" fillId="0" borderId="39" applyFill="0" applyProtection="0">
      <alignment horizontal="right"/>
    </xf>
    <xf numFmtId="0" fontId="12" fillId="0" borderId="23" applyNumberFormat="0" applyFill="0" applyProtection="0">
      <alignment horizontal="left"/>
    </xf>
    <xf numFmtId="1" fontId="12" fillId="0" borderId="39" applyFill="0" applyProtection="0">
      <alignment horizontal="center"/>
    </xf>
    <xf numFmtId="0" fontId="3" fillId="0" borderId="0">
      <alignment vertical="center"/>
    </xf>
    <xf numFmtId="43" fontId="3" fillId="0" borderId="0" applyFont="0" applyFill="0" applyBorder="0" applyAlignment="0" applyProtection="0">
      <alignment vertical="center"/>
    </xf>
    <xf numFmtId="0" fontId="12" fillId="0" borderId="0"/>
    <xf numFmtId="0" fontId="3" fillId="0" borderId="0"/>
    <xf numFmtId="0" fontId="159" fillId="28" borderId="0">
      <alignment horizontal="right" vertical="center"/>
    </xf>
    <xf numFmtId="0" fontId="3" fillId="0" borderId="0">
      <alignment vertical="center"/>
    </xf>
    <xf numFmtId="0" fontId="3" fillId="0" borderId="0">
      <alignment vertical="center"/>
    </xf>
    <xf numFmtId="43" fontId="3" fillId="0" borderId="0" applyFont="0" applyFill="0" applyBorder="0" applyAlignment="0" applyProtection="0">
      <alignment vertical="center"/>
    </xf>
    <xf numFmtId="0" fontId="162" fillId="0" borderId="0" applyNumberFormat="0" applyFill="0" applyBorder="0" applyAlignment="0" applyProtection="0">
      <alignment vertical="top"/>
    </xf>
  </cellStyleXfs>
  <cellXfs count="1923">
    <xf numFmtId="0" fontId="0" fillId="0" borderId="0" xfId="0" applyAlignment="1">
      <alignment vertical="center"/>
    </xf>
    <xf numFmtId="0" fontId="42" fillId="0" borderId="0" xfId="0" applyFont="1" applyFill="1" applyAlignment="1" applyProtection="1">
      <alignment horizontal="justify" vertical="center" wrapText="1"/>
      <protection locked="0"/>
    </xf>
    <xf numFmtId="0" fontId="42" fillId="0" borderId="0" xfId="0" applyFont="1" applyFill="1" applyAlignment="1" applyProtection="1">
      <alignment horizontal="left" vertical="center"/>
      <protection locked="0"/>
    </xf>
    <xf numFmtId="0" fontId="45" fillId="0" borderId="0" xfId="61" applyFont="1" applyFill="1" applyAlignment="1" applyProtection="1">
      <alignment vertical="center"/>
      <protection locked="0"/>
    </xf>
    <xf numFmtId="0" fontId="49" fillId="0" borderId="14" xfId="62" applyFont="1" applyFill="1" applyBorder="1" applyAlignment="1" applyProtection="1">
      <alignment horizontal="right" vertical="center"/>
      <protection locked="0"/>
    </xf>
    <xf numFmtId="0" fontId="47" fillId="0" borderId="0" xfId="62" applyFont="1" applyFill="1" applyAlignment="1" applyProtection="1">
      <alignment vertical="center"/>
      <protection locked="0"/>
    </xf>
    <xf numFmtId="0" fontId="49" fillId="0" borderId="0" xfId="62" applyFont="1" applyFill="1" applyBorder="1" applyAlignment="1" applyProtection="1">
      <alignment horizontal="right" vertical="center"/>
      <protection locked="0"/>
    </xf>
    <xf numFmtId="0" fontId="49" fillId="0" borderId="15" xfId="62" applyFont="1" applyFill="1" applyBorder="1" applyAlignment="1" applyProtection="1">
      <alignment vertical="center"/>
      <protection locked="0"/>
    </xf>
    <xf numFmtId="0" fontId="49" fillId="0" borderId="16" xfId="62" applyFont="1" applyFill="1" applyBorder="1" applyAlignment="1" applyProtection="1">
      <alignment horizontal="right" vertical="center"/>
      <protection locked="0"/>
    </xf>
    <xf numFmtId="43" fontId="47" fillId="0" borderId="14" xfId="91" applyFont="1" applyFill="1" applyBorder="1" applyAlignment="1" applyProtection="1">
      <alignment vertical="center"/>
      <protection locked="0"/>
    </xf>
    <xf numFmtId="0" fontId="47" fillId="0" borderId="14" xfId="62" applyFont="1" applyFill="1" applyBorder="1" applyAlignment="1" applyProtection="1">
      <alignment vertical="center"/>
      <protection locked="0"/>
    </xf>
    <xf numFmtId="0" fontId="49" fillId="0" borderId="16" xfId="62" applyFont="1" applyFill="1" applyBorder="1" applyAlignment="1" applyProtection="1">
      <alignment horizontal="left" vertical="center"/>
      <protection locked="0"/>
    </xf>
    <xf numFmtId="43" fontId="47" fillId="0" borderId="16" xfId="91" applyFont="1" applyFill="1" applyBorder="1" applyAlignment="1" applyProtection="1">
      <alignment vertical="center"/>
      <protection locked="0"/>
    </xf>
    <xf numFmtId="0" fontId="47" fillId="0" borderId="16" xfId="62" applyFont="1" applyFill="1" applyBorder="1" applyAlignment="1" applyProtection="1">
      <alignment vertical="center"/>
      <protection locked="0"/>
    </xf>
    <xf numFmtId="0" fontId="47" fillId="0" borderId="17" xfId="62" applyFont="1" applyFill="1" applyBorder="1" applyAlignment="1" applyProtection="1">
      <alignment vertical="center"/>
      <protection locked="0"/>
    </xf>
    <xf numFmtId="43" fontId="47" fillId="0" borderId="0" xfId="91" applyFont="1" applyFill="1" applyBorder="1" applyAlignment="1" applyProtection="1">
      <alignment vertical="center"/>
      <protection locked="0"/>
    </xf>
    <xf numFmtId="0" fontId="47" fillId="0" borderId="0" xfId="62" applyFont="1" applyFill="1" applyBorder="1" applyAlignment="1" applyProtection="1">
      <alignment vertical="center"/>
      <protection locked="0"/>
    </xf>
    <xf numFmtId="0" fontId="47" fillId="0" borderId="18" xfId="62" applyFont="1" applyFill="1" applyBorder="1" applyAlignment="1" applyProtection="1">
      <alignment vertical="center"/>
      <protection locked="0"/>
    </xf>
    <xf numFmtId="0" fontId="47" fillId="0" borderId="19" xfId="62" applyFont="1" applyFill="1" applyBorder="1" applyAlignment="1" applyProtection="1">
      <alignment horizontal="center" vertical="center"/>
      <protection locked="0"/>
    </xf>
    <xf numFmtId="0" fontId="49" fillId="0" borderId="20" xfId="62" applyFont="1" applyFill="1" applyBorder="1" applyAlignment="1" applyProtection="1">
      <alignment horizontal="left" vertical="center"/>
      <protection locked="0"/>
    </xf>
    <xf numFmtId="0" fontId="47" fillId="0" borderId="20" xfId="58" applyFont="1" applyFill="1" applyBorder="1" applyAlignment="1" applyProtection="1">
      <alignment vertical="center"/>
      <protection locked="0"/>
    </xf>
    <xf numFmtId="0" fontId="47" fillId="0" borderId="0" xfId="58" applyFont="1" applyFill="1" applyBorder="1" applyAlignment="1" applyProtection="1">
      <alignment vertical="center"/>
      <protection locked="0"/>
    </xf>
    <xf numFmtId="0" fontId="47" fillId="0" borderId="21" xfId="65" applyFont="1" applyFill="1" applyBorder="1" applyAlignment="1" applyProtection="1">
      <alignment horizontal="center" vertical="center" wrapText="1"/>
      <protection locked="0"/>
    </xf>
    <xf numFmtId="0" fontId="47" fillId="0" borderId="18" xfId="58" applyFont="1" applyFill="1" applyBorder="1" applyAlignment="1" applyProtection="1">
      <alignment vertical="center"/>
      <protection locked="0"/>
    </xf>
    <xf numFmtId="0" fontId="47" fillId="0" borderId="15" xfId="58" applyFont="1" applyFill="1" applyBorder="1" applyAlignment="1" applyProtection="1">
      <alignment vertical="center"/>
      <protection locked="0"/>
    </xf>
    <xf numFmtId="0" fontId="47" fillId="0" borderId="16" xfId="58" applyFont="1" applyFill="1" applyBorder="1" applyAlignment="1" applyProtection="1">
      <alignment vertical="center"/>
      <protection locked="0"/>
    </xf>
    <xf numFmtId="0" fontId="45" fillId="0" borderId="0" xfId="61" applyFont="1" applyFill="1" applyBorder="1" applyAlignment="1" applyProtection="1">
      <alignment horizontal="left" vertical="center"/>
      <protection locked="0"/>
    </xf>
    <xf numFmtId="178" fontId="13" fillId="0" borderId="3" xfId="0" applyNumberFormat="1" applyFont="1" applyFill="1" applyBorder="1" applyAlignment="1" applyProtection="1">
      <alignment vertical="center" shrinkToFit="1"/>
      <protection locked="0"/>
    </xf>
    <xf numFmtId="178" fontId="13" fillId="0" borderId="3" xfId="0" applyNumberFormat="1" applyFont="1" applyFill="1" applyBorder="1" applyAlignment="1" applyProtection="1">
      <alignment horizontal="right" vertical="center" shrinkToFit="1"/>
      <protection locked="0"/>
    </xf>
    <xf numFmtId="0" fontId="50" fillId="0" borderId="0" xfId="0" applyFont="1" applyFill="1" applyAlignment="1" applyProtection="1">
      <alignment vertical="center"/>
      <protection locked="0"/>
    </xf>
    <xf numFmtId="0" fontId="50" fillId="0" borderId="0" xfId="0" applyFont="1" applyFill="1" applyAlignment="1" applyProtection="1">
      <alignment vertical="center" wrapText="1"/>
      <protection locked="0"/>
    </xf>
    <xf numFmtId="0" fontId="52" fillId="0" borderId="0" xfId="0" applyFont="1" applyFill="1" applyAlignment="1" applyProtection="1">
      <alignment vertical="center"/>
      <protection locked="0"/>
    </xf>
    <xf numFmtId="178" fontId="13" fillId="0" borderId="3" xfId="91" applyNumberFormat="1" applyFont="1" applyFill="1" applyBorder="1" applyAlignment="1" applyProtection="1">
      <alignment vertical="center" shrinkToFit="1"/>
      <protection locked="0"/>
    </xf>
    <xf numFmtId="0" fontId="5" fillId="0" borderId="3" xfId="0" applyFont="1" applyFill="1" applyBorder="1" applyAlignment="1" applyProtection="1">
      <alignment horizontal="left" vertical="center" wrapText="1" indent="1"/>
      <protection locked="0"/>
    </xf>
    <xf numFmtId="0" fontId="5" fillId="0" borderId="3" xfId="0" applyFont="1" applyFill="1" applyBorder="1" applyAlignment="1" applyProtection="1">
      <alignment horizontal="left" vertical="center" wrapText="1"/>
      <protection locked="0"/>
    </xf>
    <xf numFmtId="0" fontId="5" fillId="0" borderId="3" xfId="0" applyFont="1" applyFill="1" applyBorder="1" applyAlignment="1" applyProtection="1">
      <alignment vertical="center" wrapText="1"/>
      <protection locked="0"/>
    </xf>
    <xf numFmtId="0" fontId="45" fillId="0" borderId="27" xfId="62" applyFont="1" applyFill="1" applyBorder="1" applyAlignment="1" applyProtection="1">
      <alignment horizontal="left" vertical="center"/>
      <protection locked="0"/>
    </xf>
    <xf numFmtId="0" fontId="45" fillId="0" borderId="27" xfId="62" applyFont="1" applyFill="1" applyBorder="1" applyAlignment="1" applyProtection="1">
      <alignment horizontal="center" vertical="center"/>
      <protection locked="0"/>
    </xf>
    <xf numFmtId="178" fontId="53" fillId="0" borderId="3" xfId="91" applyNumberFormat="1" applyFont="1" applyFill="1" applyBorder="1" applyAlignment="1" applyProtection="1">
      <alignment vertical="center" shrinkToFit="1"/>
      <protection locked="0"/>
    </xf>
    <xf numFmtId="10" fontId="53" fillId="0" borderId="25" xfId="44" applyNumberFormat="1" applyFont="1" applyFill="1" applyBorder="1" applyAlignment="1" applyProtection="1">
      <alignment vertical="center" shrinkToFit="1"/>
      <protection locked="0"/>
    </xf>
    <xf numFmtId="0" fontId="54" fillId="0" borderId="16" xfId="65" applyFont="1" applyFill="1" applyBorder="1" applyAlignment="1" applyProtection="1">
      <alignment horizontal="left" vertical="center"/>
      <protection locked="0"/>
    </xf>
    <xf numFmtId="0" fontId="48" fillId="0" borderId="1" xfId="62" applyFont="1" applyFill="1" applyBorder="1" applyAlignment="1" applyProtection="1">
      <alignment vertical="center"/>
      <protection locked="0"/>
    </xf>
    <xf numFmtId="43" fontId="48" fillId="0" borderId="1" xfId="91" applyFont="1" applyFill="1" applyBorder="1" applyAlignment="1" applyProtection="1">
      <alignment vertical="center"/>
      <protection locked="0"/>
    </xf>
    <xf numFmtId="0" fontId="48" fillId="0" borderId="1" xfId="62" applyFont="1" applyFill="1" applyBorder="1" applyAlignment="1" applyProtection="1">
      <alignment horizontal="right" vertical="center"/>
      <protection locked="0"/>
    </xf>
    <xf numFmtId="0" fontId="48" fillId="0" borderId="0" xfId="62" applyFont="1" applyFill="1" applyAlignment="1" applyProtection="1">
      <alignment vertical="center"/>
      <protection locked="0"/>
    </xf>
    <xf numFmtId="0" fontId="45" fillId="0" borderId="0" xfId="62" applyFont="1" applyFill="1" applyAlignment="1" applyProtection="1">
      <alignment vertical="center"/>
      <protection locked="0"/>
    </xf>
    <xf numFmtId="10" fontId="45" fillId="0" borderId="0" xfId="44" applyNumberFormat="1" applyFont="1" applyFill="1" applyAlignment="1" applyProtection="1">
      <alignment vertical="center"/>
      <protection locked="0"/>
    </xf>
    <xf numFmtId="0" fontId="45" fillId="0" borderId="0" xfId="61" applyFont="1" applyFill="1" applyAlignment="1" applyProtection="1">
      <alignment horizontal="center" vertical="center"/>
      <protection locked="0"/>
    </xf>
    <xf numFmtId="43" fontId="45" fillId="0" borderId="0" xfId="61" applyNumberFormat="1" applyFont="1" applyFill="1" applyBorder="1" applyAlignment="1" applyProtection="1">
      <alignment horizontal="center" vertical="center"/>
      <protection locked="0"/>
    </xf>
    <xf numFmtId="43" fontId="45" fillId="0" borderId="0" xfId="61" applyNumberFormat="1" applyFont="1" applyFill="1" applyAlignment="1" applyProtection="1">
      <alignment vertical="center"/>
      <protection locked="0"/>
    </xf>
    <xf numFmtId="10" fontId="45" fillId="0" borderId="0" xfId="61" applyNumberFormat="1" applyFont="1" applyFill="1" applyAlignment="1" applyProtection="1">
      <alignment vertical="center"/>
      <protection locked="0"/>
    </xf>
    <xf numFmtId="0" fontId="49" fillId="0" borderId="0" xfId="0" applyFont="1" applyFill="1" applyAlignment="1" applyProtection="1">
      <alignment horizontal="center" vertical="center" wrapText="1"/>
      <protection locked="0"/>
    </xf>
    <xf numFmtId="0" fontId="12" fillId="0" borderId="0" xfId="0" applyFont="1" applyFill="1" applyBorder="1" applyAlignment="1" applyProtection="1">
      <alignment vertical="center"/>
      <protection locked="0"/>
    </xf>
    <xf numFmtId="0" fontId="12" fillId="0" borderId="3" xfId="0" applyFont="1" applyFill="1" applyBorder="1" applyAlignment="1" applyProtection="1">
      <alignment vertical="center"/>
      <protection locked="0"/>
    </xf>
    <xf numFmtId="0" fontId="49" fillId="0" borderId="0" xfId="0" applyFont="1" applyFill="1" applyBorder="1" applyAlignment="1" applyProtection="1">
      <alignment vertical="center"/>
      <protection locked="0"/>
    </xf>
    <xf numFmtId="0" fontId="57" fillId="0" borderId="3" xfId="0" applyFont="1" applyFill="1" applyBorder="1" applyAlignment="1" applyProtection="1">
      <alignment vertical="center"/>
      <protection locked="0"/>
    </xf>
    <xf numFmtId="0" fontId="48" fillId="0" borderId="0" xfId="61" applyFont="1" applyFill="1" applyAlignment="1" applyProtection="1">
      <alignment horizontal="center" vertical="center" wrapText="1"/>
      <protection locked="0"/>
    </xf>
    <xf numFmtId="0" fontId="48" fillId="0" borderId="0" xfId="61" applyFont="1" applyFill="1" applyAlignment="1" applyProtection="1">
      <alignment horizontal="center" vertical="center"/>
      <protection locked="0"/>
    </xf>
    <xf numFmtId="0" fontId="45" fillId="0" borderId="0" xfId="61" applyFont="1" applyFill="1" applyAlignment="1" applyProtection="1">
      <alignment vertical="center" wrapText="1"/>
      <protection locked="0"/>
    </xf>
    <xf numFmtId="0" fontId="45" fillId="0" borderId="0" xfId="61" applyFont="1" applyFill="1" applyAlignment="1" applyProtection="1">
      <alignment horizontal="left" vertical="center"/>
      <protection locked="0"/>
    </xf>
    <xf numFmtId="0" fontId="55" fillId="0" borderId="0" xfId="61" applyFont="1" applyFill="1" applyAlignment="1" applyProtection="1">
      <alignment vertical="center"/>
      <protection locked="0"/>
    </xf>
    <xf numFmtId="0" fontId="45" fillId="0" borderId="0" xfId="62" applyFont="1" applyFill="1" applyAlignment="1" applyProtection="1">
      <alignment horizontal="right" vertical="center"/>
      <protection locked="0"/>
    </xf>
    <xf numFmtId="0" fontId="45" fillId="0" borderId="31" xfId="62" applyFont="1" applyFill="1" applyBorder="1" applyAlignment="1" applyProtection="1">
      <alignment horizontal="right" vertical="center" shrinkToFit="1"/>
      <protection locked="0"/>
    </xf>
    <xf numFmtId="0" fontId="48" fillId="0" borderId="31" xfId="62" applyFont="1" applyFill="1" applyBorder="1" applyAlignment="1" applyProtection="1">
      <alignment horizontal="right" vertical="center"/>
      <protection locked="0"/>
    </xf>
    <xf numFmtId="0" fontId="48" fillId="0" borderId="31" xfId="62" applyFont="1" applyFill="1" applyBorder="1" applyAlignment="1" applyProtection="1">
      <alignment vertical="center" shrinkToFit="1"/>
      <protection locked="0"/>
    </xf>
    <xf numFmtId="0" fontId="47" fillId="0" borderId="14" xfId="62" applyFont="1" applyFill="1" applyBorder="1" applyAlignment="1" applyProtection="1">
      <alignment horizontal="center" vertical="center"/>
      <protection locked="0"/>
    </xf>
    <xf numFmtId="0" fontId="45" fillId="0" borderId="0" xfId="63" applyFont="1" applyFill="1" applyAlignment="1" applyProtection="1">
      <alignment horizontal="center" vertical="center"/>
      <protection locked="0"/>
    </xf>
    <xf numFmtId="0" fontId="45" fillId="0" borderId="16" xfId="63" applyFont="1" applyFill="1" applyBorder="1" applyAlignment="1" applyProtection="1">
      <alignment horizontal="center" vertical="center"/>
      <protection locked="0"/>
    </xf>
    <xf numFmtId="0" fontId="48" fillId="0" borderId="16" xfId="65" applyFont="1" applyFill="1" applyBorder="1" applyAlignment="1" applyProtection="1">
      <alignment horizontal="right" vertical="center"/>
      <protection locked="0"/>
    </xf>
    <xf numFmtId="0" fontId="45" fillId="0" borderId="0" xfId="63" applyFont="1" applyFill="1" applyAlignment="1" applyProtection="1">
      <alignment vertical="center"/>
      <protection locked="0"/>
    </xf>
    <xf numFmtId="0" fontId="45" fillId="0" borderId="28" xfId="62" applyFont="1" applyFill="1" applyBorder="1" applyAlignment="1" applyProtection="1">
      <alignment horizontal="center" vertical="center"/>
      <protection locked="0"/>
    </xf>
    <xf numFmtId="43" fontId="45" fillId="0" borderId="32" xfId="91" applyFont="1" applyFill="1" applyBorder="1" applyAlignment="1" applyProtection="1">
      <alignment vertical="center"/>
      <protection locked="0"/>
    </xf>
    <xf numFmtId="0" fontId="45" fillId="0" borderId="32" xfId="62" applyFont="1" applyFill="1" applyBorder="1" applyAlignment="1" applyProtection="1">
      <alignment vertical="center"/>
      <protection locked="0"/>
    </xf>
    <xf numFmtId="0" fontId="45" fillId="0" borderId="34" xfId="62" applyFont="1" applyFill="1" applyBorder="1" applyAlignment="1" applyProtection="1">
      <alignment vertical="center"/>
      <protection locked="0"/>
    </xf>
    <xf numFmtId="0" fontId="48" fillId="0" borderId="33" xfId="62" applyFont="1" applyFill="1" applyBorder="1" applyAlignment="1" applyProtection="1">
      <alignment vertical="center"/>
      <protection locked="0"/>
    </xf>
    <xf numFmtId="43" fontId="45" fillId="0" borderId="0" xfId="91" applyFont="1" applyFill="1" applyAlignment="1" applyProtection="1">
      <alignment vertical="center"/>
      <protection locked="0"/>
    </xf>
    <xf numFmtId="0" fontId="48" fillId="0" borderId="0" xfId="63" applyFont="1" applyFill="1" applyAlignment="1" applyProtection="1">
      <alignment vertical="center"/>
      <protection locked="0"/>
    </xf>
    <xf numFmtId="0" fontId="56" fillId="0" borderId="14" xfId="62" applyFont="1" applyFill="1" applyBorder="1" applyAlignment="1" applyProtection="1">
      <alignment vertical="center"/>
      <protection locked="0"/>
    </xf>
    <xf numFmtId="49" fontId="56" fillId="0" borderId="14" xfId="62" applyNumberFormat="1" applyFont="1" applyFill="1" applyBorder="1" applyAlignment="1" applyProtection="1">
      <alignment horizontal="right" vertical="center"/>
      <protection locked="0"/>
    </xf>
    <xf numFmtId="0" fontId="56" fillId="0" borderId="14" xfId="62" applyFont="1" applyFill="1" applyBorder="1" applyAlignment="1" applyProtection="1">
      <alignment horizontal="right" vertical="center"/>
      <protection locked="0"/>
    </xf>
    <xf numFmtId="0" fontId="56" fillId="0" borderId="17" xfId="62" applyFont="1" applyFill="1" applyBorder="1" applyAlignment="1" applyProtection="1">
      <alignment vertical="center"/>
      <protection locked="0"/>
    </xf>
    <xf numFmtId="0" fontId="56" fillId="0" borderId="0" xfId="62" applyFont="1" applyFill="1" applyAlignment="1" applyProtection="1">
      <alignment vertical="center"/>
      <protection locked="0"/>
    </xf>
    <xf numFmtId="0" fontId="39" fillId="0" borderId="0" xfId="62" applyFont="1" applyFill="1" applyAlignment="1" applyProtection="1">
      <alignment vertical="center"/>
      <protection locked="0"/>
    </xf>
    <xf numFmtId="0" fontId="56" fillId="0" borderId="0" xfId="62" applyFont="1" applyFill="1" applyBorder="1" applyAlignment="1" applyProtection="1">
      <alignment horizontal="left" vertical="center"/>
      <protection locked="0"/>
    </xf>
    <xf numFmtId="0" fontId="56" fillId="0" borderId="0" xfId="62" applyFont="1" applyFill="1" applyBorder="1" applyAlignment="1" applyProtection="1">
      <alignment horizontal="right" vertical="center"/>
      <protection locked="0"/>
    </xf>
    <xf numFmtId="0" fontId="56" fillId="0" borderId="16" xfId="62" applyFont="1" applyFill="1" applyBorder="1" applyAlignment="1" applyProtection="1">
      <alignment horizontal="right" vertical="center"/>
      <protection locked="0"/>
    </xf>
    <xf numFmtId="43" fontId="47" fillId="0" borderId="3" xfId="91" applyFont="1" applyFill="1" applyBorder="1" applyAlignment="1" applyProtection="1">
      <alignment horizontal="center" vertical="center"/>
      <protection locked="0"/>
    </xf>
    <xf numFmtId="0" fontId="47" fillId="0" borderId="0" xfId="62" applyFont="1" applyFill="1" applyAlignment="1" applyProtection="1">
      <alignment horizontal="right" vertical="center"/>
      <protection locked="0"/>
    </xf>
    <xf numFmtId="0" fontId="45" fillId="0" borderId="0" xfId="6" applyFont="1" applyFill="1" applyAlignment="1" applyProtection="1">
      <alignment vertical="center"/>
      <protection locked="0"/>
    </xf>
    <xf numFmtId="43" fontId="45" fillId="0" borderId="0" xfId="6" applyNumberFormat="1" applyFont="1" applyFill="1" applyAlignment="1" applyProtection="1">
      <alignment vertical="center"/>
      <protection locked="0"/>
    </xf>
    <xf numFmtId="0" fontId="45" fillId="0" borderId="0" xfId="106" applyFont="1" applyFill="1" applyBorder="1" applyAlignment="1" applyProtection="1">
      <alignment vertical="center"/>
      <protection locked="0"/>
    </xf>
    <xf numFmtId="0" fontId="45" fillId="0" borderId="0" xfId="67" applyFont="1" applyFill="1" applyAlignment="1" applyProtection="1">
      <alignment vertical="center"/>
      <protection locked="0"/>
    </xf>
    <xf numFmtId="41" fontId="45" fillId="0" borderId="0" xfId="94" applyFont="1" applyFill="1" applyAlignment="1" applyProtection="1">
      <alignment vertical="center"/>
      <protection locked="0"/>
    </xf>
    <xf numFmtId="43" fontId="48" fillId="0" borderId="0" xfId="6" applyNumberFormat="1" applyFont="1" applyFill="1" applyAlignment="1" applyProtection="1">
      <alignment horizontal="center" vertical="center"/>
      <protection locked="0"/>
    </xf>
    <xf numFmtId="0" fontId="5" fillId="0" borderId="0" xfId="0" applyFont="1" applyFill="1" applyAlignment="1" applyProtection="1">
      <alignment vertical="center"/>
      <protection locked="0"/>
    </xf>
    <xf numFmtId="0" fontId="50" fillId="0" borderId="0" xfId="0" applyFont="1" applyFill="1" applyAlignment="1" applyProtection="1">
      <alignment horizontal="center" vertical="center"/>
      <protection locked="0"/>
    </xf>
    <xf numFmtId="0" fontId="43" fillId="0" borderId="3" xfId="68" applyFont="1" applyFill="1" applyBorder="1" applyAlignment="1" applyProtection="1">
      <alignment vertical="center"/>
      <protection locked="0"/>
    </xf>
    <xf numFmtId="43" fontId="53" fillId="0" borderId="0" xfId="91" applyFont="1" applyFill="1" applyBorder="1" applyAlignment="1" applyProtection="1">
      <alignment vertical="center" shrinkToFit="1"/>
      <protection locked="0"/>
    </xf>
    <xf numFmtId="43" fontId="13" fillId="0" borderId="0" xfId="91" applyFont="1" applyFill="1" applyAlignment="1" applyProtection="1">
      <alignment vertical="center" shrinkToFit="1"/>
      <protection locked="0"/>
    </xf>
    <xf numFmtId="43" fontId="13" fillId="0" borderId="0" xfId="91" applyFont="1" applyFill="1" applyBorder="1" applyAlignment="1" applyProtection="1">
      <alignment vertical="center" shrinkToFit="1"/>
      <protection locked="0"/>
    </xf>
    <xf numFmtId="178" fontId="39" fillId="29" borderId="44" xfId="59" applyNumberFormat="1" applyFont="1" applyFill="1" applyBorder="1" applyAlignment="1" applyProtection="1">
      <alignment vertical="center"/>
      <protection locked="0"/>
    </xf>
    <xf numFmtId="43" fontId="50" fillId="0" borderId="0" xfId="91" applyFont="1" applyFill="1" applyBorder="1" applyAlignment="1" applyProtection="1">
      <alignment horizontal="center" vertical="center"/>
      <protection locked="0"/>
    </xf>
    <xf numFmtId="43" fontId="13" fillId="19" borderId="0" xfId="91" applyFont="1" applyFill="1" applyBorder="1" applyAlignment="1" applyProtection="1">
      <alignment vertical="center" shrinkToFit="1"/>
      <protection hidden="1"/>
    </xf>
    <xf numFmtId="43" fontId="13" fillId="19" borderId="53" xfId="91" applyFont="1" applyFill="1" applyBorder="1" applyAlignment="1" applyProtection="1">
      <alignment vertical="center" shrinkToFit="1"/>
      <protection hidden="1"/>
    </xf>
    <xf numFmtId="0" fontId="47" fillId="0" borderId="0" xfId="6" applyFont="1" applyFill="1" applyAlignment="1" applyProtection="1">
      <alignment vertical="center"/>
      <protection locked="0"/>
    </xf>
    <xf numFmtId="43" fontId="12" fillId="0" borderId="0" xfId="91" applyFont="1" applyFill="1" applyAlignment="1" applyProtection="1">
      <alignment vertical="center" shrinkToFit="1"/>
      <protection locked="0"/>
    </xf>
    <xf numFmtId="43" fontId="47" fillId="0" borderId="0" xfId="6" applyNumberFormat="1" applyFont="1" applyFill="1" applyAlignment="1" applyProtection="1">
      <alignment vertical="center"/>
      <protection locked="0"/>
    </xf>
    <xf numFmtId="43" fontId="47" fillId="0" borderId="0" xfId="61" applyNumberFormat="1" applyFont="1" applyFill="1" applyBorder="1" applyAlignment="1" applyProtection="1">
      <alignment horizontal="center" vertical="center"/>
      <protection locked="0"/>
    </xf>
    <xf numFmtId="0" fontId="47" fillId="0" borderId="0" xfId="60" applyFont="1" applyFill="1" applyAlignment="1" applyProtection="1">
      <alignment vertical="center"/>
      <protection locked="0"/>
    </xf>
    <xf numFmtId="178" fontId="39" fillId="0" borderId="44" xfId="59" applyNumberFormat="1" applyFont="1" applyFill="1" applyBorder="1" applyAlignment="1" applyProtection="1">
      <alignment vertical="center"/>
      <protection locked="0"/>
    </xf>
    <xf numFmtId="43" fontId="39" fillId="0" borderId="44" xfId="91" applyFont="1" applyFill="1" applyBorder="1" applyAlignment="1" applyProtection="1">
      <alignment vertical="center"/>
      <protection locked="0"/>
    </xf>
    <xf numFmtId="0" fontId="39" fillId="0" borderId="44" xfId="59" applyFont="1" applyFill="1" applyBorder="1" applyAlignment="1" applyProtection="1">
      <alignment vertical="center"/>
      <protection locked="0"/>
    </xf>
    <xf numFmtId="43" fontId="39" fillId="0" borderId="44" xfId="91" applyFont="1" applyFill="1" applyBorder="1" applyProtection="1">
      <alignment vertical="center"/>
      <protection locked="0"/>
    </xf>
    <xf numFmtId="10" fontId="39" fillId="0" borderId="44" xfId="44" applyNumberFormat="1" applyFont="1" applyFill="1" applyBorder="1" applyProtection="1">
      <alignment vertical="center"/>
      <protection locked="0"/>
    </xf>
    <xf numFmtId="178" fontId="39" fillId="0" borderId="44" xfId="91" applyNumberFormat="1" applyFont="1" applyFill="1" applyBorder="1" applyProtection="1">
      <alignment vertical="center"/>
      <protection locked="0"/>
    </xf>
    <xf numFmtId="10" fontId="39" fillId="0" borderId="60" xfId="44" applyNumberFormat="1" applyFont="1" applyFill="1" applyBorder="1" applyProtection="1">
      <alignment vertical="center"/>
      <protection locked="0"/>
    </xf>
    <xf numFmtId="10" fontId="39" fillId="0" borderId="44" xfId="44" applyNumberFormat="1" applyFont="1" applyFill="1" applyBorder="1" applyProtection="1">
      <alignment vertical="center"/>
      <protection hidden="1"/>
    </xf>
    <xf numFmtId="10" fontId="39" fillId="29" borderId="44" xfId="44" applyNumberFormat="1" applyFont="1" applyFill="1" applyBorder="1" applyProtection="1">
      <alignment vertical="center"/>
      <protection locked="0"/>
    </xf>
    <xf numFmtId="0" fontId="5" fillId="0" borderId="63" xfId="106" applyFont="1" applyFill="1" applyBorder="1" applyAlignment="1" applyProtection="1">
      <alignment horizontal="left" vertical="center" indent="2"/>
      <protection locked="0"/>
    </xf>
    <xf numFmtId="43" fontId="63" fillId="0" borderId="0" xfId="91" applyFont="1" applyFill="1" applyAlignment="1" applyProtection="1">
      <alignment vertical="center"/>
      <protection locked="0"/>
    </xf>
    <xf numFmtId="43" fontId="39" fillId="0" borderId="60" xfId="91" applyFont="1" applyFill="1" applyBorder="1" applyAlignment="1" applyProtection="1">
      <alignment vertical="center"/>
      <protection locked="0"/>
    </xf>
    <xf numFmtId="0" fontId="47" fillId="0" borderId="0" xfId="61" applyFont="1" applyFill="1" applyAlignment="1" applyProtection="1">
      <alignment vertical="center"/>
      <protection locked="0"/>
    </xf>
    <xf numFmtId="43" fontId="50" fillId="0" borderId="0" xfId="91" applyFont="1" applyFill="1" applyAlignment="1" applyProtection="1">
      <alignment vertical="center" shrinkToFit="1"/>
      <protection locked="0"/>
    </xf>
    <xf numFmtId="0" fontId="12" fillId="0" borderId="0" xfId="0" applyFont="1" applyFill="1" applyAlignment="1" applyProtection="1">
      <alignment vertical="center"/>
      <protection locked="0"/>
    </xf>
    <xf numFmtId="178" fontId="45" fillId="0" borderId="0" xfId="61" applyNumberFormat="1" applyFont="1" applyFill="1" applyAlignment="1" applyProtection="1">
      <alignment vertical="center"/>
      <protection locked="0"/>
    </xf>
    <xf numFmtId="43" fontId="69" fillId="0" borderId="0" xfId="91" applyFont="1" applyFill="1" applyAlignment="1" applyProtection="1">
      <alignment vertical="center"/>
      <protection locked="0"/>
    </xf>
    <xf numFmtId="0" fontId="69" fillId="0" borderId="0" xfId="61" applyFont="1" applyFill="1" applyAlignment="1" applyProtection="1">
      <alignment vertical="center"/>
      <protection locked="0"/>
    </xf>
    <xf numFmtId="0" fontId="39" fillId="0" borderId="0" xfId="61" applyFont="1" applyFill="1" applyAlignment="1" applyProtection="1">
      <alignment vertical="center"/>
      <protection locked="0"/>
    </xf>
    <xf numFmtId="43" fontId="39" fillId="0" borderId="0" xfId="91" applyFont="1" applyFill="1" applyAlignment="1" applyProtection="1">
      <alignment vertical="center"/>
      <protection locked="0"/>
    </xf>
    <xf numFmtId="178" fontId="45" fillId="0" borderId="0" xfId="6" applyNumberFormat="1" applyFont="1" applyFill="1" applyAlignment="1" applyProtection="1">
      <alignment vertical="center"/>
      <protection locked="0"/>
    </xf>
    <xf numFmtId="10" fontId="39" fillId="0" borderId="0" xfId="44" applyNumberFormat="1" applyFont="1" applyFill="1" applyAlignment="1" applyProtection="1">
      <alignment vertical="center"/>
      <protection locked="0"/>
    </xf>
    <xf numFmtId="10" fontId="39" fillId="0" borderId="0" xfId="44" applyNumberFormat="1" applyFont="1" applyFill="1" applyAlignment="1" applyProtection="1">
      <alignment vertical="center" wrapText="1"/>
      <protection locked="0"/>
    </xf>
    <xf numFmtId="198" fontId="45" fillId="0" borderId="0" xfId="91" applyNumberFormat="1" applyFont="1" applyFill="1" applyAlignment="1" applyProtection="1">
      <alignment vertical="center"/>
      <protection locked="0"/>
    </xf>
    <xf numFmtId="43" fontId="70" fillId="0" borderId="0" xfId="91" applyFont="1" applyFill="1" applyAlignment="1" applyProtection="1">
      <alignment horizontal="center" vertical="center" wrapText="1"/>
      <protection locked="0"/>
    </xf>
    <xf numFmtId="0" fontId="70" fillId="0" borderId="0" xfId="61" applyFont="1" applyFill="1" applyAlignment="1" applyProtection="1">
      <alignment horizontal="center" vertical="center" wrapText="1"/>
      <protection locked="0"/>
    </xf>
    <xf numFmtId="178" fontId="13" fillId="0" borderId="3" xfId="0" applyNumberFormat="1" applyFont="1" applyFill="1" applyBorder="1" applyAlignment="1" applyProtection="1">
      <alignment horizontal="center" vertical="center" shrinkToFit="1"/>
      <protection locked="0"/>
    </xf>
    <xf numFmtId="0" fontId="67" fillId="0" borderId="0" xfId="0" applyFont="1" applyFill="1" applyAlignment="1" applyProtection="1">
      <alignment vertical="center"/>
      <protection locked="0"/>
    </xf>
    <xf numFmtId="178" fontId="72" fillId="0" borderId="3" xfId="0" applyNumberFormat="1" applyFont="1" applyFill="1" applyBorder="1" applyAlignment="1" applyProtection="1">
      <alignment horizontal="right" vertical="center" shrinkToFit="1"/>
      <protection locked="0"/>
    </xf>
    <xf numFmtId="178" fontId="63" fillId="0" borderId="0" xfId="0" applyNumberFormat="1" applyFont="1" applyFill="1" applyBorder="1" applyAlignment="1" applyProtection="1">
      <alignment horizontal="right" vertical="center" shrinkToFit="1"/>
      <protection locked="0"/>
    </xf>
    <xf numFmtId="0" fontId="63" fillId="0" borderId="0" xfId="0" applyFont="1" applyFill="1" applyBorder="1" applyAlignment="1" applyProtection="1">
      <alignment horizontal="center" vertical="center"/>
      <protection locked="0"/>
    </xf>
    <xf numFmtId="43" fontId="50" fillId="0" borderId="0" xfId="91" applyFont="1" applyFill="1" applyAlignment="1" applyProtection="1">
      <alignment vertical="center"/>
      <protection locked="0"/>
    </xf>
    <xf numFmtId="0" fontId="76" fillId="30" borderId="0" xfId="0" applyFont="1" applyFill="1" applyAlignment="1" applyProtection="1">
      <alignment vertical="center"/>
      <protection locked="0"/>
    </xf>
    <xf numFmtId="43" fontId="70" fillId="0" borderId="0" xfId="91" applyFont="1" applyFill="1" applyAlignment="1" applyProtection="1">
      <alignment vertical="center"/>
      <protection locked="0"/>
    </xf>
    <xf numFmtId="0" fontId="5" fillId="0" borderId="3" xfId="68" applyFont="1" applyFill="1" applyBorder="1" applyAlignment="1" applyProtection="1">
      <alignment vertical="center" wrapText="1"/>
      <protection locked="0"/>
    </xf>
    <xf numFmtId="0" fontId="6" fillId="0" borderId="3" xfId="68" applyFill="1" applyBorder="1" applyAlignment="1" applyProtection="1">
      <alignment vertical="center" wrapText="1"/>
      <protection locked="0"/>
    </xf>
    <xf numFmtId="0" fontId="5" fillId="0" borderId="3" xfId="68" applyFont="1" applyFill="1" applyBorder="1" applyAlignment="1" applyProtection="1">
      <alignment horizontal="center" vertical="center" wrapText="1"/>
      <protection locked="0"/>
    </xf>
    <xf numFmtId="0" fontId="66" fillId="0" borderId="0" xfId="68" applyFont="1" applyFill="1" applyAlignment="1" applyProtection="1">
      <alignment horizontal="center" vertical="center" wrapText="1" shrinkToFit="1"/>
      <protection locked="0"/>
    </xf>
    <xf numFmtId="0" fontId="5" fillId="0" borderId="0" xfId="0" applyFont="1" applyFill="1" applyAlignment="1" applyProtection="1">
      <alignment horizontal="center" vertical="center"/>
      <protection locked="0"/>
    </xf>
    <xf numFmtId="43" fontId="47" fillId="0" borderId="3" xfId="91" applyFont="1" applyFill="1" applyBorder="1" applyAlignment="1" applyProtection="1">
      <alignment vertical="center"/>
      <protection locked="0"/>
    </xf>
    <xf numFmtId="0" fontId="43" fillId="0" borderId="3" xfId="68" applyFont="1" applyFill="1" applyBorder="1" applyAlignment="1" applyProtection="1">
      <alignment horizontal="center" vertical="center"/>
      <protection locked="0"/>
    </xf>
    <xf numFmtId="0" fontId="63" fillId="0" borderId="0" xfId="0" applyFont="1" applyFill="1" applyAlignment="1" applyProtection="1">
      <alignment vertical="center"/>
      <protection locked="0"/>
    </xf>
    <xf numFmtId="0" fontId="50" fillId="0" borderId="0" xfId="114" applyFont="1" applyFill="1" applyAlignment="1" applyProtection="1">
      <alignment horizontal="center" vertical="center"/>
      <protection locked="0"/>
    </xf>
    <xf numFmtId="0" fontId="12" fillId="0" borderId="0" xfId="0" applyFont="1" applyFill="1" applyAlignment="1" applyProtection="1">
      <alignment horizontal="center" vertical="center"/>
      <protection locked="0"/>
    </xf>
    <xf numFmtId="0" fontId="12" fillId="0" borderId="3" xfId="0" applyFont="1" applyFill="1" applyBorder="1" applyAlignment="1" applyProtection="1">
      <alignment horizontal="center" vertical="center"/>
      <protection locked="0"/>
    </xf>
    <xf numFmtId="0" fontId="57" fillId="0" borderId="3" xfId="0" applyFont="1" applyFill="1" applyBorder="1" applyAlignment="1" applyProtection="1">
      <alignment horizontal="center" vertical="center"/>
      <protection locked="0"/>
    </xf>
    <xf numFmtId="0" fontId="56" fillId="0" borderId="29" xfId="61" applyFont="1" applyFill="1" applyBorder="1" applyAlignment="1" applyProtection="1">
      <alignment horizontal="center" vertical="center" wrapText="1"/>
      <protection locked="0"/>
    </xf>
    <xf numFmtId="0" fontId="66" fillId="0" borderId="0" xfId="68" applyFont="1" applyFill="1" applyBorder="1" applyAlignment="1" applyProtection="1">
      <alignment horizontal="center" vertical="center" wrapText="1" shrinkToFit="1"/>
      <protection locked="0"/>
    </xf>
    <xf numFmtId="0" fontId="5" fillId="0" borderId="0" xfId="68" applyFont="1" applyFill="1" applyBorder="1" applyAlignment="1" applyProtection="1">
      <alignment vertical="center" wrapText="1"/>
      <protection locked="0"/>
    </xf>
    <xf numFmtId="179" fontId="50" fillId="0" borderId="0" xfId="0" applyNumberFormat="1" applyFont="1" applyFill="1" applyAlignment="1" applyProtection="1">
      <alignment vertical="center"/>
      <protection locked="0"/>
    </xf>
    <xf numFmtId="0" fontId="3" fillId="0" borderId="0" xfId="0" applyFont="1" applyFill="1" applyAlignment="1" applyProtection="1">
      <alignment vertical="center"/>
      <protection locked="0"/>
    </xf>
    <xf numFmtId="0" fontId="58" fillId="0" borderId="3" xfId="68" applyFont="1" applyFill="1" applyBorder="1" applyAlignment="1" applyProtection="1">
      <alignment horizontal="center" vertical="center"/>
      <protection locked="0"/>
    </xf>
    <xf numFmtId="0" fontId="58" fillId="0" borderId="3" xfId="68" applyFont="1" applyFill="1" applyBorder="1" applyAlignment="1" applyProtection="1">
      <alignment horizontal="left" vertical="center"/>
      <protection locked="0"/>
    </xf>
    <xf numFmtId="0" fontId="39" fillId="0" borderId="0" xfId="0" applyFont="1" applyFill="1" applyAlignment="1" applyProtection="1">
      <alignment horizontal="center" vertical="center"/>
      <protection locked="0"/>
    </xf>
    <xf numFmtId="0" fontId="43" fillId="0" borderId="0" xfId="68" applyFont="1" applyFill="1" applyBorder="1" applyAlignment="1" applyProtection="1">
      <alignment vertical="center"/>
      <protection locked="0"/>
    </xf>
    <xf numFmtId="0" fontId="57" fillId="0" borderId="3" xfId="0" applyFont="1" applyFill="1" applyBorder="1" applyAlignment="1" applyProtection="1">
      <alignment vertical="center"/>
      <protection hidden="1"/>
    </xf>
    <xf numFmtId="0" fontId="57" fillId="0" borderId="3" xfId="0" applyFont="1" applyFill="1" applyBorder="1" applyAlignment="1" applyProtection="1">
      <alignment horizontal="center" vertical="center"/>
      <protection hidden="1"/>
    </xf>
    <xf numFmtId="0" fontId="57" fillId="0" borderId="0" xfId="0" applyFont="1" applyFill="1" applyBorder="1" applyAlignment="1" applyProtection="1">
      <alignment vertical="center"/>
      <protection hidden="1"/>
    </xf>
    <xf numFmtId="0" fontId="57" fillId="0" borderId="0" xfId="0" applyFont="1" applyFill="1" applyBorder="1" applyAlignment="1" applyProtection="1">
      <alignment horizontal="center" vertical="center"/>
      <protection hidden="1"/>
    </xf>
    <xf numFmtId="0" fontId="59" fillId="0" borderId="0" xfId="0" applyFont="1" applyFill="1" applyBorder="1" applyAlignment="1" applyProtection="1">
      <alignment vertical="center"/>
      <protection hidden="1"/>
    </xf>
    <xf numFmtId="0" fontId="59" fillId="0" borderId="0" xfId="0" applyFont="1" applyFill="1" applyBorder="1" applyAlignment="1" applyProtection="1">
      <alignment horizontal="center" vertical="center"/>
      <protection hidden="1"/>
    </xf>
    <xf numFmtId="178" fontId="12" fillId="0" borderId="0" xfId="0" applyNumberFormat="1" applyFont="1" applyFill="1" applyAlignment="1" applyProtection="1">
      <alignment vertical="center"/>
      <protection locked="0"/>
    </xf>
    <xf numFmtId="177" fontId="39" fillId="0" borderId="0" xfId="129" applyFont="1" applyAlignment="1">
      <alignment vertical="center"/>
    </xf>
    <xf numFmtId="177" fontId="39" fillId="0" borderId="0" xfId="129" applyFont="1" applyAlignment="1">
      <alignment horizontal="center" vertical="center"/>
    </xf>
    <xf numFmtId="177" fontId="83" fillId="0" borderId="0" xfId="129" applyFont="1" applyFill="1" applyAlignment="1" applyProtection="1">
      <alignment horizontal="center" vertical="center"/>
      <protection locked="0"/>
    </xf>
    <xf numFmtId="177" fontId="57" fillId="30" borderId="0" xfId="129" applyFont="1" applyFill="1" applyAlignment="1">
      <alignment vertical="center"/>
    </xf>
    <xf numFmtId="177" fontId="39" fillId="30" borderId="0" xfId="129" applyFont="1" applyFill="1" applyAlignment="1">
      <alignment vertical="center"/>
    </xf>
    <xf numFmtId="177" fontId="39" fillId="16" borderId="3" xfId="129" applyFont="1" applyFill="1" applyBorder="1" applyAlignment="1" applyProtection="1">
      <alignment vertical="center" shrinkToFit="1"/>
      <protection locked="0"/>
    </xf>
    <xf numFmtId="177" fontId="83" fillId="0" borderId="0" xfId="129" applyFont="1" applyFill="1" applyAlignment="1" applyProtection="1">
      <alignment horizontal="center" vertical="center" wrapText="1" shrinkToFit="1"/>
      <protection locked="0"/>
    </xf>
    <xf numFmtId="177" fontId="39" fillId="0" borderId="3" xfId="129" applyFont="1" applyFill="1" applyBorder="1" applyAlignment="1" applyProtection="1">
      <alignment horizontal="center" vertical="center" wrapText="1"/>
      <protection locked="0"/>
    </xf>
    <xf numFmtId="0" fontId="39" fillId="0" borderId="0" xfId="129" applyNumberFormat="1" applyFont="1" applyAlignment="1">
      <alignment horizontal="center" vertical="center"/>
    </xf>
    <xf numFmtId="177" fontId="39" fillId="16" borderId="3" xfId="129" applyFont="1" applyFill="1" applyBorder="1" applyAlignment="1" applyProtection="1">
      <alignment vertical="center"/>
      <protection locked="0"/>
    </xf>
    <xf numFmtId="177" fontId="39" fillId="0" borderId="0" xfId="129" applyFont="1" applyFill="1" applyAlignment="1" applyProtection="1">
      <alignment horizontal="center" vertical="center"/>
      <protection locked="0"/>
    </xf>
    <xf numFmtId="177" fontId="56" fillId="0" borderId="26" xfId="129" applyFont="1" applyFill="1" applyBorder="1" applyAlignment="1" applyProtection="1">
      <alignment vertical="center"/>
      <protection locked="0"/>
    </xf>
    <xf numFmtId="177" fontId="56" fillId="0" borderId="27" xfId="129" applyFont="1" applyFill="1" applyBorder="1" applyAlignment="1" applyProtection="1">
      <alignment vertical="center"/>
      <protection locked="0"/>
    </xf>
    <xf numFmtId="177" fontId="39" fillId="0" borderId="3" xfId="129" applyFont="1" applyBorder="1" applyAlignment="1">
      <alignment vertical="center"/>
    </xf>
    <xf numFmtId="177" fontId="39" fillId="0" borderId="27" xfId="129" applyFont="1" applyFill="1" applyBorder="1" applyAlignment="1" applyProtection="1">
      <alignment vertical="center"/>
      <protection locked="0"/>
    </xf>
    <xf numFmtId="177" fontId="71" fillId="0" borderId="0" xfId="129" applyFont="1" applyFill="1" applyAlignment="1" applyProtection="1">
      <alignment horizontal="center" vertical="center" wrapText="1" shrinkToFit="1"/>
      <protection locked="0"/>
    </xf>
    <xf numFmtId="177" fontId="63" fillId="0" borderId="0" xfId="129" applyFont="1" applyFill="1" applyAlignment="1" applyProtection="1">
      <alignment horizontal="center" vertical="center" wrapText="1"/>
      <protection locked="0"/>
    </xf>
    <xf numFmtId="177" fontId="56" fillId="0" borderId="28" xfId="129" applyFont="1" applyFill="1" applyBorder="1" applyAlignment="1" applyProtection="1">
      <alignment vertical="center"/>
      <protection locked="0"/>
    </xf>
    <xf numFmtId="177" fontId="39" fillId="30" borderId="3" xfId="129" applyFont="1" applyFill="1" applyBorder="1" applyAlignment="1" applyProtection="1">
      <alignment vertical="center" shrinkToFit="1"/>
      <protection locked="0"/>
    </xf>
    <xf numFmtId="177" fontId="39" fillId="0" borderId="3" xfId="129" applyFont="1" applyFill="1" applyBorder="1" applyAlignment="1" applyProtection="1">
      <alignment horizontal="center" vertical="center"/>
      <protection locked="0"/>
    </xf>
    <xf numFmtId="177" fontId="56" fillId="0" borderId="27" xfId="129" quotePrefix="1" applyFont="1" applyFill="1" applyBorder="1" applyAlignment="1" applyProtection="1">
      <alignment vertical="center"/>
      <protection locked="0"/>
    </xf>
    <xf numFmtId="177" fontId="39" fillId="0" borderId="27" xfId="129" quotePrefix="1" applyFont="1" applyFill="1" applyBorder="1" applyAlignment="1" applyProtection="1">
      <alignment vertical="center"/>
      <protection locked="0"/>
    </xf>
    <xf numFmtId="177" fontId="39" fillId="0" borderId="28" xfId="129" applyFont="1" applyFill="1" applyBorder="1" applyAlignment="1" applyProtection="1">
      <alignment vertical="center"/>
      <protection locked="0"/>
    </xf>
    <xf numFmtId="177" fontId="56" fillId="0" borderId="28" xfId="129" applyFont="1" applyFill="1" applyBorder="1" applyAlignment="1" applyProtection="1">
      <alignment horizontal="center" vertical="center"/>
      <protection locked="0"/>
    </xf>
    <xf numFmtId="177" fontId="77" fillId="28" borderId="0" xfId="129" applyFont="1" applyFill="1" applyAlignment="1" applyProtection="1">
      <alignment vertical="center"/>
      <protection locked="0"/>
    </xf>
    <xf numFmtId="177" fontId="39" fillId="0" borderId="3" xfId="129" applyFont="1" applyFill="1" applyBorder="1" applyAlignment="1" applyProtection="1">
      <alignment vertical="center"/>
      <protection locked="0"/>
    </xf>
    <xf numFmtId="177" fontId="77" fillId="28" borderId="0" xfId="129" applyFont="1" applyFill="1" applyAlignment="1" applyProtection="1">
      <alignment horizontal="justify" vertical="center"/>
      <protection locked="0"/>
    </xf>
    <xf numFmtId="177" fontId="39" fillId="0" borderId="3" xfId="129" applyFont="1" applyBorder="1" applyAlignment="1">
      <alignment horizontal="center" vertical="center"/>
    </xf>
    <xf numFmtId="177" fontId="39" fillId="0" borderId="3" xfId="129" applyFont="1" applyFill="1" applyBorder="1" applyAlignment="1" applyProtection="1">
      <alignment horizontal="left" vertical="center"/>
      <protection locked="0"/>
    </xf>
    <xf numFmtId="177" fontId="39" fillId="0" borderId="3" xfId="129" applyFont="1" applyFill="1" applyBorder="1" applyAlignment="1" applyProtection="1">
      <alignment horizontal="left" vertical="center" wrapText="1"/>
      <protection locked="0"/>
    </xf>
    <xf numFmtId="177" fontId="39" fillId="0" borderId="0" xfId="129" applyFont="1" applyFill="1" applyAlignment="1" applyProtection="1">
      <alignment vertical="center"/>
      <protection locked="0"/>
    </xf>
    <xf numFmtId="177" fontId="39" fillId="0" borderId="3" xfId="129" applyFont="1" applyFill="1" applyBorder="1" applyAlignment="1" applyProtection="1">
      <alignment horizontal="center" wrapText="1"/>
      <protection locked="0"/>
    </xf>
    <xf numFmtId="177" fontId="39" fillId="0" borderId="3" xfId="129" applyFont="1" applyFill="1" applyBorder="1" applyAlignment="1" applyProtection="1">
      <alignment horizontal="center"/>
      <protection locked="0"/>
    </xf>
    <xf numFmtId="177" fontId="56" fillId="0" borderId="0" xfId="129" applyFont="1" applyFill="1" applyAlignment="1" applyProtection="1">
      <alignment vertical="center"/>
      <protection locked="0"/>
    </xf>
    <xf numFmtId="177" fontId="39" fillId="0" borderId="3" xfId="129" applyFont="1" applyFill="1" applyBorder="1" applyAlignment="1" applyProtection="1">
      <protection locked="0"/>
    </xf>
    <xf numFmtId="177" fontId="39" fillId="0" borderId="3" xfId="129" applyFont="1" applyFill="1" applyBorder="1" applyAlignment="1" applyProtection="1">
      <alignment vertical="center" shrinkToFit="1"/>
      <protection locked="0"/>
    </xf>
    <xf numFmtId="177" fontId="56" fillId="0" borderId="0" xfId="129" applyFont="1" applyFill="1" applyAlignment="1" applyProtection="1">
      <alignment horizontal="justify" vertical="center"/>
      <protection locked="0"/>
    </xf>
    <xf numFmtId="177" fontId="39" fillId="0" borderId="3" xfId="129" applyFont="1" applyFill="1" applyBorder="1" applyAlignment="1" applyProtection="1">
      <alignment horizontal="left" vertical="center" indent="1"/>
      <protection locked="0"/>
    </xf>
    <xf numFmtId="177" fontId="39" fillId="0" borderId="3" xfId="129" applyFont="1" applyFill="1" applyBorder="1" applyAlignment="1" applyProtection="1">
      <alignment horizontal="justify" vertical="center" wrapText="1"/>
      <protection locked="0"/>
    </xf>
    <xf numFmtId="177" fontId="39" fillId="0" borderId="3" xfId="129" applyFont="1" applyFill="1" applyBorder="1" applyAlignment="1" applyProtection="1">
      <alignment horizontal="left" vertical="center" wrapText="1" indent="1"/>
      <protection locked="0"/>
    </xf>
    <xf numFmtId="177" fontId="56" fillId="0" borderId="0" xfId="129" applyFont="1" applyFill="1" applyAlignment="1" applyProtection="1">
      <alignment horizontal="left" vertical="center"/>
      <protection locked="0"/>
    </xf>
    <xf numFmtId="177" fontId="39" fillId="0" borderId="3" xfId="129" applyFont="1" applyFill="1" applyBorder="1" applyAlignment="1" applyProtection="1">
      <alignment horizontal="right" vertical="center" shrinkToFit="1"/>
      <protection locked="0"/>
    </xf>
    <xf numFmtId="177" fontId="39" fillId="0" borderId="3" xfId="129" applyFont="1" applyFill="1" applyBorder="1" applyAlignment="1" applyProtection="1">
      <alignment horizontal="justify" vertical="center"/>
      <protection locked="0"/>
    </xf>
    <xf numFmtId="177" fontId="39" fillId="31" borderId="25" xfId="129" applyFont="1" applyFill="1" applyBorder="1" applyAlignment="1" applyProtection="1">
      <alignment vertical="center"/>
      <protection locked="0"/>
    </xf>
    <xf numFmtId="177" fontId="39" fillId="31" borderId="3" xfId="129" applyFont="1" applyFill="1" applyBorder="1" applyAlignment="1" applyProtection="1">
      <alignment vertical="center"/>
      <protection locked="0"/>
    </xf>
    <xf numFmtId="177" fontId="39" fillId="31" borderId="3" xfId="129" applyFont="1" applyFill="1" applyBorder="1" applyAlignment="1" applyProtection="1">
      <alignment horizontal="center" vertical="center"/>
      <protection locked="0"/>
    </xf>
    <xf numFmtId="177" fontId="56" fillId="0" borderId="0" xfId="129" applyFont="1" applyFill="1" applyAlignment="1" applyProtection="1">
      <alignment horizontal="justify" vertical="center" wrapText="1"/>
      <protection locked="0"/>
    </xf>
    <xf numFmtId="177" fontId="39" fillId="0" borderId="0" xfId="129" applyFont="1" applyFill="1" applyAlignment="1" applyProtection="1">
      <alignment vertical="center" wrapText="1"/>
      <protection locked="0"/>
    </xf>
    <xf numFmtId="177" fontId="39" fillId="0" borderId="3" xfId="129" applyFont="1" applyFill="1" applyBorder="1" applyAlignment="1" applyProtection="1">
      <alignment horizontal="justify" wrapText="1"/>
      <protection locked="0"/>
    </xf>
    <xf numFmtId="177" fontId="39" fillId="0" borderId="3" xfId="129" applyFont="1" applyFill="1" applyBorder="1" applyAlignment="1" applyProtection="1">
      <alignment vertical="top"/>
      <protection locked="0"/>
    </xf>
    <xf numFmtId="177" fontId="39" fillId="31" borderId="3" xfId="129" applyFont="1" applyFill="1" applyBorder="1" applyAlignment="1" applyProtection="1">
      <alignment horizontal="left" vertical="center" wrapText="1"/>
      <protection locked="0"/>
    </xf>
    <xf numFmtId="177" fontId="39" fillId="0" borderId="0" xfId="129" applyFont="1" applyFill="1" applyAlignment="1" applyProtection="1">
      <alignment vertical="center" shrinkToFit="1"/>
      <protection locked="0"/>
    </xf>
    <xf numFmtId="177" fontId="39" fillId="16" borderId="3" xfId="129" applyFont="1" applyFill="1" applyBorder="1" applyAlignment="1" applyProtection="1">
      <alignment horizontal="center" vertical="center"/>
      <protection locked="0"/>
    </xf>
    <xf numFmtId="177" fontId="39" fillId="0" borderId="3" xfId="129" applyFont="1" applyFill="1" applyBorder="1" applyAlignment="1" applyProtection="1">
      <alignment vertical="center" wrapText="1"/>
      <protection locked="0"/>
    </xf>
    <xf numFmtId="177" fontId="56" fillId="0" borderId="3" xfId="129" applyFont="1" applyFill="1" applyBorder="1" applyAlignment="1" applyProtection="1">
      <alignment horizontal="center" vertical="center" wrapText="1"/>
      <protection locked="0"/>
    </xf>
    <xf numFmtId="177" fontId="39" fillId="0" borderId="3" xfId="129" applyFont="1" applyFill="1" applyBorder="1" applyAlignment="1" applyProtection="1">
      <alignment horizontal="left" vertical="top" wrapText="1"/>
      <protection locked="0"/>
    </xf>
    <xf numFmtId="177" fontId="39" fillId="0" borderId="3" xfId="129" applyFont="1" applyFill="1" applyBorder="1" applyAlignment="1" applyProtection="1">
      <alignment horizontal="left" vertical="top" wrapText="1" indent="1"/>
      <protection locked="0"/>
    </xf>
    <xf numFmtId="177" fontId="39" fillId="31" borderId="3" xfId="129" applyFont="1" applyFill="1" applyBorder="1" applyAlignment="1" applyProtection="1">
      <alignment horizontal="justify" vertical="center"/>
      <protection locked="0"/>
    </xf>
    <xf numFmtId="177" fontId="39" fillId="0" borderId="0" xfId="129" applyFont="1" applyFill="1" applyBorder="1" applyAlignment="1" applyProtection="1">
      <alignment horizontal="center" vertical="center" wrapText="1"/>
      <protection locked="0"/>
    </xf>
    <xf numFmtId="177" fontId="39" fillId="0" borderId="0" xfId="129" applyFont="1" applyFill="1" applyBorder="1" applyAlignment="1" applyProtection="1">
      <alignment vertical="center" shrinkToFit="1"/>
      <protection locked="0"/>
    </xf>
    <xf numFmtId="177" fontId="39" fillId="0" borderId="0" xfId="129" applyFont="1" applyFill="1" applyAlignment="1" applyProtection="1">
      <alignment horizontal="justify" vertical="center"/>
      <protection locked="0"/>
    </xf>
    <xf numFmtId="177" fontId="39" fillId="0" borderId="3" xfId="129" applyFont="1" applyBorder="1" applyAlignment="1" applyProtection="1">
      <alignment horizontal="left" vertical="center"/>
      <protection locked="0"/>
    </xf>
    <xf numFmtId="177" fontId="39" fillId="0" borderId="3" xfId="129" applyFont="1" applyBorder="1" applyAlignment="1" applyProtection="1">
      <alignment horizontal="left" vertical="center" indent="1"/>
      <protection locked="0"/>
    </xf>
    <xf numFmtId="177" fontId="39" fillId="0" borderId="3" xfId="129" applyFont="1" applyBorder="1" applyAlignment="1" applyProtection="1">
      <alignment horizontal="left" vertical="center" wrapText="1"/>
      <protection locked="0"/>
    </xf>
    <xf numFmtId="177" fontId="39" fillId="0" borderId="3" xfId="129" applyFont="1" applyBorder="1" applyAlignment="1" applyProtection="1">
      <alignment horizontal="justify" vertical="center" wrapText="1"/>
      <protection locked="0"/>
    </xf>
    <xf numFmtId="177" fontId="56" fillId="0" borderId="0" xfId="129" applyFont="1" applyFill="1" applyAlignment="1">
      <alignment vertical="center"/>
    </xf>
    <xf numFmtId="177" fontId="56" fillId="0" borderId="3" xfId="129" applyFont="1" applyFill="1" applyBorder="1" applyAlignment="1" applyProtection="1">
      <alignment vertical="center"/>
      <protection locked="0"/>
    </xf>
    <xf numFmtId="177" fontId="56" fillId="0" borderId="13" xfId="129" applyFont="1" applyFill="1" applyBorder="1" applyAlignment="1" applyProtection="1">
      <alignment vertical="center"/>
      <protection locked="0"/>
    </xf>
    <xf numFmtId="177" fontId="39" fillId="0" borderId="0" xfId="129" applyFont="1" applyFill="1" applyBorder="1" applyAlignment="1" applyProtection="1">
      <alignment vertical="center"/>
      <protection locked="0"/>
    </xf>
    <xf numFmtId="177" fontId="39" fillId="0" borderId="0" xfId="129" applyFont="1" applyFill="1" applyAlignment="1" applyProtection="1">
      <alignment vertical="center" wrapText="1" shrinkToFit="1"/>
      <protection locked="0"/>
    </xf>
    <xf numFmtId="177" fontId="39" fillId="30" borderId="75" xfId="129" applyFont="1" applyFill="1" applyBorder="1" applyAlignment="1" applyProtection="1">
      <alignment vertical="center"/>
      <protection locked="0"/>
    </xf>
    <xf numFmtId="177" fontId="39" fillId="0" borderId="3" xfId="129" applyFont="1" applyFill="1" applyBorder="1" applyAlignment="1" applyProtection="1">
      <alignment horizontal="center" vertical="center" wrapText="1" shrinkToFit="1"/>
      <protection locked="0"/>
    </xf>
    <xf numFmtId="177" fontId="39" fillId="0" borderId="3" xfId="129" applyFont="1" applyBorder="1" applyAlignment="1">
      <alignment horizontal="centerContinuous" vertical="center"/>
    </xf>
    <xf numFmtId="0" fontId="50" fillId="0" borderId="0" xfId="114" applyFont="1" applyFill="1" applyAlignment="1" applyProtection="1">
      <alignment vertical="center"/>
      <protection locked="0"/>
    </xf>
    <xf numFmtId="177" fontId="50" fillId="0" borderId="0" xfId="129" applyFont="1" applyFill="1" applyProtection="1">
      <alignment vertical="center"/>
      <protection locked="0"/>
    </xf>
    <xf numFmtId="177" fontId="13" fillId="0" borderId="0" xfId="129" applyFont="1" applyFill="1" applyProtection="1">
      <alignment vertical="center"/>
      <protection locked="0"/>
    </xf>
    <xf numFmtId="0" fontId="5" fillId="0" borderId="0" xfId="114" applyFont="1" applyFill="1" applyAlignment="1" applyProtection="1">
      <alignment horizontal="center" vertical="center"/>
      <protection locked="0"/>
    </xf>
    <xf numFmtId="0" fontId="42" fillId="0" borderId="3" xfId="114" applyFont="1" applyFill="1" applyBorder="1" applyAlignment="1" applyProtection="1">
      <alignment horizontal="center" vertical="center"/>
      <protection locked="0"/>
    </xf>
    <xf numFmtId="177" fontId="42" fillId="0" borderId="3" xfId="129" applyFont="1" applyFill="1" applyBorder="1" applyAlignment="1" applyProtection="1">
      <alignment horizontal="center" vertical="center"/>
      <protection locked="0"/>
    </xf>
    <xf numFmtId="0" fontId="57" fillId="0" borderId="0" xfId="114" applyFont="1" applyFill="1" applyAlignment="1" applyProtection="1">
      <alignment horizontal="center" vertical="center" wrapText="1"/>
      <protection locked="0"/>
    </xf>
    <xf numFmtId="0" fontId="57" fillId="0" borderId="3" xfId="68" applyFont="1" applyFill="1" applyBorder="1" applyAlignment="1" applyProtection="1">
      <alignment horizontal="center" vertical="center" wrapText="1"/>
      <protection locked="0"/>
    </xf>
    <xf numFmtId="177" fontId="57" fillId="0" borderId="3" xfId="129" applyFont="1" applyFill="1" applyBorder="1" applyAlignment="1" applyProtection="1">
      <alignment horizontal="center" vertical="center" wrapText="1"/>
      <protection locked="0"/>
    </xf>
    <xf numFmtId="0" fontId="12" fillId="0" borderId="0" xfId="114" applyFont="1" applyFill="1" applyAlignment="1" applyProtection="1">
      <alignment vertical="center"/>
      <protection locked="0"/>
    </xf>
    <xf numFmtId="0" fontId="12" fillId="0" borderId="0" xfId="114" applyFont="1" applyFill="1" applyAlignment="1" applyProtection="1">
      <alignment horizontal="center" vertical="center" wrapText="1"/>
      <protection locked="0"/>
    </xf>
    <xf numFmtId="0" fontId="5" fillId="0" borderId="0" xfId="114" applyFont="1" applyFill="1" applyBorder="1" applyAlignment="1" applyProtection="1">
      <alignment horizontal="center" vertical="center" wrapText="1"/>
      <protection locked="0"/>
    </xf>
    <xf numFmtId="0" fontId="57" fillId="0" borderId="3" xfId="68" applyFont="1" applyFill="1" applyBorder="1" applyAlignment="1" applyProtection="1">
      <alignment vertical="center" wrapText="1"/>
      <protection locked="0"/>
    </xf>
    <xf numFmtId="0" fontId="66" fillId="0" borderId="3" xfId="68" applyFont="1" applyFill="1" applyBorder="1" applyAlignment="1" applyProtection="1">
      <alignment vertical="center"/>
      <protection locked="0"/>
    </xf>
    <xf numFmtId="177" fontId="57" fillId="0" borderId="3" xfId="129" applyFont="1" applyFill="1" applyBorder="1" applyAlignment="1" applyProtection="1">
      <alignment vertical="center"/>
      <protection locked="0"/>
    </xf>
    <xf numFmtId="177" fontId="58" fillId="0" borderId="3" xfId="129" applyFont="1" applyFill="1" applyBorder="1" applyAlignment="1" applyProtection="1">
      <alignment horizontal="center" vertical="center"/>
      <protection locked="0"/>
    </xf>
    <xf numFmtId="178" fontId="13" fillId="0" borderId="3" xfId="114" applyNumberFormat="1" applyFont="1" applyFill="1" applyBorder="1" applyAlignment="1" applyProtection="1">
      <alignment vertical="center" shrinkToFit="1"/>
      <protection locked="0"/>
    </xf>
    <xf numFmtId="0" fontId="42" fillId="0" borderId="3" xfId="114" applyFont="1" applyFill="1" applyBorder="1" applyAlignment="1" applyProtection="1">
      <alignment horizontal="center" vertical="center" wrapText="1"/>
      <protection locked="0"/>
    </xf>
    <xf numFmtId="0" fontId="50" fillId="0" borderId="0" xfId="114" applyFont="1" applyFill="1" applyAlignment="1" applyProtection="1">
      <alignment horizontal="center" vertical="center" wrapText="1"/>
      <protection locked="0"/>
    </xf>
    <xf numFmtId="0" fontId="5" fillId="0" borderId="0" xfId="114" applyFont="1" applyFill="1" applyAlignment="1" applyProtection="1">
      <alignment horizontal="center" vertical="center" wrapText="1"/>
      <protection locked="0"/>
    </xf>
    <xf numFmtId="177" fontId="43" fillId="0" borderId="3" xfId="129" applyFont="1" applyFill="1" applyBorder="1" applyAlignment="1" applyProtection="1">
      <alignment horizontal="center" vertical="center"/>
      <protection locked="0"/>
    </xf>
    <xf numFmtId="177" fontId="5" fillId="0" borderId="3" xfId="129" applyFont="1" applyFill="1" applyBorder="1" applyAlignment="1" applyProtection="1">
      <alignment vertical="center" wrapText="1"/>
      <protection locked="0"/>
    </xf>
    <xf numFmtId="177" fontId="13" fillId="0" borderId="3" xfId="129" applyFont="1" applyFill="1" applyBorder="1" applyAlignment="1" applyProtection="1">
      <alignment vertical="center" shrinkToFit="1"/>
      <protection locked="0"/>
    </xf>
    <xf numFmtId="0" fontId="6" fillId="0" borderId="3" xfId="68" applyFill="1" applyBorder="1" applyAlignment="1" applyProtection="1">
      <alignment vertical="center"/>
      <protection locked="0"/>
    </xf>
    <xf numFmtId="177" fontId="13" fillId="16" borderId="3" xfId="129" applyFont="1" applyFill="1" applyBorder="1" applyAlignment="1" applyProtection="1">
      <alignment vertical="center" shrinkToFit="1"/>
      <protection locked="0"/>
    </xf>
    <xf numFmtId="0" fontId="5" fillId="0" borderId="3" xfId="114" applyFont="1" applyFill="1" applyBorder="1" applyAlignment="1" applyProtection="1">
      <alignment vertical="center"/>
      <protection locked="0"/>
    </xf>
    <xf numFmtId="178" fontId="13" fillId="0" borderId="3" xfId="129" applyNumberFormat="1" applyFont="1" applyFill="1" applyBorder="1" applyAlignment="1" applyProtection="1">
      <alignment vertical="center" shrinkToFit="1"/>
      <protection locked="0"/>
    </xf>
    <xf numFmtId="177" fontId="57" fillId="0" borderId="3" xfId="129" applyFont="1" applyBorder="1" applyAlignment="1">
      <alignment horizontal="center" vertical="center"/>
    </xf>
    <xf numFmtId="177" fontId="57" fillId="0" borderId="3" xfId="129" applyFont="1" applyFill="1" applyBorder="1" applyAlignment="1" applyProtection="1">
      <alignment horizontal="center" wrapText="1"/>
      <protection locked="0"/>
    </xf>
    <xf numFmtId="177" fontId="57" fillId="0" borderId="3" xfId="129" applyFont="1" applyFill="1" applyBorder="1" applyAlignment="1" applyProtection="1">
      <alignment horizontal="center" vertical="center"/>
      <protection locked="0"/>
    </xf>
    <xf numFmtId="177" fontId="57" fillId="0" borderId="2" xfId="129" applyFont="1" applyFill="1" applyBorder="1" applyAlignment="1" applyProtection="1">
      <alignment horizontal="center" vertical="center" wrapText="1"/>
      <protection locked="0"/>
    </xf>
    <xf numFmtId="179" fontId="5" fillId="0" borderId="0" xfId="0" applyNumberFormat="1" applyFont="1" applyFill="1" applyAlignment="1" applyProtection="1">
      <alignment vertical="center"/>
      <protection locked="0"/>
    </xf>
    <xf numFmtId="177" fontId="57" fillId="0" borderId="27" xfId="129" applyFont="1" applyFill="1" applyBorder="1" applyAlignment="1" applyProtection="1">
      <alignment vertical="center"/>
      <protection locked="0"/>
    </xf>
    <xf numFmtId="43" fontId="47" fillId="0" borderId="0" xfId="91" applyFont="1" applyFill="1" applyAlignment="1" applyProtection="1">
      <alignment vertical="center"/>
      <protection locked="0"/>
    </xf>
    <xf numFmtId="0" fontId="57" fillId="0" borderId="0" xfId="68" applyFont="1" applyFill="1" applyAlignment="1" applyProtection="1">
      <alignment vertical="center"/>
      <protection locked="0"/>
    </xf>
    <xf numFmtId="178" fontId="13" fillId="19" borderId="3" xfId="0" applyNumberFormat="1" applyFont="1" applyFill="1" applyBorder="1" applyAlignment="1" applyProtection="1">
      <alignment vertical="center" shrinkToFit="1"/>
      <protection hidden="1"/>
    </xf>
    <xf numFmtId="43" fontId="13" fillId="19" borderId="3" xfId="91" applyFont="1" applyFill="1" applyBorder="1" applyAlignment="1" applyProtection="1">
      <alignment vertical="center" shrinkToFit="1"/>
      <protection hidden="1"/>
    </xf>
    <xf numFmtId="43" fontId="53" fillId="19" borderId="0" xfId="91" applyFont="1" applyFill="1" applyBorder="1" applyAlignment="1" applyProtection="1">
      <alignment vertical="center" shrinkToFit="1"/>
      <protection hidden="1"/>
    </xf>
    <xf numFmtId="43" fontId="13" fillId="0" borderId="53" xfId="91" applyFont="1" applyFill="1" applyBorder="1" applyAlignment="1" applyProtection="1">
      <alignment vertical="center" shrinkToFit="1"/>
      <protection locked="0"/>
    </xf>
    <xf numFmtId="43" fontId="50" fillId="19" borderId="0" xfId="91" applyFont="1" applyFill="1" applyBorder="1" applyAlignment="1" applyProtection="1">
      <alignment horizontal="center" vertical="center"/>
      <protection hidden="1"/>
    </xf>
    <xf numFmtId="43" fontId="5" fillId="0" borderId="63" xfId="91" applyFont="1" applyFill="1" applyBorder="1" applyAlignment="1" applyProtection="1">
      <alignment horizontal="right" vertical="center"/>
      <protection locked="0"/>
    </xf>
    <xf numFmtId="43" fontId="5" fillId="0" borderId="64" xfId="91" applyFont="1" applyFill="1" applyBorder="1" applyAlignment="1" applyProtection="1">
      <alignment horizontal="right" vertical="center"/>
      <protection locked="0"/>
    </xf>
    <xf numFmtId="43" fontId="63" fillId="19" borderId="0" xfId="91" applyFont="1" applyFill="1" applyAlignment="1" applyProtection="1">
      <alignment vertical="center"/>
      <protection hidden="1"/>
    </xf>
    <xf numFmtId="0" fontId="55" fillId="0" borderId="0" xfId="61" applyFont="1" applyFill="1" applyBorder="1" applyAlignment="1" applyProtection="1">
      <alignment horizontal="left" vertical="center"/>
      <protection locked="0"/>
    </xf>
    <xf numFmtId="43" fontId="69" fillId="0" borderId="0" xfId="91" applyFont="1" applyFill="1" applyBorder="1" applyAlignment="1" applyProtection="1">
      <alignment horizontal="left" vertical="center"/>
      <protection locked="0"/>
    </xf>
    <xf numFmtId="43" fontId="69" fillId="0" borderId="0" xfId="92" applyFont="1" applyFill="1" applyAlignment="1" applyProtection="1">
      <alignment horizontal="center" vertical="center"/>
      <protection locked="0"/>
    </xf>
    <xf numFmtId="10" fontId="7" fillId="0" borderId="0" xfId="45" applyNumberFormat="1" applyFont="1" applyFill="1" applyAlignment="1" applyProtection="1">
      <alignment vertical="center"/>
      <protection locked="0"/>
    </xf>
    <xf numFmtId="10" fontId="69" fillId="0" borderId="0" xfId="44" applyNumberFormat="1" applyFont="1" applyFill="1" applyBorder="1" applyAlignment="1" applyProtection="1">
      <alignment horizontal="left" vertical="center"/>
      <protection locked="0"/>
    </xf>
    <xf numFmtId="10" fontId="69" fillId="0" borderId="0" xfId="44" applyNumberFormat="1" applyFont="1" applyFill="1" applyBorder="1" applyAlignment="1" applyProtection="1">
      <alignment horizontal="right" vertical="center"/>
      <protection locked="0"/>
    </xf>
    <xf numFmtId="43" fontId="69" fillId="19" borderId="0" xfId="91" applyFont="1" applyFill="1" applyBorder="1" applyAlignment="1" applyProtection="1">
      <alignment horizontal="left" vertical="center"/>
      <protection hidden="1"/>
    </xf>
    <xf numFmtId="10" fontId="69" fillId="19" borderId="0" xfId="44" applyNumberFormat="1" applyFont="1" applyFill="1" applyBorder="1" applyAlignment="1" applyProtection="1">
      <alignment horizontal="left" vertical="center"/>
      <protection hidden="1"/>
    </xf>
    <xf numFmtId="10" fontId="69" fillId="19" borderId="0" xfId="44" applyNumberFormat="1" applyFont="1" applyFill="1" applyBorder="1" applyAlignment="1" applyProtection="1">
      <alignment horizontal="right" vertical="center"/>
      <protection hidden="1"/>
    </xf>
    <xf numFmtId="0" fontId="57" fillId="0" borderId="0" xfId="61" applyFont="1" applyFill="1" applyAlignment="1" applyProtection="1">
      <alignment vertical="center" wrapText="1"/>
      <protection locked="0"/>
    </xf>
    <xf numFmtId="43" fontId="57" fillId="0" borderId="0" xfId="91" applyFont="1" applyFill="1" applyAlignment="1" applyProtection="1">
      <alignment horizontal="left" vertical="center"/>
      <protection locked="0"/>
    </xf>
    <xf numFmtId="198" fontId="57" fillId="0" borderId="0" xfId="91" applyNumberFormat="1" applyFont="1" applyFill="1" applyAlignment="1" applyProtection="1">
      <alignment vertical="center" wrapText="1"/>
      <protection locked="0"/>
    </xf>
    <xf numFmtId="0" fontId="5" fillId="0" borderId="0" xfId="0" applyFont="1" applyFill="1" applyAlignment="1" applyProtection="1">
      <protection locked="0"/>
    </xf>
    <xf numFmtId="43" fontId="7" fillId="0" borderId="0" xfId="91" applyFont="1" applyFill="1" applyAlignment="1" applyProtection="1">
      <alignment horizontal="left" vertical="center"/>
      <protection locked="0"/>
    </xf>
    <xf numFmtId="198" fontId="13" fillId="19" borderId="0" xfId="91" applyNumberFormat="1" applyFont="1" applyFill="1" applyBorder="1" applyAlignment="1" applyProtection="1">
      <alignment vertical="center" shrinkToFit="1"/>
      <protection hidden="1"/>
    </xf>
    <xf numFmtId="43" fontId="13" fillId="19" borderId="0" xfId="91" applyFont="1" applyFill="1" applyBorder="1" applyAlignment="1" applyProtection="1">
      <alignment horizontal="left" vertical="center"/>
      <protection hidden="1"/>
    </xf>
    <xf numFmtId="10" fontId="13" fillId="19" borderId="0" xfId="44" applyNumberFormat="1" applyFont="1" applyFill="1" applyBorder="1" applyAlignment="1" applyProtection="1">
      <alignment vertical="center" shrinkToFit="1"/>
      <protection hidden="1"/>
    </xf>
    <xf numFmtId="10" fontId="7" fillId="19" borderId="0" xfId="44" applyNumberFormat="1" applyFont="1" applyFill="1" applyAlignment="1" applyProtection="1">
      <alignment vertical="center"/>
      <protection hidden="1"/>
    </xf>
    <xf numFmtId="43" fontId="39" fillId="0" borderId="0" xfId="91" applyFont="1" applyFill="1" applyBorder="1" applyAlignment="1" applyProtection="1">
      <alignment vertical="center" shrinkToFit="1"/>
      <protection locked="0"/>
    </xf>
    <xf numFmtId="10" fontId="39" fillId="0" borderId="0" xfId="44" applyNumberFormat="1" applyFont="1" applyFill="1" applyBorder="1" applyAlignment="1" applyProtection="1">
      <alignment vertical="center" shrinkToFit="1"/>
      <protection locked="0"/>
    </xf>
    <xf numFmtId="43" fontId="39" fillId="0" borderId="53" xfId="91" applyFont="1" applyFill="1" applyBorder="1" applyAlignment="1" applyProtection="1">
      <alignment vertical="center" shrinkToFit="1"/>
      <protection locked="0"/>
    </xf>
    <xf numFmtId="10" fontId="39" fillId="0" borderId="53" xfId="44" applyNumberFormat="1" applyFont="1" applyFill="1" applyBorder="1" applyAlignment="1" applyProtection="1">
      <alignment vertical="center" shrinkToFit="1"/>
      <protection locked="0"/>
    </xf>
    <xf numFmtId="43" fontId="39" fillId="19" borderId="0" xfId="91" applyFont="1" applyFill="1" applyBorder="1" applyAlignment="1" applyProtection="1">
      <alignment horizontal="left" vertical="center"/>
      <protection hidden="1"/>
    </xf>
    <xf numFmtId="10" fontId="39" fillId="19" borderId="0" xfId="44" applyNumberFormat="1" applyFont="1" applyFill="1" applyBorder="1" applyAlignment="1" applyProtection="1">
      <alignment horizontal="left" vertical="center"/>
      <protection hidden="1"/>
    </xf>
    <xf numFmtId="43" fontId="70" fillId="19" borderId="0" xfId="91" applyFont="1" applyFill="1" applyBorder="1" applyAlignment="1" applyProtection="1">
      <alignment horizontal="left" vertical="center"/>
      <protection hidden="1"/>
    </xf>
    <xf numFmtId="0" fontId="78" fillId="0" borderId="0" xfId="68" applyFont="1" applyFill="1" applyBorder="1" applyAlignment="1" applyProtection="1">
      <alignment vertical="center" wrapText="1" shrinkToFit="1"/>
      <protection locked="0"/>
    </xf>
    <xf numFmtId="0" fontId="56" fillId="19" borderId="19" xfId="62" applyFont="1" applyFill="1" applyBorder="1" applyAlignment="1" applyProtection="1">
      <alignment vertical="center"/>
      <protection hidden="1"/>
    </xf>
    <xf numFmtId="0" fontId="56" fillId="19" borderId="20" xfId="62" applyFont="1" applyFill="1" applyBorder="1" applyAlignment="1" applyProtection="1">
      <alignment vertical="center"/>
      <protection hidden="1"/>
    </xf>
    <xf numFmtId="31" fontId="56" fillId="19" borderId="16" xfId="91" applyNumberFormat="1" applyFont="1" applyFill="1" applyBorder="1" applyAlignment="1" applyProtection="1">
      <alignment vertical="center" shrinkToFit="1"/>
      <protection hidden="1"/>
    </xf>
    <xf numFmtId="179" fontId="56" fillId="19" borderId="0" xfId="62" applyNumberFormat="1" applyFont="1" applyFill="1" applyBorder="1" applyAlignment="1" applyProtection="1">
      <alignment horizontal="left" vertical="center"/>
      <protection hidden="1"/>
    </xf>
    <xf numFmtId="179" fontId="56" fillId="19" borderId="16" xfId="62" applyNumberFormat="1" applyFont="1" applyFill="1" applyBorder="1" applyAlignment="1" applyProtection="1">
      <alignment horizontal="left" vertical="center"/>
      <protection hidden="1"/>
    </xf>
    <xf numFmtId="192" fontId="39" fillId="19" borderId="18" xfId="62" applyNumberFormat="1" applyFont="1" applyFill="1" applyBorder="1" applyAlignment="1" applyProtection="1">
      <alignment horizontal="left" vertical="center" shrinkToFit="1"/>
      <protection hidden="1"/>
    </xf>
    <xf numFmtId="192" fontId="39" fillId="19" borderId="35" xfId="62" applyNumberFormat="1" applyFont="1" applyFill="1" applyBorder="1" applyAlignment="1" applyProtection="1">
      <alignment horizontal="left" vertical="center" shrinkToFit="1"/>
      <protection hidden="1"/>
    </xf>
    <xf numFmtId="178" fontId="13" fillId="19" borderId="3" xfId="91" applyNumberFormat="1" applyFont="1" applyFill="1" applyBorder="1" applyAlignment="1" applyProtection="1">
      <alignment vertical="center" shrinkToFit="1"/>
      <protection hidden="1"/>
    </xf>
    <xf numFmtId="10" fontId="13" fillId="19" borderId="25" xfId="44" applyNumberFormat="1" applyFont="1" applyFill="1" applyBorder="1" applyAlignment="1" applyProtection="1">
      <alignment vertical="center" shrinkToFit="1"/>
      <protection hidden="1"/>
    </xf>
    <xf numFmtId="178" fontId="53" fillId="19" borderId="3" xfId="91" applyNumberFormat="1" applyFont="1" applyFill="1" applyBorder="1" applyAlignment="1" applyProtection="1">
      <alignment vertical="center" shrinkToFit="1"/>
      <protection hidden="1"/>
    </xf>
    <xf numFmtId="10" fontId="53" fillId="19" borderId="25" xfId="44" applyNumberFormat="1" applyFont="1" applyFill="1" applyBorder="1" applyAlignment="1" applyProtection="1">
      <alignment vertical="center" shrinkToFit="1"/>
      <protection hidden="1"/>
    </xf>
    <xf numFmtId="0" fontId="39" fillId="19" borderId="0" xfId="62" applyFont="1" applyFill="1" applyAlignment="1" applyProtection="1">
      <alignment vertical="center"/>
      <protection hidden="1"/>
    </xf>
    <xf numFmtId="0" fontId="45" fillId="19" borderId="0" xfId="62" applyFont="1" applyFill="1" applyAlignment="1" applyProtection="1">
      <alignment vertical="center"/>
      <protection hidden="1"/>
    </xf>
    <xf numFmtId="0" fontId="47" fillId="19" borderId="0" xfId="62" applyFont="1" applyFill="1" applyAlignment="1" applyProtection="1">
      <alignment vertical="center"/>
      <protection hidden="1"/>
    </xf>
    <xf numFmtId="0" fontId="5" fillId="0" borderId="0" xfId="68" applyFont="1" applyFill="1" applyAlignment="1" applyProtection="1">
      <alignment vertical="center"/>
      <protection locked="0"/>
    </xf>
    <xf numFmtId="0" fontId="57" fillId="0" borderId="0" xfId="0" applyFont="1" applyFill="1" applyAlignment="1" applyProtection="1">
      <alignment vertical="center"/>
      <protection locked="0"/>
    </xf>
    <xf numFmtId="0" fontId="5" fillId="0" borderId="3" xfId="0" applyFont="1" applyFill="1" applyBorder="1" applyAlignment="1" applyProtection="1">
      <alignment horizontal="center" vertical="center"/>
      <protection locked="0"/>
    </xf>
    <xf numFmtId="0" fontId="5" fillId="0" borderId="3" xfId="0" applyFont="1" applyFill="1" applyBorder="1" applyAlignment="1" applyProtection="1">
      <alignment horizontal="center" vertical="center" wrapText="1"/>
      <protection locked="0"/>
    </xf>
    <xf numFmtId="0" fontId="50" fillId="0" borderId="3" xfId="0" applyFont="1" applyFill="1" applyBorder="1" applyAlignment="1" applyProtection="1">
      <alignment horizontal="center" vertical="center" wrapText="1"/>
      <protection locked="0"/>
    </xf>
    <xf numFmtId="0" fontId="57" fillId="0" borderId="0" xfId="0" applyFont="1" applyFill="1" applyAlignment="1" applyProtection="1">
      <alignment horizontal="left" vertical="center" indent="1"/>
      <protection locked="0"/>
    </xf>
    <xf numFmtId="4" fontId="15" fillId="0" borderId="0" xfId="0" applyNumberFormat="1" applyFont="1" applyFill="1" applyAlignment="1" applyProtection="1">
      <alignment horizontal="left" vertical="center" indent="1"/>
      <protection locked="0"/>
    </xf>
    <xf numFmtId="0" fontId="15" fillId="0" borderId="0" xfId="0" applyFont="1" applyFill="1" applyAlignment="1" applyProtection="1">
      <alignment vertical="center"/>
      <protection locked="0"/>
    </xf>
    <xf numFmtId="178" fontId="39" fillId="0" borderId="3" xfId="0" applyNumberFormat="1" applyFont="1" applyFill="1" applyBorder="1" applyAlignment="1" applyProtection="1">
      <alignment vertical="center"/>
      <protection locked="0"/>
    </xf>
    <xf numFmtId="0" fontId="115" fillId="0" borderId="0" xfId="0" applyFont="1" applyFill="1" applyAlignment="1" applyProtection="1">
      <alignment vertical="center"/>
      <protection locked="0"/>
    </xf>
    <xf numFmtId="0" fontId="39" fillId="0" borderId="3" xfId="0" applyFont="1" applyFill="1" applyBorder="1" applyAlignment="1" applyProtection="1">
      <alignment horizontal="center" wrapText="1"/>
      <protection locked="0"/>
    </xf>
    <xf numFmtId="0" fontId="39" fillId="0" borderId="3" xfId="0" applyFont="1" applyFill="1" applyBorder="1" applyAlignment="1" applyProtection="1">
      <alignment horizontal="left" vertical="center" wrapText="1"/>
      <protection locked="0"/>
    </xf>
    <xf numFmtId="178" fontId="39" fillId="0" borderId="3" xfId="91" applyNumberFormat="1" applyFont="1" applyFill="1" applyBorder="1" applyAlignment="1" applyProtection="1">
      <alignment horizontal="right" vertical="center" wrapText="1"/>
      <protection locked="0"/>
    </xf>
    <xf numFmtId="0" fontId="39" fillId="0" borderId="3" xfId="0" applyFont="1" applyFill="1" applyBorder="1" applyAlignment="1" applyProtection="1">
      <alignment horizontal="justify" vertical="center" wrapText="1"/>
      <protection locked="0"/>
    </xf>
    <xf numFmtId="178" fontId="39" fillId="0" borderId="3" xfId="0" applyNumberFormat="1" applyFont="1" applyFill="1" applyBorder="1" applyAlignment="1" applyProtection="1">
      <alignment horizontal="right" vertical="center" wrapText="1"/>
      <protection locked="0"/>
    </xf>
    <xf numFmtId="0" fontId="57" fillId="0" borderId="0" xfId="0" applyFont="1" applyFill="1" applyBorder="1" applyAlignment="1" applyProtection="1">
      <alignment horizontal="left" vertical="center"/>
      <protection locked="0"/>
    </xf>
    <xf numFmtId="0" fontId="39" fillId="0" borderId="0" xfId="68" applyFont="1" applyFill="1" applyAlignment="1" applyProtection="1">
      <alignment horizontal="center" vertical="center"/>
      <protection locked="0"/>
    </xf>
    <xf numFmtId="0" fontId="39" fillId="0" borderId="0" xfId="0" applyFont="1" applyFill="1" applyAlignment="1" applyProtection="1">
      <alignment vertical="center"/>
      <protection locked="0"/>
    </xf>
    <xf numFmtId="178" fontId="39" fillId="0" borderId="0" xfId="0" applyNumberFormat="1" applyFont="1" applyFill="1" applyAlignment="1" applyProtection="1">
      <alignment vertical="center"/>
      <protection locked="0"/>
    </xf>
    <xf numFmtId="178" fontId="39" fillId="0" borderId="0" xfId="0" applyNumberFormat="1" applyFont="1" applyFill="1" applyBorder="1" applyAlignment="1" applyProtection="1">
      <alignment vertical="center"/>
      <protection locked="0"/>
    </xf>
    <xf numFmtId="0" fontId="39" fillId="0" borderId="0" xfId="0" applyFont="1" applyFill="1" applyAlignment="1" applyProtection="1">
      <alignment horizontal="left" vertical="center"/>
      <protection locked="0"/>
    </xf>
    <xf numFmtId="178" fontId="39" fillId="19" borderId="3" xfId="0" applyNumberFormat="1" applyFont="1" applyFill="1" applyBorder="1" applyAlignment="1" applyProtection="1">
      <alignment vertical="center"/>
      <protection hidden="1"/>
    </xf>
    <xf numFmtId="0" fontId="72" fillId="0" borderId="0" xfId="0" applyFont="1" applyFill="1" applyAlignment="1" applyProtection="1">
      <alignment vertical="center"/>
      <protection locked="0"/>
    </xf>
    <xf numFmtId="43" fontId="39" fillId="0" borderId="0" xfId="91" applyFont="1" applyFill="1" applyAlignment="1" applyProtection="1">
      <protection locked="0"/>
    </xf>
    <xf numFmtId="43" fontId="39" fillId="0" borderId="0" xfId="91" applyFont="1" applyFill="1" applyAlignment="1" applyProtection="1">
      <alignment horizontal="left" vertical="center" wrapText="1"/>
      <protection locked="0"/>
    </xf>
    <xf numFmtId="43" fontId="39" fillId="0" borderId="3" xfId="91" applyFont="1" applyFill="1" applyBorder="1" applyAlignment="1" applyProtection="1">
      <alignment horizontal="left" vertical="center" wrapText="1"/>
      <protection locked="0"/>
    </xf>
    <xf numFmtId="0" fontId="63" fillId="0" borderId="0" xfId="0" applyFont="1" applyFill="1" applyAlignment="1" applyProtection="1">
      <alignment horizontal="justify" vertical="center"/>
      <protection locked="0"/>
    </xf>
    <xf numFmtId="178" fontId="72" fillId="19" borderId="3" xfId="0" applyNumberFormat="1" applyFont="1" applyFill="1" applyBorder="1" applyAlignment="1" applyProtection="1">
      <alignment horizontal="right" vertical="center" shrinkToFit="1"/>
      <protection hidden="1"/>
    </xf>
    <xf numFmtId="43" fontId="56" fillId="0" borderId="3" xfId="91" applyFont="1" applyFill="1" applyBorder="1" applyAlignment="1" applyProtection="1">
      <alignment horizontal="right" vertical="center" shrinkToFit="1"/>
      <protection locked="0"/>
    </xf>
    <xf numFmtId="43" fontId="47" fillId="0" borderId="0" xfId="91" applyFont="1" applyFill="1" applyAlignment="1" applyProtection="1">
      <alignment vertical="center"/>
      <protection locked="0"/>
    </xf>
    <xf numFmtId="0" fontId="57" fillId="0" borderId="3" xfId="0" applyFont="1" applyFill="1" applyBorder="1" applyAlignment="1" applyProtection="1">
      <alignment horizontal="center" vertical="center" wrapText="1"/>
      <protection locked="0"/>
    </xf>
    <xf numFmtId="0" fontId="39" fillId="0" borderId="3" xfId="0" applyFont="1" applyFill="1" applyBorder="1" applyAlignment="1" applyProtection="1">
      <alignment horizontal="center" vertical="center" wrapText="1"/>
      <protection locked="0"/>
    </xf>
    <xf numFmtId="0" fontId="57" fillId="0" borderId="3" xfId="0" applyFont="1" applyFill="1" applyBorder="1" applyAlignment="1" applyProtection="1">
      <alignment horizontal="left" vertical="center" wrapText="1"/>
      <protection locked="0"/>
    </xf>
    <xf numFmtId="0" fontId="39" fillId="0" borderId="3" xfId="0" applyFont="1" applyFill="1" applyBorder="1" applyAlignment="1" applyProtection="1">
      <alignment horizontal="center" vertical="center"/>
      <protection locked="0"/>
    </xf>
    <xf numFmtId="0" fontId="63" fillId="37" borderId="0" xfId="0" applyFont="1" applyFill="1" applyBorder="1" applyAlignment="1" applyProtection="1">
      <alignment vertical="center"/>
      <protection hidden="1"/>
    </xf>
    <xf numFmtId="0" fontId="63" fillId="37" borderId="0" xfId="0" applyFont="1" applyFill="1" applyBorder="1" applyAlignment="1" applyProtection="1">
      <alignment horizontal="center" vertical="center"/>
      <protection hidden="1"/>
    </xf>
    <xf numFmtId="0" fontId="122" fillId="31" borderId="69" xfId="0" applyFont="1" applyFill="1" applyBorder="1" applyAlignment="1" applyProtection="1">
      <alignment horizontal="centerContinuous" vertical="center"/>
      <protection hidden="1"/>
    </xf>
    <xf numFmtId="0" fontId="122" fillId="31" borderId="65" xfId="0" applyFont="1" applyFill="1" applyBorder="1" applyAlignment="1" applyProtection="1">
      <alignment horizontal="centerContinuous" vertical="center"/>
      <protection hidden="1"/>
    </xf>
    <xf numFmtId="0" fontId="63" fillId="31" borderId="88" xfId="0" applyFont="1" applyFill="1" applyBorder="1" applyAlignment="1" applyProtection="1">
      <alignment vertical="center"/>
      <protection hidden="1"/>
    </xf>
    <xf numFmtId="0" fontId="63" fillId="31" borderId="0" xfId="0" applyFont="1" applyFill="1" applyBorder="1" applyAlignment="1" applyProtection="1">
      <alignment horizontal="center" vertical="center"/>
      <protection hidden="1"/>
    </xf>
    <xf numFmtId="0" fontId="63" fillId="31" borderId="0" xfId="0" applyFont="1" applyFill="1" applyBorder="1" applyAlignment="1" applyProtection="1">
      <alignment vertical="center"/>
      <protection hidden="1"/>
    </xf>
    <xf numFmtId="0" fontId="63" fillId="31" borderId="66" xfId="0" applyFont="1" applyFill="1" applyBorder="1" applyAlignment="1" applyProtection="1">
      <alignment horizontal="center" vertical="center"/>
      <protection hidden="1"/>
    </xf>
    <xf numFmtId="0" fontId="39" fillId="31" borderId="89" xfId="0" applyFont="1" applyFill="1" applyBorder="1" applyAlignment="1" applyProtection="1">
      <alignment vertical="center"/>
      <protection hidden="1"/>
    </xf>
    <xf numFmtId="0" fontId="39" fillId="31" borderId="8" xfId="0" applyFont="1" applyFill="1" applyBorder="1" applyAlignment="1" applyProtection="1">
      <alignment horizontal="center" vertical="center"/>
      <protection locked="0"/>
    </xf>
    <xf numFmtId="0" fontId="39" fillId="31" borderId="0" xfId="0" applyFont="1" applyFill="1" applyBorder="1" applyAlignment="1" applyProtection="1">
      <alignment vertical="center"/>
      <protection hidden="1"/>
    </xf>
    <xf numFmtId="0" fontId="39" fillId="31" borderId="0" xfId="0" applyFont="1" applyFill="1" applyBorder="1" applyAlignment="1" applyProtection="1">
      <alignment horizontal="center" vertical="center"/>
      <protection hidden="1"/>
    </xf>
    <xf numFmtId="0" fontId="77" fillId="31" borderId="70" xfId="68" applyFont="1" applyFill="1" applyBorder="1" applyAlignment="1" applyProtection="1">
      <alignment horizontal="center" vertical="center"/>
      <protection hidden="1"/>
    </xf>
    <xf numFmtId="31" fontId="39" fillId="31" borderId="8" xfId="0" applyNumberFormat="1" applyFont="1" applyFill="1" applyBorder="1" applyAlignment="1" applyProtection="1">
      <alignment horizontal="center" vertical="center"/>
      <protection locked="0"/>
    </xf>
    <xf numFmtId="0" fontId="77" fillId="31" borderId="0" xfId="68" applyFont="1" applyFill="1" applyBorder="1" applyAlignment="1" applyProtection="1">
      <alignment vertical="center"/>
      <protection hidden="1"/>
    </xf>
    <xf numFmtId="0" fontId="77" fillId="31" borderId="71" xfId="68" applyFont="1" applyFill="1" applyBorder="1" applyAlignment="1" applyProtection="1">
      <alignment horizontal="center" vertical="center"/>
      <protection hidden="1"/>
    </xf>
    <xf numFmtId="0" fontId="77" fillId="31" borderId="72" xfId="68" applyFont="1" applyFill="1" applyBorder="1" applyAlignment="1" applyProtection="1">
      <alignment horizontal="center" vertical="center"/>
      <protection hidden="1"/>
    </xf>
    <xf numFmtId="0" fontId="77" fillId="31" borderId="73" xfId="68" applyFont="1" applyFill="1" applyBorder="1" applyAlignment="1" applyProtection="1">
      <alignment horizontal="center" vertical="center"/>
      <protection hidden="1"/>
    </xf>
    <xf numFmtId="0" fontId="77" fillId="31" borderId="0" xfId="68" applyFont="1" applyFill="1" applyBorder="1" applyAlignment="1" applyProtection="1">
      <alignment horizontal="center" vertical="center"/>
      <protection hidden="1"/>
    </xf>
    <xf numFmtId="0" fontId="123" fillId="31" borderId="74" xfId="68" applyFont="1" applyFill="1" applyBorder="1" applyAlignment="1" applyProtection="1">
      <alignment horizontal="center" vertical="center"/>
      <protection hidden="1"/>
    </xf>
    <xf numFmtId="192" fontId="39" fillId="31" borderId="8" xfId="0" applyNumberFormat="1" applyFont="1" applyFill="1" applyBorder="1" applyAlignment="1" applyProtection="1">
      <alignment horizontal="center" vertical="center"/>
      <protection locked="0"/>
    </xf>
    <xf numFmtId="193" fontId="39" fillId="31" borderId="90" xfId="0" applyNumberFormat="1" applyFont="1" applyFill="1" applyBorder="1" applyAlignment="1" applyProtection="1">
      <alignment vertical="center"/>
      <protection hidden="1"/>
    </xf>
    <xf numFmtId="193" fontId="39" fillId="31" borderId="67" xfId="0" applyNumberFormat="1" applyFont="1" applyFill="1" applyBorder="1" applyAlignment="1" applyProtection="1">
      <alignment horizontal="center" vertical="center"/>
      <protection hidden="1"/>
    </xf>
    <xf numFmtId="0" fontId="39" fillId="31" borderId="67" xfId="0" applyFont="1" applyFill="1" applyBorder="1" applyAlignment="1" applyProtection="1">
      <alignment vertical="center"/>
      <protection hidden="1"/>
    </xf>
    <xf numFmtId="0" fontId="39" fillId="31" borderId="67" xfId="0" applyFont="1" applyFill="1" applyBorder="1" applyAlignment="1" applyProtection="1">
      <alignment horizontal="center" vertical="center"/>
      <protection hidden="1"/>
    </xf>
    <xf numFmtId="0" fontId="63" fillId="31" borderId="68" xfId="0" applyFont="1" applyFill="1" applyBorder="1" applyAlignment="1" applyProtection="1">
      <alignment horizontal="center" vertical="center"/>
      <protection hidden="1"/>
    </xf>
    <xf numFmtId="0" fontId="124" fillId="37" borderId="0" xfId="0" applyFont="1" applyFill="1" applyBorder="1" applyAlignment="1" applyProtection="1">
      <alignment horizontal="center" vertical="center"/>
      <protection hidden="1"/>
    </xf>
    <xf numFmtId="0" fontId="124" fillId="37" borderId="0" xfId="0" applyFont="1" applyFill="1" applyBorder="1" applyAlignment="1" applyProtection="1">
      <alignment vertical="center"/>
      <protection hidden="1"/>
    </xf>
    <xf numFmtId="0" fontId="125" fillId="0" borderId="0" xfId="68" applyFont="1" applyFill="1" applyBorder="1" applyAlignment="1" applyProtection="1">
      <alignment vertical="center" wrapText="1" shrinkToFit="1"/>
      <protection locked="0"/>
    </xf>
    <xf numFmtId="43" fontId="39" fillId="0" borderId="0" xfId="91" applyFont="1" applyFill="1" applyProtection="1">
      <alignment vertical="center"/>
      <protection locked="0"/>
    </xf>
    <xf numFmtId="0" fontId="125" fillId="0" borderId="0" xfId="0" applyFont="1" applyFill="1" applyBorder="1" applyAlignment="1" applyProtection="1">
      <alignment vertical="center"/>
      <protection locked="0"/>
    </xf>
    <xf numFmtId="0" fontId="56" fillId="0" borderId="3" xfId="0" applyFont="1" applyFill="1" applyBorder="1" applyAlignment="1" applyProtection="1">
      <alignment horizontal="center" vertical="center"/>
      <protection locked="0"/>
    </xf>
    <xf numFmtId="0" fontId="39" fillId="0" borderId="0" xfId="0" applyFont="1" applyFill="1" applyAlignment="1" applyProtection="1">
      <alignment horizontal="center" vertical="center" wrapText="1"/>
      <protection locked="0"/>
    </xf>
    <xf numFmtId="0" fontId="39" fillId="0" borderId="3" xfId="68" applyFont="1" applyFill="1" applyBorder="1" applyAlignment="1" applyProtection="1">
      <alignment horizontal="center" vertical="center" wrapText="1"/>
      <protection locked="0"/>
    </xf>
    <xf numFmtId="0" fontId="39" fillId="0" borderId="0" xfId="0" applyFont="1" applyFill="1" applyBorder="1" applyAlignment="1" applyProtection="1">
      <alignment horizontal="center" vertical="center" wrapText="1"/>
      <protection locked="0"/>
    </xf>
    <xf numFmtId="0" fontId="39" fillId="0" borderId="3" xfId="68" applyFont="1" applyFill="1" applyBorder="1" applyAlignment="1" applyProtection="1">
      <alignment vertical="center" wrapText="1"/>
      <protection locked="0"/>
    </xf>
    <xf numFmtId="0" fontId="39" fillId="0" borderId="0" xfId="68" applyFont="1" applyFill="1" applyBorder="1" applyAlignment="1" applyProtection="1">
      <alignment vertical="center" wrapText="1"/>
      <protection locked="0"/>
    </xf>
    <xf numFmtId="0" fontId="39" fillId="0" borderId="3" xfId="68" applyFont="1" applyFill="1" applyBorder="1" applyAlignment="1" applyProtection="1">
      <alignment horizontal="center" vertical="center"/>
      <protection locked="0"/>
    </xf>
    <xf numFmtId="0" fontId="39" fillId="0" borderId="3" xfId="68" applyFont="1" applyFill="1" applyBorder="1" applyAlignment="1" applyProtection="1">
      <alignment horizontal="left" vertical="center"/>
      <protection locked="0"/>
    </xf>
    <xf numFmtId="178" fontId="39" fillId="0" borderId="3" xfId="0" applyNumberFormat="1" applyFont="1" applyFill="1" applyBorder="1" applyAlignment="1" applyProtection="1">
      <alignment vertical="center" shrinkToFit="1"/>
      <protection locked="0"/>
    </xf>
    <xf numFmtId="0" fontId="56" fillId="0" borderId="3" xfId="0" applyFont="1" applyFill="1" applyBorder="1" applyAlignment="1" applyProtection="1">
      <alignment horizontal="center" vertical="center" wrapText="1"/>
      <protection locked="0"/>
    </xf>
    <xf numFmtId="0" fontId="126" fillId="0" borderId="3" xfId="68" applyFont="1" applyFill="1" applyBorder="1" applyAlignment="1" applyProtection="1">
      <alignment vertical="center" wrapText="1"/>
      <protection locked="0"/>
    </xf>
    <xf numFmtId="43" fontId="39" fillId="0" borderId="3" xfId="91" applyFont="1" applyFill="1" applyBorder="1" applyAlignment="1" applyProtection="1">
      <alignment vertical="center" shrinkToFit="1"/>
      <protection locked="0"/>
    </xf>
    <xf numFmtId="0" fontId="39" fillId="0" borderId="3" xfId="68" applyFont="1" applyFill="1" applyBorder="1" applyAlignment="1" applyProtection="1">
      <alignment vertical="center"/>
      <protection locked="0"/>
    </xf>
    <xf numFmtId="43" fontId="39" fillId="19" borderId="3" xfId="91" applyFont="1" applyFill="1" applyBorder="1" applyAlignment="1" applyProtection="1">
      <alignment vertical="center" shrinkToFit="1"/>
      <protection hidden="1"/>
    </xf>
    <xf numFmtId="178" fontId="39" fillId="19" borderId="3" xfId="0" applyNumberFormat="1" applyFont="1" applyFill="1" applyBorder="1" applyAlignment="1" applyProtection="1">
      <alignment vertical="center" shrinkToFit="1"/>
      <protection hidden="1"/>
    </xf>
    <xf numFmtId="0" fontId="39" fillId="0" borderId="3" xfId="68" applyFont="1" applyFill="1" applyBorder="1" applyProtection="1">
      <alignment vertical="top"/>
      <protection locked="0"/>
    </xf>
    <xf numFmtId="43" fontId="39" fillId="19" borderId="3" xfId="113" applyFont="1" applyFill="1" applyBorder="1" applyAlignment="1" applyProtection="1">
      <alignment vertical="center" shrinkToFit="1"/>
      <protection hidden="1"/>
    </xf>
    <xf numFmtId="43" fontId="39" fillId="19" borderId="0" xfId="0" applyNumberFormat="1" applyFont="1" applyFill="1" applyAlignment="1" applyProtection="1">
      <alignment vertical="center"/>
      <protection hidden="1"/>
    </xf>
    <xf numFmtId="43" fontId="39" fillId="0" borderId="3" xfId="113" applyFont="1" applyFill="1" applyBorder="1" applyAlignment="1" applyProtection="1">
      <alignment vertical="center" shrinkToFit="1"/>
      <protection locked="0"/>
    </xf>
    <xf numFmtId="178" fontId="39" fillId="0" borderId="3" xfId="91" applyNumberFormat="1" applyFont="1" applyFill="1" applyBorder="1" applyAlignment="1" applyProtection="1">
      <alignment vertical="center" shrinkToFit="1"/>
      <protection locked="0"/>
    </xf>
    <xf numFmtId="0" fontId="39" fillId="0" borderId="0" xfId="68" applyFont="1" applyFill="1" applyBorder="1" applyAlignment="1" applyProtection="1">
      <alignment vertical="center"/>
      <protection locked="0"/>
    </xf>
    <xf numFmtId="0" fontId="127" fillId="0" borderId="0" xfId="68" applyFont="1" applyFill="1" applyAlignment="1" applyProtection="1">
      <alignment vertical="center" wrapText="1" shrinkToFit="1"/>
      <protection locked="0"/>
    </xf>
    <xf numFmtId="0" fontId="39" fillId="0" borderId="0" xfId="106" applyNumberFormat="1" applyFont="1" applyFill="1" applyBorder="1" applyAlignment="1" applyProtection="1">
      <alignment horizontal="center" vertical="center"/>
      <protection locked="0"/>
    </xf>
    <xf numFmtId="178" fontId="39" fillId="0" borderId="0" xfId="106" applyNumberFormat="1" applyFont="1" applyFill="1" applyBorder="1" applyAlignment="1" applyProtection="1">
      <alignment vertical="center" shrinkToFit="1"/>
      <protection locked="0"/>
    </xf>
    <xf numFmtId="43" fontId="39" fillId="0" borderId="0" xfId="91" applyFont="1" applyFill="1" applyAlignment="1" applyProtection="1">
      <alignment vertical="center" shrinkToFit="1"/>
      <protection locked="0"/>
    </xf>
    <xf numFmtId="43" fontId="39" fillId="19" borderId="0" xfId="91" applyFont="1" applyFill="1" applyBorder="1" applyAlignment="1" applyProtection="1">
      <alignment vertical="center" shrinkToFit="1"/>
      <protection hidden="1"/>
    </xf>
    <xf numFmtId="0" fontId="39" fillId="0" borderId="53" xfId="106" applyNumberFormat="1" applyFont="1" applyFill="1" applyBorder="1" applyAlignment="1" applyProtection="1">
      <alignment horizontal="center" vertical="center"/>
      <protection locked="0"/>
    </xf>
    <xf numFmtId="43" fontId="39" fillId="19" borderId="53" xfId="91" applyFont="1" applyFill="1" applyBorder="1" applyAlignment="1" applyProtection="1">
      <alignment vertical="center" shrinkToFit="1"/>
      <protection hidden="1"/>
    </xf>
    <xf numFmtId="43" fontId="56" fillId="0" borderId="0" xfId="91" applyFont="1" applyFill="1" applyBorder="1" applyAlignment="1" applyProtection="1">
      <alignment vertical="center" shrinkToFit="1"/>
      <protection locked="0"/>
    </xf>
    <xf numFmtId="0" fontId="128" fillId="0" borderId="0" xfId="68" applyFont="1" applyFill="1" applyAlignment="1" applyProtection="1">
      <alignment vertical="center" wrapText="1" shrinkToFit="1"/>
      <protection locked="0"/>
    </xf>
    <xf numFmtId="0" fontId="56" fillId="0" borderId="0" xfId="61" applyFont="1" applyFill="1" applyAlignment="1" applyProtection="1">
      <alignment horizontal="center" vertical="center"/>
      <protection locked="0"/>
    </xf>
    <xf numFmtId="0" fontId="56" fillId="19" borderId="0" xfId="61" applyFont="1" applyFill="1" applyBorder="1" applyAlignment="1" applyProtection="1">
      <alignment horizontal="left" vertical="center"/>
      <protection hidden="1"/>
    </xf>
    <xf numFmtId="0" fontId="56" fillId="0" borderId="0" xfId="61" applyFont="1" applyFill="1" applyBorder="1" applyAlignment="1" applyProtection="1">
      <alignment horizontal="right" vertical="center"/>
      <protection locked="0"/>
    </xf>
    <xf numFmtId="0" fontId="56" fillId="0" borderId="26" xfId="61" applyFont="1" applyFill="1" applyBorder="1" applyAlignment="1" applyProtection="1">
      <alignment horizontal="center" vertical="center"/>
      <protection locked="0"/>
    </xf>
    <xf numFmtId="0" fontId="56" fillId="0" borderId="29" xfId="61" applyFont="1" applyFill="1" applyBorder="1" applyAlignment="1" applyProtection="1">
      <alignment horizontal="center" vertical="center"/>
      <protection locked="0"/>
    </xf>
    <xf numFmtId="31" fontId="56" fillId="0" borderId="30" xfId="61" applyNumberFormat="1" applyFont="1" applyFill="1" applyBorder="1" applyAlignment="1" applyProtection="1">
      <alignment horizontal="center" vertical="center"/>
      <protection locked="0"/>
    </xf>
    <xf numFmtId="0" fontId="56" fillId="0" borderId="27" xfId="61" applyFont="1" applyFill="1" applyBorder="1" applyAlignment="1" applyProtection="1">
      <alignment horizontal="left" vertical="center"/>
      <protection locked="0"/>
    </xf>
    <xf numFmtId="0" fontId="39" fillId="0" borderId="3" xfId="61" applyFont="1" applyFill="1" applyBorder="1" applyAlignment="1" applyProtection="1">
      <alignment horizontal="center" vertical="center"/>
      <protection locked="0"/>
    </xf>
    <xf numFmtId="178" fontId="39" fillId="0" borderId="3" xfId="6" applyNumberFormat="1" applyFont="1" applyFill="1" applyBorder="1" applyAlignment="1" applyProtection="1">
      <alignment vertical="center" shrinkToFit="1"/>
      <protection locked="0"/>
    </xf>
    <xf numFmtId="178" fontId="39" fillId="0" borderId="31" xfId="6" applyNumberFormat="1" applyFont="1" applyFill="1" applyBorder="1" applyAlignment="1" applyProtection="1">
      <alignment vertical="center" shrinkToFit="1"/>
      <protection locked="0"/>
    </xf>
    <xf numFmtId="43" fontId="39" fillId="0" borderId="0" xfId="61" applyNumberFormat="1" applyFont="1" applyFill="1" applyBorder="1" applyAlignment="1" applyProtection="1">
      <alignment horizontal="center" vertical="center"/>
      <protection locked="0"/>
    </xf>
    <xf numFmtId="179" fontId="39" fillId="0" borderId="27" xfId="6" applyNumberFormat="1" applyFont="1" applyFill="1" applyBorder="1" applyAlignment="1" applyProtection="1">
      <alignment horizontal="left" vertical="center"/>
      <protection locked="0"/>
    </xf>
    <xf numFmtId="178" fontId="39" fillId="0" borderId="3" xfId="92" applyNumberFormat="1" applyFont="1" applyFill="1" applyBorder="1" applyAlignment="1" applyProtection="1">
      <alignment vertical="center" shrinkToFit="1"/>
      <protection locked="0"/>
    </xf>
    <xf numFmtId="178" fontId="39" fillId="0" borderId="31" xfId="92" applyNumberFormat="1" applyFont="1" applyFill="1" applyBorder="1" applyAlignment="1" applyProtection="1">
      <alignment vertical="center" shrinkToFit="1"/>
      <protection locked="0"/>
    </xf>
    <xf numFmtId="43" fontId="39" fillId="0" borderId="0" xfId="61" applyNumberFormat="1" applyFont="1" applyFill="1" applyBorder="1" applyAlignment="1" applyProtection="1">
      <alignment horizontal="center" vertical="center" shrinkToFit="1"/>
      <protection locked="0"/>
    </xf>
    <xf numFmtId="43" fontId="39" fillId="0" borderId="27" xfId="91" applyFont="1" applyFill="1" applyBorder="1" applyAlignment="1" applyProtection="1">
      <alignment horizontal="left" vertical="center"/>
      <protection locked="0"/>
    </xf>
    <xf numFmtId="0" fontId="39" fillId="0" borderId="27" xfId="6" applyFont="1" applyFill="1" applyBorder="1" applyAlignment="1" applyProtection="1">
      <alignment horizontal="left" vertical="center"/>
      <protection locked="0"/>
    </xf>
    <xf numFmtId="0" fontId="56" fillId="0" borderId="27" xfId="61" applyFont="1" applyFill="1" applyBorder="1" applyAlignment="1" applyProtection="1">
      <alignment horizontal="center" vertical="center"/>
      <protection locked="0"/>
    </xf>
    <xf numFmtId="178" fontId="39" fillId="19" borderId="3" xfId="92" applyNumberFormat="1" applyFont="1" applyFill="1" applyBorder="1" applyAlignment="1" applyProtection="1">
      <alignment vertical="center" shrinkToFit="1"/>
      <protection hidden="1"/>
    </xf>
    <xf numFmtId="178" fontId="39" fillId="19" borderId="31" xfId="92" applyNumberFormat="1" applyFont="1" applyFill="1" applyBorder="1" applyAlignment="1" applyProtection="1">
      <alignment vertical="center" shrinkToFit="1"/>
      <protection hidden="1"/>
    </xf>
    <xf numFmtId="0" fontId="56" fillId="0" borderId="27" xfId="61" applyFont="1" applyFill="1" applyBorder="1" applyAlignment="1" applyProtection="1">
      <alignment vertical="center"/>
      <protection locked="0"/>
    </xf>
    <xf numFmtId="0" fontId="39" fillId="0" borderId="27" xfId="61" applyFont="1" applyFill="1" applyBorder="1" applyAlignment="1" applyProtection="1">
      <alignment vertical="center"/>
      <protection locked="0"/>
    </xf>
    <xf numFmtId="0" fontId="39" fillId="0" borderId="27" xfId="61" applyFont="1" applyFill="1" applyBorder="1" applyAlignment="1" applyProtection="1">
      <alignment horizontal="left" vertical="center"/>
      <protection locked="0"/>
    </xf>
    <xf numFmtId="0" fontId="39" fillId="0" borderId="27" xfId="6" applyFont="1" applyFill="1" applyBorder="1" applyAlignment="1" applyProtection="1">
      <alignment horizontal="left" vertical="center" shrinkToFit="1"/>
      <protection locked="0"/>
    </xf>
    <xf numFmtId="0" fontId="56" fillId="0" borderId="28" xfId="61" applyFont="1" applyFill="1" applyBorder="1" applyAlignment="1" applyProtection="1">
      <alignment horizontal="center" vertical="center"/>
      <protection locked="0"/>
    </xf>
    <xf numFmtId="0" fontId="39" fillId="0" borderId="32" xfId="61" applyFont="1" applyFill="1" applyBorder="1" applyAlignment="1" applyProtection="1">
      <alignment horizontal="center" vertical="center"/>
      <protection locked="0"/>
    </xf>
    <xf numFmtId="178" fontId="39" fillId="19" borderId="32" xfId="92" applyNumberFormat="1" applyFont="1" applyFill="1" applyBorder="1" applyAlignment="1" applyProtection="1">
      <alignment vertical="center" shrinkToFit="1"/>
      <protection hidden="1"/>
    </xf>
    <xf numFmtId="178" fontId="39" fillId="19" borderId="33" xfId="92" applyNumberFormat="1" applyFont="1" applyFill="1" applyBorder="1" applyAlignment="1" applyProtection="1">
      <alignment vertical="center" shrinkToFit="1"/>
      <protection hidden="1"/>
    </xf>
    <xf numFmtId="0" fontId="39" fillId="0" borderId="27" xfId="6" applyFont="1" applyFill="1" applyBorder="1" applyAlignment="1" applyProtection="1">
      <alignment vertical="center" shrinkToFit="1"/>
      <protection locked="0"/>
    </xf>
    <xf numFmtId="0" fontId="56" fillId="0" borderId="27" xfId="6" applyFont="1" applyFill="1" applyBorder="1" applyAlignment="1" applyProtection="1">
      <alignment vertical="center" shrinkToFit="1"/>
      <protection locked="0"/>
    </xf>
    <xf numFmtId="0" fontId="39" fillId="0" borderId="3" xfId="6" applyFont="1" applyFill="1" applyBorder="1" applyAlignment="1" applyProtection="1">
      <alignment vertical="center" shrinkToFit="1"/>
      <protection locked="0"/>
    </xf>
    <xf numFmtId="43" fontId="56" fillId="19" borderId="0" xfId="91" applyFont="1" applyFill="1" applyBorder="1" applyAlignment="1" applyProtection="1">
      <alignment vertical="center" shrinkToFit="1"/>
      <protection hidden="1"/>
    </xf>
    <xf numFmtId="0" fontId="39" fillId="0" borderId="0" xfId="61" applyFont="1" applyFill="1" applyBorder="1" applyAlignment="1" applyProtection="1">
      <alignment vertical="center"/>
      <protection locked="0"/>
    </xf>
    <xf numFmtId="178" fontId="39" fillId="0" borderId="0" xfId="91" applyNumberFormat="1" applyFont="1" applyFill="1" applyBorder="1" applyAlignment="1" applyProtection="1">
      <alignment vertical="center" shrinkToFit="1"/>
      <protection locked="0"/>
    </xf>
    <xf numFmtId="0" fontId="39" fillId="0" borderId="63" xfId="106" applyFont="1" applyFill="1" applyBorder="1" applyAlignment="1" applyProtection="1">
      <alignment horizontal="left" vertical="center" indent="2"/>
      <protection locked="0"/>
    </xf>
    <xf numFmtId="0" fontId="56" fillId="0" borderId="0" xfId="61" applyFont="1" applyFill="1" applyBorder="1" applyAlignment="1" applyProtection="1">
      <alignment horizontal="left" vertical="center"/>
      <protection locked="0"/>
    </xf>
    <xf numFmtId="31" fontId="56" fillId="0" borderId="29" xfId="61" applyNumberFormat="1" applyFont="1" applyFill="1" applyBorder="1" applyAlignment="1" applyProtection="1">
      <alignment horizontal="center" vertical="center"/>
      <protection locked="0"/>
    </xf>
    <xf numFmtId="179" fontId="56" fillId="0" borderId="27" xfId="6" quotePrefix="1" applyNumberFormat="1" applyFont="1" applyFill="1" applyBorder="1" applyAlignment="1" applyProtection="1">
      <alignment horizontal="left" vertical="center"/>
      <protection locked="0"/>
    </xf>
    <xf numFmtId="178" fontId="39" fillId="19" borderId="3" xfId="92" applyNumberFormat="1" applyFont="1" applyFill="1" applyBorder="1" applyAlignment="1" applyProtection="1">
      <alignment horizontal="right" vertical="center"/>
      <protection hidden="1"/>
    </xf>
    <xf numFmtId="178" fontId="39" fillId="19" borderId="31" xfId="92" applyNumberFormat="1" applyFont="1" applyFill="1" applyBorder="1" applyAlignment="1" applyProtection="1">
      <alignment horizontal="right" vertical="center"/>
      <protection hidden="1"/>
    </xf>
    <xf numFmtId="43" fontId="39" fillId="0" borderId="0" xfId="61" applyNumberFormat="1" applyFont="1" applyFill="1" applyAlignment="1" applyProtection="1">
      <alignment vertical="center"/>
      <protection locked="0"/>
    </xf>
    <xf numFmtId="43" fontId="130" fillId="0" borderId="0" xfId="61" applyNumberFormat="1" applyFont="1" applyFill="1" applyAlignment="1" applyProtection="1">
      <alignment vertical="center"/>
      <protection locked="0"/>
    </xf>
    <xf numFmtId="179" fontId="39" fillId="0" borderId="27" xfId="6" quotePrefix="1" applyNumberFormat="1" applyFont="1" applyFill="1" applyBorder="1" applyAlignment="1" applyProtection="1">
      <alignment horizontal="left" vertical="center" indent="1"/>
      <protection locked="0"/>
    </xf>
    <xf numFmtId="178" fontId="39" fillId="0" borderId="3" xfId="92" applyNumberFormat="1" applyFont="1" applyFill="1" applyBorder="1" applyAlignment="1" applyProtection="1">
      <alignment horizontal="right" vertical="center"/>
      <protection locked="0"/>
    </xf>
    <xf numFmtId="178" fontId="39" fillId="0" borderId="31" xfId="92" applyNumberFormat="1" applyFont="1" applyFill="1" applyBorder="1" applyAlignment="1" applyProtection="1">
      <alignment horizontal="right" vertical="center"/>
      <protection locked="0"/>
    </xf>
    <xf numFmtId="179" fontId="39" fillId="0" borderId="27" xfId="6" applyNumberFormat="1" applyFont="1" applyFill="1" applyBorder="1" applyAlignment="1" applyProtection="1">
      <alignment horizontal="left" vertical="center" indent="1"/>
      <protection locked="0"/>
    </xf>
    <xf numFmtId="179" fontId="56" fillId="0" borderId="27" xfId="6" applyNumberFormat="1" applyFont="1" applyFill="1" applyBorder="1" applyAlignment="1" applyProtection="1">
      <alignment horizontal="left" vertical="center"/>
      <protection locked="0"/>
    </xf>
    <xf numFmtId="179" fontId="39" fillId="0" borderId="27" xfId="6" quotePrefix="1" applyNumberFormat="1" applyFont="1" applyFill="1" applyBorder="1" applyAlignment="1" applyProtection="1">
      <alignment horizontal="left" vertical="center"/>
      <protection locked="0"/>
    </xf>
    <xf numFmtId="179" fontId="39" fillId="0" borderId="27" xfId="6" quotePrefix="1" applyNumberFormat="1" applyFont="1" applyFill="1" applyBorder="1" applyAlignment="1" applyProtection="1">
      <alignment horizontal="left" vertical="center" indent="2"/>
      <protection locked="0"/>
    </xf>
    <xf numFmtId="179" fontId="39" fillId="0" borderId="27" xfId="6" applyNumberFormat="1" applyFont="1" applyFill="1" applyBorder="1" applyAlignment="1" applyProtection="1">
      <alignment horizontal="left" vertical="center" indent="2"/>
      <protection locked="0"/>
    </xf>
    <xf numFmtId="10" fontId="39" fillId="0" borderId="0" xfId="61" applyNumberFormat="1" applyFont="1" applyFill="1" applyAlignment="1" applyProtection="1">
      <alignment vertical="center"/>
      <protection locked="0"/>
    </xf>
    <xf numFmtId="0" fontId="39" fillId="0" borderId="27" xfId="6" applyFont="1" applyFill="1" applyBorder="1" applyAlignment="1" applyProtection="1">
      <alignment horizontal="left" vertical="center" indent="1"/>
      <protection locked="0"/>
    </xf>
    <xf numFmtId="179" fontId="39" fillId="0" borderId="27" xfId="6" quotePrefix="1" applyNumberFormat="1" applyFont="1" applyFill="1" applyBorder="1" applyAlignment="1" applyProtection="1">
      <alignment horizontal="left" vertical="center" shrinkToFit="1"/>
      <protection locked="0"/>
    </xf>
    <xf numFmtId="0" fontId="39" fillId="0" borderId="27" xfId="6" applyFont="1" applyFill="1" applyBorder="1" applyAlignment="1" applyProtection="1">
      <alignment horizontal="left" vertical="center" indent="1" shrinkToFit="1"/>
      <protection locked="0"/>
    </xf>
    <xf numFmtId="0" fontId="56" fillId="0" borderId="27" xfId="6" applyFont="1" applyFill="1" applyBorder="1" applyAlignment="1" applyProtection="1">
      <alignment horizontal="left" vertical="center"/>
      <protection locked="0"/>
    </xf>
    <xf numFmtId="179" fontId="56" fillId="0" borderId="102" xfId="6" quotePrefix="1" applyNumberFormat="1" applyFont="1" applyFill="1" applyBorder="1" applyAlignment="1" applyProtection="1">
      <alignment horizontal="left" vertical="center"/>
      <protection locked="0"/>
    </xf>
    <xf numFmtId="0" fontId="39" fillId="0" borderId="23" xfId="61" applyFont="1" applyFill="1" applyBorder="1" applyAlignment="1" applyProtection="1">
      <alignment horizontal="center" vertical="center"/>
      <protection locked="0"/>
    </xf>
    <xf numFmtId="178" fontId="39" fillId="0" borderId="23" xfId="6" applyNumberFormat="1" applyFont="1" applyFill="1" applyBorder="1" applyAlignment="1" applyProtection="1">
      <alignment horizontal="center" vertical="center" shrinkToFit="1"/>
      <protection locked="0"/>
    </xf>
    <xf numFmtId="178" fontId="39" fillId="0" borderId="103" xfId="6" applyNumberFormat="1" applyFont="1" applyFill="1" applyBorder="1" applyAlignment="1" applyProtection="1">
      <alignment horizontal="center" vertical="center" shrinkToFit="1"/>
      <protection locked="0"/>
    </xf>
    <xf numFmtId="43" fontId="39" fillId="0" borderId="29" xfId="91" applyFont="1" applyFill="1" applyBorder="1" applyAlignment="1" applyProtection="1">
      <alignment horizontal="center" vertical="center"/>
      <protection locked="0"/>
    </xf>
    <xf numFmtId="31" fontId="56" fillId="0" borderId="29" xfId="61" applyNumberFormat="1" applyFont="1" applyFill="1" applyBorder="1" applyAlignment="1" applyProtection="1">
      <alignment horizontal="center" vertical="center" wrapText="1"/>
      <protection locked="0"/>
    </xf>
    <xf numFmtId="43" fontId="39" fillId="0" borderId="29" xfId="91" applyFont="1" applyFill="1" applyBorder="1" applyAlignment="1" applyProtection="1">
      <alignment horizontal="center" vertical="center" wrapText="1"/>
      <protection locked="0"/>
    </xf>
    <xf numFmtId="0" fontId="56" fillId="0" borderId="54" xfId="61" applyFont="1" applyFill="1" applyBorder="1" applyAlignment="1" applyProtection="1">
      <alignment vertical="center"/>
      <protection locked="0"/>
    </xf>
    <xf numFmtId="0" fontId="39" fillId="0" borderId="3" xfId="6" applyFont="1" applyFill="1" applyBorder="1" applyAlignment="1" applyProtection="1">
      <alignment horizontal="center" vertical="center" shrinkToFit="1"/>
      <protection locked="0"/>
    </xf>
    <xf numFmtId="0" fontId="39" fillId="0" borderId="25" xfId="6" applyFont="1" applyFill="1" applyBorder="1" applyAlignment="1" applyProtection="1">
      <alignment horizontal="center" vertical="center" shrinkToFit="1"/>
      <protection locked="0"/>
    </xf>
    <xf numFmtId="0" fontId="39" fillId="0" borderId="31" xfId="6" applyFont="1" applyFill="1" applyBorder="1" applyAlignment="1" applyProtection="1">
      <alignment horizontal="center" vertical="center" shrinkToFit="1"/>
      <protection locked="0"/>
    </xf>
    <xf numFmtId="43" fontId="39" fillId="0" borderId="3" xfId="91" applyFont="1" applyFill="1" applyBorder="1" applyAlignment="1" applyProtection="1">
      <alignment horizontal="right" vertical="center"/>
      <protection locked="0"/>
    </xf>
    <xf numFmtId="43" fontId="39" fillId="19" borderId="3" xfId="91" applyFont="1" applyFill="1" applyBorder="1" applyAlignment="1" applyProtection="1">
      <alignment horizontal="right" vertical="center"/>
      <protection hidden="1"/>
    </xf>
    <xf numFmtId="43" fontId="39" fillId="0" borderId="25" xfId="91" applyFont="1" applyFill="1" applyBorder="1" applyAlignment="1" applyProtection="1">
      <alignment horizontal="right" vertical="center"/>
      <protection locked="0"/>
    </xf>
    <xf numFmtId="0" fontId="39" fillId="0" borderId="27" xfId="6" applyFont="1" applyFill="1" applyBorder="1" applyAlignment="1" applyProtection="1">
      <alignment horizontal="left" vertical="center" wrapText="1"/>
      <protection locked="0"/>
    </xf>
    <xf numFmtId="0" fontId="39" fillId="0" borderId="27" xfId="6" applyFont="1" applyFill="1" applyBorder="1" applyAlignment="1" applyProtection="1">
      <alignment vertical="center" wrapText="1"/>
      <protection locked="0"/>
    </xf>
    <xf numFmtId="43" fontId="56" fillId="0" borderId="27" xfId="91" applyFont="1" applyFill="1" applyBorder="1" applyAlignment="1" applyProtection="1">
      <alignment horizontal="center" vertical="center"/>
      <protection locked="0"/>
    </xf>
    <xf numFmtId="43" fontId="39" fillId="19" borderId="31" xfId="91" applyFont="1" applyFill="1" applyBorder="1" applyAlignment="1" applyProtection="1">
      <alignment horizontal="right" vertical="center"/>
      <protection hidden="1"/>
    </xf>
    <xf numFmtId="178" fontId="39" fillId="0" borderId="3" xfId="6" applyNumberFormat="1" applyFont="1" applyFill="1" applyBorder="1" applyAlignment="1" applyProtection="1">
      <alignment horizontal="center" vertical="center" shrinkToFit="1"/>
      <protection locked="0"/>
    </xf>
    <xf numFmtId="178" fontId="39" fillId="0" borderId="25" xfId="6" applyNumberFormat="1" applyFont="1" applyFill="1" applyBorder="1" applyAlignment="1" applyProtection="1">
      <alignment horizontal="center" vertical="center" shrinkToFit="1"/>
      <protection locked="0"/>
    </xf>
    <xf numFmtId="178" fontId="39" fillId="0" borderId="31" xfId="6" applyNumberFormat="1" applyFont="1" applyFill="1" applyBorder="1" applyAlignment="1" applyProtection="1">
      <alignment horizontal="center" vertical="center" shrinkToFit="1"/>
      <protection locked="0"/>
    </xf>
    <xf numFmtId="0" fontId="56" fillId="0" borderId="28" xfId="61" applyFont="1" applyFill="1" applyBorder="1" applyAlignment="1" applyProtection="1">
      <alignment vertical="center"/>
      <protection locked="0"/>
    </xf>
    <xf numFmtId="43" fontId="39" fillId="19" borderId="32" xfId="91" applyFont="1" applyFill="1" applyBorder="1" applyAlignment="1" applyProtection="1">
      <alignment horizontal="right" vertical="center"/>
      <protection hidden="1"/>
    </xf>
    <xf numFmtId="43" fontId="39" fillId="19" borderId="33" xfId="91" applyFont="1" applyFill="1" applyBorder="1" applyAlignment="1" applyProtection="1">
      <alignment horizontal="right" vertical="center"/>
      <protection hidden="1"/>
    </xf>
    <xf numFmtId="0" fontId="56" fillId="0" borderId="0" xfId="0" applyFont="1" applyFill="1" applyBorder="1" applyAlignment="1" applyProtection="1">
      <alignment horizontal="centerContinuous" vertical="center"/>
      <protection locked="0"/>
    </xf>
    <xf numFmtId="0" fontId="39" fillId="16" borderId="0" xfId="0" applyFont="1" applyFill="1" applyBorder="1" applyAlignment="1" applyProtection="1">
      <alignment vertical="center"/>
      <protection hidden="1"/>
    </xf>
    <xf numFmtId="0" fontId="39" fillId="0" borderId="0" xfId="0" applyFont="1" applyFill="1" applyBorder="1" applyAlignment="1" applyProtection="1">
      <alignment vertical="center"/>
      <protection locked="0"/>
    </xf>
    <xf numFmtId="178" fontId="56" fillId="0" borderId="3" xfId="91" applyNumberFormat="1" applyFont="1" applyFill="1" applyBorder="1" applyAlignment="1" applyProtection="1">
      <alignment horizontal="center" vertical="center" shrinkToFit="1"/>
      <protection locked="0"/>
    </xf>
    <xf numFmtId="178" fontId="56" fillId="0" borderId="0" xfId="91" applyNumberFormat="1" applyFont="1" applyFill="1" applyBorder="1" applyAlignment="1" applyProtection="1">
      <alignment vertical="center" shrinkToFit="1"/>
      <protection locked="0"/>
    </xf>
    <xf numFmtId="178" fontId="39" fillId="16" borderId="0" xfId="91" applyNumberFormat="1" applyFont="1" applyFill="1" applyBorder="1" applyAlignment="1" applyProtection="1">
      <alignment vertical="center" shrinkToFit="1"/>
      <protection hidden="1"/>
    </xf>
    <xf numFmtId="195" fontId="39" fillId="16" borderId="0" xfId="91" applyNumberFormat="1" applyFont="1" applyFill="1" applyBorder="1" applyAlignment="1" applyProtection="1">
      <alignment vertical="center" shrinkToFit="1"/>
      <protection hidden="1"/>
    </xf>
    <xf numFmtId="199" fontId="39" fillId="0" borderId="3" xfId="0" applyNumberFormat="1" applyFont="1" applyFill="1" applyBorder="1" applyAlignment="1" applyProtection="1">
      <alignment vertical="center" shrinkToFit="1"/>
      <protection locked="0"/>
    </xf>
    <xf numFmtId="0" fontId="39" fillId="0" borderId="0" xfId="0" applyFont="1" applyFill="1" applyBorder="1" applyAlignment="1" applyProtection="1">
      <alignment vertical="center" wrapText="1"/>
      <protection locked="0"/>
    </xf>
    <xf numFmtId="43" fontId="39" fillId="0" borderId="0" xfId="91" applyFont="1" applyFill="1" applyBorder="1" applyAlignment="1" applyProtection="1">
      <alignment horizontal="center" vertical="center" wrapText="1"/>
      <protection locked="0"/>
    </xf>
    <xf numFmtId="43" fontId="56" fillId="0" borderId="0" xfId="0" applyNumberFormat="1" applyFont="1" applyFill="1" applyAlignment="1" applyProtection="1">
      <alignment horizontal="center" vertical="center" wrapText="1"/>
      <protection locked="0"/>
    </xf>
    <xf numFmtId="31" fontId="56" fillId="19" borderId="0" xfId="61" applyNumberFormat="1" applyFont="1" applyFill="1" applyBorder="1" applyAlignment="1" applyProtection="1">
      <alignment horizontal="left" vertical="center"/>
      <protection hidden="1"/>
    </xf>
    <xf numFmtId="31" fontId="56" fillId="0" borderId="0" xfId="61" applyNumberFormat="1" applyFont="1" applyFill="1" applyBorder="1" applyAlignment="1" applyProtection="1">
      <alignment horizontal="center" vertical="center"/>
      <protection locked="0"/>
    </xf>
    <xf numFmtId="192" fontId="39" fillId="0" borderId="0" xfId="120" applyNumberFormat="1" applyFont="1" applyFill="1" applyBorder="1" applyAlignment="1" applyProtection="1">
      <alignment horizontal="right" vertical="center" shrinkToFit="1"/>
      <protection locked="0"/>
    </xf>
    <xf numFmtId="0" fontId="56" fillId="0" borderId="0" xfId="61" applyFont="1" applyFill="1" applyBorder="1" applyAlignment="1" applyProtection="1">
      <alignment vertical="center"/>
      <protection locked="0"/>
    </xf>
    <xf numFmtId="0" fontId="56" fillId="0" borderId="0" xfId="61" applyFont="1" applyFill="1" applyAlignment="1" applyProtection="1">
      <alignment vertical="center"/>
      <protection locked="0"/>
    </xf>
    <xf numFmtId="43" fontId="12" fillId="19" borderId="3" xfId="91" applyFont="1" applyFill="1" applyBorder="1" applyAlignment="1" applyProtection="1">
      <alignment vertical="center" shrinkToFit="1"/>
      <protection hidden="1"/>
    </xf>
    <xf numFmtId="0" fontId="56" fillId="0" borderId="0" xfId="61" applyFont="1" applyFill="1" applyBorder="1" applyAlignment="1" applyProtection="1">
      <alignment horizontal="centerContinuous" vertical="center"/>
      <protection locked="0"/>
    </xf>
    <xf numFmtId="0" fontId="39" fillId="0" borderId="0" xfId="61" applyFont="1" applyFill="1" applyBorder="1" applyAlignment="1" applyProtection="1">
      <alignment horizontal="centerContinuous" vertical="center"/>
      <protection locked="0"/>
    </xf>
    <xf numFmtId="0" fontId="39" fillId="0" borderId="0" xfId="61" applyFont="1" applyFill="1" applyAlignment="1" applyProtection="1">
      <alignment horizontal="centerContinuous" vertical="center"/>
      <protection locked="0"/>
    </xf>
    <xf numFmtId="0" fontId="56" fillId="0" borderId="0" xfId="61" applyFont="1" applyFill="1" applyBorder="1" applyAlignment="1" applyProtection="1">
      <alignment horizontal="center" vertical="center"/>
      <protection locked="0"/>
    </xf>
    <xf numFmtId="0" fontId="39" fillId="0" borderId="0" xfId="61" applyFont="1" applyFill="1" applyBorder="1" applyAlignment="1" applyProtection="1">
      <alignment horizontal="center" vertical="center"/>
      <protection locked="0"/>
    </xf>
    <xf numFmtId="178" fontId="56" fillId="0" borderId="0" xfId="91" applyNumberFormat="1" applyFont="1" applyFill="1" applyBorder="1" applyAlignment="1" applyProtection="1">
      <alignment horizontal="right" vertical="center" shrinkToFit="1"/>
      <protection locked="0"/>
    </xf>
    <xf numFmtId="0" fontId="56" fillId="0" borderId="3" xfId="61" applyFont="1" applyFill="1" applyBorder="1" applyAlignment="1" applyProtection="1">
      <alignment horizontal="center" vertical="center"/>
      <protection locked="0"/>
    </xf>
    <xf numFmtId="0" fontId="56" fillId="19" borderId="3" xfId="61" applyFont="1" applyFill="1" applyBorder="1" applyAlignment="1" applyProtection="1">
      <alignment horizontal="center" vertical="center" wrapText="1"/>
      <protection hidden="1"/>
    </xf>
    <xf numFmtId="0" fontId="56" fillId="0" borderId="3" xfId="61" applyFont="1" applyFill="1" applyBorder="1" applyAlignment="1" applyProtection="1">
      <alignment horizontal="center" vertical="center" wrapText="1"/>
      <protection locked="0"/>
    </xf>
    <xf numFmtId="43" fontId="56" fillId="0" borderId="3" xfId="91" applyFont="1" applyFill="1" applyBorder="1" applyAlignment="1" applyProtection="1">
      <alignment horizontal="center" vertical="center" wrapText="1"/>
      <protection locked="0"/>
    </xf>
    <xf numFmtId="31" fontId="56" fillId="19" borderId="3" xfId="61" applyNumberFormat="1" applyFont="1" applyFill="1" applyBorder="1" applyAlignment="1" applyProtection="1">
      <alignment horizontal="center" vertical="center" wrapText="1"/>
      <protection hidden="1"/>
    </xf>
    <xf numFmtId="0" fontId="56" fillId="0" borderId="3" xfId="61" applyFont="1" applyFill="1" applyBorder="1" applyAlignment="1" applyProtection="1">
      <alignment horizontal="left" vertical="center"/>
      <protection locked="0"/>
    </xf>
    <xf numFmtId="179" fontId="39" fillId="0" borderId="3" xfId="6" applyNumberFormat="1" applyFont="1" applyFill="1" applyBorder="1" applyAlignment="1" applyProtection="1">
      <alignment horizontal="left" vertical="center"/>
      <protection locked="0"/>
    </xf>
    <xf numFmtId="43" fontId="39" fillId="0" borderId="3" xfId="91" applyFont="1" applyFill="1" applyBorder="1" applyAlignment="1" applyProtection="1">
      <alignment horizontal="left" vertical="center"/>
      <protection locked="0"/>
    </xf>
    <xf numFmtId="0" fontId="39" fillId="0" borderId="3" xfId="6" applyFont="1" applyFill="1" applyBorder="1" applyAlignment="1" applyProtection="1">
      <alignment horizontal="left" vertical="center"/>
      <protection locked="0"/>
    </xf>
    <xf numFmtId="0" fontId="56" fillId="0" borderId="3" xfId="61" applyFont="1" applyFill="1" applyBorder="1" applyAlignment="1" applyProtection="1">
      <alignment vertical="center"/>
      <protection locked="0"/>
    </xf>
    <xf numFmtId="0" fontId="39" fillId="0" borderId="3" xfId="61" applyFont="1" applyFill="1" applyBorder="1" applyAlignment="1" applyProtection="1">
      <alignment vertical="center"/>
      <protection locked="0"/>
    </xf>
    <xf numFmtId="0" fontId="39" fillId="0" borderId="3" xfId="61" applyFont="1" applyFill="1" applyBorder="1" applyAlignment="1" applyProtection="1">
      <alignment horizontal="left" vertical="center"/>
      <protection locked="0"/>
    </xf>
    <xf numFmtId="0" fontId="39" fillId="0" borderId="3" xfId="6" applyFont="1" applyFill="1" applyBorder="1" applyAlignment="1" applyProtection="1">
      <alignment horizontal="left" vertical="center" shrinkToFit="1"/>
      <protection locked="0"/>
    </xf>
    <xf numFmtId="178" fontId="39" fillId="0" borderId="3" xfId="92" applyNumberFormat="1" applyFont="1" applyFill="1" applyBorder="1" applyAlignment="1" applyProtection="1">
      <alignment horizontal="right" vertical="center" shrinkToFit="1"/>
      <protection locked="0"/>
    </xf>
    <xf numFmtId="31" fontId="56" fillId="0" borderId="3" xfId="61" applyNumberFormat="1" applyFont="1" applyFill="1" applyBorder="1" applyAlignment="1" applyProtection="1">
      <alignment horizontal="center" vertical="center"/>
      <protection locked="0"/>
    </xf>
    <xf numFmtId="31" fontId="39" fillId="0" borderId="3" xfId="61" applyNumberFormat="1" applyFont="1" applyFill="1" applyBorder="1" applyAlignment="1" applyProtection="1">
      <alignment horizontal="center" vertical="center"/>
      <protection locked="0"/>
    </xf>
    <xf numFmtId="0" fontId="39" fillId="0" borderId="3" xfId="61" applyFont="1" applyFill="1" applyBorder="1" applyAlignment="1" applyProtection="1">
      <alignment horizontal="right" vertical="center"/>
      <protection locked="0"/>
    </xf>
    <xf numFmtId="0" fontId="56" fillId="0" borderId="3" xfId="6" applyFont="1" applyFill="1" applyBorder="1" applyAlignment="1" applyProtection="1">
      <alignment vertical="center" shrinkToFit="1"/>
      <protection locked="0"/>
    </xf>
    <xf numFmtId="31" fontId="56" fillId="0" borderId="3" xfId="61" applyNumberFormat="1" applyFont="1" applyFill="1" applyBorder="1" applyAlignment="1" applyProtection="1">
      <alignment horizontal="center" vertical="center" wrapText="1"/>
      <protection locked="0"/>
    </xf>
    <xf numFmtId="179" fontId="56" fillId="0" borderId="3" xfId="6" quotePrefix="1" applyNumberFormat="1" applyFont="1" applyFill="1" applyBorder="1" applyAlignment="1" applyProtection="1">
      <alignment horizontal="left" vertical="center"/>
      <protection locked="0"/>
    </xf>
    <xf numFmtId="179" fontId="39" fillId="0" borderId="3" xfId="6" quotePrefix="1" applyNumberFormat="1" applyFont="1" applyFill="1" applyBorder="1" applyAlignment="1" applyProtection="1">
      <alignment horizontal="left" vertical="center" indent="1"/>
      <protection locked="0"/>
    </xf>
    <xf numFmtId="179" fontId="39" fillId="0" borderId="3" xfId="6" applyNumberFormat="1" applyFont="1" applyFill="1" applyBorder="1" applyAlignment="1" applyProtection="1">
      <alignment horizontal="left" vertical="center" indent="1"/>
      <protection locked="0"/>
    </xf>
    <xf numFmtId="179" fontId="56" fillId="0" borderId="3" xfId="6" applyNumberFormat="1" applyFont="1" applyFill="1" applyBorder="1" applyAlignment="1" applyProtection="1">
      <alignment horizontal="left" vertical="center"/>
      <protection locked="0"/>
    </xf>
    <xf numFmtId="179" fontId="39" fillId="0" borderId="3" xfId="6" quotePrefix="1" applyNumberFormat="1" applyFont="1" applyFill="1" applyBorder="1" applyAlignment="1" applyProtection="1">
      <alignment horizontal="left" vertical="center"/>
      <protection locked="0"/>
    </xf>
    <xf numFmtId="179" fontId="39" fillId="0" borderId="3" xfId="6" quotePrefix="1" applyNumberFormat="1" applyFont="1" applyFill="1" applyBorder="1" applyAlignment="1" applyProtection="1">
      <alignment horizontal="left" vertical="center" indent="2"/>
      <protection locked="0"/>
    </xf>
    <xf numFmtId="179" fontId="39" fillId="0" borderId="3" xfId="6" applyNumberFormat="1" applyFont="1" applyFill="1" applyBorder="1" applyAlignment="1" applyProtection="1">
      <alignment horizontal="left" vertical="center" indent="2"/>
      <protection locked="0"/>
    </xf>
    <xf numFmtId="0" fontId="39" fillId="0" borderId="3" xfId="6" applyFont="1" applyFill="1" applyBorder="1" applyAlignment="1" applyProtection="1">
      <alignment horizontal="left" vertical="center" indent="1"/>
      <protection locked="0"/>
    </xf>
    <xf numFmtId="0" fontId="56" fillId="0" borderId="3" xfId="6" applyFont="1" applyFill="1" applyBorder="1" applyAlignment="1" applyProtection="1">
      <alignment horizontal="left" vertical="center"/>
      <protection locked="0"/>
    </xf>
    <xf numFmtId="0" fontId="55" fillId="0" borderId="0" xfId="61" applyFont="1" applyFill="1" applyBorder="1" applyAlignment="1" applyProtection="1">
      <alignment horizontal="centerContinuous" vertical="center"/>
      <protection locked="0"/>
    </xf>
    <xf numFmtId="0" fontId="69" fillId="0" borderId="0" xfId="61" applyFont="1" applyFill="1" applyBorder="1" applyAlignment="1" applyProtection="1">
      <alignment horizontal="centerContinuous" vertical="center"/>
      <protection locked="0"/>
    </xf>
    <xf numFmtId="0" fontId="69" fillId="0" borderId="0" xfId="61" applyFont="1" applyFill="1" applyAlignment="1" applyProtection="1">
      <alignment horizontal="centerContinuous" vertical="center"/>
      <protection locked="0"/>
    </xf>
    <xf numFmtId="0" fontId="49" fillId="0" borderId="0" xfId="61" applyFont="1" applyFill="1" applyAlignment="1" applyProtection="1">
      <alignment vertical="center"/>
      <protection locked="0"/>
    </xf>
    <xf numFmtId="31" fontId="56" fillId="0" borderId="0" xfId="61" applyNumberFormat="1" applyFont="1" applyFill="1" applyBorder="1" applyAlignment="1" applyProtection="1">
      <alignment horizontal="left" vertical="center"/>
      <protection locked="0"/>
    </xf>
    <xf numFmtId="0" fontId="56" fillId="19" borderId="0" xfId="61" applyFont="1" applyFill="1" applyAlignment="1" applyProtection="1">
      <alignment horizontal="right" vertical="center"/>
      <protection hidden="1"/>
    </xf>
    <xf numFmtId="192" fontId="56" fillId="19" borderId="0" xfId="61" applyNumberFormat="1" applyFont="1" applyFill="1" applyAlignment="1" applyProtection="1">
      <alignment vertical="center" shrinkToFit="1"/>
      <protection hidden="1"/>
    </xf>
    <xf numFmtId="192" fontId="56" fillId="0" borderId="0" xfId="61" applyNumberFormat="1" applyFont="1" applyFill="1" applyAlignment="1" applyProtection="1">
      <alignment vertical="center" shrinkToFit="1"/>
      <protection locked="0"/>
    </xf>
    <xf numFmtId="178" fontId="56" fillId="19" borderId="0" xfId="61" applyNumberFormat="1" applyFont="1" applyFill="1" applyAlignment="1" applyProtection="1">
      <alignment vertical="center"/>
      <protection hidden="1"/>
    </xf>
    <xf numFmtId="0" fontId="56" fillId="19" borderId="0" xfId="61" applyFont="1" applyFill="1" applyBorder="1" applyAlignment="1" applyProtection="1">
      <alignment vertical="center"/>
      <protection hidden="1"/>
    </xf>
    <xf numFmtId="43" fontId="56" fillId="0" borderId="0" xfId="91" applyFont="1" applyFill="1" applyAlignment="1" applyProtection="1">
      <alignment horizontal="center" vertical="center" shrinkToFit="1"/>
      <protection locked="0"/>
    </xf>
    <xf numFmtId="43" fontId="56" fillId="0" borderId="0" xfId="91" applyFont="1" applyFill="1" applyAlignment="1" applyProtection="1">
      <alignment horizontal="center" vertical="center"/>
      <protection locked="0"/>
    </xf>
    <xf numFmtId="0" fontId="39" fillId="0" borderId="0" xfId="61" applyFont="1" applyFill="1" applyBorder="1" applyAlignment="1" applyProtection="1">
      <alignment horizontal="left" vertical="center"/>
      <protection locked="0"/>
    </xf>
    <xf numFmtId="0" fontId="56" fillId="0" borderId="0" xfId="61" applyFont="1" applyFill="1" applyAlignment="1" applyProtection="1">
      <alignment horizontal="center" vertical="center" wrapText="1"/>
      <protection locked="0"/>
    </xf>
    <xf numFmtId="179" fontId="39" fillId="0" borderId="3" xfId="6" applyNumberFormat="1" applyFont="1" applyFill="1" applyBorder="1" applyAlignment="1" applyProtection="1">
      <alignment horizontal="center" vertical="center"/>
      <protection locked="0"/>
    </xf>
    <xf numFmtId="178" fontId="39" fillId="30" borderId="3" xfId="92" applyNumberFormat="1" applyFont="1" applyFill="1" applyBorder="1" applyAlignment="1" applyProtection="1">
      <alignment vertical="center" shrinkToFit="1"/>
      <protection hidden="1"/>
    </xf>
    <xf numFmtId="0" fontId="39" fillId="0" borderId="0" xfId="61" applyFont="1" applyFill="1" applyAlignment="1" applyProtection="1">
      <alignment vertical="center" wrapText="1"/>
      <protection locked="0"/>
    </xf>
    <xf numFmtId="0" fontId="39" fillId="0" borderId="3" xfId="6" applyFont="1" applyFill="1" applyBorder="1" applyAlignment="1" applyProtection="1">
      <alignment horizontal="center" vertical="center"/>
      <protection locked="0"/>
    </xf>
    <xf numFmtId="178" fontId="39" fillId="38" borderId="3" xfId="92" applyNumberFormat="1" applyFont="1" applyFill="1" applyBorder="1" applyAlignment="1" applyProtection="1">
      <alignment vertical="center" shrinkToFit="1"/>
      <protection hidden="1"/>
    </xf>
    <xf numFmtId="179" fontId="39" fillId="0" borderId="3" xfId="6" quotePrefix="1" applyNumberFormat="1" applyFont="1" applyFill="1" applyBorder="1" applyAlignment="1" applyProtection="1">
      <alignment horizontal="center" vertical="center"/>
      <protection locked="0"/>
    </xf>
    <xf numFmtId="0" fontId="39" fillId="0" borderId="0" xfId="61" applyFont="1" applyFill="1" applyAlignment="1" applyProtection="1">
      <alignment horizontal="left" vertical="center"/>
      <protection locked="0"/>
    </xf>
    <xf numFmtId="0" fontId="39" fillId="0" borderId="0" xfId="61" applyFont="1" applyFill="1" applyAlignment="1" applyProtection="1">
      <alignment horizontal="center" vertical="center"/>
      <protection locked="0"/>
    </xf>
    <xf numFmtId="178" fontId="39" fillId="19" borderId="32" xfId="92" applyNumberFormat="1" applyFont="1" applyFill="1" applyBorder="1" applyAlignment="1" applyProtection="1">
      <alignment horizontal="right" vertical="center"/>
      <protection hidden="1"/>
    </xf>
    <xf numFmtId="178" fontId="39" fillId="19" borderId="33" xfId="92" applyNumberFormat="1" applyFont="1" applyFill="1" applyBorder="1" applyAlignment="1" applyProtection="1">
      <alignment horizontal="right" vertical="center"/>
      <protection hidden="1"/>
    </xf>
    <xf numFmtId="178" fontId="39" fillId="19" borderId="23" xfId="92" applyNumberFormat="1" applyFont="1" applyFill="1" applyBorder="1" applyAlignment="1" applyProtection="1">
      <alignment horizontal="right" vertical="center"/>
      <protection hidden="1"/>
    </xf>
    <xf numFmtId="178" fontId="39" fillId="19" borderId="103" xfId="92" applyNumberFormat="1" applyFont="1" applyFill="1" applyBorder="1" applyAlignment="1" applyProtection="1">
      <alignment horizontal="right" vertical="center"/>
      <protection hidden="1"/>
    </xf>
    <xf numFmtId="43" fontId="39" fillId="0" borderId="0" xfId="91" applyFont="1" applyFill="1" applyBorder="1" applyAlignment="1" applyProtection="1">
      <alignment horizontal="center" vertical="center"/>
      <protection locked="0"/>
    </xf>
    <xf numFmtId="43" fontId="39" fillId="19" borderId="0" xfId="91" applyFont="1" applyFill="1" applyBorder="1" applyAlignment="1" applyProtection="1">
      <alignment horizontal="center" vertical="center"/>
      <protection hidden="1"/>
    </xf>
    <xf numFmtId="0" fontId="39" fillId="0" borderId="0" xfId="6" applyFont="1" applyFill="1" applyAlignment="1" applyProtection="1">
      <alignment vertical="center"/>
      <protection locked="0"/>
    </xf>
    <xf numFmtId="0" fontId="39" fillId="0" borderId="0" xfId="60" applyFont="1" applyFill="1" applyAlignment="1" applyProtection="1">
      <alignment vertical="center"/>
      <protection locked="0"/>
    </xf>
    <xf numFmtId="0" fontId="56" fillId="0" borderId="29" xfId="60" applyFont="1" applyFill="1" applyBorder="1" applyAlignment="1" applyProtection="1">
      <alignment horizontal="center" vertical="center"/>
      <protection locked="0"/>
    </xf>
    <xf numFmtId="43" fontId="39" fillId="0" borderId="3" xfId="60" applyNumberFormat="1" applyFont="1" applyFill="1" applyBorder="1" applyAlignment="1" applyProtection="1">
      <alignment horizontal="center" vertical="center"/>
      <protection locked="0"/>
    </xf>
    <xf numFmtId="43" fontId="39" fillId="0" borderId="3" xfId="92" applyNumberFormat="1" applyFont="1" applyFill="1" applyBorder="1" applyAlignment="1" applyProtection="1">
      <alignment horizontal="center" vertical="center"/>
      <protection locked="0"/>
    </xf>
    <xf numFmtId="178" fontId="39" fillId="19" borderId="3" xfId="91" applyNumberFormat="1" applyFont="1" applyFill="1" applyBorder="1" applyAlignment="1" applyProtection="1">
      <alignment horizontal="right" vertical="center"/>
      <protection hidden="1"/>
    </xf>
    <xf numFmtId="43" fontId="39" fillId="0" borderId="63" xfId="91" applyFont="1" applyFill="1" applyBorder="1" applyAlignment="1" applyProtection="1">
      <alignment horizontal="right" vertical="center"/>
      <protection locked="0"/>
    </xf>
    <xf numFmtId="43" fontId="39" fillId="19" borderId="0" xfId="91" applyFont="1" applyFill="1" applyAlignment="1" applyProtection="1">
      <alignment vertical="center"/>
      <protection hidden="1"/>
    </xf>
    <xf numFmtId="43" fontId="39" fillId="0" borderId="64" xfId="91" applyFont="1" applyFill="1" applyBorder="1" applyAlignment="1" applyProtection="1">
      <alignment horizontal="right" vertical="center"/>
      <protection locked="0"/>
    </xf>
    <xf numFmtId="43" fontId="39" fillId="0" borderId="0" xfId="60" applyNumberFormat="1" applyFont="1" applyFill="1" applyAlignment="1" applyProtection="1">
      <alignment vertical="center"/>
      <protection locked="0"/>
    </xf>
    <xf numFmtId="0" fontId="47" fillId="0" borderId="0" xfId="106" applyFont="1" applyFill="1" applyBorder="1" applyAlignment="1" applyProtection="1">
      <alignment vertical="center"/>
      <protection locked="0"/>
    </xf>
    <xf numFmtId="0" fontId="39" fillId="0" borderId="27" xfId="6" applyFont="1" applyFill="1" applyBorder="1" applyAlignment="1" applyProtection="1">
      <alignment horizontal="left" vertical="center" indent="2" shrinkToFit="1"/>
      <protection locked="0"/>
    </xf>
    <xf numFmtId="43" fontId="12" fillId="19" borderId="40" xfId="91" applyFont="1" applyFill="1" applyBorder="1" applyAlignment="1" applyProtection="1">
      <alignment vertical="center" shrinkToFit="1"/>
      <protection hidden="1"/>
    </xf>
    <xf numFmtId="43" fontId="12" fillId="19" borderId="37" xfId="91" applyFont="1" applyFill="1" applyBorder="1" applyAlignment="1" applyProtection="1">
      <alignment vertical="center" shrinkToFit="1"/>
      <protection hidden="1"/>
    </xf>
    <xf numFmtId="43" fontId="47" fillId="0" borderId="36" xfId="91" applyFont="1" applyFill="1" applyBorder="1" applyAlignment="1" applyProtection="1">
      <alignment vertical="center"/>
      <protection locked="0"/>
    </xf>
    <xf numFmtId="178" fontId="56" fillId="19" borderId="0" xfId="106" applyNumberFormat="1" applyFont="1" applyFill="1" applyBorder="1" applyAlignment="1" applyProtection="1">
      <alignment horizontal="centerContinuous" vertical="center" shrinkToFit="1"/>
      <protection hidden="1"/>
    </xf>
    <xf numFmtId="178" fontId="56" fillId="0" borderId="0" xfId="106" applyNumberFormat="1" applyFont="1" applyFill="1" applyBorder="1" applyAlignment="1" applyProtection="1">
      <alignment horizontal="centerContinuous" vertical="center" shrinkToFit="1"/>
      <protection locked="0"/>
    </xf>
    <xf numFmtId="0" fontId="39" fillId="0" borderId="0" xfId="106" applyFont="1" applyFill="1" applyBorder="1" applyAlignment="1" applyProtection="1">
      <alignment vertical="center"/>
      <protection locked="0"/>
    </xf>
    <xf numFmtId="178" fontId="56" fillId="19" borderId="0" xfId="106" applyNumberFormat="1" applyFont="1" applyFill="1" applyBorder="1" applyAlignment="1" applyProtection="1">
      <alignment vertical="center" shrinkToFit="1"/>
      <protection hidden="1"/>
    </xf>
    <xf numFmtId="0" fontId="56" fillId="0" borderId="0" xfId="106" applyFont="1" applyFill="1" applyBorder="1" applyAlignment="1" applyProtection="1">
      <alignment horizontal="center" vertical="center"/>
      <protection locked="0"/>
    </xf>
    <xf numFmtId="0" fontId="56" fillId="0" borderId="0" xfId="106" applyFont="1" applyFill="1" applyBorder="1" applyAlignment="1" applyProtection="1">
      <alignment horizontal="right" vertical="center"/>
      <protection locked="0"/>
    </xf>
    <xf numFmtId="0" fontId="56" fillId="0" borderId="3" xfId="6" applyFont="1" applyFill="1" applyBorder="1" applyAlignment="1" applyProtection="1">
      <alignment horizontal="center" vertical="center" wrapText="1"/>
      <protection locked="0"/>
    </xf>
    <xf numFmtId="0" fontId="56" fillId="0" borderId="3" xfId="6" applyFont="1" applyFill="1" applyBorder="1" applyAlignment="1" applyProtection="1">
      <alignment horizontal="center" vertical="center"/>
      <protection locked="0"/>
    </xf>
    <xf numFmtId="0" fontId="56" fillId="0" borderId="28" xfId="6" applyFont="1" applyFill="1" applyBorder="1" applyAlignment="1" applyProtection="1">
      <alignment vertical="center" shrinkToFit="1"/>
      <protection locked="0"/>
    </xf>
    <xf numFmtId="43" fontId="39" fillId="0" borderId="36" xfId="91" applyFont="1" applyFill="1" applyBorder="1" applyAlignment="1" applyProtection="1">
      <alignment horizontal="center" vertical="center"/>
      <protection locked="0"/>
    </xf>
    <xf numFmtId="43" fontId="39" fillId="0" borderId="40" xfId="91" applyFont="1" applyFill="1" applyBorder="1" applyAlignment="1" applyProtection="1">
      <alignment vertical="center" shrinkToFit="1"/>
      <protection locked="0"/>
    </xf>
    <xf numFmtId="43" fontId="39" fillId="19" borderId="40" xfId="91" applyFont="1" applyFill="1" applyBorder="1" applyAlignment="1" applyProtection="1">
      <alignment vertical="center" shrinkToFit="1"/>
      <protection hidden="1"/>
    </xf>
    <xf numFmtId="43" fontId="39" fillId="19" borderId="37" xfId="91" applyFont="1" applyFill="1" applyBorder="1" applyAlignment="1" applyProtection="1">
      <alignment vertical="center" shrinkToFit="1"/>
      <protection hidden="1"/>
    </xf>
    <xf numFmtId="43" fontId="39" fillId="0" borderId="0" xfId="91" applyFont="1" applyFill="1" applyBorder="1" applyAlignment="1" applyProtection="1">
      <alignment vertical="center"/>
      <protection locked="0"/>
    </xf>
    <xf numFmtId="43" fontId="39" fillId="0" borderId="22" xfId="91" applyFont="1" applyFill="1" applyBorder="1" applyAlignment="1" applyProtection="1">
      <alignment vertical="center"/>
      <protection locked="0"/>
    </xf>
    <xf numFmtId="43" fontId="39" fillId="0" borderId="38" xfId="91" applyFont="1" applyFill="1" applyBorder="1" applyAlignment="1" applyProtection="1">
      <alignment vertical="center" shrinkToFit="1"/>
      <protection locked="0"/>
    </xf>
    <xf numFmtId="43" fontId="39" fillId="19" borderId="38" xfId="91" applyFont="1" applyFill="1" applyBorder="1" applyAlignment="1" applyProtection="1">
      <alignment vertical="center" shrinkToFit="1"/>
      <protection hidden="1"/>
    </xf>
    <xf numFmtId="43" fontId="39" fillId="0" borderId="24" xfId="91" applyFont="1" applyFill="1" applyBorder="1" applyAlignment="1" applyProtection="1">
      <alignment vertical="center"/>
      <protection locked="0"/>
    </xf>
    <xf numFmtId="43" fontId="39" fillId="19" borderId="41" xfId="91" applyFont="1" applyFill="1" applyBorder="1" applyAlignment="1" applyProtection="1">
      <alignment vertical="center" shrinkToFit="1"/>
      <protection hidden="1"/>
    </xf>
    <xf numFmtId="43" fontId="39" fillId="0" borderId="41" xfId="91" applyFont="1" applyFill="1" applyBorder="1" applyAlignment="1" applyProtection="1">
      <alignment vertical="center" shrinkToFit="1"/>
      <protection locked="0"/>
    </xf>
    <xf numFmtId="43" fontId="39" fillId="0" borderId="39" xfId="91" applyFont="1" applyFill="1" applyBorder="1" applyAlignment="1" applyProtection="1">
      <alignment vertical="center" shrinkToFit="1"/>
      <protection locked="0"/>
    </xf>
    <xf numFmtId="43" fontId="39" fillId="0" borderId="36" xfId="91" applyFont="1" applyFill="1" applyBorder="1" applyAlignment="1" applyProtection="1">
      <alignment vertical="center"/>
      <protection locked="0"/>
    </xf>
    <xf numFmtId="43" fontId="39" fillId="19" borderId="39" xfId="91" applyFont="1" applyFill="1" applyBorder="1" applyAlignment="1" applyProtection="1">
      <alignment vertical="center" shrinkToFit="1"/>
      <protection hidden="1"/>
    </xf>
    <xf numFmtId="43" fontId="39" fillId="0" borderId="0" xfId="106" applyNumberFormat="1" applyFont="1" applyFill="1" applyBorder="1" applyAlignment="1" applyProtection="1">
      <alignment vertical="center"/>
      <protection locked="0"/>
    </xf>
    <xf numFmtId="0" fontId="39" fillId="0" borderId="0" xfId="106" applyFont="1" applyFill="1" applyBorder="1" applyAlignment="1" applyProtection="1">
      <alignment vertical="center" wrapText="1"/>
      <protection locked="0"/>
    </xf>
    <xf numFmtId="180" fontId="39" fillId="0" borderId="0" xfId="106" applyNumberFormat="1" applyFont="1" applyFill="1" applyBorder="1" applyAlignment="1" applyProtection="1">
      <alignment vertical="center"/>
      <protection locked="0"/>
    </xf>
    <xf numFmtId="0" fontId="47" fillId="0" borderId="0" xfId="67" applyFont="1" applyFill="1" applyAlignment="1" applyProtection="1">
      <alignment vertical="center"/>
      <protection locked="0"/>
    </xf>
    <xf numFmtId="0" fontId="47" fillId="0" borderId="3" xfId="67" applyFont="1" applyFill="1" applyBorder="1" applyAlignment="1" applyProtection="1">
      <alignment vertical="center"/>
      <protection locked="0"/>
    </xf>
    <xf numFmtId="0" fontId="128" fillId="0" borderId="0" xfId="68" applyFont="1" applyFill="1" applyAlignment="1" applyProtection="1">
      <alignment vertical="center"/>
      <protection locked="0"/>
    </xf>
    <xf numFmtId="43" fontId="39" fillId="0" borderId="0" xfId="91" applyFont="1" applyFill="1" applyAlignment="1" applyProtection="1">
      <alignment vertical="center" wrapText="1"/>
      <protection locked="0"/>
    </xf>
    <xf numFmtId="178" fontId="56" fillId="19" borderId="0" xfId="67" applyNumberFormat="1" applyFont="1" applyFill="1" applyAlignment="1" applyProtection="1">
      <alignment vertical="center" shrinkToFit="1"/>
      <protection hidden="1"/>
    </xf>
    <xf numFmtId="0" fontId="39" fillId="0" borderId="0" xfId="67" applyFont="1" applyFill="1" applyAlignment="1" applyProtection="1">
      <alignment vertical="center"/>
      <protection locked="0"/>
    </xf>
    <xf numFmtId="49" fontId="39" fillId="0" borderId="0" xfId="67" applyNumberFormat="1" applyFont="1" applyFill="1" applyBorder="1" applyAlignment="1" applyProtection="1">
      <alignment horizontal="center" vertical="center"/>
      <protection locked="0"/>
    </xf>
    <xf numFmtId="49" fontId="39" fillId="0" borderId="0" xfId="67" applyNumberFormat="1" applyFont="1" applyFill="1" applyBorder="1" applyAlignment="1" applyProtection="1">
      <alignment vertical="center"/>
      <protection locked="0"/>
    </xf>
    <xf numFmtId="0" fontId="56" fillId="0" borderId="3" xfId="67" applyFont="1" applyFill="1" applyBorder="1" applyAlignment="1" applyProtection="1">
      <alignment horizontal="center" vertical="center" wrapText="1"/>
      <protection locked="0"/>
    </xf>
    <xf numFmtId="0" fontId="39" fillId="0" borderId="27" xfId="67" applyFont="1" applyFill="1" applyBorder="1" applyAlignment="1" applyProtection="1">
      <alignment vertical="center"/>
      <protection locked="0"/>
    </xf>
    <xf numFmtId="0" fontId="39" fillId="0" borderId="3" xfId="67" applyFont="1" applyFill="1" applyBorder="1" applyAlignment="1" applyProtection="1">
      <alignment vertical="center"/>
      <protection locked="0"/>
    </xf>
    <xf numFmtId="0" fontId="56" fillId="0" borderId="3" xfId="6" applyFont="1" applyFill="1" applyBorder="1" applyAlignment="1" applyProtection="1">
      <alignment vertical="center" wrapText="1"/>
      <protection locked="0"/>
    </xf>
    <xf numFmtId="178" fontId="39" fillId="0" borderId="3" xfId="67" applyNumberFormat="1" applyFont="1" applyFill="1" applyBorder="1" applyAlignment="1" applyProtection="1">
      <alignment vertical="center" shrinkToFit="1"/>
      <protection locked="0"/>
    </xf>
    <xf numFmtId="0" fontId="39" fillId="0" borderId="3" xfId="6" applyFont="1" applyFill="1" applyBorder="1" applyAlignment="1" applyProtection="1">
      <alignment vertical="center"/>
      <protection locked="0"/>
    </xf>
    <xf numFmtId="0" fontId="39" fillId="0" borderId="3" xfId="6" applyFont="1" applyFill="1" applyBorder="1" applyAlignment="1" applyProtection="1">
      <alignment horizontal="left" vertical="center" indent="2"/>
      <protection locked="0"/>
    </xf>
    <xf numFmtId="0" fontId="56" fillId="0" borderId="3" xfId="6" applyFont="1" applyFill="1" applyBorder="1" applyAlignment="1" applyProtection="1">
      <alignment vertical="center"/>
      <protection locked="0"/>
    </xf>
    <xf numFmtId="0" fontId="56" fillId="0" borderId="28" xfId="67" applyFont="1" applyFill="1" applyBorder="1" applyAlignment="1" applyProtection="1">
      <alignment horizontal="center" vertical="center"/>
      <protection locked="0"/>
    </xf>
    <xf numFmtId="0" fontId="39" fillId="0" borderId="32" xfId="6" applyFont="1" applyFill="1" applyBorder="1" applyAlignment="1" applyProtection="1">
      <alignment vertical="center"/>
      <protection locked="0"/>
    </xf>
    <xf numFmtId="178" fontId="39" fillId="0" borderId="33" xfId="92" applyNumberFormat="1" applyFont="1" applyFill="1" applyBorder="1" applyAlignment="1" applyProtection="1">
      <alignment vertical="center" shrinkToFit="1"/>
      <protection locked="0"/>
    </xf>
    <xf numFmtId="178" fontId="55" fillId="19" borderId="0" xfId="67" applyNumberFormat="1" applyFont="1" applyFill="1" applyAlignment="1" applyProtection="1">
      <alignment horizontal="centerContinuous" vertical="center" shrinkToFit="1"/>
      <protection hidden="1"/>
    </xf>
    <xf numFmtId="178" fontId="55" fillId="0" borderId="0" xfId="67" applyNumberFormat="1" applyFont="1" applyFill="1" applyAlignment="1" applyProtection="1">
      <alignment horizontal="centerContinuous" vertical="center" shrinkToFit="1"/>
      <protection locked="0"/>
    </xf>
    <xf numFmtId="0" fontId="127" fillId="0" borderId="0" xfId="68" applyFont="1" applyFill="1" applyAlignment="1" applyProtection="1">
      <alignment vertical="center"/>
      <protection locked="0"/>
    </xf>
    <xf numFmtId="195" fontId="55" fillId="19" borderId="0" xfId="67" applyNumberFormat="1" applyFont="1" applyFill="1" applyAlignment="1" applyProtection="1">
      <alignment horizontal="centerContinuous" vertical="center" shrinkToFit="1"/>
      <protection hidden="1"/>
    </xf>
    <xf numFmtId="195" fontId="55" fillId="0" borderId="0" xfId="67" applyNumberFormat="1" applyFont="1" applyFill="1" applyAlignment="1" applyProtection="1">
      <alignment horizontal="centerContinuous" vertical="center" shrinkToFit="1"/>
      <protection locked="0"/>
    </xf>
    <xf numFmtId="43" fontId="69" fillId="0" borderId="0" xfId="91" applyFont="1" applyFill="1" applyAlignment="1" applyProtection="1">
      <alignment vertical="center" wrapText="1"/>
      <protection locked="0"/>
    </xf>
    <xf numFmtId="0" fontId="47" fillId="0" borderId="0" xfId="67" applyFont="1" applyFill="1" applyAlignment="1" applyProtection="1">
      <alignment vertical="center" wrapText="1"/>
      <protection locked="0"/>
    </xf>
    <xf numFmtId="43" fontId="49" fillId="0" borderId="0" xfId="91" applyFont="1" applyFill="1" applyAlignment="1" applyProtection="1">
      <alignment horizontal="center" vertical="center"/>
      <protection locked="0"/>
    </xf>
    <xf numFmtId="43" fontId="47" fillId="0" borderId="38" xfId="91" applyFont="1" applyFill="1" applyBorder="1" applyAlignment="1" applyProtection="1">
      <alignment vertical="center"/>
      <protection locked="0"/>
    </xf>
    <xf numFmtId="43" fontId="47" fillId="0" borderId="41" xfId="91" applyFont="1" applyFill="1" applyBorder="1" applyAlignment="1" applyProtection="1">
      <alignment vertical="center"/>
      <protection locked="0"/>
    </xf>
    <xf numFmtId="43" fontId="47" fillId="0" borderId="39" xfId="91" applyFont="1" applyFill="1" applyBorder="1" applyAlignment="1" applyProtection="1">
      <alignment vertical="center"/>
      <protection locked="0"/>
    </xf>
    <xf numFmtId="41" fontId="47" fillId="0" borderId="0" xfId="94" applyFont="1" applyFill="1" applyAlignment="1" applyProtection="1">
      <alignment vertical="center"/>
      <protection locked="0"/>
    </xf>
    <xf numFmtId="43" fontId="49" fillId="0" borderId="0" xfId="6" applyNumberFormat="1" applyFont="1" applyFill="1" applyAlignment="1" applyProtection="1">
      <alignment horizontal="center" vertical="center"/>
      <protection locked="0"/>
    </xf>
    <xf numFmtId="0" fontId="130" fillId="0" borderId="0" xfId="127" applyFont="1" applyFill="1" applyAlignment="1" applyProtection="1">
      <alignment vertical="center"/>
      <protection locked="0"/>
    </xf>
    <xf numFmtId="0" fontId="39" fillId="0" borderId="0" xfId="127" applyFont="1" applyFill="1" applyAlignment="1" applyProtection="1">
      <alignment horizontal="center" vertical="center"/>
      <protection locked="0"/>
    </xf>
    <xf numFmtId="0" fontId="39" fillId="0" borderId="0" xfId="127" applyFont="1" applyFill="1" applyAlignment="1" applyProtection="1">
      <alignment vertical="center"/>
      <protection locked="0"/>
    </xf>
    <xf numFmtId="0" fontId="56" fillId="0" borderId="16" xfId="125" applyFont="1" applyFill="1" applyBorder="1" applyAlignment="1" applyProtection="1">
      <alignment horizontal="left" vertical="center"/>
      <protection locked="0"/>
    </xf>
    <xf numFmtId="0" fontId="56" fillId="0" borderId="0" xfId="125" applyFont="1" applyFill="1" applyBorder="1" applyAlignment="1" applyProtection="1">
      <alignment horizontal="left" vertical="center"/>
      <protection locked="0"/>
    </xf>
    <xf numFmtId="0" fontId="39" fillId="0" borderId="0" xfId="126" applyFont="1" applyFill="1" applyBorder="1" applyAlignment="1" applyProtection="1">
      <alignment horizontal="center" vertical="center"/>
      <protection locked="0"/>
    </xf>
    <xf numFmtId="43" fontId="39" fillId="0" borderId="0" xfId="113" applyFont="1" applyFill="1" applyBorder="1" applyAlignment="1" applyProtection="1">
      <alignment vertical="center"/>
      <protection locked="0"/>
    </xf>
    <xf numFmtId="43" fontId="39" fillId="0" borderId="0" xfId="113" applyFont="1" applyFill="1" applyBorder="1" applyAlignment="1" applyProtection="1">
      <alignment vertical="center" wrapText="1"/>
      <protection locked="0"/>
    </xf>
    <xf numFmtId="0" fontId="126" fillId="0" borderId="0" xfId="68" applyFont="1" applyFill="1" applyBorder="1" applyAlignment="1" applyProtection="1">
      <alignment vertical="center" wrapText="1" shrinkToFit="1"/>
      <protection locked="0"/>
    </xf>
    <xf numFmtId="178" fontId="56" fillId="0" borderId="19" xfId="126" applyNumberFormat="1" applyFont="1" applyFill="1" applyBorder="1" applyAlignment="1" applyProtection="1">
      <alignment horizontal="left" vertical="center"/>
      <protection locked="0"/>
    </xf>
    <xf numFmtId="0" fontId="56" fillId="0" borderId="14" xfId="126" applyFont="1" applyFill="1" applyBorder="1" applyAlignment="1" applyProtection="1">
      <alignment vertical="center"/>
      <protection locked="0"/>
    </xf>
    <xf numFmtId="49" fontId="56" fillId="0" borderId="14" xfId="128" applyNumberFormat="1" applyFont="1" applyFill="1" applyBorder="1" applyAlignment="1" applyProtection="1">
      <alignment horizontal="center" vertical="center"/>
      <protection locked="0"/>
    </xf>
    <xf numFmtId="0" fontId="56" fillId="0" borderId="14" xfId="126" applyFont="1" applyFill="1" applyBorder="1" applyAlignment="1" applyProtection="1">
      <alignment horizontal="right" vertical="center"/>
      <protection locked="0"/>
    </xf>
    <xf numFmtId="0" fontId="56" fillId="0" borderId="17" xfId="126" applyFont="1" applyFill="1" applyBorder="1" applyAlignment="1" applyProtection="1">
      <alignment horizontal="right" vertical="center" wrapText="1"/>
      <protection locked="0"/>
    </xf>
    <xf numFmtId="0" fontId="39" fillId="0" borderId="0" xfId="127" applyFont="1" applyFill="1" applyBorder="1" applyProtection="1">
      <alignment vertical="center"/>
      <protection locked="0"/>
    </xf>
    <xf numFmtId="0" fontId="56" fillId="0" borderId="20" xfId="126" applyFont="1" applyFill="1" applyBorder="1" applyAlignment="1" applyProtection="1">
      <alignment horizontal="left" vertical="center"/>
      <protection locked="0"/>
    </xf>
    <xf numFmtId="0" fontId="56" fillId="0" borderId="0" xfId="126" applyFont="1" applyFill="1" applyBorder="1" applyAlignment="1" applyProtection="1">
      <alignment vertical="center"/>
      <protection locked="0"/>
    </xf>
    <xf numFmtId="179" fontId="56" fillId="0" borderId="0" xfId="126" applyNumberFormat="1" applyFont="1" applyFill="1" applyBorder="1" applyAlignment="1" applyProtection="1">
      <alignment horizontal="left" vertical="center"/>
      <protection locked="0"/>
    </xf>
    <xf numFmtId="0" fontId="56" fillId="0" borderId="0" xfId="126" applyFont="1" applyFill="1" applyBorder="1" applyAlignment="1" applyProtection="1">
      <alignment horizontal="right" vertical="center"/>
      <protection locked="0"/>
    </xf>
    <xf numFmtId="192" fontId="39" fillId="0" borderId="18" xfId="126" applyNumberFormat="1" applyFont="1" applyFill="1" applyBorder="1" applyAlignment="1" applyProtection="1">
      <alignment horizontal="left" vertical="center" wrapText="1" shrinkToFit="1"/>
      <protection locked="0"/>
    </xf>
    <xf numFmtId="0" fontId="56" fillId="0" borderId="15" xfId="126" applyFont="1" applyFill="1" applyBorder="1" applyAlignment="1" applyProtection="1">
      <alignment horizontal="left" vertical="center"/>
      <protection locked="0"/>
    </xf>
    <xf numFmtId="0" fontId="56" fillId="0" borderId="16" xfId="126" applyFont="1" applyFill="1" applyBorder="1" applyAlignment="1" applyProtection="1">
      <alignment vertical="center"/>
      <protection locked="0"/>
    </xf>
    <xf numFmtId="179" fontId="56" fillId="0" borderId="16" xfId="126" applyNumberFormat="1" applyFont="1" applyFill="1" applyBorder="1" applyAlignment="1" applyProtection="1">
      <alignment horizontal="left" vertical="center"/>
      <protection locked="0"/>
    </xf>
    <xf numFmtId="0" fontId="56" fillId="0" borderId="16" xfId="126" applyFont="1" applyFill="1" applyBorder="1" applyAlignment="1" applyProtection="1">
      <alignment horizontal="right" vertical="center"/>
      <protection locked="0"/>
    </xf>
    <xf numFmtId="192" fontId="39" fillId="0" borderId="35" xfId="126" applyNumberFormat="1" applyFont="1" applyFill="1" applyBorder="1" applyAlignment="1" applyProtection="1">
      <alignment horizontal="left" vertical="center" wrapText="1" shrinkToFit="1"/>
      <protection locked="0"/>
    </xf>
    <xf numFmtId="0" fontId="56" fillId="0" borderId="0" xfId="126" applyFont="1" applyFill="1" applyBorder="1" applyAlignment="1" applyProtection="1">
      <alignment horizontal="left" vertical="center"/>
      <protection locked="0"/>
    </xf>
    <xf numFmtId="192" fontId="39" fillId="0" borderId="0" xfId="126" applyNumberFormat="1" applyFont="1" applyFill="1" applyBorder="1" applyAlignment="1" applyProtection="1">
      <alignment horizontal="left" vertical="center" wrapText="1" shrinkToFit="1"/>
      <protection locked="0"/>
    </xf>
    <xf numFmtId="0" fontId="39" fillId="0" borderId="0" xfId="127" applyFont="1" applyFill="1" applyBorder="1" applyAlignment="1" applyProtection="1">
      <alignment vertical="center"/>
      <protection locked="0"/>
    </xf>
    <xf numFmtId="0" fontId="39" fillId="0" borderId="0" xfId="127" applyFont="1" applyFill="1" applyAlignment="1" applyProtection="1">
      <alignment horizontal="center" vertical="center" wrapText="1"/>
      <protection locked="0"/>
    </xf>
    <xf numFmtId="0" fontId="39" fillId="0" borderId="0" xfId="127" applyFont="1" applyFill="1" applyBorder="1" applyAlignment="1" applyProtection="1">
      <alignment horizontal="center" vertical="center"/>
      <protection locked="0"/>
    </xf>
    <xf numFmtId="0" fontId="39" fillId="0" borderId="27" xfId="127" applyFont="1" applyFill="1" applyBorder="1" applyAlignment="1" applyProtection="1">
      <alignment horizontal="center" vertical="center"/>
      <protection locked="0"/>
    </xf>
    <xf numFmtId="0" fontId="39" fillId="0" borderId="3" xfId="127" applyFont="1" applyFill="1" applyBorder="1" applyAlignment="1" applyProtection="1">
      <alignment horizontal="center" vertical="center"/>
      <protection locked="0"/>
    </xf>
    <xf numFmtId="0" fontId="39" fillId="0" borderId="31" xfId="127" applyFont="1" applyFill="1" applyBorder="1" applyAlignment="1" applyProtection="1">
      <alignment horizontal="center" vertical="center" wrapText="1"/>
      <protection locked="0"/>
    </xf>
    <xf numFmtId="0" fontId="39" fillId="0" borderId="27" xfId="127" applyFont="1" applyFill="1" applyBorder="1" applyAlignment="1" applyProtection="1">
      <alignment vertical="center"/>
      <protection locked="0"/>
    </xf>
    <xf numFmtId="49" fontId="39" fillId="0" borderId="3" xfId="127" applyNumberFormat="1" applyFont="1" applyFill="1" applyBorder="1" applyAlignment="1" applyProtection="1">
      <alignment vertical="center"/>
      <protection locked="0"/>
    </xf>
    <xf numFmtId="0" fontId="39" fillId="0" borderId="31" xfId="127" applyFont="1" applyFill="1" applyBorder="1" applyAlignment="1" applyProtection="1">
      <alignment vertical="center" wrapText="1"/>
      <protection locked="0"/>
    </xf>
    <xf numFmtId="178" fontId="39" fillId="0" borderId="3" xfId="127" applyNumberFormat="1" applyFont="1" applyFill="1" applyBorder="1" applyAlignment="1" applyProtection="1">
      <alignment vertical="center"/>
      <protection locked="0"/>
    </xf>
    <xf numFmtId="178" fontId="39" fillId="0" borderId="3" xfId="113" applyNumberFormat="1" applyFont="1" applyFill="1" applyBorder="1" applyAlignment="1" applyProtection="1">
      <alignment vertical="center"/>
      <protection locked="0"/>
    </xf>
    <xf numFmtId="43" fontId="39" fillId="0" borderId="31" xfId="113" applyFont="1" applyFill="1" applyBorder="1" applyAlignment="1" applyProtection="1">
      <alignment vertical="center" wrapText="1"/>
      <protection locked="0"/>
    </xf>
    <xf numFmtId="178" fontId="39" fillId="19" borderId="3" xfId="113" applyNumberFormat="1" applyFont="1" applyFill="1" applyBorder="1" applyAlignment="1" applyProtection="1">
      <alignment vertical="center"/>
      <protection hidden="1"/>
    </xf>
    <xf numFmtId="0" fontId="130" fillId="0" borderId="0" xfId="127" applyFont="1" applyFill="1" applyBorder="1" applyAlignment="1" applyProtection="1">
      <alignment vertical="center"/>
      <protection locked="0"/>
    </xf>
    <xf numFmtId="178" fontId="39" fillId="0" borderId="32" xfId="113" applyNumberFormat="1" applyFont="1" applyFill="1" applyBorder="1" applyAlignment="1" applyProtection="1">
      <alignment vertical="center"/>
      <protection locked="0"/>
    </xf>
    <xf numFmtId="43" fontId="39" fillId="0" borderId="33" xfId="113" applyFont="1" applyFill="1" applyBorder="1" applyAlignment="1" applyProtection="1">
      <alignment vertical="center" wrapText="1"/>
      <protection locked="0"/>
    </xf>
    <xf numFmtId="10" fontId="39" fillId="0" borderId="31" xfId="113" applyNumberFormat="1" applyFont="1" applyFill="1" applyBorder="1" applyAlignment="1" applyProtection="1">
      <alignment vertical="center" wrapText="1"/>
      <protection locked="0"/>
    </xf>
    <xf numFmtId="43" fontId="39" fillId="0" borderId="94" xfId="113" applyFont="1" applyFill="1" applyBorder="1" applyAlignment="1" applyProtection="1">
      <alignment vertical="center" wrapText="1"/>
      <protection locked="0"/>
    </xf>
    <xf numFmtId="0" fontId="39" fillId="0" borderId="93" xfId="127" applyFont="1" applyFill="1" applyBorder="1" applyAlignment="1" applyProtection="1">
      <alignment vertical="center" wrapText="1"/>
      <protection locked="0"/>
    </xf>
    <xf numFmtId="0" fontId="39" fillId="0" borderId="93" xfId="127" applyFont="1" applyFill="1" applyBorder="1" applyAlignment="1" applyProtection="1">
      <alignment vertical="center"/>
      <protection locked="0"/>
    </xf>
    <xf numFmtId="43" fontId="39" fillId="0" borderId="3" xfId="113" applyFont="1" applyFill="1" applyBorder="1" applyAlignment="1" applyProtection="1">
      <alignment vertical="center" wrapText="1"/>
      <protection locked="0"/>
    </xf>
    <xf numFmtId="0" fontId="39" fillId="0" borderId="3" xfId="127" applyFont="1" applyFill="1" applyBorder="1" applyAlignment="1" applyProtection="1">
      <alignment vertical="center"/>
      <protection locked="0"/>
    </xf>
    <xf numFmtId="178" fontId="39" fillId="0" borderId="2" xfId="113" applyNumberFormat="1" applyFont="1" applyFill="1" applyBorder="1" applyAlignment="1" applyProtection="1">
      <alignment vertical="center"/>
      <protection locked="0"/>
    </xf>
    <xf numFmtId="0" fontId="39" fillId="0" borderId="25" xfId="127" applyFont="1" applyFill="1" applyBorder="1" applyAlignment="1" applyProtection="1">
      <alignment horizontal="center" vertical="center"/>
      <protection locked="0"/>
    </xf>
    <xf numFmtId="0" fontId="39" fillId="0" borderId="31" xfId="127" applyFont="1" applyFill="1" applyBorder="1" applyAlignment="1" applyProtection="1">
      <alignment vertical="center"/>
      <protection locked="0"/>
    </xf>
    <xf numFmtId="49" fontId="39" fillId="0" borderId="3" xfId="127" applyNumberFormat="1" applyFont="1" applyFill="1" applyBorder="1" applyAlignment="1" applyProtection="1">
      <alignment horizontal="center" vertical="center"/>
      <protection locked="0"/>
    </xf>
    <xf numFmtId="0" fontId="39" fillId="0" borderId="27" xfId="127" applyFont="1" applyFill="1" applyBorder="1" applyAlignment="1" applyProtection="1">
      <alignment horizontal="left" vertical="center"/>
      <protection locked="0"/>
    </xf>
    <xf numFmtId="178" fontId="39" fillId="0" borderId="32" xfId="127" applyNumberFormat="1" applyFont="1" applyFill="1" applyBorder="1" applyAlignment="1" applyProtection="1">
      <alignment vertical="center"/>
      <protection locked="0"/>
    </xf>
    <xf numFmtId="0" fontId="39" fillId="0" borderId="33" xfId="127" applyFont="1" applyFill="1" applyBorder="1" applyAlignment="1" applyProtection="1">
      <alignment vertical="center" wrapText="1"/>
      <protection locked="0"/>
    </xf>
    <xf numFmtId="0" fontId="39" fillId="0" borderId="27" xfId="0" applyFont="1" applyFill="1" applyBorder="1" applyAlignment="1" applyProtection="1">
      <alignment vertical="center" wrapText="1"/>
      <protection locked="0"/>
    </xf>
    <xf numFmtId="178" fontId="39" fillId="0" borderId="25" xfId="127" applyNumberFormat="1" applyFont="1" applyFill="1" applyBorder="1" applyAlignment="1" applyProtection="1">
      <alignment vertical="center"/>
      <protection locked="0"/>
    </xf>
    <xf numFmtId="0" fontId="39" fillId="0" borderId="54" xfId="127" applyFont="1" applyFill="1" applyBorder="1" applyAlignment="1" applyProtection="1">
      <alignment vertical="center"/>
      <protection locked="0"/>
    </xf>
    <xf numFmtId="178" fontId="39" fillId="0" borderId="93" xfId="127" applyNumberFormat="1" applyFont="1" applyFill="1" applyBorder="1" applyAlignment="1" applyProtection="1">
      <alignment vertical="center"/>
      <protection locked="0"/>
    </xf>
    <xf numFmtId="178" fontId="39" fillId="0" borderId="31" xfId="127" applyNumberFormat="1" applyFont="1" applyFill="1" applyBorder="1" applyAlignment="1" applyProtection="1">
      <alignment vertical="center" wrapText="1"/>
      <protection locked="0"/>
    </xf>
    <xf numFmtId="178" fontId="39" fillId="0" borderId="27" xfId="127" applyNumberFormat="1" applyFont="1" applyFill="1" applyBorder="1" applyAlignment="1" applyProtection="1">
      <alignment vertical="center"/>
      <protection locked="0"/>
    </xf>
    <xf numFmtId="178" fontId="39" fillId="0" borderId="3" xfId="127" applyNumberFormat="1" applyFont="1" applyFill="1" applyBorder="1" applyAlignment="1" applyProtection="1">
      <alignment horizontal="center" vertical="center"/>
      <protection locked="0"/>
    </xf>
    <xf numFmtId="178" fontId="39" fillId="0" borderId="25" xfId="127" applyNumberFormat="1" applyFont="1" applyFill="1" applyBorder="1" applyAlignment="1" applyProtection="1">
      <alignment horizontal="center" vertical="center"/>
      <protection locked="0"/>
    </xf>
    <xf numFmtId="178" fontId="39" fillId="0" borderId="31" xfId="127" applyNumberFormat="1" applyFont="1" applyFill="1" applyBorder="1" applyAlignment="1" applyProtection="1">
      <alignment horizontal="center" vertical="center" wrapText="1"/>
      <protection locked="0"/>
    </xf>
    <xf numFmtId="40" fontId="39" fillId="0" borderId="27" xfId="127" applyNumberFormat="1" applyFont="1" applyFill="1" applyBorder="1" applyAlignment="1" applyProtection="1">
      <alignment vertical="center"/>
      <protection locked="0"/>
    </xf>
    <xf numFmtId="40" fontId="39" fillId="0" borderId="3" xfId="127" applyNumberFormat="1" applyFont="1" applyFill="1" applyBorder="1" applyAlignment="1" applyProtection="1">
      <alignment vertical="center"/>
      <protection locked="0"/>
    </xf>
    <xf numFmtId="40" fontId="39" fillId="0" borderId="31" xfId="127" applyNumberFormat="1" applyFont="1" applyFill="1" applyBorder="1" applyAlignment="1" applyProtection="1">
      <alignment vertical="center" wrapText="1"/>
      <protection locked="0"/>
    </xf>
    <xf numFmtId="40" fontId="39" fillId="0" borderId="3" xfId="113" applyNumberFormat="1" applyFont="1" applyFill="1" applyBorder="1" applyAlignment="1" applyProtection="1">
      <alignment vertical="center"/>
      <protection locked="0"/>
    </xf>
    <xf numFmtId="40" fontId="39" fillId="0" borderId="3" xfId="127" applyNumberFormat="1" applyFont="1" applyFill="1" applyBorder="1" applyAlignment="1" applyProtection="1">
      <alignment horizontal="center" vertical="center"/>
      <protection locked="0"/>
    </xf>
    <xf numFmtId="40" fontId="39" fillId="0" borderId="25" xfId="127" applyNumberFormat="1" applyFont="1" applyFill="1" applyBorder="1" applyAlignment="1" applyProtection="1">
      <alignment horizontal="center" vertical="center"/>
      <protection locked="0"/>
    </xf>
    <xf numFmtId="40" fontId="39" fillId="0" borderId="31" xfId="127" applyNumberFormat="1" applyFont="1" applyFill="1" applyBorder="1" applyAlignment="1" applyProtection="1">
      <alignment horizontal="center" vertical="center" wrapText="1"/>
      <protection locked="0"/>
    </xf>
    <xf numFmtId="40" fontId="39" fillId="0" borderId="31" xfId="113" applyNumberFormat="1" applyFont="1" applyFill="1" applyBorder="1" applyAlignment="1" applyProtection="1">
      <alignment vertical="center" wrapText="1"/>
      <protection locked="0"/>
    </xf>
    <xf numFmtId="40" fontId="39" fillId="0" borderId="93" xfId="127" applyNumberFormat="1" applyFont="1" applyFill="1" applyBorder="1" applyAlignment="1" applyProtection="1">
      <alignment vertical="center"/>
      <protection locked="0"/>
    </xf>
    <xf numFmtId="49" fontId="39" fillId="0" borderId="54" xfId="127" applyNumberFormat="1" applyFont="1" applyFill="1" applyBorder="1" applyAlignment="1" applyProtection="1">
      <alignment vertical="center"/>
      <protection locked="0"/>
    </xf>
    <xf numFmtId="0" fontId="39" fillId="0" borderId="95" xfId="127" applyFont="1" applyFill="1" applyBorder="1" applyAlignment="1" applyProtection="1">
      <alignment vertical="center"/>
      <protection locked="0"/>
    </xf>
    <xf numFmtId="49" fontId="39" fillId="0" borderId="39" xfId="127" applyNumberFormat="1" applyFont="1" applyFill="1" applyBorder="1" applyAlignment="1" applyProtection="1">
      <alignment vertical="center"/>
      <protection locked="0"/>
    </xf>
    <xf numFmtId="0" fontId="39" fillId="0" borderId="0" xfId="127" applyFont="1" applyFill="1" applyAlignment="1" applyProtection="1">
      <alignment vertical="center" wrapText="1"/>
      <protection locked="0"/>
    </xf>
    <xf numFmtId="0" fontId="39" fillId="0" borderId="0" xfId="127" applyFont="1" applyFill="1" applyBorder="1" applyAlignment="1" applyProtection="1">
      <alignment vertical="center" wrapText="1"/>
      <protection locked="0"/>
    </xf>
    <xf numFmtId="0" fontId="39" fillId="0" borderId="75" xfId="127" applyFont="1" applyFill="1" applyBorder="1" applyAlignment="1" applyProtection="1">
      <alignment vertical="center"/>
      <protection locked="0"/>
    </xf>
    <xf numFmtId="178" fontId="39" fillId="0" borderId="0" xfId="127" applyNumberFormat="1" applyFont="1" applyFill="1" applyBorder="1" applyAlignment="1" applyProtection="1">
      <alignment vertical="center"/>
      <protection locked="0"/>
    </xf>
    <xf numFmtId="0" fontId="39" fillId="0" borderId="13" xfId="127" applyFont="1" applyFill="1" applyBorder="1" applyAlignment="1" applyProtection="1">
      <alignment vertical="center"/>
      <protection locked="0"/>
    </xf>
    <xf numFmtId="0" fontId="39" fillId="0" borderId="23" xfId="127" applyFont="1" applyFill="1" applyBorder="1" applyAlignment="1" applyProtection="1">
      <alignment vertical="center"/>
      <protection locked="0"/>
    </xf>
    <xf numFmtId="40" fontId="39" fillId="0" borderId="75" xfId="127" applyNumberFormat="1" applyFont="1" applyFill="1" applyBorder="1" applyAlignment="1" applyProtection="1">
      <alignment vertical="center"/>
      <protection locked="0"/>
    </xf>
    <xf numFmtId="40" fontId="39" fillId="0" borderId="13" xfId="127" applyNumberFormat="1" applyFont="1" applyFill="1" applyBorder="1" applyAlignment="1" applyProtection="1">
      <alignment vertical="center"/>
      <protection locked="0"/>
    </xf>
    <xf numFmtId="0" fontId="39" fillId="0" borderId="36" xfId="127" applyFont="1" applyFill="1" applyBorder="1" applyAlignment="1" applyProtection="1">
      <alignment vertical="center"/>
      <protection locked="0"/>
    </xf>
    <xf numFmtId="0" fontId="39" fillId="0" borderId="40" xfId="127" applyFont="1" applyFill="1" applyBorder="1" applyAlignment="1" applyProtection="1">
      <alignment vertical="center"/>
      <protection locked="0"/>
    </xf>
    <xf numFmtId="0" fontId="39" fillId="0" borderId="37" xfId="127" applyFont="1" applyFill="1" applyBorder="1" applyAlignment="1" applyProtection="1">
      <alignment vertical="center" wrapText="1"/>
      <protection locked="0"/>
    </xf>
    <xf numFmtId="0" fontId="39" fillId="0" borderId="38" xfId="127" applyFont="1" applyFill="1" applyBorder="1" applyAlignment="1" applyProtection="1">
      <alignment vertical="center" wrapText="1"/>
      <protection locked="0"/>
    </xf>
    <xf numFmtId="0" fontId="39" fillId="0" borderId="22" xfId="127" applyFont="1" applyFill="1" applyBorder="1" applyAlignment="1" applyProtection="1">
      <alignment vertical="center"/>
      <protection locked="0"/>
    </xf>
    <xf numFmtId="178" fontId="133" fillId="0" borderId="0" xfId="0" applyNumberFormat="1" applyFont="1" applyFill="1" applyAlignment="1" applyProtection="1">
      <alignment vertical="center"/>
      <protection locked="0"/>
    </xf>
    <xf numFmtId="0" fontId="134" fillId="0" borderId="0" xfId="0" applyFont="1" applyFill="1" applyBorder="1" applyAlignment="1" applyProtection="1">
      <alignment vertical="center"/>
      <protection locked="0"/>
    </xf>
    <xf numFmtId="178" fontId="12" fillId="0" borderId="3" xfId="91" applyNumberFormat="1" applyFont="1" applyFill="1" applyBorder="1" applyAlignment="1" applyProtection="1">
      <alignment vertical="center"/>
      <protection locked="0"/>
    </xf>
    <xf numFmtId="178" fontId="12" fillId="19" borderId="3" xfId="91" applyNumberFormat="1" applyFont="1" applyFill="1" applyBorder="1" applyAlignment="1" applyProtection="1">
      <alignment vertical="center"/>
      <protection hidden="1"/>
    </xf>
    <xf numFmtId="178" fontId="12" fillId="0" borderId="3" xfId="91" applyNumberFormat="1" applyFont="1" applyFill="1" applyBorder="1" applyAlignment="1" applyProtection="1">
      <alignment horizontal="center" vertical="center"/>
      <protection locked="0"/>
    </xf>
    <xf numFmtId="178" fontId="12" fillId="19" borderId="3" xfId="91" applyNumberFormat="1" applyFont="1" applyFill="1" applyBorder="1" applyAlignment="1" applyProtection="1">
      <alignment horizontal="center" vertical="center"/>
      <protection hidden="1"/>
    </xf>
    <xf numFmtId="178" fontId="12" fillId="19" borderId="3" xfId="0" applyNumberFormat="1" applyFont="1" applyFill="1" applyBorder="1" applyAlignment="1" applyProtection="1">
      <alignment horizontal="center" vertical="center"/>
      <protection hidden="1"/>
    </xf>
    <xf numFmtId="178" fontId="12" fillId="19" borderId="3" xfId="0" applyNumberFormat="1" applyFont="1" applyFill="1" applyBorder="1" applyAlignment="1" applyProtection="1">
      <alignment vertical="center"/>
      <protection hidden="1"/>
    </xf>
    <xf numFmtId="0" fontId="47" fillId="0" borderId="0" xfId="0" applyFont="1" applyFill="1" applyAlignment="1" applyProtection="1">
      <alignment vertical="center"/>
      <protection locked="0"/>
    </xf>
    <xf numFmtId="0" fontId="62" fillId="0" borderId="3" xfId="0" applyFont="1" applyFill="1" applyBorder="1" applyAlignment="1" applyProtection="1">
      <alignment horizontal="left" vertical="center"/>
      <protection locked="0"/>
    </xf>
    <xf numFmtId="0" fontId="62" fillId="0" borderId="3" xfId="0" applyFont="1" applyFill="1" applyBorder="1" applyAlignment="1" applyProtection="1">
      <alignment vertical="center"/>
      <protection locked="0"/>
    </xf>
    <xf numFmtId="0" fontId="68" fillId="0" borderId="3" xfId="0" applyFont="1" applyFill="1" applyBorder="1" applyAlignment="1" applyProtection="1">
      <alignment vertical="center"/>
      <protection locked="0"/>
    </xf>
    <xf numFmtId="179" fontId="12" fillId="19" borderId="3" xfId="0" applyNumberFormat="1" applyFont="1" applyFill="1" applyBorder="1" applyAlignment="1" applyProtection="1">
      <alignment vertical="center" shrinkToFit="1"/>
      <protection hidden="1"/>
    </xf>
    <xf numFmtId="178" fontId="12" fillId="0" borderId="3" xfId="91" applyNumberFormat="1" applyFont="1" applyFill="1" applyBorder="1" applyAlignment="1" applyProtection="1">
      <alignment horizontal="center" vertical="center"/>
      <protection hidden="1"/>
    </xf>
    <xf numFmtId="178" fontId="12" fillId="0" borderId="3" xfId="91" applyNumberFormat="1" applyFont="1" applyFill="1" applyBorder="1" applyAlignment="1" applyProtection="1">
      <alignment vertical="center"/>
      <protection hidden="1"/>
    </xf>
    <xf numFmtId="0" fontId="78" fillId="0" borderId="0" xfId="68" applyFont="1" applyFill="1" applyAlignment="1" applyProtection="1">
      <alignment vertical="center" wrapText="1" shrinkToFit="1"/>
      <protection locked="0"/>
    </xf>
    <xf numFmtId="178" fontId="56" fillId="0" borderId="0" xfId="0" applyNumberFormat="1" applyFont="1" applyFill="1" applyAlignment="1" applyProtection="1">
      <alignment vertical="center"/>
      <protection locked="0"/>
    </xf>
    <xf numFmtId="0" fontId="39" fillId="0" borderId="3" xfId="0" applyFont="1" applyFill="1" applyBorder="1" applyAlignment="1" applyProtection="1">
      <alignment horizontal="left" vertical="center"/>
      <protection locked="0"/>
    </xf>
    <xf numFmtId="178" fontId="39" fillId="0" borderId="3" xfId="0" applyNumberFormat="1" applyFont="1" applyFill="1" applyBorder="1" applyAlignment="1" applyProtection="1">
      <alignment horizontal="right" vertical="center" shrinkToFit="1"/>
      <protection locked="0"/>
    </xf>
    <xf numFmtId="43" fontId="39" fillId="0" borderId="3" xfId="91" applyFont="1" applyFill="1" applyBorder="1" applyAlignment="1" applyProtection="1">
      <alignment horizontal="center" vertical="center"/>
      <protection locked="0"/>
    </xf>
    <xf numFmtId="43" fontId="39" fillId="0" borderId="3" xfId="91" applyFont="1" applyFill="1" applyBorder="1" applyAlignment="1" applyProtection="1">
      <alignment horizontal="right" vertical="center" shrinkToFit="1"/>
      <protection locked="0"/>
    </xf>
    <xf numFmtId="0" fontId="126" fillId="0" borderId="0" xfId="68" applyFont="1" applyFill="1" applyAlignment="1" applyProtection="1">
      <alignment vertical="center" wrapText="1" shrinkToFit="1"/>
      <protection locked="0"/>
    </xf>
    <xf numFmtId="0" fontId="39" fillId="0" borderId="0" xfId="68" applyFont="1" applyFill="1" applyAlignment="1" applyProtection="1">
      <alignment vertical="center"/>
      <protection locked="0"/>
    </xf>
    <xf numFmtId="0" fontId="57" fillId="0" borderId="0" xfId="0" applyFont="1" applyFill="1" applyBorder="1" applyAlignment="1" applyProtection="1">
      <alignment horizontal="left" vertical="center" wrapText="1"/>
      <protection locked="0"/>
    </xf>
    <xf numFmtId="179" fontId="57" fillId="0" borderId="3" xfId="0" applyNumberFormat="1" applyFont="1" applyFill="1" applyBorder="1" applyAlignment="1" applyProtection="1">
      <alignment vertical="center"/>
      <protection locked="0"/>
    </xf>
    <xf numFmtId="179" fontId="12" fillId="0" borderId="0" xfId="0" applyNumberFormat="1" applyFont="1" applyFill="1" applyAlignment="1" applyProtection="1">
      <alignment vertical="center"/>
      <protection locked="0"/>
    </xf>
    <xf numFmtId="178" fontId="39" fillId="0" borderId="0" xfId="0" applyNumberFormat="1" applyFont="1" applyFill="1" applyBorder="1" applyAlignment="1" applyProtection="1">
      <alignment vertical="center" shrinkToFit="1"/>
      <protection hidden="1"/>
    </xf>
    <xf numFmtId="178" fontId="39" fillId="0" borderId="3" xfId="0" applyNumberFormat="1" applyFont="1" applyFill="1" applyBorder="1" applyAlignment="1" applyProtection="1">
      <alignment vertical="center" shrinkToFit="1"/>
      <protection hidden="1"/>
    </xf>
    <xf numFmtId="179" fontId="39" fillId="0" borderId="3" xfId="0" applyNumberFormat="1" applyFont="1" applyFill="1" applyBorder="1" applyAlignment="1" applyProtection="1">
      <alignment horizontal="center" wrapText="1"/>
      <protection locked="0"/>
    </xf>
    <xf numFmtId="179" fontId="39" fillId="0" borderId="3" xfId="0" applyNumberFormat="1" applyFont="1" applyFill="1" applyBorder="1" applyAlignment="1" applyProtection="1">
      <alignment vertical="center"/>
      <protection locked="0"/>
    </xf>
    <xf numFmtId="179" fontId="39" fillId="19" borderId="3" xfId="0" applyNumberFormat="1" applyFont="1" applyFill="1" applyBorder="1" applyAlignment="1" applyProtection="1">
      <alignment vertical="center"/>
      <protection hidden="1"/>
    </xf>
    <xf numFmtId="179" fontId="39" fillId="0" borderId="0" xfId="0" applyNumberFormat="1" applyFont="1" applyFill="1" applyAlignment="1" applyProtection="1">
      <alignment vertical="center"/>
      <protection locked="0"/>
    </xf>
    <xf numFmtId="179" fontId="39" fillId="19" borderId="3" xfId="0" applyNumberFormat="1" applyFont="1" applyFill="1" applyBorder="1" applyAlignment="1" applyProtection="1">
      <alignment vertical="center" shrinkToFit="1"/>
      <protection hidden="1"/>
    </xf>
    <xf numFmtId="178" fontId="39" fillId="0" borderId="3" xfId="44" applyNumberFormat="1" applyFont="1" applyFill="1" applyBorder="1" applyAlignment="1" applyProtection="1">
      <protection locked="0"/>
    </xf>
    <xf numFmtId="178" fontId="39" fillId="19" borderId="3" xfId="117" applyNumberFormat="1" applyFont="1" applyFill="1" applyBorder="1" applyAlignment="1" applyProtection="1">
      <alignment vertical="center" shrinkToFit="1"/>
      <protection hidden="1"/>
    </xf>
    <xf numFmtId="178" fontId="39" fillId="19" borderId="3" xfId="91" applyNumberFormat="1" applyFont="1" applyFill="1" applyBorder="1" applyAlignment="1" applyProtection="1">
      <alignment vertical="center"/>
      <protection hidden="1"/>
    </xf>
    <xf numFmtId="178" fontId="39" fillId="0" borderId="0" xfId="44" applyNumberFormat="1" applyFont="1" applyFill="1" applyAlignment="1" applyProtection="1">
      <alignment vertical="center"/>
      <protection locked="0"/>
    </xf>
    <xf numFmtId="178" fontId="39" fillId="19" borderId="3" xfId="91" applyNumberFormat="1" applyFont="1" applyFill="1" applyBorder="1" applyAlignment="1" applyProtection="1">
      <alignment vertical="center" shrinkToFit="1"/>
      <protection hidden="1"/>
    </xf>
    <xf numFmtId="0" fontId="56" fillId="0" borderId="0" xfId="0" applyFont="1" applyFill="1" applyAlignment="1" applyProtection="1">
      <alignment vertical="center"/>
      <protection locked="0"/>
    </xf>
    <xf numFmtId="178" fontId="39" fillId="0" borderId="36" xfId="0" applyNumberFormat="1" applyFont="1" applyFill="1" applyBorder="1" applyAlignment="1" applyProtection="1">
      <alignment vertical="center"/>
      <protection locked="0"/>
    </xf>
    <xf numFmtId="178" fontId="39" fillId="19" borderId="3" xfId="44" applyNumberFormat="1" applyFont="1" applyFill="1" applyBorder="1" applyAlignment="1" applyProtection="1">
      <alignment vertical="center"/>
      <protection hidden="1"/>
    </xf>
    <xf numFmtId="0" fontId="39" fillId="19" borderId="0" xfId="0" applyFont="1" applyFill="1" applyAlignment="1" applyProtection="1">
      <alignment vertical="center"/>
      <protection hidden="1"/>
    </xf>
    <xf numFmtId="178" fontId="39" fillId="0" borderId="22" xfId="0" applyNumberFormat="1" applyFont="1" applyFill="1" applyBorder="1" applyAlignment="1" applyProtection="1">
      <alignment vertical="center"/>
      <protection locked="0"/>
    </xf>
    <xf numFmtId="178" fontId="39" fillId="0" borderId="24" xfId="0" applyNumberFormat="1" applyFont="1" applyFill="1" applyBorder="1" applyAlignment="1" applyProtection="1">
      <alignment vertical="center"/>
      <protection locked="0"/>
    </xf>
    <xf numFmtId="178" fontId="39" fillId="0" borderId="0" xfId="44" applyNumberFormat="1" applyFont="1" applyFill="1" applyBorder="1" applyAlignment="1" applyProtection="1">
      <alignment vertical="center"/>
      <protection locked="0"/>
    </xf>
    <xf numFmtId="178" fontId="39" fillId="0" borderId="3" xfId="0" applyNumberFormat="1" applyFont="1" applyFill="1" applyBorder="1" applyAlignment="1" applyProtection="1">
      <alignment horizontal="centerContinuous" vertical="center"/>
      <protection locked="0"/>
    </xf>
    <xf numFmtId="0" fontId="39" fillId="0" borderId="3" xfId="0" applyFont="1" applyFill="1" applyBorder="1" applyAlignment="1" applyProtection="1">
      <alignment horizontal="centerContinuous" vertical="center"/>
      <protection locked="0"/>
    </xf>
    <xf numFmtId="43" fontId="39" fillId="0" borderId="3" xfId="91" applyFont="1" applyFill="1" applyBorder="1" applyAlignment="1" applyProtection="1">
      <alignment horizontal="center"/>
      <protection locked="0"/>
    </xf>
    <xf numFmtId="178" fontId="39" fillId="19" borderId="0" xfId="0" applyNumberFormat="1" applyFont="1" applyFill="1" applyAlignment="1" applyProtection="1">
      <alignment vertical="center"/>
      <protection hidden="1"/>
    </xf>
    <xf numFmtId="178" fontId="39" fillId="0" borderId="3" xfId="0" applyNumberFormat="1" applyFont="1" applyFill="1" applyBorder="1" applyAlignment="1" applyProtection="1">
      <alignment horizontal="center" vertical="center" wrapText="1"/>
      <protection locked="0"/>
    </xf>
    <xf numFmtId="0" fontId="39" fillId="0" borderId="3" xfId="0" applyFont="1" applyBorder="1" applyAlignment="1">
      <alignment horizontal="center" vertical="center" wrapText="1"/>
    </xf>
    <xf numFmtId="0" fontId="39" fillId="0" borderId="3" xfId="0" applyFont="1" applyBorder="1" applyAlignment="1">
      <alignment horizontal="justify" vertical="center" wrapText="1"/>
    </xf>
    <xf numFmtId="0" fontId="39" fillId="0" borderId="3" xfId="0" applyFont="1" applyBorder="1" applyAlignment="1">
      <alignment horizontal="right" vertical="center" wrapText="1"/>
    </xf>
    <xf numFmtId="43" fontId="56" fillId="0" borderId="0" xfId="91" applyFont="1" applyFill="1" applyAlignment="1" applyProtection="1">
      <alignment vertical="center"/>
      <protection locked="0"/>
    </xf>
    <xf numFmtId="178" fontId="39" fillId="0" borderId="0" xfId="91" applyNumberFormat="1" applyFont="1" applyFill="1" applyAlignment="1" applyProtection="1">
      <alignment vertical="center"/>
      <protection locked="0"/>
    </xf>
    <xf numFmtId="178" fontId="39" fillId="0" borderId="3" xfId="91" applyNumberFormat="1" applyFont="1" applyFill="1" applyBorder="1" applyAlignment="1" applyProtection="1">
      <alignment horizontal="center"/>
      <protection locked="0"/>
    </xf>
    <xf numFmtId="178" fontId="39" fillId="0" borderId="54" xfId="91" applyNumberFormat="1" applyFont="1" applyFill="1" applyBorder="1" applyAlignment="1" applyProtection="1">
      <alignment vertical="center"/>
      <protection locked="0"/>
    </xf>
    <xf numFmtId="178" fontId="39" fillId="0" borderId="3" xfId="91" applyNumberFormat="1" applyFont="1" applyFill="1" applyBorder="1" applyAlignment="1" applyProtection="1">
      <alignment vertical="center"/>
      <protection locked="0"/>
    </xf>
    <xf numFmtId="43" fontId="39" fillId="0" borderId="3" xfId="91" applyFont="1" applyFill="1" applyBorder="1" applyAlignment="1" applyProtection="1">
      <alignment vertical="center"/>
      <protection locked="0"/>
    </xf>
    <xf numFmtId="43" fontId="39" fillId="0" borderId="3" xfId="91" applyFont="1" applyFill="1" applyBorder="1" applyAlignment="1" applyProtection="1">
      <protection locked="0"/>
    </xf>
    <xf numFmtId="178" fontId="39" fillId="0" borderId="3" xfId="91" applyNumberFormat="1" applyFont="1" applyFill="1" applyBorder="1" applyAlignment="1" applyProtection="1">
      <protection locked="0"/>
    </xf>
    <xf numFmtId="178" fontId="56" fillId="19" borderId="54" xfId="91" applyNumberFormat="1" applyFont="1" applyFill="1" applyBorder="1" applyAlignment="1" applyProtection="1">
      <alignment vertical="center"/>
      <protection hidden="1"/>
    </xf>
    <xf numFmtId="43" fontId="56" fillId="19" borderId="3" xfId="91" applyFont="1" applyFill="1" applyBorder="1" applyAlignment="1" applyProtection="1">
      <alignment vertical="center"/>
      <protection hidden="1"/>
    </xf>
    <xf numFmtId="178" fontId="39" fillId="19" borderId="3" xfId="113" applyNumberFormat="1" applyFont="1" applyFill="1" applyBorder="1" applyAlignment="1" applyProtection="1">
      <alignment vertical="center" shrinkToFit="1"/>
      <protection hidden="1"/>
    </xf>
    <xf numFmtId="43" fontId="39" fillId="0" borderId="0" xfId="91" applyFont="1" applyFill="1" applyAlignment="1" applyProtection="1">
      <alignment horizontal="center" vertical="center"/>
      <protection locked="0"/>
    </xf>
    <xf numFmtId="43" fontId="39" fillId="0" borderId="0" xfId="113" applyFont="1" applyFill="1" applyAlignment="1" applyProtection="1">
      <alignment vertical="center"/>
      <protection locked="0"/>
    </xf>
    <xf numFmtId="0" fontId="126" fillId="31" borderId="0" xfId="68" applyFont="1" applyFill="1" applyAlignment="1" applyProtection="1">
      <alignment horizontal="center" vertical="center"/>
      <protection locked="0"/>
    </xf>
    <xf numFmtId="0" fontId="39" fillId="31" borderId="0" xfId="0" applyFont="1" applyFill="1" applyAlignment="1" applyProtection="1">
      <alignment horizontal="center" vertical="center"/>
      <protection locked="0"/>
    </xf>
    <xf numFmtId="0" fontId="126" fillId="31" borderId="0" xfId="68" applyFont="1" applyFill="1" applyAlignment="1" applyProtection="1">
      <alignment horizontal="center" vertical="center" wrapText="1" shrinkToFit="1"/>
      <protection hidden="1"/>
    </xf>
    <xf numFmtId="43" fontId="39" fillId="31" borderId="0" xfId="91" applyFont="1" applyFill="1" applyAlignment="1" applyProtection="1">
      <alignment horizontal="center" vertical="center"/>
      <protection locked="0"/>
    </xf>
    <xf numFmtId="0" fontId="39" fillId="31" borderId="0" xfId="0" applyFont="1" applyFill="1" applyAlignment="1" applyProtection="1">
      <alignment vertical="center"/>
      <protection locked="0"/>
    </xf>
    <xf numFmtId="0" fontId="39" fillId="0" borderId="3" xfId="0" applyFont="1" applyBorder="1" applyAlignment="1">
      <alignment horizontal="center" vertical="center"/>
    </xf>
    <xf numFmtId="0" fontId="39" fillId="0" borderId="3" xfId="0" applyFont="1" applyBorder="1" applyAlignment="1">
      <alignment horizontal="justify" vertical="center"/>
    </xf>
    <xf numFmtId="0" fontId="39" fillId="0" borderId="3" xfId="0" applyFont="1" applyBorder="1" applyAlignment="1">
      <alignment horizontal="right" vertical="center"/>
    </xf>
    <xf numFmtId="0" fontId="78" fillId="0" borderId="0" xfId="68" applyFont="1" applyFill="1" applyAlignment="1" applyProtection="1">
      <alignment horizontal="center" vertical="center"/>
      <protection locked="0"/>
    </xf>
    <xf numFmtId="178" fontId="39" fillId="0" borderId="3" xfId="0" applyNumberFormat="1" applyFont="1" applyFill="1" applyBorder="1" applyAlignment="1" applyProtection="1">
      <protection locked="0"/>
    </xf>
    <xf numFmtId="178" fontId="39" fillId="19" borderId="3" xfId="44" applyNumberFormat="1" applyFont="1" applyFill="1" applyBorder="1" applyAlignment="1" applyProtection="1">
      <alignment vertical="center" shrinkToFit="1"/>
      <protection hidden="1"/>
    </xf>
    <xf numFmtId="0" fontId="39" fillId="0" borderId="3" xfId="0" applyFont="1" applyFill="1" applyBorder="1" applyAlignment="1" applyProtection="1">
      <alignment horizontal="left" vertical="center" wrapText="1" indent="1"/>
      <protection locked="0"/>
    </xf>
    <xf numFmtId="0" fontId="39" fillId="0" borderId="3" xfId="0" applyFont="1" applyFill="1" applyBorder="1" applyAlignment="1" applyProtection="1">
      <alignment horizontal="justify" vertical="center"/>
      <protection locked="0"/>
    </xf>
    <xf numFmtId="178" fontId="39" fillId="0" borderId="0" xfId="113" applyNumberFormat="1" applyFont="1" applyFill="1" applyBorder="1" applyAlignment="1" applyProtection="1">
      <alignment vertical="center"/>
      <protection locked="0"/>
    </xf>
    <xf numFmtId="178" fontId="39" fillId="0" borderId="3" xfId="0" applyNumberFormat="1" applyFont="1" applyFill="1" applyBorder="1" applyAlignment="1" applyProtection="1">
      <alignment horizontal="center" wrapText="1"/>
      <protection locked="0"/>
    </xf>
    <xf numFmtId="178" fontId="39" fillId="0" borderId="0" xfId="113" applyNumberFormat="1" applyFont="1" applyFill="1" applyAlignment="1" applyProtection="1">
      <alignment vertical="center"/>
      <protection locked="0"/>
    </xf>
    <xf numFmtId="0" fontId="56" fillId="0" borderId="0" xfId="0" applyFont="1" applyFill="1" applyAlignment="1" applyProtection="1">
      <alignment horizontal="justify" vertical="center"/>
      <protection locked="0"/>
    </xf>
    <xf numFmtId="178" fontId="39" fillId="0" borderId="0" xfId="0" applyNumberFormat="1" applyFont="1" applyFill="1" applyAlignment="1" applyProtection="1">
      <alignment horizontal="center" vertical="center"/>
      <protection locked="0"/>
    </xf>
    <xf numFmtId="178" fontId="39" fillId="0" borderId="3" xfId="91" applyNumberFormat="1" applyFont="1" applyFill="1" applyBorder="1" applyAlignment="1" applyProtection="1">
      <alignment horizontal="right" wrapText="1"/>
      <protection locked="0"/>
    </xf>
    <xf numFmtId="0" fontId="39" fillId="0" borderId="36" xfId="0" applyFont="1" applyFill="1" applyBorder="1" applyAlignment="1" applyProtection="1">
      <alignment horizontal="center" vertical="center"/>
      <protection locked="0"/>
    </xf>
    <xf numFmtId="0" fontId="39" fillId="19" borderId="37" xfId="0" applyFont="1" applyFill="1" applyBorder="1" applyAlignment="1" applyProtection="1">
      <alignment horizontal="center" vertical="center"/>
      <protection hidden="1"/>
    </xf>
    <xf numFmtId="0" fontId="39" fillId="0" borderId="22" xfId="0" applyFont="1" applyFill="1" applyBorder="1" applyAlignment="1" applyProtection="1">
      <alignment vertical="center"/>
      <protection locked="0"/>
    </xf>
    <xf numFmtId="0" fontId="39" fillId="19" borderId="38" xfId="0" applyFont="1" applyFill="1" applyBorder="1" applyAlignment="1" applyProtection="1">
      <alignment horizontal="center" vertical="center"/>
      <protection hidden="1"/>
    </xf>
    <xf numFmtId="0" fontId="39" fillId="0" borderId="24" xfId="0" applyFont="1" applyFill="1" applyBorder="1" applyAlignment="1" applyProtection="1">
      <alignment vertical="center"/>
      <protection locked="0"/>
    </xf>
    <xf numFmtId="0" fontId="39" fillId="19" borderId="39"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protection locked="0"/>
    </xf>
    <xf numFmtId="178" fontId="39" fillId="0" borderId="0" xfId="0" applyNumberFormat="1" applyFont="1" applyFill="1" applyBorder="1" applyAlignment="1" applyProtection="1">
      <alignment horizontal="right" vertical="center" shrinkToFit="1"/>
      <protection locked="0"/>
    </xf>
    <xf numFmtId="0" fontId="39" fillId="0" borderId="3" xfId="0" applyFont="1" applyFill="1" applyBorder="1" applyAlignment="1" applyProtection="1">
      <alignment vertical="center" wrapText="1"/>
      <protection locked="0"/>
    </xf>
    <xf numFmtId="0" fontId="56" fillId="0" borderId="0" xfId="0" applyFont="1" applyFill="1" applyBorder="1" applyAlignment="1" applyProtection="1">
      <alignment horizontal="left" vertical="center"/>
      <protection locked="0"/>
    </xf>
    <xf numFmtId="178" fontId="39" fillId="0" borderId="3" xfId="0" applyNumberFormat="1" applyFont="1" applyFill="1" applyBorder="1" applyAlignment="1" applyProtection="1">
      <alignment horizontal="left" vertical="center"/>
      <protection locked="0"/>
    </xf>
    <xf numFmtId="0" fontId="39" fillId="0" borderId="3" xfId="113" applyNumberFormat="1" applyFont="1" applyFill="1" applyBorder="1" applyAlignment="1" applyProtection="1">
      <alignment vertical="center"/>
      <protection locked="0"/>
    </xf>
    <xf numFmtId="0" fontId="39" fillId="0" borderId="0" xfId="113" applyNumberFormat="1" applyFont="1" applyFill="1" applyAlignment="1" applyProtection="1">
      <alignment vertical="center"/>
      <protection locked="0"/>
    </xf>
    <xf numFmtId="178" fontId="39" fillId="19" borderId="0" xfId="113" applyNumberFormat="1" applyFont="1" applyFill="1" applyAlignment="1" applyProtection="1">
      <alignment vertical="center"/>
      <protection hidden="1"/>
    </xf>
    <xf numFmtId="178" fontId="39" fillId="0" borderId="0" xfId="0" applyNumberFormat="1" applyFont="1" applyFill="1" applyAlignment="1" applyProtection="1">
      <alignment vertical="center" wrapText="1"/>
      <protection locked="0"/>
    </xf>
    <xf numFmtId="0" fontId="39" fillId="0" borderId="0" xfId="0" applyFont="1" applyFill="1" applyAlignment="1" applyProtection="1">
      <alignment vertical="center" wrapText="1"/>
      <protection locked="0"/>
    </xf>
    <xf numFmtId="43" fontId="56" fillId="0" borderId="0" xfId="91" applyFont="1" applyFill="1" applyAlignment="1" applyProtection="1">
      <alignment horizontal="left" vertical="center"/>
      <protection locked="0"/>
    </xf>
    <xf numFmtId="178" fontId="39" fillId="0" borderId="3" xfId="91" applyNumberFormat="1" applyFont="1" applyFill="1" applyBorder="1" applyAlignment="1" applyProtection="1">
      <alignment horizontal="center" wrapText="1"/>
      <protection locked="0"/>
    </xf>
    <xf numFmtId="43" fontId="39" fillId="0" borderId="54" xfId="91" applyFont="1" applyFill="1" applyBorder="1" applyAlignment="1" applyProtection="1">
      <alignment horizontal="center" vertical="center"/>
      <protection locked="0"/>
    </xf>
    <xf numFmtId="43" fontId="39" fillId="0" borderId="3" xfId="91" applyFont="1" applyFill="1" applyBorder="1" applyAlignment="1" applyProtection="1">
      <alignment horizontal="center" vertical="center" wrapText="1"/>
      <protection locked="0"/>
    </xf>
    <xf numFmtId="43" fontId="39" fillId="0" borderId="3" xfId="91" applyFont="1" applyFill="1" applyBorder="1" applyAlignment="1" applyProtection="1">
      <alignment horizontal="left" wrapText="1"/>
      <protection locked="0"/>
    </xf>
    <xf numFmtId="43" fontId="56" fillId="19" borderId="54" xfId="91" applyFont="1" applyFill="1" applyBorder="1" applyAlignment="1" applyProtection="1">
      <alignment horizontal="center" vertical="center"/>
      <protection hidden="1"/>
    </xf>
    <xf numFmtId="43" fontId="56" fillId="19" borderId="3" xfId="91" applyFont="1" applyFill="1" applyBorder="1" applyAlignment="1" applyProtection="1">
      <alignment horizontal="center" vertical="center"/>
      <protection hidden="1"/>
    </xf>
    <xf numFmtId="43" fontId="39" fillId="0" borderId="3" xfId="91" applyFont="1" applyFill="1" applyBorder="1" applyAlignment="1" applyProtection="1">
      <alignment horizontal="center" wrapText="1"/>
      <protection locked="0"/>
    </xf>
    <xf numFmtId="43" fontId="39" fillId="0" borderId="3" xfId="91" applyFont="1" applyBorder="1" applyAlignment="1">
      <alignment horizontal="right" vertical="center"/>
    </xf>
    <xf numFmtId="0" fontId="39" fillId="0" borderId="0" xfId="0" applyFont="1" applyAlignment="1">
      <alignment vertical="center"/>
    </xf>
    <xf numFmtId="0" fontId="39" fillId="0" borderId="3" xfId="0" applyFont="1" applyBorder="1" applyAlignment="1">
      <alignment horizontal="left" vertical="center"/>
    </xf>
    <xf numFmtId="43" fontId="39" fillId="0" borderId="3" xfId="91" applyFont="1" applyBorder="1" applyAlignment="1">
      <alignment vertical="center"/>
    </xf>
    <xf numFmtId="0" fontId="39" fillId="0" borderId="3" xfId="0" applyFont="1" applyBorder="1" applyAlignment="1">
      <alignment vertical="center"/>
    </xf>
    <xf numFmtId="0" fontId="39" fillId="0" borderId="75" xfId="0" applyFont="1" applyBorder="1" applyAlignment="1">
      <alignment horizontal="center" vertical="center" wrapText="1"/>
    </xf>
    <xf numFmtId="0" fontId="39" fillId="0" borderId="75" xfId="0" applyFont="1" applyBorder="1" applyAlignment="1">
      <alignment horizontal="center" vertical="center"/>
    </xf>
    <xf numFmtId="0" fontId="39" fillId="0" borderId="23" xfId="0" applyFont="1" applyBorder="1" applyAlignment="1">
      <alignment horizontal="center" vertical="center"/>
    </xf>
    <xf numFmtId="0" fontId="126" fillId="0" borderId="0" xfId="68" applyFont="1" applyFill="1" applyAlignment="1" applyProtection="1">
      <alignment horizontal="center" vertical="center" wrapText="1" shrinkToFit="1"/>
      <protection locked="0"/>
    </xf>
    <xf numFmtId="0" fontId="63" fillId="0" borderId="0" xfId="68" applyFont="1" applyFill="1" applyAlignment="1" applyProtection="1">
      <alignment horizontal="center" vertical="center"/>
      <protection locked="0"/>
    </xf>
    <xf numFmtId="178" fontId="135" fillId="0" borderId="0" xfId="0" applyNumberFormat="1" applyFont="1" applyFill="1" applyAlignment="1" applyProtection="1">
      <alignment vertical="center"/>
      <protection locked="0"/>
    </xf>
    <xf numFmtId="0" fontId="63" fillId="0" borderId="0" xfId="0" applyFont="1" applyFill="1" applyAlignment="1" applyProtection="1">
      <alignment horizontal="center" vertical="center"/>
      <protection locked="0"/>
    </xf>
    <xf numFmtId="0" fontId="63" fillId="0" borderId="3" xfId="0" applyFont="1" applyFill="1" applyBorder="1" applyAlignment="1" applyProtection="1">
      <alignment horizontal="center" vertical="center" wrapText="1"/>
      <protection locked="0"/>
    </xf>
    <xf numFmtId="0" fontId="63" fillId="0" borderId="3" xfId="0" applyFont="1" applyFill="1" applyBorder="1" applyAlignment="1" applyProtection="1">
      <alignment horizontal="justify" vertical="center" wrapText="1"/>
      <protection locked="0"/>
    </xf>
    <xf numFmtId="178" fontId="72" fillId="0" borderId="3" xfId="0" applyNumberFormat="1" applyFont="1" applyFill="1" applyBorder="1" applyAlignment="1" applyProtection="1">
      <alignment vertical="center" shrinkToFit="1"/>
      <protection locked="0"/>
    </xf>
    <xf numFmtId="0" fontId="63" fillId="0" borderId="3" xfId="0" applyFont="1" applyFill="1" applyBorder="1" applyAlignment="1" applyProtection="1">
      <alignment horizontal="left" vertical="center" wrapText="1" indent="1"/>
      <protection locked="0"/>
    </xf>
    <xf numFmtId="0" fontId="63" fillId="0" borderId="3" xfId="0" applyFont="1" applyFill="1" applyBorder="1" applyAlignment="1" applyProtection="1">
      <alignment horizontal="left" vertical="center"/>
      <protection locked="0"/>
    </xf>
    <xf numFmtId="178" fontId="72" fillId="19" borderId="3" xfId="0" applyNumberFormat="1" applyFont="1" applyFill="1" applyBorder="1" applyAlignment="1" applyProtection="1">
      <alignment vertical="center" shrinkToFit="1"/>
      <protection hidden="1"/>
    </xf>
    <xf numFmtId="0" fontId="63" fillId="0" borderId="3" xfId="0" applyFont="1" applyFill="1" applyBorder="1" applyAlignment="1" applyProtection="1">
      <alignment horizontal="center" vertical="center"/>
      <protection locked="0"/>
    </xf>
    <xf numFmtId="0" fontId="63" fillId="0" borderId="3" xfId="0" applyFont="1" applyBorder="1" applyAlignment="1">
      <alignment horizontal="left" vertical="center"/>
    </xf>
    <xf numFmtId="0" fontId="63" fillId="0" borderId="3" xfId="0" applyFont="1" applyBorder="1" applyAlignment="1">
      <alignment horizontal="center" vertical="center"/>
    </xf>
    <xf numFmtId="0" fontId="50" fillId="31" borderId="0" xfId="0" applyFont="1" applyFill="1" applyAlignment="1" applyProtection="1">
      <alignment horizontal="center" vertical="center"/>
      <protection locked="0"/>
    </xf>
    <xf numFmtId="0" fontId="78" fillId="31" borderId="0" xfId="68" applyFont="1" applyFill="1" applyAlignment="1" applyProtection="1">
      <alignment horizontal="center" vertical="center" wrapText="1" shrinkToFit="1"/>
      <protection hidden="1"/>
    </xf>
    <xf numFmtId="0" fontId="120" fillId="0" borderId="0" xfId="0" applyFont="1" applyFill="1" applyBorder="1" applyAlignment="1" applyProtection="1">
      <alignment vertical="center"/>
      <protection hidden="1"/>
    </xf>
    <xf numFmtId="0" fontId="136" fillId="0" borderId="0" xfId="68" applyFont="1" applyFill="1" applyAlignment="1" applyProtection="1">
      <alignment vertical="center" wrapText="1" shrinkToFit="1"/>
      <protection locked="0"/>
    </xf>
    <xf numFmtId="0" fontId="59" fillId="0" borderId="0" xfId="0" applyFont="1" applyFill="1" applyBorder="1" applyAlignment="1" applyProtection="1">
      <alignment horizontal="centerContinuous" vertical="center"/>
      <protection hidden="1"/>
    </xf>
    <xf numFmtId="0" fontId="62" fillId="0" borderId="3" xfId="0" applyFont="1" applyFill="1" applyBorder="1" applyAlignment="1" applyProtection="1">
      <alignment vertical="center"/>
      <protection hidden="1"/>
    </xf>
    <xf numFmtId="0" fontId="126" fillId="0" borderId="0" xfId="0" applyFont="1" applyFill="1" applyBorder="1" applyAlignment="1" applyProtection="1">
      <alignment vertical="center"/>
      <protection locked="0"/>
    </xf>
    <xf numFmtId="0" fontId="56" fillId="0" borderId="0" xfId="61" applyFont="1" applyFill="1" applyBorder="1" applyAlignment="1" applyProtection="1">
      <alignment horizontal="center" vertical="center"/>
      <protection locked="0"/>
    </xf>
    <xf numFmtId="0" fontId="39" fillId="0" borderId="3" xfId="0" applyFont="1" applyFill="1" applyBorder="1" applyAlignment="1" applyProtection="1">
      <alignment horizontal="center" vertical="center"/>
      <protection locked="0"/>
    </xf>
    <xf numFmtId="178" fontId="39" fillId="0" borderId="3" xfId="0" applyNumberFormat="1" applyFont="1" applyFill="1" applyBorder="1" applyAlignment="1" applyProtection="1">
      <alignment horizontal="center"/>
      <protection locked="0"/>
    </xf>
    <xf numFmtId="178" fontId="39" fillId="0" borderId="3" xfId="0" applyNumberFormat="1" applyFont="1" applyFill="1" applyBorder="1" applyAlignment="1" applyProtection="1">
      <alignment horizontal="center" vertical="center"/>
      <protection locked="0"/>
    </xf>
    <xf numFmtId="0" fontId="39" fillId="0" borderId="23" xfId="0" applyFont="1" applyFill="1" applyBorder="1" applyAlignment="1" applyProtection="1">
      <alignment horizontal="center" vertical="center"/>
      <protection locked="0"/>
    </xf>
    <xf numFmtId="178" fontId="39" fillId="0" borderId="25" xfId="0" applyNumberFormat="1" applyFont="1" applyFill="1" applyBorder="1" applyAlignment="1" applyProtection="1">
      <alignment horizontal="center" vertical="center"/>
      <protection locked="0"/>
    </xf>
    <xf numFmtId="43" fontId="39" fillId="0" borderId="3" xfId="91" applyFont="1" applyFill="1" applyBorder="1" applyAlignment="1" applyProtection="1">
      <alignment horizontal="center" vertical="center"/>
      <protection locked="0"/>
    </xf>
    <xf numFmtId="43" fontId="39" fillId="0" borderId="0" xfId="91" applyFont="1" applyFill="1" applyAlignment="1" applyProtection="1">
      <alignment vertical="center"/>
      <protection locked="0"/>
    </xf>
    <xf numFmtId="0" fontId="39" fillId="0" borderId="3" xfId="0" applyFont="1" applyFill="1" applyBorder="1" applyAlignment="1" applyProtection="1">
      <alignment vertical="center"/>
      <protection locked="0"/>
    </xf>
    <xf numFmtId="0" fontId="39" fillId="0" borderId="3" xfId="0" applyFont="1" applyFill="1" applyBorder="1" applyAlignment="1" applyProtection="1">
      <alignment horizontal="center" vertical="center" wrapText="1"/>
      <protection locked="0"/>
    </xf>
    <xf numFmtId="0" fontId="39" fillId="0" borderId="3" xfId="0" applyFont="1" applyBorder="1" applyAlignment="1">
      <alignment horizontal="center" vertical="center"/>
    </xf>
    <xf numFmtId="0" fontId="39" fillId="0" borderId="3" xfId="0" applyFont="1" applyBorder="1" applyAlignment="1">
      <alignment horizontal="center" vertical="center" wrapText="1"/>
    </xf>
    <xf numFmtId="0" fontId="39" fillId="0" borderId="3" xfId="0" applyFont="1" applyFill="1" applyBorder="1" applyAlignment="1" applyProtection="1">
      <alignment vertical="center"/>
      <protection locked="0"/>
    </xf>
    <xf numFmtId="0" fontId="39" fillId="0" borderId="3" xfId="0" applyFont="1" applyFill="1" applyBorder="1" applyAlignment="1" applyProtection="1">
      <alignment horizontal="center" vertical="center"/>
      <protection locked="0"/>
    </xf>
    <xf numFmtId="0" fontId="137" fillId="31" borderId="0" xfId="68" applyFont="1" applyFill="1" applyAlignment="1" applyProtection="1">
      <alignment horizontal="center" vertical="center"/>
      <protection locked="0"/>
    </xf>
    <xf numFmtId="178" fontId="138" fillId="0" borderId="0" xfId="0" applyNumberFormat="1" applyFont="1" applyFill="1" applyAlignment="1" applyProtection="1">
      <alignment vertical="center"/>
      <protection locked="0"/>
    </xf>
    <xf numFmtId="0" fontId="75" fillId="0" borderId="0" xfId="0" applyFont="1" applyFill="1" applyAlignment="1" applyProtection="1">
      <alignment vertical="center"/>
      <protection locked="0"/>
    </xf>
    <xf numFmtId="0" fontId="75" fillId="31" borderId="0" xfId="0" applyFont="1" applyFill="1" applyAlignment="1" applyProtection="1">
      <alignment horizontal="center" vertical="center"/>
      <protection locked="0"/>
    </xf>
    <xf numFmtId="0" fontId="75" fillId="0" borderId="0" xfId="0" applyFont="1" applyFill="1" applyAlignment="1" applyProtection="1">
      <alignment horizontal="center" vertical="center"/>
      <protection locked="0"/>
    </xf>
    <xf numFmtId="0" fontId="137" fillId="31" borderId="0" xfId="68" applyFont="1" applyFill="1" applyAlignment="1" applyProtection="1">
      <alignment horizontal="center" vertical="center" wrapText="1" shrinkToFit="1"/>
      <protection hidden="1"/>
    </xf>
    <xf numFmtId="43" fontId="75" fillId="31" borderId="0" xfId="91" applyFont="1" applyFill="1" applyAlignment="1" applyProtection="1">
      <alignment horizontal="center" vertical="center"/>
      <protection locked="0"/>
    </xf>
    <xf numFmtId="0" fontId="63" fillId="0" borderId="0" xfId="68" applyFont="1" applyFill="1" applyAlignment="1" applyProtection="1">
      <alignment vertical="center"/>
      <protection locked="0"/>
    </xf>
    <xf numFmtId="0" fontId="115" fillId="0" borderId="0" xfId="0" applyFont="1" applyFill="1" applyBorder="1" applyAlignment="1" applyProtection="1">
      <alignment horizontal="center" vertical="center"/>
      <protection locked="0"/>
    </xf>
    <xf numFmtId="178" fontId="72" fillId="19" borderId="3" xfId="44" applyNumberFormat="1" applyFont="1" applyFill="1" applyBorder="1" applyAlignment="1" applyProtection="1">
      <alignment vertical="center" shrinkToFit="1"/>
      <protection hidden="1"/>
    </xf>
    <xf numFmtId="0" fontId="63" fillId="0" borderId="3" xfId="0" applyFont="1" applyFill="1" applyBorder="1" applyAlignment="1" applyProtection="1">
      <alignment vertical="center"/>
      <protection locked="0"/>
    </xf>
    <xf numFmtId="0" fontId="63" fillId="0" borderId="36" xfId="0" applyFont="1" applyFill="1" applyBorder="1" applyAlignment="1" applyProtection="1">
      <alignment horizontal="center" vertical="center"/>
      <protection locked="0"/>
    </xf>
    <xf numFmtId="0" fontId="63" fillId="19" borderId="37" xfId="0" applyFont="1" applyFill="1" applyBorder="1" applyAlignment="1" applyProtection="1">
      <alignment horizontal="center" vertical="center"/>
      <protection hidden="1"/>
    </xf>
    <xf numFmtId="0" fontId="63" fillId="0" borderId="22" xfId="0" applyFont="1" applyFill="1" applyBorder="1" applyAlignment="1" applyProtection="1">
      <alignment vertical="center"/>
      <protection locked="0"/>
    </xf>
    <xf numFmtId="0" fontId="63" fillId="19" borderId="38" xfId="0" applyFont="1" applyFill="1" applyBorder="1" applyAlignment="1" applyProtection="1">
      <alignment horizontal="center" vertical="center"/>
      <protection hidden="1"/>
    </xf>
    <xf numFmtId="0" fontId="63" fillId="0" borderId="38" xfId="0" applyFont="1" applyFill="1" applyBorder="1" applyAlignment="1" applyProtection="1">
      <alignment horizontal="center" vertical="center"/>
      <protection locked="0"/>
    </xf>
    <xf numFmtId="0" fontId="63" fillId="0" borderId="24" xfId="0" applyFont="1" applyFill="1" applyBorder="1" applyAlignment="1" applyProtection="1">
      <alignment vertical="center"/>
      <protection locked="0"/>
    </xf>
    <xf numFmtId="0" fontId="63" fillId="0" borderId="39" xfId="0" applyFont="1" applyFill="1" applyBorder="1" applyAlignment="1" applyProtection="1">
      <alignment horizontal="center" vertical="center"/>
      <protection locked="0"/>
    </xf>
    <xf numFmtId="0" fontId="63" fillId="0" borderId="0" xfId="0" applyFont="1" applyFill="1" applyBorder="1" applyAlignment="1" applyProtection="1">
      <alignment vertical="center"/>
      <protection locked="0"/>
    </xf>
    <xf numFmtId="178" fontId="63" fillId="0" borderId="3" xfId="0" applyNumberFormat="1" applyFont="1" applyFill="1" applyBorder="1" applyAlignment="1" applyProtection="1">
      <alignment horizontal="right" vertical="center" shrinkToFit="1"/>
      <protection locked="0"/>
    </xf>
    <xf numFmtId="0" fontId="63" fillId="0" borderId="3" xfId="0" applyFont="1" applyFill="1" applyBorder="1" applyAlignment="1" applyProtection="1">
      <alignment horizontal="left" vertical="center" wrapText="1"/>
      <protection locked="0"/>
    </xf>
    <xf numFmtId="0" fontId="140" fillId="0" borderId="0" xfId="68" applyFont="1" applyFill="1" applyAlignment="1" applyProtection="1">
      <alignment horizontal="center" vertical="center" wrapText="1" shrinkToFit="1"/>
      <protection locked="0"/>
    </xf>
    <xf numFmtId="0" fontId="39" fillId="0" borderId="3" xfId="0" applyFont="1" applyFill="1" applyBorder="1" applyAlignment="1" applyProtection="1">
      <alignment horizontal="justify" vertical="top" wrapText="1"/>
      <protection locked="0"/>
    </xf>
    <xf numFmtId="49" fontId="39" fillId="0" borderId="3" xfId="0" applyNumberFormat="1" applyFont="1" applyFill="1" applyBorder="1" applyAlignment="1" applyProtection="1">
      <alignment horizontal="left" vertical="center" wrapText="1"/>
      <protection locked="0"/>
    </xf>
    <xf numFmtId="0" fontId="56" fillId="0" borderId="3" xfId="0" applyFont="1" applyFill="1" applyBorder="1" applyAlignment="1" applyProtection="1">
      <alignment horizontal="left" vertical="center" wrapText="1" indent="1"/>
      <protection locked="0"/>
    </xf>
    <xf numFmtId="0" fontId="39" fillId="0" borderId="3" xfId="0" applyFont="1" applyFill="1" applyBorder="1" applyAlignment="1" applyProtection="1">
      <alignment horizontal="center" vertical="top" wrapText="1"/>
      <protection locked="0"/>
    </xf>
    <xf numFmtId="0" fontId="75" fillId="0" borderId="0" xfId="0" applyFont="1" applyFill="1" applyAlignment="1" applyProtection="1">
      <alignment vertical="center" wrapText="1"/>
      <protection locked="0"/>
    </xf>
    <xf numFmtId="0" fontId="78" fillId="31" borderId="0" xfId="68" applyFont="1" applyFill="1" applyAlignment="1" applyProtection="1">
      <alignment vertical="center" wrapText="1" shrinkToFit="1"/>
      <protection locked="0"/>
    </xf>
    <xf numFmtId="0" fontId="50" fillId="31" borderId="0" xfId="0" applyFont="1" applyFill="1" applyAlignment="1" applyProtection="1">
      <alignment vertical="center"/>
      <protection locked="0"/>
    </xf>
    <xf numFmtId="0" fontId="126" fillId="31" borderId="0" xfId="68" applyFont="1" applyFill="1" applyAlignment="1" applyProtection="1">
      <alignment horizontal="left" vertical="center" wrapText="1" shrinkToFit="1"/>
      <protection locked="0"/>
    </xf>
    <xf numFmtId="0" fontId="63" fillId="31" borderId="0" xfId="0" applyFont="1" applyFill="1" applyAlignment="1" applyProtection="1">
      <alignment horizontal="left" vertical="center"/>
      <protection locked="0"/>
    </xf>
    <xf numFmtId="0" fontId="67" fillId="0" borderId="0" xfId="0" applyFont="1" applyFill="1" applyAlignment="1" applyProtection="1">
      <alignment horizontal="justify" vertical="center"/>
      <protection locked="0"/>
    </xf>
    <xf numFmtId="0" fontId="140" fillId="31" borderId="0" xfId="68" applyFont="1" applyFill="1" applyAlignment="1" applyProtection="1">
      <alignment horizontal="left" vertical="center"/>
      <protection locked="0"/>
    </xf>
    <xf numFmtId="0" fontId="126" fillId="31" borderId="0" xfId="68" applyFont="1" applyFill="1" applyAlignment="1" applyProtection="1">
      <alignment horizontal="left" vertical="center" wrapText="1" shrinkToFit="1"/>
      <protection hidden="1"/>
    </xf>
    <xf numFmtId="0" fontId="67" fillId="0" borderId="0" xfId="0" applyFont="1" applyFill="1" applyAlignment="1" applyProtection="1">
      <alignment horizontal="left" vertical="center"/>
      <protection locked="0"/>
    </xf>
    <xf numFmtId="0" fontId="63" fillId="0" borderId="3" xfId="0" applyFont="1" applyFill="1" applyBorder="1" applyAlignment="1" applyProtection="1">
      <alignment horizontal="left" vertical="center" indent="1"/>
      <protection locked="0"/>
    </xf>
    <xf numFmtId="178" fontId="72" fillId="0" borderId="3" xfId="0" applyNumberFormat="1" applyFont="1" applyFill="1" applyBorder="1" applyAlignment="1" applyProtection="1">
      <alignment horizontal="right" vertical="top" shrinkToFit="1"/>
      <protection locked="0"/>
    </xf>
    <xf numFmtId="0" fontId="63" fillId="19" borderId="3" xfId="0" applyFont="1" applyFill="1" applyBorder="1" applyAlignment="1" applyProtection="1">
      <alignment vertical="center"/>
      <protection hidden="1"/>
    </xf>
    <xf numFmtId="0" fontId="63" fillId="0" borderId="0" xfId="0" applyFont="1" applyFill="1" applyAlignment="1" applyProtection="1">
      <alignment horizontal="left" vertical="center"/>
      <protection locked="0"/>
    </xf>
    <xf numFmtId="0" fontId="67" fillId="0" borderId="3" xfId="0" applyFont="1" applyFill="1" applyBorder="1" applyAlignment="1" applyProtection="1">
      <alignment horizontal="center" vertical="center" wrapText="1"/>
      <protection locked="0"/>
    </xf>
    <xf numFmtId="0" fontId="39" fillId="30" borderId="0" xfId="0" applyFont="1" applyFill="1" applyAlignment="1" applyProtection="1">
      <alignment vertical="center"/>
      <protection locked="0"/>
    </xf>
    <xf numFmtId="0" fontId="63" fillId="0" borderId="3" xfId="0" applyFont="1" applyBorder="1" applyAlignment="1">
      <alignment horizontal="center" vertical="center" wrapText="1"/>
    </xf>
    <xf numFmtId="0" fontId="63" fillId="0" borderId="3" xfId="0" applyFont="1" applyBorder="1" applyAlignment="1">
      <alignment horizontal="justify" vertical="center"/>
    </xf>
    <xf numFmtId="0" fontId="63" fillId="0" borderId="0" xfId="0" applyFont="1" applyBorder="1" applyAlignment="1">
      <alignment horizontal="center" vertical="center"/>
    </xf>
    <xf numFmtId="178" fontId="72" fillId="0" borderId="0" xfId="0" applyNumberFormat="1" applyFont="1" applyFill="1" applyBorder="1" applyAlignment="1" applyProtection="1">
      <alignment vertical="center" shrinkToFit="1"/>
      <protection hidden="1"/>
    </xf>
    <xf numFmtId="0" fontId="67" fillId="0" borderId="0" xfId="0" applyFont="1" applyBorder="1" applyAlignment="1">
      <alignment horizontal="center" vertical="center"/>
    </xf>
    <xf numFmtId="0" fontId="63" fillId="0" borderId="3" xfId="0" applyFont="1" applyFill="1" applyBorder="1" applyAlignment="1">
      <alignment horizontal="center" vertical="center" wrapText="1"/>
    </xf>
    <xf numFmtId="0" fontId="39" fillId="0" borderId="3" xfId="0" applyFont="1" applyBorder="1" applyAlignment="1">
      <alignment horizontal="left" vertical="center" wrapText="1"/>
    </xf>
    <xf numFmtId="0" fontId="39" fillId="0" borderId="3" xfId="0" applyFont="1" applyFill="1" applyBorder="1" applyAlignment="1">
      <alignment horizontal="right" vertical="center" wrapText="1"/>
    </xf>
    <xf numFmtId="0" fontId="63" fillId="0" borderId="0" xfId="0" applyFont="1" applyFill="1" applyBorder="1" applyAlignment="1" applyProtection="1">
      <alignment horizontal="center" vertical="center" wrapText="1"/>
      <protection locked="0"/>
    </xf>
    <xf numFmtId="0" fontId="56" fillId="0" borderId="0" xfId="0" applyFont="1" applyFill="1" applyAlignment="1" applyProtection="1">
      <alignment horizontal="left" vertical="center"/>
      <protection locked="0"/>
    </xf>
    <xf numFmtId="178" fontId="39" fillId="0" borderId="0" xfId="0" applyNumberFormat="1" applyFont="1" applyFill="1" applyBorder="1" applyAlignment="1" applyProtection="1">
      <alignment vertical="center" shrinkToFit="1"/>
      <protection locked="0"/>
    </xf>
    <xf numFmtId="0" fontId="39" fillId="19" borderId="3" xfId="0" applyFont="1" applyFill="1" applyBorder="1" applyAlignment="1" applyProtection="1">
      <alignment horizontal="center" vertical="center"/>
      <protection hidden="1"/>
    </xf>
    <xf numFmtId="0" fontId="39" fillId="19" borderId="3" xfId="0" applyFont="1" applyFill="1" applyBorder="1" applyAlignment="1" applyProtection="1">
      <alignment horizontal="left" vertical="center"/>
      <protection hidden="1"/>
    </xf>
    <xf numFmtId="10" fontId="39" fillId="0" borderId="3" xfId="44" applyNumberFormat="1" applyFont="1" applyFill="1" applyBorder="1" applyAlignment="1" applyProtection="1">
      <alignment horizontal="right" vertical="center" shrinkToFit="1"/>
      <protection locked="0"/>
    </xf>
    <xf numFmtId="0" fontId="39" fillId="0" borderId="0" xfId="0" applyFont="1" applyFill="1" applyBorder="1" applyAlignment="1" applyProtection="1">
      <alignment horizontal="left" vertical="center"/>
      <protection locked="0"/>
    </xf>
    <xf numFmtId="10" fontId="39" fillId="0" borderId="0" xfId="44" applyNumberFormat="1" applyFont="1" applyFill="1" applyBorder="1" applyAlignment="1" applyProtection="1">
      <alignment horizontal="right" vertical="center" shrinkToFit="1"/>
      <protection locked="0"/>
    </xf>
    <xf numFmtId="0" fontId="56" fillId="0" borderId="3" xfId="0" applyFont="1" applyFill="1" applyBorder="1" applyAlignment="1" applyProtection="1">
      <alignment horizontal="left" vertical="center"/>
      <protection locked="0"/>
    </xf>
    <xf numFmtId="0" fontId="39" fillId="0" borderId="0" xfId="0" applyFont="1" applyFill="1" applyBorder="1" applyAlignment="1" applyProtection="1">
      <alignment horizontal="left" vertical="center" wrapText="1"/>
      <protection locked="0"/>
    </xf>
    <xf numFmtId="0" fontId="39" fillId="0" borderId="3" xfId="0" applyFont="1" applyFill="1" applyBorder="1" applyAlignment="1" applyProtection="1">
      <alignment horizontal="right" vertical="center"/>
      <protection locked="0"/>
    </xf>
    <xf numFmtId="0" fontId="39" fillId="0" borderId="3" xfId="0" applyFont="1" applyFill="1" applyBorder="1" applyAlignment="1" applyProtection="1">
      <alignment horizontal="right" vertical="center" wrapText="1"/>
      <protection locked="0"/>
    </xf>
    <xf numFmtId="178" fontId="39" fillId="0" borderId="3" xfId="0" applyNumberFormat="1" applyFont="1" applyFill="1" applyBorder="1" applyAlignment="1" applyProtection="1">
      <alignment horizontal="center" vertical="center" shrinkToFit="1"/>
      <protection locked="0"/>
    </xf>
    <xf numFmtId="178" fontId="39" fillId="19" borderId="3" xfId="0" applyNumberFormat="1" applyFont="1" applyFill="1" applyBorder="1" applyAlignment="1" applyProtection="1">
      <alignment horizontal="center" vertical="center" shrinkToFit="1"/>
      <protection hidden="1"/>
    </xf>
    <xf numFmtId="0" fontId="126" fillId="31" borderId="0" xfId="68" applyFont="1" applyFill="1" applyAlignment="1" applyProtection="1">
      <alignment horizontal="center" vertical="center" wrapText="1" shrinkToFit="1"/>
      <protection locked="0"/>
    </xf>
    <xf numFmtId="0" fontId="140" fillId="31" borderId="0" xfId="68" applyFont="1" applyFill="1" applyAlignment="1" applyProtection="1">
      <alignment horizontal="center" vertical="center" wrapText="1" shrinkToFit="1"/>
      <protection locked="0"/>
    </xf>
    <xf numFmtId="0" fontId="63" fillId="31" borderId="0" xfId="0" applyFont="1" applyFill="1" applyAlignment="1" applyProtection="1">
      <alignment horizontal="center" vertical="center"/>
      <protection locked="0"/>
    </xf>
    <xf numFmtId="0" fontId="140" fillId="31" borderId="0" xfId="68" applyFont="1" applyFill="1" applyAlignment="1" applyProtection="1">
      <alignment horizontal="center" vertical="center"/>
      <protection locked="0"/>
    </xf>
    <xf numFmtId="178" fontId="39" fillId="19" borderId="3" xfId="0" applyNumberFormat="1" applyFont="1" applyFill="1" applyBorder="1" applyAlignment="1" applyProtection="1">
      <alignment horizontal="right" vertical="center" shrinkToFit="1"/>
      <protection hidden="1"/>
    </xf>
    <xf numFmtId="0" fontId="39" fillId="0" borderId="25" xfId="0" applyFont="1" applyFill="1" applyBorder="1" applyAlignment="1" applyProtection="1">
      <alignment vertical="center"/>
      <protection locked="0"/>
    </xf>
    <xf numFmtId="0" fontId="126" fillId="31" borderId="0" xfId="68" applyFont="1" applyFill="1" applyAlignment="1" applyProtection="1">
      <alignment vertical="center" wrapText="1" shrinkToFit="1"/>
      <protection locked="0"/>
    </xf>
    <xf numFmtId="0" fontId="39" fillId="0" borderId="3" xfId="0" applyFont="1" applyFill="1" applyBorder="1" applyAlignment="1" applyProtection="1">
      <alignment horizontal="left" vertical="center" indent="1"/>
      <protection locked="0"/>
    </xf>
    <xf numFmtId="0" fontId="67" fillId="0" borderId="0" xfId="0" applyFont="1" applyFill="1" applyAlignment="1" applyProtection="1">
      <alignment horizontal="left" vertical="center" wrapText="1"/>
      <protection locked="0"/>
    </xf>
    <xf numFmtId="0" fontId="63" fillId="19" borderId="3" xfId="0" applyFont="1" applyFill="1" applyBorder="1" applyAlignment="1" applyProtection="1">
      <alignment horizontal="center" vertical="center" wrapText="1"/>
      <protection hidden="1"/>
    </xf>
    <xf numFmtId="0" fontId="63" fillId="19" borderId="3" xfId="0" applyFont="1" applyFill="1" applyBorder="1" applyAlignment="1" applyProtection="1">
      <alignment horizontal="left" vertical="center" wrapText="1"/>
      <protection hidden="1"/>
    </xf>
    <xf numFmtId="0" fontId="63" fillId="19" borderId="3" xfId="0" applyFont="1" applyFill="1" applyBorder="1" applyAlignment="1" applyProtection="1">
      <alignment horizontal="left" vertical="center" wrapText="1" indent="1"/>
      <protection hidden="1"/>
    </xf>
    <xf numFmtId="0" fontId="63" fillId="0" borderId="0" xfId="0" applyFont="1" applyFill="1" applyAlignment="1" applyProtection="1">
      <alignment horizontal="left" vertical="center" wrapText="1"/>
      <protection locked="0"/>
    </xf>
    <xf numFmtId="0" fontId="56" fillId="0" borderId="0" xfId="0" applyFont="1" applyFill="1" applyAlignment="1" applyProtection="1">
      <alignment horizontal="justify" vertical="center" wrapText="1"/>
      <protection locked="0"/>
    </xf>
    <xf numFmtId="0" fontId="126" fillId="0" borderId="0" xfId="68" applyFont="1" applyFill="1" applyAlignment="1" applyProtection="1">
      <alignment horizontal="center" vertical="center"/>
      <protection locked="0"/>
    </xf>
    <xf numFmtId="0" fontId="67" fillId="0" borderId="0" xfId="0" applyFont="1" applyFill="1" applyAlignment="1" applyProtection="1">
      <alignment horizontal="justify" vertical="center" wrapText="1"/>
      <protection locked="0"/>
    </xf>
    <xf numFmtId="178" fontId="63" fillId="0" borderId="3" xfId="0" applyNumberFormat="1" applyFont="1" applyFill="1" applyBorder="1" applyAlignment="1" applyProtection="1">
      <alignment vertical="center" shrinkToFit="1"/>
      <protection hidden="1"/>
    </xf>
    <xf numFmtId="0" fontId="63" fillId="0" borderId="0" xfId="0" applyFont="1" applyFill="1" applyAlignment="1" applyProtection="1">
      <alignment vertical="center" wrapText="1"/>
      <protection locked="0"/>
    </xf>
    <xf numFmtId="0" fontId="140" fillId="0" borderId="0" xfId="68" applyFont="1" applyFill="1" applyAlignment="1" applyProtection="1">
      <alignment horizontal="center" vertical="center"/>
      <protection locked="0"/>
    </xf>
    <xf numFmtId="0" fontId="39" fillId="0" borderId="3" xfId="0" applyFont="1" applyFill="1" applyBorder="1" applyAlignment="1" applyProtection="1">
      <alignment horizontal="left" vertical="top" wrapText="1"/>
      <protection locked="0"/>
    </xf>
    <xf numFmtId="0" fontId="115" fillId="0" borderId="0" xfId="0" applyFont="1" applyFill="1" applyAlignment="1" applyProtection="1">
      <alignment horizontal="left" vertical="center" indent="1"/>
      <protection locked="0"/>
    </xf>
    <xf numFmtId="4" fontId="115" fillId="0" borderId="0" xfId="0" applyNumberFormat="1" applyFont="1" applyFill="1" applyAlignment="1" applyProtection="1">
      <alignment horizontal="left" vertical="center" indent="1"/>
      <protection locked="0"/>
    </xf>
    <xf numFmtId="49" fontId="56" fillId="0" borderId="0" xfId="0" applyNumberFormat="1" applyFont="1" applyFill="1" applyAlignment="1" applyProtection="1">
      <alignment horizontal="left" vertical="center"/>
      <protection locked="0"/>
    </xf>
    <xf numFmtId="43" fontId="39" fillId="19" borderId="0" xfId="91" applyFont="1" applyFill="1" applyAlignment="1" applyProtection="1">
      <alignment vertical="center" shrinkToFit="1"/>
      <protection hidden="1"/>
    </xf>
    <xf numFmtId="178" fontId="39" fillId="0" borderId="3" xfId="0" applyNumberFormat="1" applyFont="1" applyFill="1" applyBorder="1" applyAlignment="1" applyProtection="1">
      <alignment horizontal="right" vertical="center" shrinkToFit="1"/>
      <protection hidden="1"/>
    </xf>
    <xf numFmtId="0" fontId="75" fillId="0" borderId="0" xfId="0" applyFont="1" applyFill="1" applyBorder="1" applyAlignment="1" applyProtection="1">
      <alignment horizontal="center" vertical="center" wrapText="1"/>
      <protection locked="0"/>
    </xf>
    <xf numFmtId="0" fontId="39" fillId="0" borderId="3" xfId="0" applyFont="1" applyFill="1" applyBorder="1" applyAlignment="1" applyProtection="1">
      <alignment horizontal="justify" wrapText="1"/>
      <protection locked="0"/>
    </xf>
    <xf numFmtId="0" fontId="39" fillId="0" borderId="3" xfId="0" applyFont="1" applyFill="1" applyBorder="1" applyAlignment="1" applyProtection="1">
      <alignment horizontal="left" vertical="center" shrinkToFit="1"/>
      <protection locked="0"/>
    </xf>
    <xf numFmtId="0" fontId="39" fillId="0" borderId="3" xfId="0" applyFont="1" applyFill="1" applyBorder="1" applyAlignment="1" applyProtection="1">
      <alignment horizontal="center" vertical="center" shrinkToFit="1"/>
      <protection locked="0"/>
    </xf>
    <xf numFmtId="178" fontId="39" fillId="0" borderId="3" xfId="44" applyNumberFormat="1" applyFont="1" applyFill="1" applyBorder="1" applyAlignment="1" applyProtection="1">
      <alignment horizontal="right" vertical="center" shrinkToFit="1"/>
      <protection locked="0"/>
    </xf>
    <xf numFmtId="0" fontId="39" fillId="0" borderId="3" xfId="0" applyFont="1" applyFill="1" applyBorder="1" applyAlignment="1" applyProtection="1">
      <alignment horizontal="left" wrapText="1"/>
      <protection locked="0"/>
    </xf>
    <xf numFmtId="0" fontId="39" fillId="31" borderId="0" xfId="0" applyFont="1" applyFill="1" applyBorder="1" applyAlignment="1" applyProtection="1">
      <alignment horizontal="center" vertical="center" wrapText="1"/>
      <protection locked="0"/>
    </xf>
    <xf numFmtId="43" fontId="39" fillId="0" borderId="3" xfId="91" applyFont="1" applyFill="1" applyBorder="1" applyAlignment="1" applyProtection="1">
      <alignment horizontal="left" vertical="center" shrinkToFit="1"/>
      <protection locked="0"/>
    </xf>
    <xf numFmtId="0" fontId="56" fillId="19" borderId="3" xfId="0" applyFont="1" applyFill="1" applyBorder="1" applyAlignment="1" applyProtection="1">
      <alignment horizontal="center" vertical="center"/>
      <protection hidden="1"/>
    </xf>
    <xf numFmtId="196" fontId="39" fillId="0" borderId="3" xfId="0" applyNumberFormat="1" applyFont="1" applyFill="1" applyBorder="1" applyAlignment="1" applyProtection="1">
      <alignment horizontal="center" vertical="center"/>
      <protection locked="0"/>
    </xf>
    <xf numFmtId="43" fontId="39" fillId="19" borderId="3" xfId="91" applyFont="1" applyFill="1" applyBorder="1" applyAlignment="1" applyProtection="1">
      <alignment horizontal="right" vertical="center" shrinkToFit="1"/>
      <protection hidden="1"/>
    </xf>
    <xf numFmtId="0" fontId="63" fillId="19" borderId="39" xfId="0" applyFont="1" applyFill="1" applyBorder="1" applyAlignment="1" applyProtection="1">
      <alignment horizontal="center" vertical="center"/>
      <protection hidden="1"/>
    </xf>
    <xf numFmtId="0" fontId="56" fillId="0" borderId="0" xfId="0" applyFont="1" applyFill="1" applyAlignment="1" applyProtection="1">
      <alignment vertical="center" wrapText="1"/>
      <protection locked="0"/>
    </xf>
    <xf numFmtId="178" fontId="39" fillId="0" borderId="3" xfId="0" applyNumberFormat="1" applyFont="1" applyFill="1" applyBorder="1" applyAlignment="1" applyProtection="1">
      <alignment horizontal="justify" vertical="center" wrapText="1"/>
      <protection locked="0"/>
    </xf>
    <xf numFmtId="4" fontId="63" fillId="0" borderId="0" xfId="0" applyNumberFormat="1" applyFont="1" applyFill="1" applyAlignment="1" applyProtection="1">
      <alignment vertical="center"/>
      <protection locked="0"/>
    </xf>
    <xf numFmtId="43" fontId="63" fillId="0" borderId="0" xfId="91" applyFont="1" applyFill="1" applyProtection="1">
      <alignment vertical="center"/>
      <protection locked="0"/>
    </xf>
    <xf numFmtId="43" fontId="39" fillId="0" borderId="3" xfId="91" applyFont="1" applyFill="1" applyBorder="1" applyProtection="1">
      <alignment vertical="center"/>
      <protection locked="0"/>
    </xf>
    <xf numFmtId="178" fontId="39" fillId="0" borderId="0" xfId="0" applyNumberFormat="1" applyFont="1" applyFill="1" applyAlignment="1" applyProtection="1">
      <alignment vertical="center" shrinkToFit="1"/>
      <protection locked="0"/>
    </xf>
    <xf numFmtId="178" fontId="39" fillId="0" borderId="3" xfId="0" applyNumberFormat="1" applyFont="1" applyFill="1" applyBorder="1" applyAlignment="1" applyProtection="1">
      <alignment horizontal="left" vertical="center" shrinkToFit="1"/>
      <protection locked="0"/>
    </xf>
    <xf numFmtId="0" fontId="126" fillId="19" borderId="0" xfId="68" applyFont="1" applyFill="1" applyAlignment="1" applyProtection="1">
      <alignment horizontal="center" vertical="center" wrapText="1" shrinkToFit="1"/>
      <protection hidden="1"/>
    </xf>
    <xf numFmtId="0" fontId="39" fillId="0" borderId="0" xfId="0" applyFont="1" applyFill="1" applyAlignment="1" applyProtection="1">
      <alignment vertical="center" shrinkToFit="1"/>
      <protection locked="0"/>
    </xf>
    <xf numFmtId="0" fontId="39" fillId="0" borderId="25" xfId="0" applyFont="1" applyFill="1" applyBorder="1" applyAlignment="1" applyProtection="1">
      <alignment horizontal="center" vertical="center" wrapText="1"/>
      <protection locked="0"/>
    </xf>
    <xf numFmtId="10" fontId="39" fillId="0" borderId="3" xfId="0" applyNumberFormat="1" applyFont="1" applyFill="1" applyBorder="1" applyAlignment="1" applyProtection="1">
      <alignment vertical="center"/>
      <protection locked="0"/>
    </xf>
    <xf numFmtId="0" fontId="39" fillId="0" borderId="3" xfId="0" applyFont="1" applyFill="1" applyBorder="1" applyAlignment="1" applyProtection="1">
      <alignment horizontal="left" vertical="top" wrapText="1" indent="1"/>
      <protection locked="0"/>
    </xf>
    <xf numFmtId="4" fontId="39" fillId="0" borderId="0" xfId="0" applyNumberFormat="1" applyFont="1" applyFill="1" applyAlignment="1" applyProtection="1">
      <alignment vertical="center"/>
      <protection locked="0"/>
    </xf>
    <xf numFmtId="194" fontId="39" fillId="0" borderId="0" xfId="0" applyNumberFormat="1" applyFont="1" applyFill="1" applyAlignment="1" applyProtection="1">
      <alignment vertical="center"/>
      <protection locked="0"/>
    </xf>
    <xf numFmtId="0" fontId="39" fillId="0" borderId="0" xfId="0" applyFont="1" applyFill="1" applyBorder="1" applyAlignment="1" applyProtection="1">
      <alignment horizontal="center" vertical="top" wrapText="1"/>
      <protection locked="0"/>
    </xf>
    <xf numFmtId="178" fontId="39" fillId="0" borderId="0" xfId="0" applyNumberFormat="1" applyFont="1" applyFill="1" applyBorder="1" applyAlignment="1" applyProtection="1">
      <alignment horizontal="justify" vertical="top" shrinkToFit="1"/>
      <protection locked="0"/>
    </xf>
    <xf numFmtId="49" fontId="39" fillId="0" borderId="3" xfId="0" applyNumberFormat="1" applyFont="1" applyFill="1" applyBorder="1" applyAlignment="1" applyProtection="1">
      <alignment horizontal="left" vertical="top" wrapText="1" indent="1"/>
      <protection locked="0"/>
    </xf>
    <xf numFmtId="0" fontId="141" fillId="0" borderId="3" xfId="0" applyFont="1" applyBorder="1" applyAlignment="1">
      <alignment horizontal="right" vertical="center"/>
    </xf>
    <xf numFmtId="0" fontId="39" fillId="0" borderId="0" xfId="0" applyFont="1" applyFill="1" applyBorder="1" applyAlignment="1" applyProtection="1">
      <alignment horizontal="center" wrapText="1"/>
      <protection locked="0"/>
    </xf>
    <xf numFmtId="43" fontId="39" fillId="0" borderId="0" xfId="91" applyFont="1" applyFill="1" applyAlignment="1" applyProtection="1">
      <alignment horizontal="left" vertical="center" indent="1"/>
      <protection locked="0"/>
    </xf>
    <xf numFmtId="0" fontId="39" fillId="0" borderId="0" xfId="0" applyFont="1" applyFill="1" applyAlignment="1" applyProtection="1">
      <alignment horizontal="justify" vertical="center"/>
      <protection locked="0"/>
    </xf>
    <xf numFmtId="178" fontId="39" fillId="19" borderId="0" xfId="0" applyNumberFormat="1" applyFont="1" applyFill="1" applyBorder="1" applyAlignment="1" applyProtection="1">
      <alignment vertical="center" shrinkToFit="1"/>
      <protection hidden="1"/>
    </xf>
    <xf numFmtId="0" fontId="39" fillId="0" borderId="0" xfId="0" applyFont="1" applyFill="1" applyBorder="1" applyAlignment="1" applyProtection="1">
      <alignment horizontal="right" vertical="center" wrapText="1"/>
      <protection locked="0"/>
    </xf>
    <xf numFmtId="0" fontId="130" fillId="0" borderId="0" xfId="0" applyFont="1" applyFill="1" applyAlignment="1" applyProtection="1">
      <alignment horizontal="center" vertical="center"/>
      <protection locked="0"/>
    </xf>
    <xf numFmtId="0" fontId="130" fillId="0" borderId="0" xfId="0" applyFont="1" applyFill="1" applyAlignment="1" applyProtection="1">
      <alignment vertical="center"/>
      <protection locked="0"/>
    </xf>
    <xf numFmtId="178" fontId="56" fillId="19" borderId="3" xfId="0" applyNumberFormat="1" applyFont="1" applyFill="1" applyBorder="1" applyAlignment="1" applyProtection="1">
      <alignment vertical="center" shrinkToFit="1"/>
      <protection hidden="1"/>
    </xf>
    <xf numFmtId="178" fontId="39" fillId="0" borderId="0" xfId="0" applyNumberFormat="1" applyFont="1" applyFill="1" applyAlignment="1" applyProtection="1">
      <alignment horizontal="justify" vertical="center"/>
      <protection locked="0"/>
    </xf>
    <xf numFmtId="0" fontId="39" fillId="0" borderId="0" xfId="0" applyFont="1" applyFill="1" applyAlignment="1" applyProtection="1">
      <alignment horizontal="justify" vertical="center" wrapText="1"/>
      <protection locked="0"/>
    </xf>
    <xf numFmtId="0" fontId="39" fillId="0" borderId="0" xfId="0" applyFont="1" applyFill="1" applyAlignment="1" applyProtection="1">
      <alignment horizontal="centerContinuous" vertical="center" wrapText="1"/>
      <protection locked="0"/>
    </xf>
    <xf numFmtId="0" fontId="39" fillId="0" borderId="0" xfId="0" applyFont="1" applyFill="1" applyAlignment="1" applyProtection="1">
      <alignment horizontal="centerContinuous" vertical="center"/>
      <protection locked="0"/>
    </xf>
    <xf numFmtId="0" fontId="39" fillId="0" borderId="0" xfId="114" applyFont="1" applyFill="1" applyAlignment="1" applyProtection="1">
      <alignment vertical="center"/>
      <protection locked="0"/>
    </xf>
    <xf numFmtId="0" fontId="39" fillId="0" borderId="0" xfId="114" applyFont="1" applyFill="1" applyAlignment="1" applyProtection="1">
      <alignment horizontal="center" vertical="center"/>
      <protection locked="0"/>
    </xf>
    <xf numFmtId="178" fontId="39" fillId="0" borderId="0" xfId="114" applyNumberFormat="1" applyFont="1" applyFill="1" applyAlignment="1" applyProtection="1">
      <alignment vertical="center"/>
      <protection locked="0"/>
    </xf>
    <xf numFmtId="0" fontId="39" fillId="0" borderId="3" xfId="114" applyFont="1" applyFill="1" applyBorder="1" applyAlignment="1" applyProtection="1">
      <alignment horizontal="center" vertical="center"/>
      <protection locked="0"/>
    </xf>
    <xf numFmtId="0" fontId="39" fillId="0" borderId="3" xfId="114" applyFont="1" applyFill="1" applyBorder="1" applyAlignment="1" applyProtection="1">
      <alignment vertical="center"/>
      <protection locked="0"/>
    </xf>
    <xf numFmtId="10" fontId="39" fillId="19" borderId="3" xfId="117" applyNumberFormat="1" applyFont="1" applyFill="1" applyBorder="1" applyAlignment="1" applyProtection="1">
      <alignment vertical="center"/>
      <protection hidden="1"/>
    </xf>
    <xf numFmtId="0" fontId="39" fillId="0" borderId="3" xfId="114" applyFont="1" applyFill="1" applyBorder="1" applyAlignment="1" applyProtection="1">
      <alignment horizontal="center" vertical="center" wrapText="1"/>
      <protection locked="0"/>
    </xf>
    <xf numFmtId="178" fontId="39" fillId="19" borderId="3" xfId="114" applyNumberFormat="1" applyFont="1" applyFill="1" applyBorder="1" applyAlignment="1" applyProtection="1">
      <alignment vertical="center" shrinkToFit="1"/>
      <protection hidden="1"/>
    </xf>
    <xf numFmtId="10" fontId="39" fillId="19" borderId="3" xfId="117" applyNumberFormat="1" applyFont="1" applyFill="1" applyBorder="1" applyAlignment="1" applyProtection="1">
      <alignment vertical="center" shrinkToFit="1"/>
      <protection hidden="1"/>
    </xf>
    <xf numFmtId="10" fontId="39" fillId="0" borderId="0" xfId="117" applyNumberFormat="1" applyFont="1" applyFill="1" applyAlignment="1" applyProtection="1">
      <alignment vertical="center"/>
      <protection locked="0"/>
    </xf>
    <xf numFmtId="43" fontId="39" fillId="0" borderId="3" xfId="113" applyNumberFormat="1" applyFont="1" applyFill="1" applyBorder="1" applyAlignment="1" applyProtection="1">
      <alignment horizontal="right" vertical="center"/>
      <protection locked="0"/>
    </xf>
    <xf numFmtId="9" fontId="39" fillId="0" borderId="3" xfId="0" applyNumberFormat="1" applyFont="1" applyFill="1" applyBorder="1" applyAlignment="1" applyProtection="1">
      <alignment horizontal="center" vertical="center" wrapText="1"/>
      <protection locked="0"/>
    </xf>
    <xf numFmtId="0" fontId="39" fillId="0" borderId="23" xfId="0" applyFont="1" applyFill="1" applyBorder="1" applyAlignment="1" applyProtection="1">
      <alignment horizontal="left" vertical="center"/>
      <protection locked="0"/>
    </xf>
    <xf numFmtId="0" fontId="39" fillId="0" borderId="23" xfId="0" applyFont="1" applyFill="1" applyBorder="1" applyAlignment="1" applyProtection="1">
      <alignment horizontal="left" vertical="center" indent="1"/>
      <protection locked="0"/>
    </xf>
    <xf numFmtId="0" fontId="39" fillId="0" borderId="23" xfId="0" applyFont="1" applyFill="1" applyBorder="1" applyAlignment="1" applyProtection="1">
      <alignment horizontal="left" vertical="center" wrapText="1" indent="1"/>
      <protection locked="0"/>
    </xf>
    <xf numFmtId="0" fontId="39" fillId="0" borderId="3" xfId="0" applyFont="1" applyFill="1" applyBorder="1" applyAlignment="1" applyProtection="1">
      <alignment horizontal="left"/>
      <protection locked="0"/>
    </xf>
    <xf numFmtId="0" fontId="39" fillId="19" borderId="3" xfId="0" applyFont="1" applyFill="1" applyBorder="1" applyAlignment="1" applyProtection="1">
      <alignment vertical="center"/>
      <protection hidden="1"/>
    </xf>
    <xf numFmtId="0" fontId="39" fillId="0" borderId="0" xfId="0" applyFont="1" applyFill="1" applyBorder="1" applyAlignment="1" applyProtection="1">
      <alignment horizontal="justify" vertical="center"/>
      <protection locked="0"/>
    </xf>
    <xf numFmtId="10" fontId="39" fillId="0" borderId="3" xfId="0" applyNumberFormat="1" applyFont="1" applyFill="1" applyBorder="1" applyAlignment="1" applyProtection="1">
      <alignment horizontal="right" vertical="center"/>
      <protection locked="0"/>
    </xf>
    <xf numFmtId="10" fontId="39" fillId="19" borderId="3" xfId="0" applyNumberFormat="1" applyFont="1" applyFill="1" applyBorder="1" applyAlignment="1" applyProtection="1">
      <alignment horizontal="right" vertical="center"/>
      <protection hidden="1"/>
    </xf>
    <xf numFmtId="0" fontId="39" fillId="19" borderId="3" xfId="0" applyFont="1" applyFill="1" applyBorder="1" applyAlignment="1" applyProtection="1">
      <alignment horizontal="center" vertical="center" wrapText="1"/>
      <protection hidden="1"/>
    </xf>
    <xf numFmtId="10" fontId="39" fillId="19" borderId="3" xfId="91" applyNumberFormat="1" applyFont="1" applyFill="1" applyBorder="1" applyAlignment="1" applyProtection="1">
      <alignment vertical="center" shrinkToFit="1"/>
      <protection hidden="1"/>
    </xf>
    <xf numFmtId="178" fontId="56" fillId="0" borderId="0" xfId="0" applyNumberFormat="1" applyFont="1" applyFill="1" applyAlignment="1" applyProtection="1">
      <alignment horizontal="justify" vertical="center"/>
      <protection locked="0"/>
    </xf>
    <xf numFmtId="0" fontId="39" fillId="31" borderId="0" xfId="0" applyFont="1" applyFill="1" applyAlignment="1" applyProtection="1">
      <alignment horizontal="center" vertical="center" wrapText="1"/>
      <protection locked="0"/>
    </xf>
    <xf numFmtId="0" fontId="126" fillId="31" borderId="0" xfId="68" applyFont="1" applyFill="1" applyAlignment="1" applyProtection="1">
      <alignment horizontal="center" vertical="center" wrapText="1"/>
      <protection locked="0"/>
    </xf>
    <xf numFmtId="43" fontId="39" fillId="31" borderId="0" xfId="91" applyFont="1" applyFill="1" applyAlignment="1" applyProtection="1">
      <alignment horizontal="center" vertical="center" wrapText="1"/>
      <protection locked="0"/>
    </xf>
    <xf numFmtId="197" fontId="39" fillId="0" borderId="0" xfId="68" applyNumberFormat="1" applyFont="1" applyFill="1" applyAlignment="1" applyProtection="1">
      <alignment horizontal="center" vertical="center"/>
      <protection locked="0"/>
    </xf>
    <xf numFmtId="4" fontId="39" fillId="0" borderId="3" xfId="0" applyNumberFormat="1" applyFont="1" applyFill="1" applyBorder="1" applyAlignment="1" applyProtection="1">
      <alignment vertical="center"/>
      <protection locked="0"/>
    </xf>
    <xf numFmtId="4" fontId="39" fillId="0" borderId="0" xfId="0" applyNumberFormat="1" applyFont="1" applyFill="1" applyBorder="1" applyAlignment="1" applyProtection="1">
      <alignment vertical="center"/>
      <protection locked="0"/>
    </xf>
    <xf numFmtId="0" fontId="126" fillId="0" borderId="0" xfId="68" applyFont="1" applyFill="1" applyAlignment="1" applyProtection="1">
      <alignment horizontal="center" vertical="center" wrapText="1"/>
      <protection locked="0"/>
    </xf>
    <xf numFmtId="0" fontId="39" fillId="0" borderId="0" xfId="0" applyFont="1" applyFill="1" applyAlignment="1" applyProtection="1">
      <alignment horizontal="left" vertical="center" wrapText="1"/>
      <protection locked="0"/>
    </xf>
    <xf numFmtId="0" fontId="39" fillId="19" borderId="0" xfId="0" applyFont="1" applyFill="1" applyAlignment="1" applyProtection="1">
      <alignment horizontal="left" vertical="center"/>
      <protection hidden="1"/>
    </xf>
    <xf numFmtId="10" fontId="39" fillId="0" borderId="3" xfId="0" applyNumberFormat="1" applyFont="1" applyFill="1" applyBorder="1" applyAlignment="1" applyProtection="1">
      <alignment horizontal="centerContinuous" vertical="center" wrapText="1"/>
      <protection locked="0"/>
    </xf>
    <xf numFmtId="0" fontId="39" fillId="0" borderId="3" xfId="0" applyFont="1" applyFill="1" applyBorder="1" applyAlignment="1" applyProtection="1">
      <alignment horizontal="centerContinuous" vertical="center" wrapText="1"/>
      <protection locked="0"/>
    </xf>
    <xf numFmtId="0" fontId="39" fillId="0" borderId="3" xfId="0" applyFont="1" applyFill="1" applyBorder="1" applyAlignment="1" applyProtection="1">
      <alignment vertical="top"/>
      <protection locked="0"/>
    </xf>
    <xf numFmtId="0" fontId="39" fillId="0" borderId="3" xfId="0" applyFont="1" applyFill="1" applyBorder="1" applyAlignment="1" applyProtection="1">
      <alignment horizontal="center" vertical="top"/>
      <protection locked="0"/>
    </xf>
    <xf numFmtId="0" fontId="56" fillId="0" borderId="0" xfId="0" applyFont="1" applyAlignment="1">
      <alignment vertical="center"/>
    </xf>
    <xf numFmtId="43" fontId="39" fillId="0" borderId="3" xfId="113" applyFont="1" applyFill="1" applyBorder="1" applyAlignment="1" applyProtection="1">
      <alignment horizontal="center" vertical="center" wrapText="1"/>
      <protection locked="0"/>
    </xf>
    <xf numFmtId="0" fontId="56" fillId="0" borderId="3" xfId="0" applyFont="1" applyFill="1" applyBorder="1" applyAlignment="1" applyProtection="1">
      <alignment horizontal="left" vertical="center" wrapText="1"/>
      <protection locked="0"/>
    </xf>
    <xf numFmtId="43" fontId="39" fillId="0" borderId="3" xfId="113" applyFont="1" applyFill="1" applyBorder="1" applyAlignment="1" applyProtection="1">
      <alignment horizontal="right" vertical="center" shrinkToFit="1"/>
      <protection locked="0"/>
    </xf>
    <xf numFmtId="178" fontId="39" fillId="0" borderId="3" xfId="113" applyNumberFormat="1" applyFont="1" applyFill="1" applyBorder="1" applyAlignment="1" applyProtection="1">
      <alignment horizontal="right" vertical="center" shrinkToFit="1"/>
      <protection locked="0"/>
    </xf>
    <xf numFmtId="178" fontId="39" fillId="19" borderId="3" xfId="113" applyNumberFormat="1" applyFont="1" applyFill="1" applyBorder="1" applyAlignment="1" applyProtection="1">
      <alignment horizontal="right" vertical="center" shrinkToFit="1"/>
      <protection hidden="1"/>
    </xf>
    <xf numFmtId="43" fontId="39" fillId="0" borderId="3" xfId="113" applyFont="1" applyFill="1" applyBorder="1" applyAlignment="1" applyProtection="1">
      <alignment horizontal="center" vertical="center" shrinkToFit="1"/>
      <protection locked="0"/>
    </xf>
    <xf numFmtId="178" fontId="39" fillId="0" borderId="3" xfId="113" applyNumberFormat="1" applyFont="1" applyFill="1" applyBorder="1" applyAlignment="1" applyProtection="1">
      <alignment horizontal="center" vertical="center" shrinkToFit="1"/>
      <protection locked="0"/>
    </xf>
    <xf numFmtId="43" fontId="39" fillId="19" borderId="3" xfId="113" applyFont="1" applyFill="1" applyBorder="1" applyAlignment="1" applyProtection="1">
      <alignment horizontal="center" vertical="center" shrinkToFit="1"/>
      <protection hidden="1"/>
    </xf>
    <xf numFmtId="49" fontId="39" fillId="0" borderId="0" xfId="0" applyNumberFormat="1" applyFont="1" applyFill="1" applyAlignment="1" applyProtection="1">
      <alignment vertical="center"/>
      <protection locked="0"/>
    </xf>
    <xf numFmtId="43" fontId="39" fillId="0" borderId="37" xfId="91" applyFont="1" applyFill="1" applyBorder="1" applyAlignment="1" applyProtection="1">
      <alignment horizontal="center" vertical="center"/>
      <protection locked="0"/>
    </xf>
    <xf numFmtId="43" fontId="39" fillId="0" borderId="38" xfId="91" applyFont="1" applyFill="1" applyBorder="1" applyAlignment="1" applyProtection="1">
      <alignment vertical="center"/>
      <protection locked="0"/>
    </xf>
    <xf numFmtId="0" fontId="56" fillId="0" borderId="13" xfId="0" applyFont="1" applyFill="1" applyBorder="1" applyAlignment="1" applyProtection="1">
      <alignment vertical="center"/>
      <protection locked="0"/>
    </xf>
    <xf numFmtId="43" fontId="39" fillId="19" borderId="22" xfId="91" applyFont="1" applyFill="1" applyBorder="1" applyAlignment="1" applyProtection="1">
      <alignment vertical="center" shrinkToFit="1"/>
      <protection hidden="1"/>
    </xf>
    <xf numFmtId="43" fontId="39" fillId="0" borderId="22" xfId="91" applyFont="1" applyFill="1" applyBorder="1" applyAlignment="1" applyProtection="1">
      <alignment horizontal="right" vertical="center" shrinkToFit="1"/>
      <protection locked="0"/>
    </xf>
    <xf numFmtId="43" fontId="39" fillId="0" borderId="38" xfId="91" applyFont="1" applyFill="1" applyBorder="1" applyAlignment="1" applyProtection="1">
      <alignment horizontal="right" vertical="center" shrinkToFit="1"/>
      <protection locked="0"/>
    </xf>
    <xf numFmtId="178" fontId="56" fillId="0" borderId="3" xfId="0" applyNumberFormat="1" applyFont="1" applyFill="1" applyBorder="1" applyAlignment="1" applyProtection="1">
      <alignment vertical="center" shrinkToFit="1"/>
      <protection locked="0"/>
    </xf>
    <xf numFmtId="43" fontId="39" fillId="19" borderId="24" xfId="91" applyFont="1" applyFill="1" applyBorder="1" applyAlignment="1" applyProtection="1">
      <alignment vertical="center" shrinkToFit="1"/>
      <protection hidden="1"/>
    </xf>
    <xf numFmtId="43" fontId="39" fillId="0" borderId="0" xfId="91" applyFont="1" applyFill="1" applyBorder="1" applyAlignment="1" applyProtection="1">
      <alignment horizontal="right" vertical="center" shrinkToFit="1"/>
      <protection locked="0"/>
    </xf>
    <xf numFmtId="0" fontId="56" fillId="0" borderId="3" xfId="0" applyFont="1" applyFill="1" applyBorder="1" applyAlignment="1" applyProtection="1">
      <alignment horizontal="justify" vertical="center" wrapText="1"/>
      <protection locked="0"/>
    </xf>
    <xf numFmtId="0" fontId="39" fillId="0" borderId="3" xfId="0" applyFont="1" applyFill="1" applyBorder="1" applyAlignment="1" applyProtection="1">
      <alignment horizontal="left" vertical="center" wrapText="1" indent="2"/>
      <protection locked="0"/>
    </xf>
    <xf numFmtId="0" fontId="39" fillId="31" borderId="0" xfId="0" applyFont="1" applyFill="1" applyBorder="1" applyAlignment="1" applyProtection="1">
      <alignment horizontal="center" vertical="center"/>
      <protection locked="0"/>
    </xf>
    <xf numFmtId="0" fontId="39" fillId="0" borderId="0" xfId="0" applyFont="1" applyFill="1" applyBorder="1" applyAlignment="1" applyProtection="1">
      <alignment horizontal="center" vertical="center" wrapText="1" shrinkToFit="1"/>
      <protection locked="0"/>
    </xf>
    <xf numFmtId="0" fontId="39" fillId="31" borderId="0" xfId="0" applyFont="1" applyFill="1" applyBorder="1" applyAlignment="1" applyProtection="1">
      <alignment horizontal="center" vertical="center" wrapText="1" shrinkToFit="1"/>
      <protection locked="0"/>
    </xf>
    <xf numFmtId="0" fontId="39" fillId="0" borderId="0" xfId="0" applyFont="1" applyFill="1" applyAlignment="1" applyProtection="1">
      <alignment horizontal="center" vertical="center" wrapText="1" shrinkToFit="1"/>
      <protection locked="0"/>
    </xf>
    <xf numFmtId="0" fontId="56" fillId="0" borderId="0" xfId="0" applyFont="1" applyFill="1" applyAlignment="1" applyProtection="1">
      <alignment vertical="center" wrapText="1" shrinkToFit="1"/>
      <protection locked="0"/>
    </xf>
    <xf numFmtId="0" fontId="39" fillId="0" borderId="0" xfId="0" applyFont="1" applyFill="1" applyAlignment="1" applyProtection="1">
      <alignment vertical="center" wrapText="1" shrinkToFit="1"/>
      <protection locked="0"/>
    </xf>
    <xf numFmtId="0" fontId="39" fillId="0" borderId="0" xfId="0" applyFont="1" applyFill="1" applyAlignment="1" applyProtection="1">
      <alignment horizontal="left" vertical="center" wrapText="1" shrinkToFit="1"/>
      <protection locked="0"/>
    </xf>
    <xf numFmtId="0" fontId="39" fillId="0" borderId="3" xfId="0" applyFont="1" applyFill="1" applyBorder="1" applyAlignment="1" applyProtection="1">
      <alignment horizontal="center" vertical="center" wrapText="1" shrinkToFit="1"/>
      <protection locked="0"/>
    </xf>
    <xf numFmtId="0" fontId="39" fillId="0" borderId="3" xfId="0" applyFont="1" applyFill="1" applyBorder="1" applyAlignment="1" applyProtection="1">
      <alignment horizontal="left" vertical="center" wrapText="1" shrinkToFit="1"/>
      <protection locked="0"/>
    </xf>
    <xf numFmtId="0" fontId="39" fillId="0" borderId="0" xfId="0" applyFont="1" applyFill="1" applyBorder="1" applyAlignment="1" applyProtection="1">
      <alignment horizontal="right" vertical="center" wrapText="1" shrinkToFit="1"/>
      <protection locked="0"/>
    </xf>
    <xf numFmtId="0" fontId="56" fillId="0" borderId="0" xfId="0" applyFont="1" applyFill="1" applyAlignment="1" applyProtection="1">
      <alignment horizontal="justify" vertical="center" wrapText="1" shrinkToFit="1"/>
      <protection locked="0"/>
    </xf>
    <xf numFmtId="0" fontId="39" fillId="0" borderId="0" xfId="0" applyFont="1" applyFill="1" applyAlignment="1" applyProtection="1">
      <alignment horizontal="justify" vertical="center" wrapText="1" shrinkToFit="1"/>
      <protection locked="0"/>
    </xf>
    <xf numFmtId="0" fontId="39" fillId="0" borderId="75" xfId="0" applyFont="1" applyFill="1" applyBorder="1" applyAlignment="1" applyProtection="1">
      <alignment horizontal="center" vertical="center" wrapText="1" shrinkToFit="1"/>
      <protection locked="0"/>
    </xf>
    <xf numFmtId="0" fontId="39" fillId="19" borderId="3" xfId="0" applyFont="1" applyFill="1" applyBorder="1" applyAlignment="1" applyProtection="1">
      <alignment horizontal="center" vertical="center" shrinkToFit="1"/>
      <protection hidden="1"/>
    </xf>
    <xf numFmtId="0" fontId="39" fillId="19" borderId="3" xfId="0" applyFont="1" applyFill="1" applyBorder="1" applyAlignment="1" applyProtection="1">
      <alignment vertical="center" shrinkToFit="1"/>
      <protection hidden="1"/>
    </xf>
    <xf numFmtId="0" fontId="39" fillId="0" borderId="3" xfId="0" applyFont="1" applyFill="1" applyBorder="1" applyAlignment="1" applyProtection="1">
      <alignment vertical="center" wrapText="1" shrinkToFit="1"/>
      <protection locked="0"/>
    </xf>
    <xf numFmtId="0" fontId="39" fillId="19" borderId="0" xfId="0" applyFont="1" applyFill="1" applyBorder="1" applyAlignment="1" applyProtection="1">
      <alignment horizontal="left" vertical="center" wrapText="1" shrinkToFit="1"/>
      <protection hidden="1"/>
    </xf>
    <xf numFmtId="0" fontId="39" fillId="0" borderId="0" xfId="0" applyFont="1" applyFill="1" applyBorder="1" applyAlignment="1" applyProtection="1">
      <alignment horizontal="left" vertical="center" wrapText="1" shrinkToFit="1"/>
      <protection locked="0"/>
    </xf>
    <xf numFmtId="0" fontId="39" fillId="0" borderId="0" xfId="0" applyFont="1" applyFill="1" applyBorder="1" applyAlignment="1" applyProtection="1">
      <alignment horizontal="center" vertical="center" shrinkToFit="1"/>
      <protection locked="0"/>
    </xf>
    <xf numFmtId="0" fontId="39" fillId="0" borderId="0" xfId="0" applyFont="1" applyFill="1" applyBorder="1" applyAlignment="1" applyProtection="1">
      <alignment vertical="center" shrinkToFit="1"/>
      <protection locked="0"/>
    </xf>
    <xf numFmtId="0" fontId="39" fillId="31" borderId="0" xfId="0" applyNumberFormat="1" applyFont="1" applyFill="1" applyBorder="1" applyAlignment="1" applyProtection="1">
      <alignment horizontal="center" vertical="center" shrinkToFit="1"/>
      <protection locked="0"/>
    </xf>
    <xf numFmtId="0" fontId="39" fillId="0" borderId="3" xfId="0" applyFont="1" applyFill="1" applyBorder="1" applyAlignment="1" applyProtection="1">
      <alignment horizontal="left" vertical="top" wrapText="1" shrinkToFit="1"/>
      <protection locked="0"/>
    </xf>
    <xf numFmtId="0" fontId="39" fillId="0" borderId="3" xfId="0" applyFont="1" applyFill="1" applyBorder="1" applyAlignment="1" applyProtection="1">
      <alignment horizontal="justify" vertical="top" wrapText="1" shrinkToFit="1"/>
      <protection locked="0"/>
    </xf>
    <xf numFmtId="0" fontId="39" fillId="0" borderId="3" xfId="0" applyFont="1" applyFill="1" applyBorder="1" applyAlignment="1" applyProtection="1">
      <alignment horizontal="center" wrapText="1" shrinkToFit="1"/>
      <protection locked="0"/>
    </xf>
    <xf numFmtId="0" fontId="39" fillId="0" borderId="3" xfId="0" applyFont="1" applyFill="1" applyBorder="1" applyAlignment="1" applyProtection="1">
      <alignment horizontal="left" wrapText="1" shrinkToFit="1"/>
      <protection locked="0"/>
    </xf>
    <xf numFmtId="49" fontId="39" fillId="0" borderId="3" xfId="0" applyNumberFormat="1" applyFont="1" applyFill="1" applyBorder="1" applyAlignment="1" applyProtection="1">
      <alignment horizontal="left" wrapText="1" shrinkToFit="1"/>
      <protection locked="0"/>
    </xf>
    <xf numFmtId="0" fontId="39" fillId="0" borderId="0" xfId="0" applyFont="1" applyFill="1" applyBorder="1" applyAlignment="1" applyProtection="1">
      <alignment horizontal="left" wrapText="1" shrinkToFit="1"/>
      <protection locked="0"/>
    </xf>
    <xf numFmtId="0" fontId="39" fillId="0" borderId="0" xfId="0" applyFont="1" applyFill="1" applyBorder="1" applyAlignment="1" applyProtection="1">
      <alignment horizontal="right" wrapText="1" shrinkToFit="1"/>
      <protection locked="0"/>
    </xf>
    <xf numFmtId="0" fontId="56" fillId="0" borderId="3" xfId="0" applyFont="1" applyFill="1" applyBorder="1" applyAlignment="1" applyProtection="1">
      <alignment horizontal="left" vertical="center" wrapText="1" shrinkToFit="1"/>
      <protection locked="0"/>
    </xf>
    <xf numFmtId="0" fontId="39" fillId="0" borderId="22" xfId="0" applyFont="1" applyFill="1" applyBorder="1" applyAlignment="1" applyProtection="1">
      <alignment vertical="center" wrapText="1" shrinkToFit="1"/>
      <protection locked="0"/>
    </xf>
    <xf numFmtId="0" fontId="39" fillId="0" borderId="24" xfId="0" applyFont="1" applyFill="1" applyBorder="1" applyAlignment="1" applyProtection="1">
      <alignment vertical="center" wrapText="1" shrinkToFit="1"/>
      <protection locked="0"/>
    </xf>
    <xf numFmtId="43" fontId="39" fillId="19" borderId="0" xfId="91" applyFont="1" applyFill="1" applyAlignment="1" applyProtection="1">
      <alignment horizontal="center" vertical="center" wrapText="1" shrinkToFit="1"/>
      <protection hidden="1"/>
    </xf>
    <xf numFmtId="0" fontId="39" fillId="19" borderId="0" xfId="91" applyNumberFormat="1" applyFont="1" applyFill="1" applyAlignment="1" applyProtection="1">
      <alignment vertical="center" wrapText="1" shrinkToFit="1"/>
      <protection hidden="1"/>
    </xf>
    <xf numFmtId="43" fontId="39" fillId="0" borderId="0" xfId="91" applyFont="1" applyFill="1" applyAlignment="1" applyProtection="1">
      <alignment vertical="center" wrapText="1" shrinkToFit="1"/>
      <protection locked="0"/>
    </xf>
    <xf numFmtId="43" fontId="39" fillId="0" borderId="0" xfId="91" applyFont="1" applyFill="1" applyAlignment="1" applyProtection="1">
      <alignment horizontal="center" vertical="center" wrapText="1" shrinkToFit="1"/>
      <protection locked="0"/>
    </xf>
    <xf numFmtId="0" fontId="56" fillId="0" borderId="0" xfId="0" applyFont="1" applyFill="1" applyBorder="1" applyAlignment="1" applyProtection="1">
      <alignment horizontal="left" vertical="center" wrapText="1" shrinkToFit="1"/>
      <protection locked="0"/>
    </xf>
    <xf numFmtId="0" fontId="39" fillId="19" borderId="3" xfId="0" applyFont="1" applyFill="1" applyBorder="1" applyAlignment="1" applyProtection="1">
      <alignment horizontal="right" vertical="center" wrapText="1" shrinkToFit="1"/>
      <protection hidden="1"/>
    </xf>
    <xf numFmtId="0" fontId="39" fillId="0" borderId="22" xfId="0" applyFont="1" applyFill="1" applyBorder="1" applyAlignment="1" applyProtection="1">
      <alignment horizontal="center" vertical="center" wrapText="1" shrinkToFit="1"/>
      <protection locked="0"/>
    </xf>
    <xf numFmtId="0" fontId="39" fillId="0" borderId="38" xfId="0" applyFont="1" applyFill="1" applyBorder="1" applyAlignment="1" applyProtection="1">
      <alignment horizontal="center" vertical="center" wrapText="1" shrinkToFit="1"/>
      <protection locked="0"/>
    </xf>
    <xf numFmtId="178" fontId="39" fillId="19" borderId="105" xfId="0" applyNumberFormat="1" applyFont="1" applyFill="1" applyBorder="1" applyAlignment="1" applyProtection="1">
      <alignment vertical="center" shrinkToFit="1"/>
      <protection hidden="1"/>
    </xf>
    <xf numFmtId="0" fontId="39" fillId="0" borderId="22" xfId="0" applyFont="1" applyFill="1" applyBorder="1" applyAlignment="1" applyProtection="1">
      <alignment horizontal="left" vertical="center" wrapText="1" shrinkToFit="1"/>
      <protection locked="0"/>
    </xf>
    <xf numFmtId="178" fontId="39" fillId="19" borderId="38" xfId="0" applyNumberFormat="1" applyFont="1" applyFill="1" applyBorder="1" applyAlignment="1" applyProtection="1">
      <alignment vertical="center" shrinkToFit="1"/>
      <protection hidden="1"/>
    </xf>
    <xf numFmtId="178" fontId="39" fillId="19" borderId="41" xfId="0" applyNumberFormat="1" applyFont="1" applyFill="1" applyBorder="1" applyAlignment="1" applyProtection="1">
      <alignment vertical="center" shrinkToFit="1"/>
      <protection hidden="1"/>
    </xf>
    <xf numFmtId="178" fontId="39" fillId="19" borderId="39" xfId="0" applyNumberFormat="1" applyFont="1" applyFill="1" applyBorder="1" applyAlignment="1" applyProtection="1">
      <alignment vertical="center" shrinkToFit="1"/>
      <protection hidden="1"/>
    </xf>
    <xf numFmtId="178" fontId="39" fillId="0" borderId="38" xfId="0" applyNumberFormat="1" applyFont="1" applyFill="1" applyBorder="1" applyAlignment="1" applyProtection="1">
      <alignment horizontal="right" vertical="center" shrinkToFit="1"/>
      <protection locked="0"/>
    </xf>
    <xf numFmtId="0" fontId="39" fillId="0" borderId="36" xfId="0" applyFont="1" applyFill="1" applyBorder="1" applyAlignment="1" applyProtection="1">
      <alignment horizontal="justify" vertical="center" wrapText="1"/>
      <protection locked="0"/>
    </xf>
    <xf numFmtId="178" fontId="39" fillId="19" borderId="40" xfId="0" applyNumberFormat="1" applyFont="1" applyFill="1" applyBorder="1" applyAlignment="1" applyProtection="1">
      <alignment vertical="center" shrinkToFit="1"/>
      <protection hidden="1"/>
    </xf>
    <xf numFmtId="178" fontId="39" fillId="19" borderId="37" xfId="0" applyNumberFormat="1" applyFont="1" applyFill="1" applyBorder="1" applyAlignment="1" applyProtection="1">
      <alignment vertical="center" shrinkToFit="1"/>
      <protection hidden="1"/>
    </xf>
    <xf numFmtId="0" fontId="39" fillId="0" borderId="22" xfId="0" applyFont="1" applyFill="1" applyBorder="1" applyAlignment="1" applyProtection="1">
      <alignment horizontal="justify" vertical="center" wrapText="1"/>
      <protection locked="0"/>
    </xf>
    <xf numFmtId="0" fontId="39" fillId="0" borderId="24" xfId="0" applyFont="1" applyFill="1" applyBorder="1" applyAlignment="1" applyProtection="1">
      <alignment horizontal="left" vertical="center" wrapText="1" shrinkToFit="1"/>
      <protection locked="0"/>
    </xf>
    <xf numFmtId="0" fontId="39" fillId="0" borderId="0" xfId="0" applyFont="1" applyFill="1" applyBorder="1" applyAlignment="1" applyProtection="1">
      <alignment horizontal="justify" vertical="top" wrapText="1"/>
      <protection locked="0"/>
    </xf>
    <xf numFmtId="0" fontId="39" fillId="0" borderId="0" xfId="0" applyFont="1" applyFill="1" applyBorder="1" applyAlignment="1" applyProtection="1">
      <alignment horizontal="justify" vertical="center" wrapText="1"/>
      <protection locked="0"/>
    </xf>
    <xf numFmtId="0" fontId="39" fillId="0" borderId="3" xfId="0" applyFont="1" applyFill="1" applyBorder="1" applyAlignment="1" applyProtection="1">
      <alignment horizontal="center" shrinkToFit="1"/>
      <protection locked="0"/>
    </xf>
    <xf numFmtId="0" fontId="39" fillId="31" borderId="0" xfId="0" applyFont="1" applyFill="1" applyBorder="1" applyAlignment="1" applyProtection="1">
      <alignment horizontal="center" shrinkToFit="1"/>
      <protection locked="0"/>
    </xf>
    <xf numFmtId="0" fontId="39" fillId="0" borderId="3" xfId="0" applyFont="1" applyFill="1" applyBorder="1" applyAlignment="1" applyProtection="1">
      <alignment vertical="justify" shrinkToFit="1"/>
      <protection locked="0"/>
    </xf>
    <xf numFmtId="0" fontId="39" fillId="0" borderId="3" xfId="0" applyNumberFormat="1" applyFont="1" applyFill="1" applyBorder="1" applyAlignment="1" applyProtection="1">
      <alignment horizontal="center" vertical="center" shrinkToFit="1"/>
      <protection locked="0"/>
    </xf>
    <xf numFmtId="0" fontId="39" fillId="0" borderId="3" xfId="0" applyFont="1" applyFill="1" applyBorder="1" applyAlignment="1" applyProtection="1">
      <alignment horizontal="center" vertical="top" wrapText="1" shrinkToFit="1"/>
      <protection locked="0"/>
    </xf>
    <xf numFmtId="0" fontId="39" fillId="31" borderId="0" xfId="0" applyFont="1" applyFill="1" applyBorder="1" applyAlignment="1" applyProtection="1">
      <alignment horizontal="center" vertical="top" wrapText="1" shrinkToFit="1"/>
      <protection locked="0"/>
    </xf>
    <xf numFmtId="0" fontId="39" fillId="0" borderId="3" xfId="0" applyFont="1" applyFill="1" applyBorder="1" applyAlignment="1" applyProtection="1">
      <alignment horizontal="right" vertical="top" wrapText="1" shrinkToFit="1"/>
      <protection locked="0"/>
    </xf>
    <xf numFmtId="0" fontId="39" fillId="0" borderId="0" xfId="0" applyFont="1" applyFill="1" applyBorder="1" applyAlignment="1" applyProtection="1">
      <alignment horizontal="center" vertical="top" wrapText="1" shrinkToFit="1"/>
      <protection locked="0"/>
    </xf>
    <xf numFmtId="0" fontId="39" fillId="0" borderId="0" xfId="0" applyFont="1" applyFill="1" applyBorder="1" applyAlignment="1" applyProtection="1">
      <alignment horizontal="right" vertical="top" wrapText="1" shrinkToFit="1"/>
      <protection locked="0"/>
    </xf>
    <xf numFmtId="0" fontId="39" fillId="0" borderId="3" xfId="0" applyFont="1" applyFill="1" applyBorder="1" applyAlignment="1" applyProtection="1">
      <alignment horizontal="right" vertical="center" wrapText="1" shrinkToFit="1"/>
      <protection locked="0"/>
    </xf>
    <xf numFmtId="0" fontId="126" fillId="31" borderId="0" xfId="68" applyFont="1" applyFill="1" applyBorder="1" applyAlignment="1" applyProtection="1">
      <alignment horizontal="center" vertical="center"/>
      <protection locked="0"/>
    </xf>
    <xf numFmtId="31" fontId="56" fillId="16" borderId="0" xfId="61" applyNumberFormat="1" applyFont="1" applyFill="1" applyBorder="1" applyAlignment="1" applyProtection="1">
      <alignment horizontal="left" vertical="center"/>
      <protection hidden="1"/>
    </xf>
    <xf numFmtId="0" fontId="56" fillId="16" borderId="0" xfId="61" applyFont="1" applyFill="1" applyAlignment="1" applyProtection="1">
      <alignment horizontal="right" vertical="center"/>
      <protection hidden="1"/>
    </xf>
    <xf numFmtId="192" fontId="56" fillId="16" borderId="0" xfId="61" applyNumberFormat="1" applyFont="1" applyFill="1" applyAlignment="1" applyProtection="1">
      <alignment vertical="center" shrinkToFit="1"/>
      <protection hidden="1"/>
    </xf>
    <xf numFmtId="178" fontId="56" fillId="0" borderId="0" xfId="61" applyNumberFormat="1" applyFont="1" applyFill="1" applyAlignment="1" applyProtection="1">
      <alignment vertical="center"/>
      <protection locked="0"/>
    </xf>
    <xf numFmtId="0" fontId="56" fillId="16" borderId="0" xfId="61" applyFont="1" applyFill="1" applyBorder="1" applyAlignment="1" applyProtection="1">
      <alignment horizontal="left" vertical="center"/>
      <protection hidden="1"/>
    </xf>
    <xf numFmtId="0" fontId="56" fillId="16" borderId="0" xfId="61" applyFont="1" applyFill="1" applyBorder="1" applyAlignment="1" applyProtection="1">
      <alignment vertical="center"/>
      <protection hidden="1"/>
    </xf>
    <xf numFmtId="0" fontId="56" fillId="16" borderId="0" xfId="61" applyFont="1" applyFill="1" applyBorder="1" applyAlignment="1" applyProtection="1">
      <alignment horizontal="center" vertical="center"/>
      <protection hidden="1"/>
    </xf>
    <xf numFmtId="43" fontId="56" fillId="16" borderId="0" xfId="91" applyFont="1" applyFill="1" applyAlignment="1" applyProtection="1">
      <alignment horizontal="center" vertical="center" shrinkToFit="1"/>
      <protection hidden="1"/>
    </xf>
    <xf numFmtId="0" fontId="126" fillId="31" borderId="0" xfId="68" applyFont="1" applyFill="1" applyBorder="1" applyAlignment="1" applyProtection="1">
      <alignment horizontal="center" vertical="center" wrapText="1"/>
      <protection locked="0"/>
    </xf>
    <xf numFmtId="0" fontId="56" fillId="30" borderId="0" xfId="61" applyFont="1" applyFill="1" applyAlignment="1" applyProtection="1">
      <alignment vertical="center"/>
      <protection locked="0"/>
    </xf>
    <xf numFmtId="0" fontId="56" fillId="16" borderId="3" xfId="61" applyFont="1" applyFill="1" applyBorder="1" applyAlignment="1" applyProtection="1">
      <alignment horizontal="center" vertical="center" wrapText="1"/>
      <protection hidden="1"/>
    </xf>
    <xf numFmtId="31" fontId="56" fillId="16" borderId="3" xfId="61" applyNumberFormat="1" applyFont="1" applyFill="1" applyBorder="1" applyAlignment="1" applyProtection="1">
      <alignment horizontal="center" vertical="center" wrapText="1"/>
      <protection hidden="1"/>
    </xf>
    <xf numFmtId="178" fontId="39" fillId="16" borderId="3" xfId="92" applyNumberFormat="1" applyFont="1" applyFill="1" applyBorder="1" applyAlignment="1" applyProtection="1">
      <alignment vertical="center" shrinkToFit="1"/>
      <protection hidden="1"/>
    </xf>
    <xf numFmtId="0" fontId="39" fillId="30" borderId="3" xfId="61" applyFont="1" applyFill="1" applyBorder="1" applyAlignment="1" applyProtection="1">
      <alignment horizontal="left" vertical="center"/>
      <protection locked="0"/>
    </xf>
    <xf numFmtId="0" fontId="56" fillId="0" borderId="0" xfId="0" applyFont="1" applyFill="1" applyBorder="1" applyAlignment="1" applyProtection="1">
      <alignment vertical="center"/>
      <protection locked="0"/>
    </xf>
    <xf numFmtId="0" fontId="56" fillId="30" borderId="0" xfId="0" applyFont="1" applyFill="1" applyAlignment="1" applyProtection="1">
      <alignment vertical="center"/>
      <protection locked="0"/>
    </xf>
    <xf numFmtId="0" fontId="56" fillId="0" borderId="0" xfId="0" applyFont="1" applyFill="1" applyAlignment="1" applyProtection="1">
      <alignment horizontal="center" vertical="center" wrapText="1"/>
      <protection locked="0"/>
    </xf>
    <xf numFmtId="43" fontId="85" fillId="0" borderId="0" xfId="91" applyFont="1" applyFill="1" applyAlignment="1" applyProtection="1">
      <alignment vertical="center"/>
      <protection locked="0"/>
    </xf>
    <xf numFmtId="0" fontId="56" fillId="0" borderId="0" xfId="66" applyFont="1" applyFill="1" applyBorder="1" applyAlignment="1">
      <alignment horizontal="left" vertical="center"/>
    </xf>
    <xf numFmtId="0" fontId="39" fillId="0" borderId="0" xfId="63" applyFont="1" applyFill="1" applyAlignment="1">
      <alignment horizontal="center" vertical="center"/>
    </xf>
    <xf numFmtId="43" fontId="39" fillId="0" borderId="0" xfId="91" applyFont="1" applyFill="1" applyAlignment="1">
      <alignment horizontal="center" vertical="center"/>
    </xf>
    <xf numFmtId="0" fontId="39" fillId="0" borderId="0" xfId="62" applyFont="1" applyFill="1" applyAlignment="1">
      <alignment vertical="center"/>
    </xf>
    <xf numFmtId="0" fontId="39" fillId="0" borderId="0" xfId="59" applyFont="1" applyFill="1" applyAlignment="1">
      <alignment vertical="center"/>
    </xf>
    <xf numFmtId="0" fontId="56" fillId="0" borderId="19" xfId="63" applyFont="1" applyFill="1" applyBorder="1" applyAlignment="1">
      <alignment horizontal="left" vertical="center"/>
    </xf>
    <xf numFmtId="0" fontId="56" fillId="0" borderId="14" xfId="63" applyFont="1" applyFill="1" applyBorder="1" applyAlignment="1">
      <alignment horizontal="left" vertical="center"/>
    </xf>
    <xf numFmtId="43" fontId="56" fillId="0" borderId="14" xfId="91" applyFont="1" applyFill="1" applyBorder="1" applyAlignment="1">
      <alignment horizontal="left" vertical="center"/>
    </xf>
    <xf numFmtId="0" fontId="56" fillId="0" borderId="14" xfId="63" quotePrefix="1" applyFont="1" applyFill="1" applyBorder="1" applyAlignment="1">
      <alignment horizontal="left" vertical="center"/>
    </xf>
    <xf numFmtId="0" fontId="56" fillId="0" borderId="14" xfId="63" applyFont="1" applyFill="1" applyBorder="1" applyAlignment="1">
      <alignment horizontal="center" vertical="center"/>
    </xf>
    <xf numFmtId="0" fontId="39" fillId="0" borderId="14" xfId="59" applyFont="1" applyFill="1" applyBorder="1" applyAlignment="1">
      <alignment vertical="center"/>
    </xf>
    <xf numFmtId="0" fontId="39" fillId="0" borderId="17" xfId="59" applyFont="1" applyFill="1" applyBorder="1" applyAlignment="1">
      <alignment vertical="center"/>
    </xf>
    <xf numFmtId="0" fontId="56" fillId="0" borderId="20" xfId="63" applyFont="1" applyFill="1" applyBorder="1" applyAlignment="1">
      <alignment horizontal="left" vertical="center"/>
    </xf>
    <xf numFmtId="0" fontId="56" fillId="0" borderId="0" xfId="63" applyFont="1" applyFill="1" applyBorder="1" applyAlignment="1">
      <alignment horizontal="left" vertical="center"/>
    </xf>
    <xf numFmtId="43" fontId="56" fillId="0" borderId="0" xfId="91" applyFont="1" applyFill="1" applyBorder="1" applyAlignment="1">
      <alignment horizontal="left" vertical="center"/>
    </xf>
    <xf numFmtId="0" fontId="56" fillId="0" borderId="0" xfId="63" applyFont="1" applyFill="1" applyBorder="1" applyAlignment="1">
      <alignment horizontal="center" vertical="center"/>
    </xf>
    <xf numFmtId="43" fontId="56" fillId="0" borderId="0" xfId="91" applyFont="1" applyFill="1" applyBorder="1" applyAlignment="1">
      <alignment horizontal="right" vertical="center"/>
    </xf>
    <xf numFmtId="14" fontId="56" fillId="0" borderId="0" xfId="63" applyNumberFormat="1" applyFont="1" applyFill="1" applyBorder="1" applyAlignment="1">
      <alignment horizontal="center" vertical="center"/>
    </xf>
    <xf numFmtId="0" fontId="39" fillId="0" borderId="0" xfId="59" applyFont="1" applyFill="1" applyBorder="1" applyAlignment="1">
      <alignment vertical="center"/>
    </xf>
    <xf numFmtId="0" fontId="39" fillId="0" borderId="18" xfId="59" applyFont="1" applyFill="1" applyBorder="1" applyAlignment="1">
      <alignment vertical="center"/>
    </xf>
    <xf numFmtId="0" fontId="56" fillId="0" borderId="15" xfId="63" applyFont="1" applyFill="1" applyBorder="1" applyAlignment="1">
      <alignment horizontal="left" vertical="center"/>
    </xf>
    <xf numFmtId="0" fontId="56" fillId="0" borderId="16" xfId="63" applyFont="1" applyFill="1" applyBorder="1" applyAlignment="1">
      <alignment horizontal="left" vertical="center"/>
    </xf>
    <xf numFmtId="43" fontId="56" fillId="0" borderId="16" xfId="91" applyFont="1" applyFill="1" applyBorder="1" applyAlignment="1">
      <alignment horizontal="left" vertical="center"/>
    </xf>
    <xf numFmtId="0" fontId="56" fillId="0" borderId="16" xfId="63" applyFont="1" applyFill="1" applyBorder="1" applyAlignment="1">
      <alignment horizontal="center" vertical="center"/>
    </xf>
    <xf numFmtId="43" fontId="56" fillId="0" borderId="16" xfId="91" applyFont="1" applyFill="1" applyBorder="1" applyAlignment="1">
      <alignment horizontal="right" vertical="center"/>
    </xf>
    <xf numFmtId="14" fontId="56" fillId="0" borderId="16" xfId="63" applyNumberFormat="1" applyFont="1" applyFill="1" applyBorder="1" applyAlignment="1">
      <alignment horizontal="center" vertical="center"/>
    </xf>
    <xf numFmtId="0" fontId="39" fillId="0" borderId="16" xfId="59" applyFont="1" applyFill="1" applyBorder="1" applyAlignment="1">
      <alignment vertical="center"/>
    </xf>
    <xf numFmtId="0" fontId="39" fillId="0" borderId="35" xfId="59" applyFont="1" applyFill="1" applyBorder="1" applyAlignment="1">
      <alignment vertical="center"/>
    </xf>
    <xf numFmtId="0" fontId="83" fillId="30" borderId="0" xfId="68" applyFont="1" applyFill="1" applyBorder="1" applyAlignment="1" applyProtection="1">
      <alignment horizontal="center" vertical="center" wrapText="1"/>
      <protection locked="0"/>
    </xf>
    <xf numFmtId="0" fontId="39" fillId="0" borderId="0" xfId="59" applyFont="1" applyFill="1" applyAlignment="1" applyProtection="1">
      <alignment horizontal="center" vertical="center"/>
      <protection locked="0"/>
    </xf>
    <xf numFmtId="0" fontId="39" fillId="0" borderId="0" xfId="59" applyFont="1" applyFill="1" applyAlignment="1" applyProtection="1">
      <alignment vertical="center"/>
      <protection locked="0"/>
    </xf>
    <xf numFmtId="0" fontId="39" fillId="0" borderId="56" xfId="59" applyFont="1" applyFill="1" applyBorder="1" applyAlignment="1" applyProtection="1">
      <alignment vertical="center" wrapText="1"/>
      <protection locked="0"/>
    </xf>
    <xf numFmtId="0" fontId="39" fillId="0" borderId="0" xfId="59" applyFont="1" applyFill="1" applyAlignment="1" applyProtection="1">
      <alignment vertical="center" wrapText="1"/>
      <protection locked="0"/>
    </xf>
    <xf numFmtId="57" fontId="39" fillId="0" borderId="44" xfId="91" applyNumberFormat="1" applyFont="1" applyFill="1" applyBorder="1" applyAlignment="1" applyProtection="1">
      <alignment horizontal="center" vertical="center" wrapText="1" shrinkToFit="1"/>
      <protection locked="0"/>
    </xf>
    <xf numFmtId="43" fontId="39" fillId="0" borderId="44" xfId="91" applyFont="1" applyFill="1" applyBorder="1" applyAlignment="1" applyProtection="1">
      <alignment horizontal="center" vertical="center" wrapText="1" shrinkToFit="1"/>
      <protection locked="0"/>
    </xf>
    <xf numFmtId="10" fontId="39" fillId="0" borderId="44" xfId="44" applyNumberFormat="1" applyFont="1" applyFill="1" applyBorder="1" applyAlignment="1" applyProtection="1">
      <alignment horizontal="center" vertical="center" wrapText="1" shrinkToFit="1"/>
      <protection locked="0"/>
    </xf>
    <xf numFmtId="0" fontId="39" fillId="0" borderId="44" xfId="59" applyFont="1" applyFill="1" applyBorder="1" applyAlignment="1" applyProtection="1">
      <alignment horizontal="center" vertical="center"/>
      <protection hidden="1"/>
    </xf>
    <xf numFmtId="0" fontId="39" fillId="0" borderId="44" xfId="59" applyFont="1" applyFill="1" applyBorder="1" applyAlignment="1" applyProtection="1">
      <alignment horizontal="center" vertical="center" wrapText="1"/>
      <protection hidden="1"/>
    </xf>
    <xf numFmtId="0" fontId="39" fillId="0" borderId="44" xfId="59" applyFont="1" applyFill="1" applyBorder="1" applyAlignment="1" applyProtection="1">
      <alignment horizontal="center" vertical="center"/>
      <protection locked="0"/>
    </xf>
    <xf numFmtId="0" fontId="39" fillId="0" borderId="57" xfId="59" applyFont="1" applyFill="1" applyBorder="1" applyAlignment="1" applyProtection="1">
      <alignment vertical="center"/>
      <protection locked="0"/>
    </xf>
    <xf numFmtId="0" fontId="39" fillId="0" borderId="58" xfId="59" applyFont="1" applyFill="1" applyBorder="1" applyAlignment="1" applyProtection="1">
      <alignment vertical="center"/>
      <protection locked="0"/>
    </xf>
    <xf numFmtId="0" fontId="39" fillId="0" borderId="58" xfId="59" applyFont="1" applyFill="1" applyBorder="1" applyAlignment="1" applyProtection="1">
      <alignment horizontal="center" vertical="center"/>
      <protection locked="0"/>
    </xf>
    <xf numFmtId="0" fontId="39" fillId="0" borderId="59" xfId="59" applyFont="1" applyFill="1" applyBorder="1" applyAlignment="1" applyProtection="1">
      <alignment horizontal="center" vertical="center"/>
      <protection locked="0"/>
    </xf>
    <xf numFmtId="0" fontId="39" fillId="0" borderId="61" xfId="59" applyFont="1" applyFill="1" applyBorder="1" applyAlignment="1" applyProtection="1">
      <alignment vertical="center"/>
      <protection locked="0"/>
    </xf>
    <xf numFmtId="0" fontId="39" fillId="0" borderId="0" xfId="63" applyFont="1" applyAlignment="1">
      <alignment horizontal="center" vertical="center"/>
    </xf>
    <xf numFmtId="0" fontId="39" fillId="0" borderId="0" xfId="57" applyFont="1">
      <alignment vertical="center"/>
    </xf>
    <xf numFmtId="0" fontId="56" fillId="0" borderId="19" xfId="63" applyFont="1" applyBorder="1" applyAlignment="1">
      <alignment horizontal="left" vertical="center"/>
    </xf>
    <xf numFmtId="0" fontId="56" fillId="0" borderId="14" xfId="63" applyFont="1" applyBorder="1" applyAlignment="1">
      <alignment horizontal="left" vertical="center"/>
    </xf>
    <xf numFmtId="0" fontId="56" fillId="0" borderId="14" xfId="63" applyFont="1" applyBorder="1" applyAlignment="1">
      <alignment horizontal="center" vertical="center"/>
    </xf>
    <xf numFmtId="0" fontId="56" fillId="0" borderId="17" xfId="62" applyFont="1" applyFill="1" applyBorder="1" applyAlignment="1">
      <alignment horizontal="center" vertical="center"/>
    </xf>
    <xf numFmtId="0" fontId="56" fillId="0" borderId="20" xfId="63" applyFont="1" applyBorder="1" applyAlignment="1">
      <alignment horizontal="left" vertical="center"/>
    </xf>
    <xf numFmtId="0" fontId="56" fillId="0" borderId="0" xfId="63" applyFont="1" applyBorder="1" applyAlignment="1">
      <alignment horizontal="left" vertical="center"/>
    </xf>
    <xf numFmtId="0" fontId="56" fillId="0" borderId="0" xfId="63" applyFont="1" applyBorder="1" applyAlignment="1">
      <alignment horizontal="center" vertical="center"/>
    </xf>
    <xf numFmtId="43" fontId="56" fillId="0" borderId="0" xfId="91" applyFont="1" applyBorder="1" applyAlignment="1">
      <alignment horizontal="right" vertical="center"/>
    </xf>
    <xf numFmtId="192" fontId="56" fillId="0" borderId="18" xfId="62" applyNumberFormat="1" applyFont="1" applyFill="1" applyBorder="1" applyAlignment="1">
      <alignment horizontal="left" vertical="center"/>
    </xf>
    <xf numFmtId="0" fontId="56" fillId="0" borderId="15" xfId="63" applyFont="1" applyBorder="1" applyAlignment="1">
      <alignment horizontal="left" vertical="center"/>
    </xf>
    <xf numFmtId="0" fontId="56" fillId="0" borderId="16" xfId="63" applyFont="1" applyBorder="1" applyAlignment="1">
      <alignment horizontal="left" vertical="center"/>
    </xf>
    <xf numFmtId="0" fontId="56" fillId="0" borderId="16" xfId="63" applyFont="1" applyBorder="1" applyAlignment="1">
      <alignment horizontal="center" vertical="center"/>
    </xf>
    <xf numFmtId="43" fontId="56" fillId="0" borderId="16" xfId="91" applyFont="1" applyBorder="1" applyAlignment="1">
      <alignment horizontal="right" vertical="center"/>
    </xf>
    <xf numFmtId="14" fontId="56" fillId="0" borderId="16" xfId="63" applyNumberFormat="1" applyFont="1" applyBorder="1" applyAlignment="1">
      <alignment horizontal="center" vertical="center"/>
    </xf>
    <xf numFmtId="192" fontId="56" fillId="0" borderId="35" xfId="62" applyNumberFormat="1" applyFont="1" applyFill="1" applyBorder="1" applyAlignment="1">
      <alignment horizontal="left" vertical="center"/>
    </xf>
    <xf numFmtId="0" fontId="39" fillId="19" borderId="42" xfId="56" applyFont="1" applyFill="1" applyBorder="1" applyAlignment="1" applyProtection="1">
      <alignment horizontal="center" vertical="center"/>
      <protection hidden="1"/>
    </xf>
    <xf numFmtId="0" fontId="39" fillId="19" borderId="43" xfId="56" applyFont="1" applyFill="1" applyBorder="1" applyAlignment="1" applyProtection="1">
      <alignment horizontal="center" vertical="center"/>
      <protection hidden="1"/>
    </xf>
    <xf numFmtId="0" fontId="56" fillId="0" borderId="0" xfId="56" applyFont="1" applyAlignment="1">
      <alignment horizontal="center" vertical="center"/>
    </xf>
    <xf numFmtId="0" fontId="39" fillId="19" borderId="44" xfId="56" applyFont="1" applyFill="1" applyBorder="1" applyAlignment="1" applyProtection="1">
      <alignment horizontal="center" vertical="center"/>
      <protection hidden="1"/>
    </xf>
    <xf numFmtId="0" fontId="39" fillId="19" borderId="45" xfId="56" applyFont="1" applyFill="1" applyBorder="1" applyAlignment="1" applyProtection="1">
      <alignment horizontal="center" vertical="center"/>
      <protection hidden="1"/>
    </xf>
    <xf numFmtId="0" fontId="39" fillId="19" borderId="46" xfId="56" applyFont="1" applyFill="1" applyBorder="1" applyAlignment="1" applyProtection="1">
      <alignment horizontal="center" vertical="center"/>
      <protection hidden="1"/>
    </xf>
    <xf numFmtId="0" fontId="56" fillId="0" borderId="0" xfId="56" applyFont="1" applyAlignment="1">
      <alignment vertical="center"/>
    </xf>
    <xf numFmtId="0" fontId="39" fillId="28" borderId="44" xfId="56" applyFont="1" applyFill="1" applyBorder="1" applyAlignment="1" applyProtection="1">
      <alignment horizontal="center" vertical="center"/>
      <protection hidden="1"/>
    </xf>
    <xf numFmtId="0" fontId="39" fillId="28" borderId="44" xfId="56" applyFont="1" applyFill="1" applyBorder="1" applyAlignment="1" applyProtection="1">
      <alignment vertical="center"/>
      <protection hidden="1"/>
    </xf>
    <xf numFmtId="0" fontId="39" fillId="28" borderId="45" xfId="56" applyFont="1" applyFill="1" applyBorder="1" applyAlignment="1" applyProtection="1">
      <alignment vertical="center"/>
      <protection hidden="1"/>
    </xf>
    <xf numFmtId="0" fontId="39" fillId="0" borderId="44" xfId="56" applyFont="1" applyFill="1" applyBorder="1" applyAlignment="1" applyProtection="1">
      <alignment vertical="center"/>
      <protection hidden="1"/>
    </xf>
    <xf numFmtId="0" fontId="39" fillId="28" borderId="44" xfId="56" applyFont="1" applyFill="1" applyBorder="1" applyAlignment="1" applyProtection="1">
      <alignment vertical="center" wrapText="1"/>
      <protection hidden="1"/>
    </xf>
    <xf numFmtId="0" fontId="39" fillId="0" borderId="44" xfId="56" applyFont="1" applyFill="1" applyBorder="1" applyAlignment="1">
      <alignment vertical="center"/>
    </xf>
    <xf numFmtId="0" fontId="39" fillId="28" borderId="44" xfId="56" applyFont="1" applyFill="1" applyBorder="1" applyAlignment="1" applyProtection="1">
      <alignment vertical="center" shrinkToFit="1"/>
      <protection hidden="1"/>
    </xf>
    <xf numFmtId="0" fontId="39" fillId="0" borderId="44" xfId="56" applyFont="1" applyBorder="1" applyAlignment="1">
      <alignment vertical="center"/>
    </xf>
    <xf numFmtId="0" fontId="39" fillId="0" borderId="45" xfId="56" applyFont="1" applyBorder="1" applyAlignment="1">
      <alignment vertical="center"/>
    </xf>
    <xf numFmtId="0" fontId="39" fillId="0" borderId="44" xfId="56" applyFont="1" applyBorder="1" applyAlignment="1">
      <alignment vertical="center" wrapText="1"/>
    </xf>
    <xf numFmtId="0" fontId="39" fillId="28" borderId="48" xfId="56" applyFont="1" applyFill="1" applyBorder="1" applyAlignment="1" applyProtection="1">
      <alignment horizontal="center" vertical="center"/>
      <protection hidden="1"/>
    </xf>
    <xf numFmtId="0" fontId="39" fillId="28" borderId="48" xfId="56" applyFont="1" applyFill="1" applyBorder="1" applyAlignment="1" applyProtection="1">
      <alignment vertical="center" shrinkToFit="1"/>
      <protection hidden="1"/>
    </xf>
    <xf numFmtId="0" fontId="39" fillId="28" borderId="49" xfId="56" applyFont="1" applyFill="1" applyBorder="1" applyAlignment="1" applyProtection="1">
      <alignment vertical="center"/>
      <protection hidden="1"/>
    </xf>
    <xf numFmtId="0" fontId="39" fillId="28" borderId="47" xfId="56" applyFont="1" applyFill="1" applyBorder="1" applyAlignment="1" applyProtection="1">
      <alignment horizontal="center" vertical="center" wrapText="1"/>
      <protection hidden="1"/>
    </xf>
    <xf numFmtId="9" fontId="39" fillId="28" borderId="48" xfId="45" applyFont="1" applyFill="1" applyBorder="1" applyAlignment="1" applyProtection="1">
      <alignment horizontal="right" vertical="center"/>
      <protection locked="0"/>
    </xf>
    <xf numFmtId="9" fontId="39" fillId="28" borderId="48" xfId="45" applyFont="1" applyFill="1" applyBorder="1" applyAlignment="1" applyProtection="1">
      <alignment horizontal="right" vertical="center" shrinkToFit="1"/>
      <protection locked="0"/>
    </xf>
    <xf numFmtId="0" fontId="39" fillId="0" borderId="50" xfId="56" applyFont="1" applyBorder="1" applyAlignment="1">
      <alignment vertical="center"/>
    </xf>
    <xf numFmtId="0" fontId="39" fillId="0" borderId="51" xfId="56" applyFont="1" applyBorder="1" applyAlignment="1">
      <alignment vertical="center"/>
    </xf>
    <xf numFmtId="0" fontId="39" fillId="0" borderId="52" xfId="56" applyFont="1" applyBorder="1" applyAlignment="1">
      <alignment vertical="center"/>
    </xf>
    <xf numFmtId="0" fontId="56" fillId="0" borderId="0" xfId="56" applyFont="1" applyAlignment="1">
      <alignment horizontal="left" vertical="center"/>
    </xf>
    <xf numFmtId="0" fontId="56" fillId="0" borderId="3" xfId="56" applyFont="1" applyBorder="1" applyAlignment="1">
      <alignment horizontal="center" vertical="center"/>
    </xf>
    <xf numFmtId="0" fontId="39" fillId="0" borderId="3" xfId="56" applyFont="1" applyBorder="1" applyAlignment="1">
      <alignment horizontal="center" vertical="center"/>
    </xf>
    <xf numFmtId="0" fontId="39" fillId="0" borderId="0" xfId="56" applyFont="1" applyAlignment="1">
      <alignment horizontal="center" vertical="center"/>
    </xf>
    <xf numFmtId="0" fontId="39" fillId="0" borderId="3" xfId="56" applyFont="1" applyBorder="1" applyAlignment="1">
      <alignment vertical="center"/>
    </xf>
    <xf numFmtId="0" fontId="56" fillId="0" borderId="3" xfId="56" applyFont="1" applyBorder="1" applyAlignment="1">
      <alignment vertical="center"/>
    </xf>
    <xf numFmtId="43" fontId="39" fillId="0" borderId="0" xfId="91" applyFont="1" applyFill="1" applyAlignment="1">
      <alignment vertical="center"/>
    </xf>
    <xf numFmtId="43" fontId="56" fillId="0" borderId="14" xfId="91" quotePrefix="1" applyFont="1" applyFill="1" applyBorder="1" applyAlignment="1">
      <alignment horizontal="left" vertical="center"/>
    </xf>
    <xf numFmtId="43" fontId="56" fillId="0" borderId="14" xfId="91" applyFont="1" applyFill="1" applyBorder="1" applyAlignment="1">
      <alignment horizontal="center" vertical="center"/>
    </xf>
    <xf numFmtId="43" fontId="56" fillId="0" borderId="0" xfId="91" applyFont="1" applyFill="1" applyBorder="1" applyAlignment="1">
      <alignment horizontal="center" vertical="center"/>
    </xf>
    <xf numFmtId="14" fontId="56" fillId="0" borderId="0" xfId="91" applyNumberFormat="1" applyFont="1" applyFill="1" applyBorder="1" applyAlignment="1">
      <alignment horizontal="left" vertical="center"/>
    </xf>
    <xf numFmtId="43" fontId="56" fillId="0" borderId="16" xfId="91" applyFont="1" applyFill="1" applyBorder="1" applyAlignment="1">
      <alignment horizontal="center" vertical="center"/>
    </xf>
    <xf numFmtId="14" fontId="56" fillId="0" borderId="104" xfId="91" applyNumberFormat="1" applyFont="1" applyFill="1" applyBorder="1" applyAlignment="1">
      <alignment horizontal="left" vertical="center"/>
    </xf>
    <xf numFmtId="0" fontId="39" fillId="0" borderId="62" xfId="59" applyFont="1" applyFill="1" applyBorder="1" applyAlignment="1" applyProtection="1">
      <alignment vertical="center" wrapText="1"/>
      <protection locked="0"/>
    </xf>
    <xf numFmtId="43" fontId="39" fillId="0" borderId="44" xfId="91" applyFont="1" applyFill="1" applyBorder="1" applyAlignment="1" applyProtection="1">
      <alignment horizontal="center" vertical="center" wrapText="1"/>
      <protection hidden="1"/>
    </xf>
    <xf numFmtId="0" fontId="39" fillId="0" borderId="44" xfId="59" applyFont="1" applyFill="1" applyBorder="1" applyAlignment="1" applyProtection="1">
      <alignment horizontal="center" vertical="center" wrapText="1"/>
      <protection locked="0"/>
    </xf>
    <xf numFmtId="0" fontId="39" fillId="0" borderId="57" xfId="59" applyFont="1" applyFill="1" applyBorder="1" applyAlignment="1" applyProtection="1">
      <alignment horizontal="center" vertical="center" wrapText="1"/>
      <protection locked="0"/>
    </xf>
    <xf numFmtId="0" fontId="39" fillId="0" borderId="0" xfId="59" applyFont="1" applyFill="1" applyAlignment="1" applyProtection="1">
      <alignment horizontal="center" vertical="center" wrapText="1"/>
      <protection locked="0"/>
    </xf>
    <xf numFmtId="0" fontId="56" fillId="0" borderId="58" xfId="59" applyFont="1" applyFill="1" applyBorder="1" applyAlignment="1" applyProtection="1">
      <alignment horizontal="center" vertical="center"/>
      <protection locked="0"/>
    </xf>
    <xf numFmtId="0" fontId="39" fillId="0" borderId="58" xfId="59" applyFont="1" applyFill="1" applyBorder="1" applyAlignment="1" applyProtection="1">
      <alignment vertical="center" wrapText="1"/>
      <protection locked="0"/>
    </xf>
    <xf numFmtId="0" fontId="39" fillId="0" borderId="59" xfId="59" applyFont="1" applyFill="1" applyBorder="1" applyAlignment="1" applyProtection="1">
      <alignment vertical="center"/>
      <protection locked="0"/>
    </xf>
    <xf numFmtId="0" fontId="39" fillId="0" borderId="60" xfId="59" applyFont="1" applyFill="1" applyBorder="1" applyAlignment="1" applyProtection="1">
      <alignment vertical="center"/>
      <protection locked="0"/>
    </xf>
    <xf numFmtId="43" fontId="39" fillId="0" borderId="63" xfId="91" applyFont="1" applyFill="1" applyBorder="1" applyAlignment="1" applyProtection="1">
      <alignment horizontal="right" vertical="center"/>
      <protection hidden="1"/>
    </xf>
    <xf numFmtId="43" fontId="39" fillId="0" borderId="64" xfId="91" applyFont="1" applyFill="1" applyBorder="1" applyAlignment="1" applyProtection="1">
      <alignment horizontal="right" vertical="center"/>
      <protection hidden="1"/>
    </xf>
    <xf numFmtId="0" fontId="56" fillId="0" borderId="14" xfId="62" applyFont="1" applyFill="1" applyBorder="1" applyAlignment="1">
      <alignment horizontal="center" vertical="center"/>
    </xf>
    <xf numFmtId="192" fontId="56" fillId="0" borderId="0" xfId="62" applyNumberFormat="1" applyFont="1" applyFill="1" applyBorder="1" applyAlignment="1">
      <alignment horizontal="left" vertical="center"/>
    </xf>
    <xf numFmtId="192" fontId="56" fillId="0" borderId="16" xfId="62" applyNumberFormat="1" applyFont="1" applyFill="1" applyBorder="1" applyAlignment="1">
      <alignment horizontal="left" vertical="center"/>
    </xf>
    <xf numFmtId="0" fontId="39" fillId="0" borderId="0" xfId="59" applyFont="1" applyFill="1" applyBorder="1" applyAlignment="1" applyProtection="1">
      <alignment horizontal="center" vertical="center"/>
      <protection locked="0"/>
    </xf>
    <xf numFmtId="0" fontId="39" fillId="0" borderId="57" xfId="59" applyFont="1" applyFill="1" applyBorder="1" applyAlignment="1" applyProtection="1">
      <alignment horizontal="center" vertical="center"/>
      <protection locked="0"/>
    </xf>
    <xf numFmtId="0" fontId="39" fillId="29" borderId="44" xfId="59" applyFont="1" applyFill="1" applyBorder="1" applyAlignment="1" applyProtection="1">
      <alignment vertical="center"/>
      <protection locked="0"/>
    </xf>
    <xf numFmtId="0" fontId="39" fillId="29" borderId="57" xfId="59" applyFont="1" applyFill="1" applyBorder="1" applyAlignment="1" applyProtection="1">
      <alignment vertical="center"/>
      <protection locked="0"/>
    </xf>
    <xf numFmtId="0" fontId="39" fillId="0" borderId="64" xfId="106" applyFont="1" applyFill="1" applyBorder="1" applyAlignment="1" applyProtection="1">
      <alignment horizontal="left" vertical="center" indent="2"/>
      <protection locked="0"/>
    </xf>
    <xf numFmtId="43" fontId="39" fillId="19" borderId="44" xfId="91" applyFont="1" applyFill="1" applyBorder="1" applyAlignment="1" applyProtection="1">
      <alignment horizontal="right" vertical="center" shrinkToFit="1"/>
      <protection hidden="1"/>
    </xf>
    <xf numFmtId="43" fontId="39" fillId="28" borderId="44" xfId="91" applyFont="1" applyFill="1" applyBorder="1" applyAlignment="1" applyProtection="1">
      <alignment horizontal="right" vertical="center"/>
      <protection locked="0"/>
    </xf>
    <xf numFmtId="43" fontId="39" fillId="28" borderId="44" xfId="91" applyFont="1" applyFill="1" applyBorder="1" applyAlignment="1" applyProtection="1">
      <alignment horizontal="right" vertical="center" shrinkToFit="1"/>
      <protection locked="0"/>
    </xf>
    <xf numFmtId="210" fontId="39" fillId="0" borderId="3" xfId="91" applyNumberFormat="1" applyFont="1" applyFill="1" applyBorder="1" applyAlignment="1" applyProtection="1">
      <alignment vertical="center"/>
      <protection locked="0"/>
    </xf>
    <xf numFmtId="0" fontId="57" fillId="0" borderId="3" xfId="0" applyFont="1" applyFill="1" applyBorder="1" applyAlignment="1" applyProtection="1">
      <alignment vertical="center" wrapText="1"/>
      <protection locked="0"/>
    </xf>
    <xf numFmtId="178" fontId="57" fillId="0" borderId="3" xfId="0" applyNumberFormat="1" applyFont="1" applyFill="1" applyBorder="1" applyAlignment="1" applyProtection="1">
      <alignment horizontal="center" vertical="center" shrinkToFit="1"/>
      <protection locked="0"/>
    </xf>
    <xf numFmtId="43" fontId="39" fillId="0" borderId="3" xfId="91" applyFont="1" applyFill="1" applyBorder="1" applyAlignment="1" applyProtection="1">
      <alignment horizontal="center" vertical="center"/>
      <protection locked="0"/>
    </xf>
    <xf numFmtId="0" fontId="39" fillId="0" borderId="3" xfId="0" applyFont="1" applyFill="1" applyBorder="1" applyAlignment="1" applyProtection="1">
      <alignment horizontal="center" vertical="center"/>
      <protection locked="0"/>
    </xf>
    <xf numFmtId="0" fontId="57" fillId="0" borderId="3" xfId="0" applyFont="1" applyBorder="1" applyAlignment="1">
      <alignment horizontal="justify" vertical="center"/>
    </xf>
    <xf numFmtId="0" fontId="57" fillId="0" borderId="3" xfId="0" applyFont="1" applyBorder="1" applyAlignment="1">
      <alignment horizontal="left" vertical="center"/>
    </xf>
    <xf numFmtId="0" fontId="39" fillId="0" borderId="3" xfId="0" applyFont="1" applyFill="1" applyBorder="1" applyAlignment="1" applyProtection="1">
      <alignment vertical="center"/>
      <protection locked="0"/>
    </xf>
    <xf numFmtId="0" fontId="39" fillId="0" borderId="3" xfId="0" applyFont="1" applyBorder="1" applyAlignment="1">
      <alignment horizontal="center" vertical="center"/>
    </xf>
    <xf numFmtId="0" fontId="39" fillId="0" borderId="3" xfId="0" applyFont="1" applyBorder="1" applyAlignment="1">
      <alignment horizontal="center" vertical="center" wrapText="1"/>
    </xf>
    <xf numFmtId="0" fontId="39" fillId="0" borderId="3" xfId="0" applyFont="1" applyFill="1" applyBorder="1" applyAlignment="1" applyProtection="1">
      <alignment horizontal="center" vertical="center" wrapText="1" shrinkToFit="1"/>
      <protection locked="0"/>
    </xf>
    <xf numFmtId="0" fontId="56" fillId="0" borderId="23" xfId="0" applyFont="1" applyFill="1" applyBorder="1" applyAlignment="1" applyProtection="1">
      <alignment horizontal="left" vertical="center" wrapText="1" shrinkToFit="1"/>
      <protection locked="0"/>
    </xf>
    <xf numFmtId="0" fontId="147" fillId="0" borderId="3" xfId="0" applyFont="1" applyBorder="1" applyAlignment="1">
      <alignment horizontal="left" vertical="center"/>
    </xf>
    <xf numFmtId="0" fontId="148" fillId="0" borderId="3" xfId="0" applyFont="1" applyBorder="1" applyAlignment="1">
      <alignment horizontal="left" vertical="center"/>
    </xf>
    <xf numFmtId="178" fontId="39" fillId="39" borderId="3" xfId="0" applyNumberFormat="1" applyFont="1" applyFill="1" applyBorder="1" applyAlignment="1" applyProtection="1">
      <alignment horizontal="right" vertical="center" shrinkToFit="1"/>
      <protection locked="0"/>
    </xf>
    <xf numFmtId="0" fontId="62" fillId="30" borderId="0" xfId="0" applyFont="1" applyFill="1" applyAlignment="1" applyProtection="1">
      <alignment vertical="center"/>
      <protection locked="0"/>
    </xf>
    <xf numFmtId="43" fontId="39" fillId="0" borderId="3" xfId="91" applyFont="1" applyFill="1" applyBorder="1" applyAlignment="1" applyProtection="1">
      <alignment vertical="center" shrinkToFit="1"/>
      <protection hidden="1"/>
    </xf>
    <xf numFmtId="43" fontId="44" fillId="0" borderId="0" xfId="91" applyFont="1" applyFill="1" applyBorder="1" applyAlignment="1" applyProtection="1">
      <alignment vertical="center" shrinkToFit="1"/>
      <protection locked="0"/>
    </xf>
    <xf numFmtId="43" fontId="44" fillId="0" borderId="0" xfId="91" applyFont="1" applyFill="1" applyAlignment="1" applyProtection="1">
      <alignment vertical="center" shrinkToFit="1"/>
      <protection locked="0"/>
    </xf>
    <xf numFmtId="0" fontId="39" fillId="0" borderId="3" xfId="0" applyFont="1" applyFill="1" applyBorder="1" applyAlignment="1" applyProtection="1">
      <alignment vertical="center"/>
      <protection locked="0"/>
    </xf>
    <xf numFmtId="0" fontId="39" fillId="0" borderId="3" xfId="0" applyFont="1" applyFill="1" applyBorder="1" applyAlignment="1" applyProtection="1">
      <alignment horizontal="center" vertical="center" wrapText="1"/>
      <protection locked="0"/>
    </xf>
    <xf numFmtId="43" fontId="63" fillId="0" borderId="3" xfId="91" applyFont="1" applyBorder="1" applyAlignment="1">
      <alignment horizontal="center" vertical="center"/>
    </xf>
    <xf numFmtId="43" fontId="63" fillId="0" borderId="3" xfId="91" applyFont="1" applyBorder="1" applyAlignment="1">
      <alignment horizontal="right" vertical="center"/>
    </xf>
    <xf numFmtId="43" fontId="63" fillId="0" borderId="3" xfId="91" applyFont="1" applyFill="1" applyBorder="1" applyAlignment="1" applyProtection="1">
      <alignment horizontal="center" vertical="center" wrapText="1"/>
      <protection locked="0"/>
    </xf>
    <xf numFmtId="43" fontId="72" fillId="0" borderId="3" xfId="91" applyFont="1" applyFill="1" applyBorder="1" applyAlignment="1" applyProtection="1">
      <alignment vertical="center" shrinkToFit="1"/>
      <protection locked="0"/>
    </xf>
    <xf numFmtId="43" fontId="72" fillId="19" borderId="3" xfId="91" applyFont="1" applyFill="1" applyBorder="1" applyAlignment="1" applyProtection="1">
      <alignment vertical="center" shrinkToFit="1"/>
      <protection hidden="1"/>
    </xf>
    <xf numFmtId="43" fontId="72" fillId="0" borderId="3" xfId="91" applyFont="1" applyFill="1" applyBorder="1" applyAlignment="1" applyProtection="1">
      <alignment vertical="center"/>
      <protection locked="0"/>
    </xf>
    <xf numFmtId="43" fontId="63" fillId="0" borderId="3" xfId="91" applyFont="1" applyFill="1" applyBorder="1" applyAlignment="1" applyProtection="1">
      <alignment horizontal="left" vertical="center" shrinkToFit="1"/>
      <protection locked="0"/>
    </xf>
    <xf numFmtId="43" fontId="72" fillId="19" borderId="3" xfId="91" applyFont="1" applyFill="1" applyBorder="1" applyAlignment="1" applyProtection="1">
      <alignment horizontal="right" vertical="center" shrinkToFit="1"/>
      <protection hidden="1"/>
    </xf>
    <xf numFmtId="43" fontId="63" fillId="0" borderId="3" xfId="91" applyFont="1" applyFill="1" applyBorder="1" applyAlignment="1" applyProtection="1">
      <alignment horizontal="left" vertical="center" wrapText="1"/>
      <protection locked="0"/>
    </xf>
    <xf numFmtId="43" fontId="63" fillId="0" borderId="3" xfId="91" applyFont="1" applyFill="1" applyBorder="1" applyAlignment="1" applyProtection="1">
      <alignment horizontal="right" vertical="center" shrinkToFit="1"/>
      <protection locked="0"/>
    </xf>
    <xf numFmtId="43" fontId="72" fillId="0" borderId="3" xfId="91" applyFont="1" applyFill="1" applyBorder="1" applyAlignment="1" applyProtection="1">
      <alignment horizontal="right" vertical="center" shrinkToFit="1"/>
      <protection locked="0"/>
    </xf>
    <xf numFmtId="43" fontId="72" fillId="0" borderId="3" xfId="91" applyFont="1" applyFill="1" applyBorder="1" applyAlignment="1" applyProtection="1">
      <alignment horizontal="center" vertical="center" shrinkToFit="1"/>
      <protection locked="0"/>
    </xf>
    <xf numFmtId="43" fontId="63" fillId="0" borderId="3" xfId="91" applyFont="1" applyFill="1" applyBorder="1" applyAlignment="1" applyProtection="1">
      <alignment horizontal="center" vertical="center"/>
      <protection locked="0"/>
    </xf>
    <xf numFmtId="43" fontId="63" fillId="0" borderId="3" xfId="91" applyFont="1" applyFill="1" applyBorder="1" applyAlignment="1" applyProtection="1">
      <alignment horizontal="left" vertical="center"/>
      <protection locked="0"/>
    </xf>
    <xf numFmtId="43" fontId="63" fillId="19" borderId="3" xfId="91" applyFont="1" applyFill="1" applyBorder="1" applyAlignment="1" applyProtection="1">
      <alignment horizontal="right" vertical="center" shrinkToFit="1"/>
      <protection hidden="1"/>
    </xf>
    <xf numFmtId="0" fontId="39" fillId="0" borderId="3" xfId="0" applyFont="1" applyFill="1" applyBorder="1" applyAlignment="1" applyProtection="1">
      <alignment horizontal="center" vertical="center" wrapText="1"/>
      <protection locked="0"/>
    </xf>
    <xf numFmtId="0" fontId="39" fillId="0" borderId="3" xfId="0" applyFont="1" applyBorder="1" applyAlignment="1">
      <alignment horizontal="center" vertical="center" wrapText="1"/>
    </xf>
    <xf numFmtId="0" fontId="39" fillId="0" borderId="3" xfId="0" applyFont="1" applyFill="1" applyBorder="1" applyAlignment="1" applyProtection="1">
      <alignment horizontal="left" vertical="center" wrapText="1"/>
      <protection locked="0"/>
    </xf>
    <xf numFmtId="0" fontId="39" fillId="0" borderId="3" xfId="0" applyFont="1" applyFill="1" applyBorder="1" applyAlignment="1" applyProtection="1">
      <alignment horizontal="center" vertical="center" wrapText="1"/>
      <protection locked="0"/>
    </xf>
    <xf numFmtId="0" fontId="39" fillId="0" borderId="3" xfId="0" applyFont="1" applyBorder="1" applyAlignment="1">
      <alignment horizontal="center" vertical="center" wrapText="1"/>
    </xf>
    <xf numFmtId="178" fontId="57" fillId="0" borderId="3" xfId="0" applyNumberFormat="1" applyFont="1" applyFill="1" applyBorder="1" applyAlignment="1" applyProtection="1">
      <alignment horizontal="center" vertical="center" wrapText="1"/>
      <protection locked="0"/>
    </xf>
    <xf numFmtId="178" fontId="57" fillId="0" borderId="3" xfId="0" applyNumberFormat="1" applyFont="1" applyFill="1" applyBorder="1" applyAlignment="1" applyProtection="1">
      <alignment vertical="center"/>
      <protection locked="0"/>
    </xf>
    <xf numFmtId="0" fontId="57" fillId="0" borderId="3" xfId="0" applyFont="1" applyBorder="1" applyAlignment="1">
      <alignment horizontal="center" vertical="center" wrapText="1"/>
    </xf>
    <xf numFmtId="178" fontId="39" fillId="0" borderId="3" xfId="0" applyNumberFormat="1" applyFont="1" applyFill="1" applyBorder="1" applyAlignment="1" applyProtection="1">
      <alignment vertical="center" wrapText="1"/>
      <protection locked="0"/>
    </xf>
    <xf numFmtId="178" fontId="39" fillId="19" borderId="3" xfId="0" applyNumberFormat="1" applyFont="1" applyFill="1" applyBorder="1" applyAlignment="1" applyProtection="1">
      <alignment vertical="center" wrapText="1" shrinkToFit="1"/>
      <protection hidden="1"/>
    </xf>
    <xf numFmtId="0" fontId="5" fillId="0" borderId="3" xfId="0" applyFont="1" applyBorder="1" applyAlignment="1">
      <alignment horizontal="center" vertical="center" wrapText="1"/>
    </xf>
    <xf numFmtId="0" fontId="5" fillId="0" borderId="3" xfId="0" applyFont="1" applyBorder="1" applyAlignment="1">
      <alignment horizontal="center" vertical="center"/>
    </xf>
    <xf numFmtId="0" fontId="63" fillId="0" borderId="3" xfId="0" applyFont="1" applyBorder="1" applyAlignment="1">
      <alignment horizontal="right" vertical="center" wrapText="1"/>
    </xf>
    <xf numFmtId="0" fontId="57" fillId="0" borderId="3" xfId="68" applyFont="1" applyFill="1" applyBorder="1" applyAlignment="1" applyProtection="1">
      <alignment vertical="center"/>
      <protection locked="0"/>
    </xf>
    <xf numFmtId="0" fontId="42" fillId="0" borderId="0" xfId="0" applyFont="1" applyAlignment="1">
      <alignment vertical="center"/>
    </xf>
    <xf numFmtId="0" fontId="149" fillId="0" borderId="3" xfId="0" applyFont="1" applyBorder="1" applyAlignment="1">
      <alignment horizontal="center" vertical="center" wrapText="1"/>
    </xf>
    <xf numFmtId="0" fontId="62" fillId="0" borderId="3" xfId="0" applyFont="1" applyBorder="1" applyAlignment="1">
      <alignment horizontal="justify" vertical="center" wrapText="1"/>
    </xf>
    <xf numFmtId="0" fontId="75" fillId="0" borderId="3" xfId="0" applyFont="1" applyBorder="1" applyAlignment="1">
      <alignment horizontal="justify" vertical="center" wrapText="1"/>
    </xf>
    <xf numFmtId="0" fontId="56" fillId="0" borderId="3" xfId="0" applyFont="1" applyBorder="1" applyAlignment="1">
      <alignment horizontal="justify" vertical="center" wrapText="1"/>
    </xf>
    <xf numFmtId="0" fontId="57" fillId="0" borderId="27" xfId="6" applyFont="1" applyFill="1" applyBorder="1" applyAlignment="1" applyProtection="1">
      <alignment horizontal="left" vertical="center"/>
      <protection locked="0"/>
    </xf>
    <xf numFmtId="0" fontId="57" fillId="0" borderId="3" xfId="6" applyFont="1" applyFill="1" applyBorder="1" applyAlignment="1" applyProtection="1">
      <alignment horizontal="left" vertical="center"/>
      <protection locked="0"/>
    </xf>
    <xf numFmtId="0" fontId="57" fillId="0" borderId="3" xfId="61" applyFont="1" applyFill="1" applyBorder="1" applyAlignment="1" applyProtection="1">
      <alignment horizontal="left" vertical="center"/>
      <protection locked="0"/>
    </xf>
    <xf numFmtId="179" fontId="57" fillId="0" borderId="27" xfId="6" applyNumberFormat="1" applyFont="1" applyFill="1" applyBorder="1" applyAlignment="1" applyProtection="1">
      <alignment horizontal="left" vertical="center"/>
      <protection locked="0"/>
    </xf>
    <xf numFmtId="179" fontId="57" fillId="0" borderId="3" xfId="6" applyNumberFormat="1" applyFont="1" applyFill="1" applyBorder="1" applyAlignment="1" applyProtection="1">
      <alignment horizontal="left" vertical="center"/>
      <protection locked="0"/>
    </xf>
    <xf numFmtId="178" fontId="56" fillId="0" borderId="0" xfId="0" applyNumberFormat="1" applyFont="1" applyFill="1" applyAlignment="1" applyProtection="1">
      <alignment vertical="center" wrapText="1"/>
      <protection locked="0"/>
    </xf>
    <xf numFmtId="0" fontId="75" fillId="0" borderId="3" xfId="0" applyFont="1" applyFill="1" applyBorder="1" applyAlignment="1" applyProtection="1">
      <alignment horizontal="left" vertical="center" wrapText="1"/>
      <protection locked="0"/>
    </xf>
    <xf numFmtId="0" fontId="75" fillId="0" borderId="58" xfId="59" applyFont="1" applyFill="1" applyBorder="1" applyAlignment="1" applyProtection="1">
      <alignment vertical="center"/>
      <protection locked="0"/>
    </xf>
    <xf numFmtId="0" fontId="39" fillId="0" borderId="0" xfId="114" applyFont="1" applyAlignment="1">
      <alignment horizontal="center" vertical="center"/>
    </xf>
    <xf numFmtId="0" fontId="57" fillId="0" borderId="0" xfId="114" applyFont="1" applyAlignment="1">
      <alignment horizontal="center" vertical="center"/>
    </xf>
    <xf numFmtId="178" fontId="56" fillId="0" borderId="0" xfId="114" applyNumberFormat="1" applyFont="1" applyFill="1" applyAlignment="1" applyProtection="1">
      <alignment horizontal="left" vertical="center"/>
      <protection locked="0"/>
    </xf>
    <xf numFmtId="0" fontId="39" fillId="0" borderId="0" xfId="114" applyFont="1" applyAlignment="1">
      <alignment horizontal="left" vertical="center"/>
    </xf>
    <xf numFmtId="0" fontId="39" fillId="0" borderId="106" xfId="114" applyFont="1" applyBorder="1" applyAlignment="1">
      <alignment horizontal="center" vertical="center" wrapText="1"/>
    </xf>
    <xf numFmtId="0" fontId="39" fillId="0" borderId="106" xfId="114" applyFont="1" applyBorder="1" applyAlignment="1">
      <alignment horizontal="center" vertical="center"/>
    </xf>
    <xf numFmtId="0" fontId="57" fillId="0" borderId="106" xfId="114" applyFont="1" applyBorder="1" applyAlignment="1">
      <alignment horizontal="left" vertical="center"/>
    </xf>
    <xf numFmtId="4" fontId="63" fillId="0" borderId="0" xfId="114" applyNumberFormat="1" applyFont="1" applyAlignment="1">
      <alignment vertical="center"/>
    </xf>
    <xf numFmtId="43" fontId="39" fillId="0" borderId="106" xfId="113" applyFont="1" applyBorder="1" applyAlignment="1">
      <alignment horizontal="right" vertical="center" wrapText="1"/>
    </xf>
    <xf numFmtId="0" fontId="57" fillId="0" borderId="106" xfId="114" applyFont="1" applyBorder="1" applyAlignment="1">
      <alignment horizontal="right" vertical="center" wrapText="1"/>
    </xf>
    <xf numFmtId="0" fontId="39" fillId="0" borderId="106" xfId="114" applyFont="1" applyBorder="1" applyAlignment="1">
      <alignment horizontal="left" vertical="center"/>
    </xf>
    <xf numFmtId="0" fontId="39" fillId="0" borderId="106" xfId="114" applyFont="1" applyBorder="1" applyAlignment="1">
      <alignment horizontal="right" vertical="center" wrapText="1"/>
    </xf>
    <xf numFmtId="43" fontId="39" fillId="19" borderId="106" xfId="113" applyFont="1" applyFill="1" applyBorder="1" applyAlignment="1" applyProtection="1">
      <alignment vertical="center" shrinkToFit="1"/>
      <protection hidden="1"/>
    </xf>
    <xf numFmtId="43" fontId="57" fillId="0" borderId="106" xfId="113" applyFont="1" applyBorder="1" applyAlignment="1">
      <alignment horizontal="right" vertical="center"/>
    </xf>
    <xf numFmtId="43" fontId="39" fillId="0" borderId="106" xfId="113" applyFont="1" applyBorder="1" applyAlignment="1">
      <alignment horizontal="right" vertical="center"/>
    </xf>
    <xf numFmtId="0" fontId="39" fillId="0" borderId="106" xfId="114" applyFont="1" applyFill="1" applyBorder="1" applyAlignment="1" applyProtection="1">
      <alignment horizontal="center" vertical="center"/>
      <protection locked="0"/>
    </xf>
    <xf numFmtId="31" fontId="57" fillId="0" borderId="106" xfId="114" applyNumberFormat="1" applyFont="1" applyFill="1" applyBorder="1" applyAlignment="1" applyProtection="1">
      <alignment horizontal="center" vertical="center"/>
      <protection locked="0"/>
    </xf>
    <xf numFmtId="43" fontId="39" fillId="19" borderId="106" xfId="91" applyFont="1" applyFill="1" applyBorder="1" applyAlignment="1" applyProtection="1">
      <alignment vertical="center" shrinkToFit="1"/>
      <protection hidden="1"/>
    </xf>
    <xf numFmtId="43" fontId="39" fillId="0" borderId="106" xfId="91" applyFont="1" applyFill="1" applyBorder="1" applyAlignment="1" applyProtection="1">
      <alignment vertical="center" shrinkToFit="1"/>
      <protection locked="0"/>
    </xf>
    <xf numFmtId="178" fontId="39" fillId="0" borderId="106" xfId="0" applyNumberFormat="1" applyFont="1" applyFill="1" applyBorder="1" applyAlignment="1" applyProtection="1">
      <alignment vertical="center" shrinkToFit="1"/>
      <protection locked="0"/>
    </xf>
    <xf numFmtId="0" fontId="57" fillId="0" borderId="106" xfId="68" applyFont="1" applyFill="1" applyBorder="1" applyAlignment="1" applyProtection="1">
      <alignment vertical="center"/>
      <protection locked="0"/>
    </xf>
    <xf numFmtId="178" fontId="56" fillId="0" borderId="0" xfId="114" applyNumberFormat="1" applyFont="1" applyFill="1" applyAlignment="1" applyProtection="1">
      <alignment vertical="center"/>
      <protection locked="0"/>
    </xf>
    <xf numFmtId="0" fontId="57" fillId="0" borderId="106" xfId="114" applyFont="1" applyFill="1" applyBorder="1" applyAlignment="1" applyProtection="1">
      <alignment horizontal="center" vertical="center" wrapText="1"/>
      <protection locked="0"/>
    </xf>
    <xf numFmtId="0" fontId="39" fillId="0" borderId="106" xfId="114" applyFont="1" applyFill="1" applyBorder="1" applyAlignment="1" applyProtection="1">
      <alignment horizontal="left" vertical="center" wrapText="1"/>
      <protection locked="0"/>
    </xf>
    <xf numFmtId="43" fontId="39" fillId="0" borderId="106" xfId="113" applyFont="1" applyFill="1" applyBorder="1" applyAlignment="1" applyProtection="1">
      <alignment vertical="center" shrinkToFit="1"/>
      <protection locked="0"/>
    </xf>
    <xf numFmtId="178" fontId="39" fillId="0" borderId="106" xfId="114" applyNumberFormat="1" applyFont="1" applyBorder="1" applyAlignment="1" applyProtection="1">
      <alignment vertical="center" shrinkToFit="1"/>
      <protection locked="0"/>
    </xf>
    <xf numFmtId="178" fontId="39" fillId="0" borderId="107" xfId="114" applyNumberFormat="1" applyFont="1" applyBorder="1" applyAlignment="1" applyProtection="1">
      <alignment vertical="center" shrinkToFit="1"/>
      <protection locked="0"/>
    </xf>
    <xf numFmtId="0" fontId="57" fillId="0" borderId="106" xfId="114" applyFont="1" applyFill="1" applyBorder="1" applyAlignment="1" applyProtection="1">
      <alignment horizontal="left" vertical="center" wrapText="1"/>
      <protection locked="0"/>
    </xf>
    <xf numFmtId="0" fontId="39" fillId="0" borderId="106" xfId="114" applyFont="1" applyFill="1" applyBorder="1" applyAlignment="1" applyProtection="1">
      <alignment horizontal="center" vertical="center" wrapText="1"/>
      <protection locked="0"/>
    </xf>
    <xf numFmtId="0" fontId="39" fillId="0" borderId="0" xfId="114" applyFont="1" applyFill="1" applyAlignment="1" applyProtection="1">
      <alignment vertical="center" wrapText="1"/>
      <protection locked="0"/>
    </xf>
    <xf numFmtId="4" fontId="63" fillId="0" borderId="106" xfId="114" applyNumberFormat="1" applyFont="1" applyBorder="1" applyAlignment="1">
      <alignment vertical="center"/>
    </xf>
    <xf numFmtId="0" fontId="62" fillId="0" borderId="0" xfId="0" applyFont="1" applyAlignment="1">
      <alignment vertical="center"/>
    </xf>
    <xf numFmtId="0" fontId="75" fillId="0" borderId="106" xfId="0" applyFont="1" applyBorder="1" applyAlignment="1">
      <alignment horizontal="center" vertical="center" wrapText="1"/>
    </xf>
    <xf numFmtId="0" fontId="138" fillId="0" borderId="106" xfId="0" applyFont="1" applyBorder="1" applyAlignment="1">
      <alignment horizontal="justify" vertical="center" wrapText="1"/>
    </xf>
    <xf numFmtId="0" fontId="75" fillId="0" borderId="106" xfId="0" applyFont="1" applyBorder="1" applyAlignment="1">
      <alignment horizontal="left" vertical="center" wrapText="1"/>
    </xf>
    <xf numFmtId="0" fontId="75" fillId="0" borderId="106" xfId="0" applyFont="1" applyBorder="1" applyAlignment="1">
      <alignment horizontal="justify" vertical="center" wrapText="1"/>
    </xf>
    <xf numFmtId="43" fontId="39" fillId="0" borderId="106" xfId="91" applyFont="1" applyBorder="1" applyAlignment="1">
      <alignment horizontal="right" vertical="center" wrapText="1"/>
    </xf>
    <xf numFmtId="43" fontId="39" fillId="0" borderId="106" xfId="91" applyFont="1" applyBorder="1" applyAlignment="1">
      <alignment horizontal="left" vertical="center" wrapText="1"/>
    </xf>
    <xf numFmtId="43" fontId="39" fillId="0" borderId="106" xfId="91" applyFont="1" applyBorder="1" applyAlignment="1">
      <alignment horizontal="justify" vertical="center" wrapText="1"/>
    </xf>
    <xf numFmtId="0" fontId="57" fillId="0" borderId="106" xfId="0" applyFont="1" applyBorder="1" applyAlignment="1">
      <alignment horizontal="justify" vertical="center" wrapText="1"/>
    </xf>
    <xf numFmtId="0" fontId="57" fillId="0" borderId="3" xfId="0" applyFont="1" applyBorder="1" applyAlignment="1">
      <alignment horizontal="left" vertical="center" wrapText="1"/>
    </xf>
    <xf numFmtId="0" fontId="39" fillId="0" borderId="106" xfId="0" applyFont="1" applyFill="1" applyBorder="1" applyAlignment="1" applyProtection="1">
      <alignment horizontal="center" vertical="center" wrapText="1"/>
      <protection locked="0"/>
    </xf>
    <xf numFmtId="0" fontId="57" fillId="0" borderId="106" xfId="0" applyFont="1" applyFill="1" applyBorder="1" applyAlignment="1" applyProtection="1">
      <alignment horizontal="left" vertical="center" wrapText="1"/>
      <protection locked="0"/>
    </xf>
    <xf numFmtId="211" fontId="72" fillId="19" borderId="3" xfId="44" applyNumberFormat="1" applyFont="1" applyFill="1" applyBorder="1" applyAlignment="1" applyProtection="1">
      <alignment vertical="center" shrinkToFit="1"/>
      <protection hidden="1"/>
    </xf>
    <xf numFmtId="178" fontId="39" fillId="0" borderId="106" xfId="91" applyNumberFormat="1" applyFont="1" applyFill="1" applyBorder="1" applyAlignment="1" applyProtection="1">
      <alignment horizontal="right" vertical="center" wrapText="1"/>
      <protection locked="0"/>
    </xf>
    <xf numFmtId="0" fontId="57" fillId="0" borderId="106" xfId="0" applyFont="1" applyFill="1" applyBorder="1" applyAlignment="1" applyProtection="1">
      <alignment horizontal="justify" vertical="center" wrapText="1"/>
      <protection locked="0"/>
    </xf>
    <xf numFmtId="0" fontId="39" fillId="0" borderId="3" xfId="0" applyFont="1" applyFill="1" applyBorder="1" applyAlignment="1" applyProtection="1">
      <alignment horizontal="center" vertical="center"/>
      <protection locked="0"/>
    </xf>
    <xf numFmtId="0" fontId="39" fillId="0" borderId="3" xfId="0" applyFont="1" applyFill="1" applyBorder="1" applyAlignment="1" applyProtection="1">
      <alignment horizontal="center" vertical="center" wrapText="1"/>
      <protection locked="0"/>
    </xf>
    <xf numFmtId="0" fontId="39" fillId="0" borderId="3" xfId="0" applyFont="1" applyFill="1" applyBorder="1" applyAlignment="1" applyProtection="1">
      <alignment horizontal="left" vertical="center" wrapText="1"/>
      <protection locked="0"/>
    </xf>
    <xf numFmtId="0" fontId="39" fillId="0" borderId="106" xfId="61" applyFont="1" applyFill="1" applyBorder="1" applyAlignment="1" applyProtection="1">
      <alignment horizontal="center" vertical="center"/>
      <protection locked="0"/>
    </xf>
    <xf numFmtId="178" fontId="39" fillId="0" borderId="106" xfId="92" applyNumberFormat="1" applyFont="1" applyFill="1" applyBorder="1" applyAlignment="1" applyProtection="1">
      <alignment horizontal="right" vertical="center"/>
      <protection locked="0"/>
    </xf>
    <xf numFmtId="0" fontId="57" fillId="0" borderId="27" xfId="6" applyFont="1" applyFill="1" applyBorder="1" applyAlignment="1" applyProtection="1">
      <alignment horizontal="left" vertical="center" indent="1"/>
      <protection locked="0"/>
    </xf>
    <xf numFmtId="0" fontId="47" fillId="0" borderId="27" xfId="6" applyFont="1" applyFill="1" applyBorder="1" applyAlignment="1" applyProtection="1">
      <alignment horizontal="left" vertical="center" indent="2" shrinkToFit="1"/>
      <protection locked="0"/>
    </xf>
    <xf numFmtId="0" fontId="49" fillId="0" borderId="3" xfId="67" applyFont="1" applyFill="1" applyBorder="1" applyAlignment="1" applyProtection="1">
      <alignment horizontal="center" vertical="center" wrapText="1"/>
      <protection locked="0"/>
    </xf>
    <xf numFmtId="178" fontId="39" fillId="0" borderId="106" xfId="92" applyNumberFormat="1" applyFont="1" applyFill="1" applyBorder="1" applyAlignment="1" applyProtection="1">
      <alignment vertical="center" shrinkToFit="1"/>
      <protection locked="0"/>
    </xf>
    <xf numFmtId="0" fontId="57" fillId="0" borderId="27" xfId="67" applyFont="1" applyFill="1" applyBorder="1" applyAlignment="1" applyProtection="1">
      <alignment vertical="center"/>
      <protection locked="0"/>
    </xf>
    <xf numFmtId="0" fontId="47" fillId="0" borderId="27" xfId="67" applyFont="1" applyFill="1" applyBorder="1" applyAlignment="1" applyProtection="1">
      <alignment vertical="center"/>
      <protection locked="0"/>
    </xf>
    <xf numFmtId="0" fontId="39" fillId="0" borderId="109" xfId="6" applyFont="1" applyFill="1" applyBorder="1" applyAlignment="1" applyProtection="1">
      <alignment horizontal="left" vertical="center"/>
      <protection locked="0"/>
    </xf>
    <xf numFmtId="179" fontId="39" fillId="0" borderId="109" xfId="6" quotePrefix="1" applyNumberFormat="1" applyFont="1" applyFill="1" applyBorder="1" applyAlignment="1" applyProtection="1">
      <alignment horizontal="left" vertical="center"/>
      <protection locked="0"/>
    </xf>
    <xf numFmtId="0" fontId="57" fillId="0" borderId="109" xfId="6" applyFont="1" applyFill="1" applyBorder="1" applyAlignment="1" applyProtection="1">
      <alignment horizontal="left" vertical="center" indent="1"/>
      <protection locked="0"/>
    </xf>
    <xf numFmtId="179" fontId="47" fillId="0" borderId="3" xfId="6" applyNumberFormat="1" applyFont="1" applyFill="1" applyBorder="1" applyAlignment="1" applyProtection="1">
      <alignment horizontal="left" vertical="center"/>
      <protection locked="0"/>
    </xf>
    <xf numFmtId="0" fontId="47" fillId="0" borderId="3" xfId="61" applyFont="1" applyFill="1" applyBorder="1" applyAlignment="1" applyProtection="1">
      <alignment horizontal="left" vertical="center"/>
      <protection locked="0"/>
    </xf>
    <xf numFmtId="0" fontId="152" fillId="0" borderId="3" xfId="61" applyFont="1" applyFill="1" applyBorder="1" applyAlignment="1" applyProtection="1">
      <alignment horizontal="left" vertical="center"/>
      <protection locked="0"/>
    </xf>
    <xf numFmtId="179" fontId="57" fillId="0" borderId="109" xfId="6" applyNumberFormat="1" applyFont="1" applyFill="1" applyBorder="1" applyAlignment="1" applyProtection="1">
      <alignment horizontal="center" vertical="center"/>
      <protection locked="0"/>
    </xf>
    <xf numFmtId="179" fontId="57" fillId="0" borderId="109" xfId="6" quotePrefix="1" applyNumberFormat="1" applyFont="1" applyFill="1" applyBorder="1" applyAlignment="1" applyProtection="1">
      <alignment horizontal="left" vertical="center"/>
      <protection locked="0"/>
    </xf>
    <xf numFmtId="0" fontId="57" fillId="0" borderId="109" xfId="61" applyFont="1" applyFill="1" applyBorder="1" applyAlignment="1" applyProtection="1">
      <alignment horizontal="left" vertical="center"/>
      <protection locked="0"/>
    </xf>
    <xf numFmtId="0" fontId="57" fillId="0" borderId="109" xfId="6" applyFont="1" applyFill="1" applyBorder="1" applyAlignment="1" applyProtection="1">
      <alignment horizontal="left" vertical="center"/>
      <protection locked="0"/>
    </xf>
    <xf numFmtId="0" fontId="57" fillId="0" borderId="109" xfId="6" applyFont="1" applyFill="1" applyBorder="1" applyAlignment="1" applyProtection="1">
      <alignment horizontal="center" vertical="center"/>
      <protection locked="0"/>
    </xf>
    <xf numFmtId="0" fontId="39" fillId="0" borderId="109" xfId="61" applyFont="1" applyFill="1" applyBorder="1" applyAlignment="1" applyProtection="1">
      <alignment horizontal="center" vertical="center"/>
      <protection locked="0"/>
    </xf>
    <xf numFmtId="178" fontId="39" fillId="19" borderId="109" xfId="92" applyNumberFormat="1" applyFont="1" applyFill="1" applyBorder="1" applyAlignment="1" applyProtection="1">
      <alignment horizontal="right" vertical="center"/>
      <protection hidden="1"/>
    </xf>
    <xf numFmtId="178" fontId="39" fillId="0" borderId="109" xfId="0" applyNumberFormat="1" applyFont="1" applyFill="1" applyBorder="1" applyAlignment="1" applyProtection="1">
      <alignment horizontal="right" vertical="center" shrinkToFit="1"/>
      <protection locked="0"/>
    </xf>
    <xf numFmtId="0" fontId="39" fillId="0" borderId="3" xfId="0" applyFont="1" applyFill="1" applyBorder="1" applyAlignment="1" applyProtection="1">
      <alignment horizontal="left" vertical="center" wrapText="1"/>
      <protection locked="0"/>
    </xf>
    <xf numFmtId="0" fontId="0" fillId="0" borderId="109" xfId="0" applyBorder="1" applyAlignment="1">
      <alignment vertical="center"/>
    </xf>
    <xf numFmtId="178" fontId="72" fillId="0" borderId="109" xfId="0" applyNumberFormat="1" applyFont="1" applyFill="1" applyBorder="1" applyAlignment="1" applyProtection="1">
      <alignment vertical="center" shrinkToFit="1"/>
      <protection locked="0"/>
    </xf>
    <xf numFmtId="178" fontId="72" fillId="19" borderId="109" xfId="0" applyNumberFormat="1" applyFont="1" applyFill="1" applyBorder="1" applyAlignment="1" applyProtection="1">
      <alignment vertical="center" shrinkToFit="1"/>
      <protection hidden="1"/>
    </xf>
    <xf numFmtId="0" fontId="5" fillId="0" borderId="109" xfId="0" applyFont="1" applyFill="1" applyBorder="1" applyAlignment="1" applyProtection="1">
      <alignment horizontal="center" vertical="center" wrapText="1"/>
      <protection locked="0"/>
    </xf>
    <xf numFmtId="43" fontId="153" fillId="0" borderId="3" xfId="91" applyFont="1" applyFill="1" applyBorder="1" applyAlignment="1" applyProtection="1">
      <alignment horizontal="center" vertical="center" wrapText="1"/>
      <protection locked="0"/>
    </xf>
    <xf numFmtId="0" fontId="154" fillId="0" borderId="0" xfId="0" applyFont="1" applyFill="1" applyAlignment="1" applyProtection="1">
      <alignment horizontal="justify" vertical="center"/>
      <protection locked="0"/>
    </xf>
    <xf numFmtId="0" fontId="57" fillId="0" borderId="3" xfId="0" applyFont="1" applyFill="1" applyBorder="1" applyAlignment="1" applyProtection="1">
      <alignment horizontal="left" vertical="center" wrapText="1" indent="1"/>
      <protection locked="0"/>
    </xf>
    <xf numFmtId="178" fontId="39" fillId="0" borderId="109" xfId="0" applyNumberFormat="1" applyFont="1" applyFill="1" applyBorder="1" applyAlignment="1" applyProtection="1">
      <alignment vertical="center" shrinkToFit="1"/>
      <protection locked="0"/>
    </xf>
    <xf numFmtId="0" fontId="57" fillId="0" borderId="109" xfId="0" applyFont="1" applyFill="1" applyBorder="1" applyAlignment="1" applyProtection="1">
      <alignment horizontal="left" vertical="center" wrapText="1"/>
      <protection locked="0"/>
    </xf>
    <xf numFmtId="0" fontId="57" fillId="0" borderId="109" xfId="0" applyFont="1" applyBorder="1" applyAlignment="1">
      <alignment horizontal="justify" vertical="center" wrapText="1"/>
    </xf>
    <xf numFmtId="0" fontId="57" fillId="0" borderId="3" xfId="0" applyFont="1" applyBorder="1" applyAlignment="1">
      <alignment horizontal="justify" vertical="center" wrapText="1"/>
    </xf>
    <xf numFmtId="0" fontId="39" fillId="0" borderId="109" xfId="0" applyFont="1" applyFill="1" applyBorder="1" applyAlignment="1" applyProtection="1">
      <alignment vertical="center"/>
      <protection locked="0"/>
    </xf>
    <xf numFmtId="0" fontId="57" fillId="0" borderId="109" xfId="0" applyFont="1" applyFill="1" applyBorder="1" applyAlignment="1" applyProtection="1">
      <alignment vertical="center"/>
      <protection locked="0"/>
    </xf>
    <xf numFmtId="0" fontId="57" fillId="0" borderId="109" xfId="0" applyFont="1" applyFill="1" applyBorder="1" applyAlignment="1" applyProtection="1">
      <alignment horizontal="center" vertical="center"/>
      <protection locked="0"/>
    </xf>
    <xf numFmtId="0" fontId="152" fillId="0" borderId="109" xfId="0" applyFont="1" applyFill="1" applyBorder="1" applyAlignment="1" applyProtection="1">
      <alignment vertical="center"/>
      <protection locked="0"/>
    </xf>
    <xf numFmtId="0" fontId="57" fillId="0" borderId="3" xfId="0" applyFont="1" applyFill="1" applyBorder="1" applyAlignment="1" applyProtection="1">
      <alignment horizontal="justify" vertical="center" wrapText="1"/>
      <protection locked="0"/>
    </xf>
    <xf numFmtId="0" fontId="57" fillId="0" borderId="3" xfId="0" applyFont="1" applyBorder="1" applyAlignment="1">
      <alignment vertical="center"/>
    </xf>
    <xf numFmtId="0" fontId="155" fillId="0" borderId="109" xfId="0" applyFont="1" applyBorder="1" applyAlignment="1">
      <alignment vertical="center" wrapText="1"/>
    </xf>
    <xf numFmtId="0" fontId="155" fillId="0" borderId="109" xfId="0" applyFont="1" applyBorder="1" applyAlignment="1">
      <alignment horizontal="justify" vertical="center"/>
    </xf>
    <xf numFmtId="0" fontId="155" fillId="0" borderId="109" xfId="0" applyFont="1" applyFill="1" applyBorder="1" applyAlignment="1" applyProtection="1">
      <alignment vertical="center" wrapText="1"/>
      <protection locked="0"/>
    </xf>
    <xf numFmtId="0" fontId="155" fillId="0" borderId="109" xfId="0" applyFont="1" applyBorder="1" applyAlignment="1">
      <alignment vertical="center"/>
    </xf>
    <xf numFmtId="0" fontId="155" fillId="0" borderId="109" xfId="0" applyFont="1" applyBorder="1" applyAlignment="1">
      <alignment horizontal="center" vertical="center" wrapText="1"/>
    </xf>
    <xf numFmtId="0" fontId="155" fillId="0" borderId="109" xfId="0" applyFont="1" applyBorder="1" applyAlignment="1">
      <alignment horizontal="center" vertical="center"/>
    </xf>
    <xf numFmtId="0" fontId="156" fillId="31" borderId="87" xfId="0" applyFont="1" applyFill="1" applyBorder="1" applyAlignment="1" applyProtection="1">
      <alignment horizontal="centerContinuous" vertical="center"/>
      <protection hidden="1"/>
    </xf>
    <xf numFmtId="43" fontId="63" fillId="19" borderId="109" xfId="113" applyFont="1" applyFill="1" applyBorder="1" applyAlignment="1" applyProtection="1">
      <alignment horizontal="right" vertical="center" shrinkToFit="1"/>
      <protection hidden="1"/>
    </xf>
    <xf numFmtId="0" fontId="57" fillId="0" borderId="3" xfId="0" applyFont="1" applyFill="1" applyBorder="1" applyAlignment="1" applyProtection="1">
      <alignment horizontal="left" vertical="center"/>
      <protection locked="0"/>
    </xf>
    <xf numFmtId="0" fontId="152" fillId="0" borderId="3" xfId="0" applyFont="1" applyFill="1" applyBorder="1" applyAlignment="1" applyProtection="1">
      <alignment horizontal="left" vertical="center" wrapText="1" indent="1"/>
      <protection locked="0"/>
    </xf>
    <xf numFmtId="0" fontId="23" fillId="4" borderId="109" xfId="70" applyBorder="1" applyAlignment="1">
      <alignment vertical="center"/>
    </xf>
    <xf numFmtId="178" fontId="39" fillId="16" borderId="109" xfId="92" applyNumberFormat="1" applyFont="1" applyFill="1" applyBorder="1" applyAlignment="1" applyProtection="1">
      <alignment vertical="center" shrinkToFit="1"/>
      <protection hidden="1"/>
    </xf>
    <xf numFmtId="0" fontId="57" fillId="0" borderId="58" xfId="59" applyFont="1" applyFill="1" applyBorder="1" applyAlignment="1" applyProtection="1">
      <alignment vertical="center" wrapText="1"/>
      <protection locked="0"/>
    </xf>
    <xf numFmtId="211" fontId="39" fillId="0" borderId="3" xfId="44" applyNumberFormat="1" applyFont="1" applyFill="1" applyBorder="1" applyAlignment="1" applyProtection="1">
      <alignment horizontal="right" vertical="center" shrinkToFit="1"/>
      <protection locked="0"/>
    </xf>
    <xf numFmtId="211" fontId="39" fillId="19" borderId="3" xfId="0" applyNumberFormat="1" applyFont="1" applyFill="1" applyBorder="1" applyAlignment="1" applyProtection="1">
      <alignment horizontal="left" vertical="center"/>
      <protection hidden="1"/>
    </xf>
    <xf numFmtId="211" fontId="39" fillId="0" borderId="3" xfId="44" applyNumberFormat="1" applyFont="1" applyFill="1" applyBorder="1" applyAlignment="1" applyProtection="1">
      <alignment vertical="center" shrinkToFit="1"/>
      <protection locked="0"/>
    </xf>
    <xf numFmtId="211" fontId="39" fillId="0" borderId="3" xfId="91" applyNumberFormat="1" applyFont="1" applyFill="1" applyBorder="1" applyAlignment="1" applyProtection="1">
      <alignment horizontal="right" vertical="center" shrinkToFit="1"/>
      <protection locked="0"/>
    </xf>
    <xf numFmtId="211" fontId="39" fillId="19" borderId="3" xfId="91" applyNumberFormat="1" applyFont="1" applyFill="1" applyBorder="1" applyAlignment="1" applyProtection="1">
      <alignment horizontal="left" vertical="center"/>
      <protection hidden="1"/>
    </xf>
    <xf numFmtId="211" fontId="39" fillId="0" borderId="3" xfId="91" applyNumberFormat="1" applyFont="1" applyFill="1" applyBorder="1" applyAlignment="1" applyProtection="1">
      <alignment vertical="center" shrinkToFit="1"/>
      <protection locked="0"/>
    </xf>
    <xf numFmtId="211" fontId="39" fillId="0" borderId="3" xfId="0" applyNumberFormat="1" applyFont="1" applyFill="1" applyBorder="1" applyAlignment="1" applyProtection="1">
      <alignment vertical="center" shrinkToFit="1"/>
      <protection locked="0"/>
    </xf>
    <xf numFmtId="43" fontId="5" fillId="0" borderId="109" xfId="91" applyFont="1" applyFill="1" applyBorder="1" applyAlignment="1" applyProtection="1">
      <alignment vertical="center"/>
      <protection locked="0"/>
    </xf>
    <xf numFmtId="178" fontId="23" fillId="4" borderId="109" xfId="70" applyNumberFormat="1" applyBorder="1" applyAlignment="1" applyProtection="1">
      <alignment vertical="center"/>
      <protection locked="0"/>
    </xf>
    <xf numFmtId="0" fontId="63" fillId="0" borderId="109" xfId="0" applyFont="1" applyFill="1" applyBorder="1" applyAlignment="1" applyProtection="1">
      <alignment vertical="center"/>
      <protection locked="0"/>
    </xf>
    <xf numFmtId="0" fontId="5" fillId="0" borderId="109" xfId="0" applyFont="1" applyFill="1" applyBorder="1" applyAlignment="1" applyProtection="1">
      <alignment vertical="center"/>
      <protection locked="0"/>
    </xf>
    <xf numFmtId="0" fontId="5" fillId="0" borderId="109" xfId="0" applyFont="1" applyFill="1" applyBorder="1" applyAlignment="1" applyProtection="1">
      <alignment horizontal="center" vertical="center"/>
      <protection locked="0"/>
    </xf>
    <xf numFmtId="0" fontId="23" fillId="4" borderId="109" xfId="70" applyBorder="1" applyAlignment="1" applyProtection="1">
      <alignment vertical="center"/>
      <protection locked="0"/>
    </xf>
    <xf numFmtId="178" fontId="23" fillId="4" borderId="0" xfId="70" applyNumberFormat="1" applyAlignment="1" applyProtection="1">
      <alignment vertical="center"/>
      <protection locked="0"/>
    </xf>
    <xf numFmtId="0" fontId="39" fillId="0" borderId="109" xfId="0" applyFont="1" applyFill="1" applyBorder="1" applyAlignment="1" applyProtection="1">
      <alignment horizontal="left" vertical="center" wrapText="1"/>
      <protection locked="0"/>
    </xf>
    <xf numFmtId="0" fontId="57" fillId="0" borderId="3" xfId="0" applyFont="1" applyFill="1" applyBorder="1" applyAlignment="1" applyProtection="1">
      <alignment horizontal="left" vertical="top" wrapText="1" indent="1"/>
      <protection locked="0"/>
    </xf>
    <xf numFmtId="178" fontId="23" fillId="4" borderId="3" xfId="70" applyNumberFormat="1" applyBorder="1" applyAlignment="1" applyProtection="1">
      <alignment horizontal="right" vertical="center" shrinkToFit="1"/>
      <protection locked="0"/>
    </xf>
    <xf numFmtId="0" fontId="5" fillId="0" borderId="109" xfId="0" applyFont="1" applyBorder="1" applyAlignment="1">
      <alignment vertical="center"/>
    </xf>
    <xf numFmtId="0" fontId="152" fillId="0" borderId="0" xfId="0" applyFont="1" applyFill="1" applyAlignment="1" applyProtection="1">
      <alignment vertical="center" wrapText="1"/>
      <protection locked="0"/>
    </xf>
    <xf numFmtId="0" fontId="39" fillId="0" borderId="109" xfId="0" applyFont="1" applyFill="1" applyBorder="1" applyAlignment="1" applyProtection="1">
      <alignment vertical="center" wrapText="1"/>
      <protection locked="0"/>
    </xf>
    <xf numFmtId="43" fontId="5" fillId="0" borderId="3" xfId="91" applyFont="1" applyFill="1" applyBorder="1" applyAlignment="1" applyProtection="1">
      <alignment horizontal="center" vertical="center" wrapText="1"/>
      <protection locked="0"/>
    </xf>
    <xf numFmtId="211" fontId="39" fillId="0" borderId="3" xfId="0" applyNumberFormat="1" applyFont="1" applyFill="1" applyBorder="1" applyAlignment="1" applyProtection="1">
      <alignment horizontal="right" vertical="center"/>
      <protection locked="0"/>
    </xf>
    <xf numFmtId="211" fontId="39" fillId="0" borderId="3" xfId="0" applyNumberFormat="1" applyFont="1" applyFill="1" applyBorder="1" applyAlignment="1" applyProtection="1">
      <alignment horizontal="right" vertical="center" wrapText="1"/>
      <protection locked="0"/>
    </xf>
    <xf numFmtId="0" fontId="75" fillId="0" borderId="27" xfId="6" applyFont="1" applyFill="1" applyBorder="1" applyAlignment="1" applyProtection="1">
      <alignment horizontal="left" vertical="center" indent="1"/>
      <protection locked="0"/>
    </xf>
    <xf numFmtId="178" fontId="39" fillId="0" borderId="109" xfId="92" applyNumberFormat="1" applyFont="1" applyFill="1" applyBorder="1" applyAlignment="1" applyProtection="1">
      <alignment horizontal="right" vertical="center"/>
      <protection locked="0"/>
    </xf>
    <xf numFmtId="178" fontId="39" fillId="19" borderId="109" xfId="92" applyNumberFormat="1" applyFont="1" applyFill="1" applyBorder="1" applyAlignment="1" applyProtection="1">
      <alignment vertical="center" shrinkToFit="1"/>
      <protection hidden="1"/>
    </xf>
    <xf numFmtId="179" fontId="75" fillId="0" borderId="3" xfId="6" quotePrefix="1" applyNumberFormat="1" applyFont="1" applyFill="1" applyBorder="1" applyAlignment="1" applyProtection="1">
      <alignment horizontal="left" vertical="center"/>
      <protection locked="0"/>
    </xf>
    <xf numFmtId="0" fontId="57" fillId="0" borderId="27" xfId="6" applyFont="1" applyFill="1" applyBorder="1" applyAlignment="1" applyProtection="1">
      <alignment vertical="center"/>
      <protection locked="0"/>
    </xf>
    <xf numFmtId="0" fontId="75" fillId="0" borderId="27" xfId="116" applyFont="1" applyFill="1" applyBorder="1" applyAlignment="1" applyProtection="1">
      <alignment horizontal="left" vertical="center" indent="1"/>
      <protection locked="0"/>
    </xf>
    <xf numFmtId="0" fontId="75" fillId="0" borderId="3" xfId="61" applyFont="1" applyFill="1" applyBorder="1" applyAlignment="1" applyProtection="1">
      <alignment horizontal="left" vertical="center"/>
      <protection locked="0"/>
    </xf>
    <xf numFmtId="43" fontId="39" fillId="0" borderId="0" xfId="91" applyFont="1" applyFill="1" applyAlignment="1" applyProtection="1">
      <alignment vertical="center"/>
      <protection locked="0"/>
    </xf>
    <xf numFmtId="43" fontId="39" fillId="0" borderId="0" xfId="91" applyFont="1" applyFill="1" applyAlignment="1" applyProtection="1">
      <alignment vertical="center"/>
      <protection locked="0"/>
    </xf>
    <xf numFmtId="0" fontId="39" fillId="0" borderId="22" xfId="0" applyFont="1" applyFill="1" applyBorder="1" applyAlignment="1" applyProtection="1">
      <alignment horizontal="center" vertical="center"/>
      <protection locked="0"/>
    </xf>
    <xf numFmtId="0" fontId="39" fillId="0" borderId="3" xfId="0" applyFont="1" applyFill="1" applyBorder="1" applyAlignment="1" applyProtection="1">
      <alignment horizontal="center" vertical="center" wrapText="1"/>
      <protection locked="0"/>
    </xf>
    <xf numFmtId="179" fontId="57" fillId="0" borderId="27" xfId="6" quotePrefix="1" applyNumberFormat="1" applyFont="1" applyFill="1" applyBorder="1" applyAlignment="1" applyProtection="1">
      <alignment horizontal="left" vertical="center"/>
      <protection locked="0"/>
    </xf>
    <xf numFmtId="0" fontId="119" fillId="0" borderId="0" xfId="0" applyFont="1" applyFill="1" applyAlignment="1" applyProtection="1">
      <alignment vertical="center"/>
      <protection locked="0"/>
    </xf>
    <xf numFmtId="178" fontId="39" fillId="0" borderId="109" xfId="0" applyNumberFormat="1" applyFont="1" applyFill="1" applyBorder="1" applyAlignment="1" applyProtection="1">
      <alignment vertical="center"/>
      <protection locked="0"/>
    </xf>
    <xf numFmtId="0" fontId="39" fillId="0" borderId="109" xfId="0" applyFont="1" applyFill="1" applyBorder="1" applyAlignment="1" applyProtection="1">
      <alignment horizontal="center" vertical="center"/>
      <protection locked="0"/>
    </xf>
    <xf numFmtId="0" fontId="119" fillId="0" borderId="109" xfId="0" applyFont="1" applyFill="1" applyBorder="1" applyAlignment="1" applyProtection="1">
      <alignment vertical="center"/>
      <protection locked="0"/>
    </xf>
    <xf numFmtId="0" fontId="157" fillId="0" borderId="109" xfId="0" applyFont="1" applyFill="1" applyBorder="1" applyAlignment="1" applyProtection="1">
      <alignment vertical="center"/>
      <protection locked="0"/>
    </xf>
    <xf numFmtId="178" fontId="57" fillId="0" borderId="3" xfId="0" applyNumberFormat="1" applyFont="1" applyFill="1" applyBorder="1" applyAlignment="1" applyProtection="1">
      <alignment horizontal="center"/>
      <protection locked="0"/>
    </xf>
    <xf numFmtId="178" fontId="39" fillId="40" borderId="3" xfId="0" applyNumberFormat="1" applyFont="1" applyFill="1" applyBorder="1" applyAlignment="1" applyProtection="1">
      <alignment horizontal="center" vertical="center" wrapText="1"/>
      <protection locked="0"/>
    </xf>
    <xf numFmtId="178" fontId="39" fillId="0" borderId="109" xfId="91" applyNumberFormat="1" applyFont="1" applyFill="1" applyBorder="1" applyAlignment="1" applyProtection="1">
      <protection locked="0"/>
    </xf>
    <xf numFmtId="178" fontId="39" fillId="0" borderId="109" xfId="44" applyNumberFormat="1" applyFont="1" applyFill="1" applyBorder="1" applyAlignment="1" applyProtection="1">
      <protection locked="0"/>
    </xf>
    <xf numFmtId="43" fontId="119" fillId="0" borderId="109" xfId="91" applyFont="1" applyFill="1" applyBorder="1" applyAlignment="1" applyProtection="1">
      <protection locked="0"/>
    </xf>
    <xf numFmtId="43" fontId="157" fillId="0" borderId="109" xfId="91" applyFont="1" applyFill="1" applyBorder="1" applyAlignment="1" applyProtection="1">
      <protection locked="0"/>
    </xf>
    <xf numFmtId="178" fontId="39" fillId="19" borderId="40" xfId="91" applyNumberFormat="1" applyFont="1" applyFill="1" applyBorder="1" applyAlignment="1" applyProtection="1">
      <alignment horizontal="center" vertical="center"/>
      <protection hidden="1"/>
    </xf>
    <xf numFmtId="178" fontId="39" fillId="19" borderId="0" xfId="91" applyNumberFormat="1" applyFont="1" applyFill="1" applyBorder="1" applyAlignment="1" applyProtection="1">
      <alignment horizontal="center" vertical="center"/>
      <protection hidden="1"/>
    </xf>
    <xf numFmtId="178" fontId="39" fillId="19" borderId="41" xfId="91" applyNumberFormat="1" applyFont="1" applyFill="1" applyBorder="1" applyAlignment="1" applyProtection="1">
      <alignment horizontal="center" vertical="center"/>
      <protection hidden="1"/>
    </xf>
    <xf numFmtId="0" fontId="158" fillId="0" borderId="0" xfId="0" applyFont="1" applyFill="1" applyAlignment="1" applyProtection="1">
      <alignment vertical="center"/>
      <protection locked="0"/>
    </xf>
    <xf numFmtId="0" fontId="51" fillId="0" borderId="0" xfId="204" applyFont="1">
      <alignment vertical="center"/>
    </xf>
    <xf numFmtId="0" fontId="50" fillId="0" borderId="0" xfId="204" applyFont="1">
      <alignment vertical="center"/>
    </xf>
    <xf numFmtId="0" fontId="50" fillId="0" borderId="109" xfId="204" applyFont="1" applyBorder="1" applyAlignment="1">
      <alignment horizontal="center" vertical="center"/>
    </xf>
    <xf numFmtId="0" fontId="50" fillId="0" borderId="109" xfId="204" applyFont="1" applyBorder="1" applyAlignment="1">
      <alignment horizontal="center" vertical="center" wrapText="1"/>
    </xf>
    <xf numFmtId="0" fontId="50" fillId="0" borderId="109" xfId="204" applyFont="1" applyBorder="1" applyAlignment="1">
      <alignment horizontal="left" vertical="center"/>
    </xf>
    <xf numFmtId="43" fontId="50" fillId="0" borderId="109" xfId="205" applyFont="1" applyBorder="1" applyAlignment="1">
      <alignment horizontal="left" vertical="center"/>
    </xf>
    <xf numFmtId="43" fontId="50" fillId="0" borderId="109" xfId="205" applyFont="1" applyBorder="1" applyAlignment="1">
      <alignment horizontal="right" vertical="center"/>
    </xf>
    <xf numFmtId="43" fontId="50" fillId="0" borderId="109" xfId="205" applyFont="1" applyBorder="1" applyAlignment="1">
      <alignment horizontal="right" vertical="center" wrapText="1"/>
    </xf>
    <xf numFmtId="43" fontId="50" fillId="41" borderId="109" xfId="205" applyFont="1" applyFill="1" applyBorder="1" applyAlignment="1">
      <alignment horizontal="right" vertical="center"/>
    </xf>
    <xf numFmtId="43" fontId="50" fillId="41" borderId="109" xfId="205" applyFont="1" applyFill="1" applyBorder="1" applyAlignment="1">
      <alignment horizontal="left" vertical="center"/>
    </xf>
    <xf numFmtId="43" fontId="50" fillId="41" borderId="109" xfId="205" applyFont="1" applyFill="1" applyBorder="1" applyAlignment="1">
      <alignment horizontal="right" vertical="center" wrapText="1"/>
    </xf>
    <xf numFmtId="0" fontId="50" fillId="0" borderId="109" xfId="204" applyFont="1" applyBorder="1" applyAlignment="1">
      <alignment horizontal="left" vertical="center" wrapText="1"/>
    </xf>
    <xf numFmtId="0" fontId="50" fillId="0" borderId="0" xfId="204" applyFont="1" applyBorder="1" applyAlignment="1">
      <alignment horizontal="center" vertical="center" wrapText="1"/>
    </xf>
    <xf numFmtId="0" fontId="50" fillId="0" borderId="0" xfId="204" applyFont="1" applyBorder="1" applyAlignment="1">
      <alignment horizontal="right" vertical="center" wrapText="1"/>
    </xf>
    <xf numFmtId="0" fontId="50" fillId="0" borderId="0" xfId="204" applyFont="1" applyBorder="1" applyAlignment="1">
      <alignment horizontal="center" vertical="center"/>
    </xf>
    <xf numFmtId="0" fontId="51" fillId="0" borderId="0" xfId="204" applyFont="1" applyAlignment="1">
      <alignment vertical="center"/>
    </xf>
    <xf numFmtId="0" fontId="50" fillId="0" borderId="109" xfId="204" applyFont="1" applyBorder="1" applyAlignment="1">
      <alignment horizontal="justify" vertical="center"/>
    </xf>
    <xf numFmtId="0" fontId="51" fillId="0" borderId="109" xfId="204" applyFont="1" applyBorder="1" applyAlignment="1">
      <alignment horizontal="right" vertical="center"/>
    </xf>
    <xf numFmtId="0" fontId="51" fillId="0" borderId="109" xfId="204" applyFont="1" applyBorder="1" applyAlignment="1">
      <alignment horizontal="right" vertical="center" wrapText="1"/>
    </xf>
    <xf numFmtId="0" fontId="50" fillId="0" borderId="109" xfId="204" applyFont="1" applyBorder="1" applyAlignment="1">
      <alignment horizontal="right" vertical="center"/>
    </xf>
    <xf numFmtId="0" fontId="50" fillId="0" borderId="109" xfId="204" applyFont="1" applyBorder="1" applyAlignment="1">
      <alignment horizontal="right" vertical="center" wrapText="1"/>
    </xf>
    <xf numFmtId="0" fontId="50" fillId="0" borderId="0" xfId="204" applyFont="1" applyBorder="1" applyAlignment="1">
      <alignment horizontal="right" vertical="center"/>
    </xf>
    <xf numFmtId="0" fontId="50" fillId="0" borderId="0" xfId="204" applyFont="1" applyBorder="1" applyAlignment="1">
      <alignment horizontal="left" vertical="center"/>
    </xf>
    <xf numFmtId="0" fontId="50" fillId="0" borderId="109" xfId="204" applyFont="1" applyBorder="1" applyAlignment="1">
      <alignment horizontal="justify" vertical="center" wrapText="1"/>
    </xf>
    <xf numFmtId="0" fontId="50" fillId="0" borderId="109" xfId="204" applyFont="1" applyFill="1" applyBorder="1" applyAlignment="1" applyProtection="1">
      <alignment horizontal="center" vertical="center"/>
      <protection locked="0"/>
    </xf>
    <xf numFmtId="0" fontId="5" fillId="0" borderId="109" xfId="204" applyFont="1" applyFill="1" applyBorder="1" applyAlignment="1" applyProtection="1">
      <alignment horizontal="center" vertical="center"/>
      <protection locked="0"/>
    </xf>
    <xf numFmtId="43" fontId="13" fillId="16" borderId="109" xfId="205" applyFont="1" applyFill="1" applyBorder="1" applyAlignment="1" applyProtection="1">
      <alignment vertical="center" shrinkToFit="1"/>
    </xf>
    <xf numFmtId="0" fontId="42" fillId="0" borderId="0" xfId="204" applyFont="1" applyFill="1" applyAlignment="1" applyProtection="1">
      <alignment horizontal="justify" vertical="center" wrapText="1"/>
      <protection locked="0"/>
    </xf>
    <xf numFmtId="0" fontId="160" fillId="0" borderId="0" xfId="204" applyFont="1" applyFill="1" applyBorder="1" applyAlignment="1" applyProtection="1">
      <alignment horizontal="left" vertical="center"/>
      <protection locked="0"/>
    </xf>
    <xf numFmtId="0" fontId="50" fillId="0" borderId="0" xfId="204" applyFont="1" applyProtection="1">
      <alignment vertical="center"/>
      <protection locked="0"/>
    </xf>
    <xf numFmtId="0" fontId="160" fillId="0" borderId="109" xfId="204" applyFont="1" applyBorder="1" applyAlignment="1" applyProtection="1">
      <alignment horizontal="center" vertical="center"/>
      <protection locked="0"/>
    </xf>
    <xf numFmtId="0" fontId="160" fillId="0" borderId="109" xfId="204" applyFont="1" applyBorder="1" applyAlignment="1" applyProtection="1">
      <alignment horizontal="center" vertical="center" wrapText="1"/>
      <protection locked="0"/>
    </xf>
    <xf numFmtId="0" fontId="160" fillId="0" borderId="109" xfId="204" applyFont="1" applyBorder="1" applyAlignment="1" applyProtection="1">
      <alignment horizontal="justify" vertical="center"/>
      <protection locked="0"/>
    </xf>
    <xf numFmtId="0" fontId="160" fillId="0" borderId="109" xfId="204" applyFont="1" applyBorder="1" applyAlignment="1" applyProtection="1">
      <alignment horizontal="right" vertical="center"/>
      <protection locked="0"/>
    </xf>
    <xf numFmtId="0" fontId="160" fillId="0" borderId="109" xfId="204" applyFont="1" applyBorder="1" applyAlignment="1" applyProtection="1">
      <alignment horizontal="right" vertical="center" wrapText="1"/>
      <protection locked="0"/>
    </xf>
    <xf numFmtId="0" fontId="160" fillId="0" borderId="109" xfId="204" applyFont="1" applyBorder="1" applyAlignment="1" applyProtection="1">
      <alignment horizontal="justify" vertical="center" wrapText="1"/>
      <protection locked="0"/>
    </xf>
    <xf numFmtId="0" fontId="5" fillId="0" borderId="109" xfId="204" applyFont="1" applyBorder="1" applyAlignment="1">
      <alignment horizontal="center" vertical="center" wrapText="1"/>
    </xf>
    <xf numFmtId="0" fontId="158" fillId="0" borderId="0" xfId="0" applyFont="1" applyAlignment="1" applyProtection="1">
      <alignment vertical="center"/>
      <protection locked="0"/>
    </xf>
    <xf numFmtId="0" fontId="57" fillId="0" borderId="0" xfId="114" applyFont="1" applyFill="1" applyAlignment="1" applyProtection="1">
      <alignment vertical="center"/>
      <protection locked="0"/>
    </xf>
    <xf numFmtId="0" fontId="5" fillId="40" borderId="3" xfId="114" applyFont="1" applyFill="1" applyBorder="1" applyAlignment="1" applyProtection="1">
      <alignment vertical="center"/>
      <protection locked="0"/>
    </xf>
    <xf numFmtId="0" fontId="39" fillId="40" borderId="3" xfId="114" applyFont="1" applyFill="1" applyBorder="1" applyAlignment="1" applyProtection="1">
      <alignment vertical="center"/>
      <protection locked="0"/>
    </xf>
    <xf numFmtId="0" fontId="5" fillId="0" borderId="3" xfId="114" applyFont="1" applyFill="1" applyBorder="1" applyAlignment="1" applyProtection="1">
      <alignment horizontal="center" vertical="center"/>
      <protection locked="0"/>
    </xf>
    <xf numFmtId="0" fontId="57" fillId="0" borderId="109" xfId="68" applyFont="1" applyFill="1" applyBorder="1" applyAlignment="1" applyProtection="1">
      <alignment vertical="center"/>
      <protection locked="0"/>
    </xf>
    <xf numFmtId="43" fontId="39" fillId="19" borderId="109" xfId="91" applyFont="1" applyFill="1" applyBorder="1" applyAlignment="1" applyProtection="1">
      <alignment vertical="center" shrinkToFit="1"/>
      <protection hidden="1"/>
    </xf>
    <xf numFmtId="43" fontId="39" fillId="0" borderId="109" xfId="91" applyFont="1" applyFill="1" applyBorder="1" applyAlignment="1" applyProtection="1">
      <alignment vertical="center" shrinkToFit="1"/>
      <protection locked="0"/>
    </xf>
    <xf numFmtId="0" fontId="39" fillId="0" borderId="109" xfId="0" applyFont="1" applyFill="1" applyBorder="1" applyAlignment="1" applyProtection="1">
      <alignment horizontal="left" vertical="center"/>
      <protection locked="0"/>
    </xf>
    <xf numFmtId="178" fontId="39" fillId="0" borderId="109" xfId="91" applyNumberFormat="1" applyFont="1" applyFill="1" applyBorder="1" applyAlignment="1" applyProtection="1">
      <alignment horizontal="right" wrapText="1"/>
      <protection locked="0"/>
    </xf>
    <xf numFmtId="0" fontId="57" fillId="0" borderId="109" xfId="0" applyFont="1" applyFill="1" applyBorder="1" applyAlignment="1" applyProtection="1">
      <alignment horizontal="left" vertical="center"/>
      <protection locked="0"/>
    </xf>
    <xf numFmtId="43" fontId="39" fillId="0" borderId="109" xfId="91" applyFont="1" applyFill="1" applyBorder="1" applyAlignment="1" applyProtection="1">
      <alignment horizontal="left" wrapText="1"/>
      <protection locked="0"/>
    </xf>
    <xf numFmtId="178" fontId="39" fillId="0" borderId="109" xfId="0" applyNumberFormat="1" applyFont="1" applyFill="1" applyBorder="1" applyAlignment="1" applyProtection="1">
      <protection locked="0"/>
    </xf>
    <xf numFmtId="43" fontId="57" fillId="0" borderId="109" xfId="91" applyFont="1" applyFill="1" applyBorder="1" applyAlignment="1" applyProtection="1">
      <alignment horizontal="left" wrapText="1"/>
      <protection locked="0"/>
    </xf>
    <xf numFmtId="0" fontId="163" fillId="0" borderId="0" xfId="61" applyFont="1" applyFill="1" applyAlignment="1" applyProtection="1">
      <alignment horizontal="center" vertical="center"/>
      <protection locked="0"/>
    </xf>
    <xf numFmtId="0" fontId="39" fillId="0" borderId="3" xfId="0" applyFont="1" applyFill="1" applyBorder="1" applyAlignment="1" applyProtection="1">
      <alignment horizontal="center" vertical="center"/>
      <protection locked="0"/>
    </xf>
    <xf numFmtId="43" fontId="39" fillId="0" borderId="3" xfId="91" applyFont="1" applyFill="1" applyBorder="1" applyAlignment="1" applyProtection="1">
      <alignment horizontal="center" vertical="center"/>
      <protection locked="0"/>
    </xf>
    <xf numFmtId="43" fontId="39" fillId="0" borderId="0" xfId="91" applyFont="1" applyFill="1" applyAlignment="1" applyProtection="1">
      <alignment vertical="center"/>
      <protection locked="0"/>
    </xf>
    <xf numFmtId="0" fontId="164" fillId="0" borderId="0" xfId="61" applyFont="1" applyFill="1" applyAlignment="1" applyProtection="1">
      <alignment horizontal="center" vertical="center"/>
      <protection locked="0"/>
    </xf>
    <xf numFmtId="43" fontId="63" fillId="0" borderId="0" xfId="91" applyFont="1" applyFill="1" applyAlignment="1" applyProtection="1">
      <alignment horizontal="right" vertical="center"/>
      <protection locked="0"/>
    </xf>
    <xf numFmtId="43" fontId="13" fillId="42" borderId="0" xfId="91" applyFont="1" applyFill="1" applyBorder="1" applyAlignment="1" applyProtection="1">
      <alignment vertical="center" shrinkToFit="1"/>
      <protection locked="0"/>
    </xf>
    <xf numFmtId="43" fontId="42" fillId="42" borderId="0" xfId="91" applyFont="1" applyFill="1" applyAlignment="1" applyProtection="1">
      <alignment horizontal="center" vertical="center"/>
      <protection locked="0"/>
    </xf>
    <xf numFmtId="43" fontId="67" fillId="42" borderId="0" xfId="91" applyFont="1" applyFill="1" applyAlignment="1" applyProtection="1">
      <alignment horizontal="center" vertical="center"/>
      <protection locked="0"/>
    </xf>
    <xf numFmtId="0" fontId="45" fillId="42" borderId="0" xfId="61" applyFont="1" applyFill="1" applyAlignment="1" applyProtection="1">
      <alignment vertical="center"/>
      <protection locked="0"/>
    </xf>
    <xf numFmtId="0" fontId="63" fillId="0" borderId="0" xfId="61" applyFont="1" applyFill="1" applyAlignment="1" applyProtection="1">
      <alignment vertical="center"/>
      <protection locked="0"/>
    </xf>
    <xf numFmtId="0" fontId="67" fillId="0" borderId="0" xfId="61" applyFont="1" applyFill="1" applyAlignment="1" applyProtection="1">
      <alignment horizontal="center" vertical="center"/>
      <protection locked="0"/>
    </xf>
    <xf numFmtId="0" fontId="42" fillId="0" borderId="0" xfId="61" applyFont="1" applyFill="1" applyAlignment="1" applyProtection="1">
      <alignment horizontal="center" vertical="center"/>
      <protection locked="0"/>
    </xf>
    <xf numFmtId="43" fontId="5" fillId="0" borderId="0" xfId="91" applyFont="1" applyFill="1" applyAlignment="1" applyProtection="1">
      <alignment vertical="center"/>
      <protection locked="0"/>
    </xf>
    <xf numFmtId="43" fontId="63" fillId="42" borderId="0" xfId="91" applyFont="1" applyFill="1" applyAlignment="1" applyProtection="1">
      <alignment vertical="center"/>
      <protection locked="0"/>
    </xf>
    <xf numFmtId="0" fontId="70" fillId="0" borderId="0" xfId="6" applyFont="1" applyFill="1" applyAlignment="1" applyProtection="1">
      <alignment vertical="center"/>
      <protection locked="0"/>
    </xf>
    <xf numFmtId="0" fontId="67" fillId="0" borderId="0" xfId="6" applyFont="1" applyFill="1" applyAlignment="1" applyProtection="1">
      <alignment horizontal="center" vertical="center"/>
      <protection locked="0"/>
    </xf>
    <xf numFmtId="0" fontId="165" fillId="0" borderId="0" xfId="6" applyFont="1" applyFill="1" applyAlignment="1" applyProtection="1">
      <alignment horizontal="center" vertical="center"/>
      <protection locked="0"/>
    </xf>
    <xf numFmtId="0" fontId="39" fillId="0" borderId="3" xfId="0" applyFont="1" applyFill="1" applyBorder="1" applyAlignment="1" applyProtection="1">
      <alignment horizontal="center" vertical="center"/>
      <protection locked="0"/>
    </xf>
    <xf numFmtId="0" fontId="57" fillId="31" borderId="8" xfId="0" applyFont="1" applyFill="1" applyBorder="1" applyAlignment="1" applyProtection="1">
      <alignment horizontal="center" vertical="center"/>
      <protection locked="0"/>
    </xf>
    <xf numFmtId="43" fontId="148" fillId="0" borderId="0" xfId="91" applyFont="1" applyAlignment="1">
      <alignment vertical="center"/>
    </xf>
    <xf numFmtId="0" fontId="62" fillId="0" borderId="0" xfId="0" applyFont="1" applyFill="1" applyAlignment="1" applyProtection="1">
      <alignment horizontal="center" vertical="center"/>
      <protection locked="0"/>
    </xf>
    <xf numFmtId="43" fontId="12" fillId="0" borderId="0" xfId="0" applyNumberFormat="1" applyFont="1" applyFill="1" applyAlignment="1" applyProtection="1">
      <alignment vertical="center"/>
      <protection locked="0"/>
    </xf>
    <xf numFmtId="0" fontId="13" fillId="0" borderId="0" xfId="0" applyFont="1" applyFill="1" applyAlignment="1" applyProtection="1">
      <alignment vertical="center"/>
      <protection locked="0"/>
    </xf>
    <xf numFmtId="0" fontId="57" fillId="0" borderId="3" xfId="0" applyFont="1" applyFill="1" applyBorder="1" applyAlignment="1" applyProtection="1">
      <alignment horizontal="left" vertical="center" indent="1"/>
      <protection locked="0"/>
    </xf>
    <xf numFmtId="0" fontId="57" fillId="30" borderId="3" xfId="0" applyFont="1" applyFill="1" applyBorder="1" applyAlignment="1" applyProtection="1">
      <alignment horizontal="left" vertical="center" indent="1"/>
      <protection locked="0"/>
    </xf>
    <xf numFmtId="43" fontId="39" fillId="0" borderId="109" xfId="91" applyFont="1" applyBorder="1" applyAlignment="1">
      <alignment horizontal="right" vertical="center"/>
    </xf>
    <xf numFmtId="0" fontId="57" fillId="0" borderId="3" xfId="0" applyFont="1" applyFill="1" applyBorder="1" applyAlignment="1" applyProtection="1">
      <alignment horizontal="justify" vertical="top" wrapText="1"/>
      <protection locked="0"/>
    </xf>
    <xf numFmtId="0" fontId="57" fillId="0" borderId="23" xfId="0" applyFont="1" applyFill="1" applyBorder="1" applyAlignment="1" applyProtection="1">
      <alignment vertical="center"/>
      <protection locked="0"/>
    </xf>
    <xf numFmtId="0" fontId="57" fillId="0" borderId="3" xfId="114" applyFont="1" applyFill="1" applyBorder="1" applyAlignment="1" applyProtection="1">
      <alignment vertical="center"/>
      <protection locked="0"/>
    </xf>
    <xf numFmtId="0" fontId="39" fillId="31" borderId="3" xfId="0" applyFont="1" applyFill="1" applyBorder="1" applyAlignment="1" applyProtection="1">
      <alignment horizontal="center" vertical="center"/>
      <protection locked="0"/>
    </xf>
    <xf numFmtId="0" fontId="62" fillId="0" borderId="0" xfId="61" applyFont="1" applyFill="1" applyAlignment="1" applyProtection="1">
      <alignment vertical="center"/>
      <protection locked="0"/>
    </xf>
    <xf numFmtId="178" fontId="39" fillId="42" borderId="0" xfId="61" applyNumberFormat="1" applyFont="1" applyFill="1" applyAlignment="1" applyProtection="1">
      <alignment vertical="center"/>
      <protection locked="0"/>
    </xf>
    <xf numFmtId="0" fontId="69" fillId="19" borderId="0" xfId="61" applyFont="1" applyFill="1" applyBorder="1" applyAlignment="1" applyProtection="1">
      <alignment horizontal="left" vertical="center" wrapText="1"/>
      <protection hidden="1"/>
    </xf>
    <xf numFmtId="10" fontId="69" fillId="19" borderId="0" xfId="44" applyNumberFormat="1" applyFont="1" applyFill="1" applyBorder="1" applyAlignment="1" applyProtection="1">
      <alignment horizontal="left" vertical="center" wrapText="1"/>
      <protection hidden="1"/>
    </xf>
    <xf numFmtId="43" fontId="39" fillId="0" borderId="0" xfId="91" applyFont="1" applyFill="1" applyAlignment="1" applyProtection="1">
      <alignment vertical="center"/>
      <protection locked="0"/>
    </xf>
    <xf numFmtId="0" fontId="39" fillId="0" borderId="3" xfId="0" applyFont="1" applyFill="1" applyBorder="1" applyAlignment="1" applyProtection="1">
      <alignment vertical="center"/>
      <protection locked="0"/>
    </xf>
    <xf numFmtId="0" fontId="39" fillId="0" borderId="3" xfId="0" applyFont="1" applyFill="1" applyBorder="1" applyAlignment="1" applyProtection="1">
      <alignment horizontal="center" vertical="center"/>
      <protection locked="0"/>
    </xf>
    <xf numFmtId="0" fontId="68" fillId="0" borderId="0" xfId="0" applyFont="1" applyFill="1" applyAlignment="1" applyProtection="1">
      <alignment vertical="center"/>
      <protection locked="0"/>
    </xf>
    <xf numFmtId="0" fontId="62" fillId="0" borderId="109" xfId="0" applyFont="1" applyFill="1" applyBorder="1" applyAlignment="1" applyProtection="1">
      <alignment horizontal="center" vertical="center"/>
      <protection locked="0"/>
    </xf>
    <xf numFmtId="43" fontId="63" fillId="0" borderId="109" xfId="91" applyFont="1" applyFill="1" applyBorder="1" applyAlignment="1" applyProtection="1">
      <alignment horizontal="right" vertical="center"/>
      <protection locked="0"/>
    </xf>
    <xf numFmtId="0" fontId="12" fillId="0" borderId="109" xfId="0" applyFont="1" applyFill="1" applyBorder="1" applyAlignment="1" applyProtection="1">
      <alignment vertical="center"/>
      <protection locked="0"/>
    </xf>
    <xf numFmtId="43" fontId="67" fillId="0" borderId="109" xfId="91" applyFont="1" applyFill="1" applyBorder="1" applyAlignment="1" applyProtection="1">
      <alignment horizontal="right" vertical="center"/>
      <protection locked="0"/>
    </xf>
    <xf numFmtId="178" fontId="57" fillId="0" borderId="0" xfId="0" applyNumberFormat="1" applyFont="1" applyFill="1" applyAlignment="1" applyProtection="1">
      <alignment horizontal="center" vertical="center"/>
      <protection locked="0"/>
    </xf>
    <xf numFmtId="43" fontId="39" fillId="0" borderId="0" xfId="0" applyNumberFormat="1" applyFont="1" applyFill="1" applyAlignment="1" applyProtection="1">
      <alignment vertical="center"/>
      <protection locked="0"/>
    </xf>
    <xf numFmtId="43" fontId="56" fillId="0" borderId="0" xfId="0" applyNumberFormat="1" applyFont="1" applyFill="1" applyAlignment="1" applyProtection="1">
      <alignment vertical="center"/>
      <protection locked="0"/>
    </xf>
    <xf numFmtId="178" fontId="62" fillId="0" borderId="109" xfId="0" applyNumberFormat="1" applyFont="1" applyFill="1" applyBorder="1" applyAlignment="1" applyProtection="1">
      <alignment horizontal="center" vertical="center"/>
      <protection locked="0"/>
    </xf>
    <xf numFmtId="43" fontId="39" fillId="0" borderId="109" xfId="91" applyFont="1" applyFill="1" applyBorder="1" applyAlignment="1" applyProtection="1">
      <alignment vertical="center"/>
      <protection locked="0"/>
    </xf>
    <xf numFmtId="43" fontId="56" fillId="0" borderId="109" xfId="0" applyNumberFormat="1" applyFont="1" applyFill="1" applyBorder="1" applyAlignment="1" applyProtection="1">
      <alignment vertical="center"/>
      <protection locked="0"/>
    </xf>
    <xf numFmtId="0" fontId="57" fillId="30" borderId="0" xfId="0" applyFont="1" applyFill="1" applyAlignment="1" applyProtection="1">
      <alignment vertical="center"/>
      <protection locked="0"/>
    </xf>
    <xf numFmtId="43" fontId="39" fillId="0" borderId="3" xfId="91" applyFont="1" applyBorder="1" applyAlignment="1">
      <alignment horizontal="right" vertical="center" wrapText="1"/>
    </xf>
    <xf numFmtId="0" fontId="56" fillId="0" borderId="109" xfId="0" applyFont="1" applyFill="1" applyBorder="1" applyAlignment="1" applyProtection="1">
      <alignment horizontal="center" vertical="center"/>
      <protection locked="0"/>
    </xf>
    <xf numFmtId="0" fontId="166" fillId="0" borderId="0" xfId="0" applyFont="1" applyAlignment="1"/>
    <xf numFmtId="0" fontId="166" fillId="0" borderId="0" xfId="0" applyFont="1" applyAlignment="1">
      <alignment horizontal="center"/>
    </xf>
    <xf numFmtId="43" fontId="148" fillId="0" borderId="0" xfId="91" applyFont="1" applyAlignment="1"/>
    <xf numFmtId="0" fontId="166" fillId="0" borderId="0" xfId="0" applyFont="1" applyAlignment="1">
      <alignment horizontal="center" vertical="center"/>
    </xf>
    <xf numFmtId="0" fontId="42" fillId="0" borderId="0" xfId="0" applyFont="1" applyFill="1" applyAlignment="1" applyProtection="1">
      <alignment horizontal="center" vertical="center"/>
      <protection locked="0"/>
    </xf>
    <xf numFmtId="0" fontId="67" fillId="0" borderId="0" xfId="0" applyFont="1" applyFill="1" applyAlignment="1" applyProtection="1">
      <alignment horizontal="center" vertical="center"/>
      <protection locked="0"/>
    </xf>
    <xf numFmtId="0" fontId="56" fillId="0" borderId="0" xfId="0" applyFont="1" applyFill="1" applyAlignment="1" applyProtection="1">
      <alignment horizontal="center" vertical="center"/>
      <protection locked="0"/>
    </xf>
    <xf numFmtId="0" fontId="56" fillId="0" borderId="109" xfId="0" applyFont="1" applyFill="1" applyBorder="1" applyAlignment="1" applyProtection="1">
      <alignment vertical="center"/>
      <protection locked="0"/>
    </xf>
    <xf numFmtId="43" fontId="56" fillId="0" borderId="109" xfId="91" applyFont="1" applyFill="1" applyBorder="1" applyAlignment="1" applyProtection="1">
      <alignment vertical="center"/>
      <protection locked="0"/>
    </xf>
    <xf numFmtId="43" fontId="39" fillId="0" borderId="0" xfId="91" applyFont="1" applyFill="1" applyAlignment="1" applyProtection="1">
      <alignment vertical="center"/>
      <protection locked="0"/>
    </xf>
    <xf numFmtId="43" fontId="39" fillId="42" borderId="3" xfId="91" applyFont="1" applyFill="1" applyBorder="1" applyAlignment="1" applyProtection="1">
      <alignment vertical="center"/>
      <protection locked="0"/>
    </xf>
    <xf numFmtId="178" fontId="52" fillId="0" borderId="0" xfId="0" applyNumberFormat="1" applyFont="1" applyFill="1" applyAlignment="1" applyProtection="1">
      <alignment vertical="center"/>
      <protection locked="0"/>
    </xf>
    <xf numFmtId="178" fontId="50" fillId="0" borderId="0" xfId="0" applyNumberFormat="1" applyFont="1" applyFill="1" applyAlignment="1" applyProtection="1">
      <alignment vertical="center"/>
      <protection locked="0"/>
    </xf>
    <xf numFmtId="43" fontId="50" fillId="0" borderId="0" xfId="0" applyNumberFormat="1" applyFont="1" applyFill="1" applyAlignment="1" applyProtection="1">
      <alignment vertical="center"/>
      <protection locked="0"/>
    </xf>
    <xf numFmtId="43" fontId="50" fillId="42" borderId="0" xfId="0" applyNumberFormat="1" applyFont="1" applyFill="1" applyAlignment="1" applyProtection="1">
      <alignment vertical="center"/>
      <protection locked="0"/>
    </xf>
    <xf numFmtId="0" fontId="39" fillId="0" borderId="3" xfId="0" applyFont="1" applyFill="1" applyBorder="1" applyAlignment="1" applyProtection="1">
      <alignment horizontal="center" vertical="center"/>
      <protection locked="0"/>
    </xf>
    <xf numFmtId="43" fontId="39" fillId="19" borderId="3" xfId="91" applyFont="1" applyFill="1" applyBorder="1" applyAlignment="1" applyProtection="1">
      <alignment horizontal="right" vertical="center" wrapText="1" shrinkToFit="1"/>
      <protection hidden="1"/>
    </xf>
    <xf numFmtId="10" fontId="39" fillId="0" borderId="3" xfId="44" applyNumberFormat="1" applyFont="1" applyFill="1" applyBorder="1" applyAlignment="1" applyProtection="1">
      <alignment vertical="center" wrapText="1"/>
      <protection locked="0"/>
    </xf>
    <xf numFmtId="10" fontId="39" fillId="19" borderId="3" xfId="44" applyNumberFormat="1" applyFont="1" applyFill="1" applyBorder="1" applyAlignment="1" applyProtection="1">
      <alignment vertical="center" wrapText="1" shrinkToFit="1"/>
      <protection hidden="1"/>
    </xf>
    <xf numFmtId="178" fontId="50" fillId="0" borderId="0" xfId="0" applyNumberFormat="1" applyFont="1" applyFill="1" applyAlignment="1" applyProtection="1">
      <alignment horizontal="right" vertical="center"/>
      <protection locked="0"/>
    </xf>
    <xf numFmtId="0" fontId="166" fillId="30" borderId="0" xfId="0" applyFont="1" applyFill="1" applyAlignment="1"/>
    <xf numFmtId="0" fontId="166" fillId="30" borderId="0" xfId="0" applyFont="1" applyFill="1" applyAlignment="1">
      <alignment horizontal="center"/>
    </xf>
    <xf numFmtId="43" fontId="148" fillId="30" borderId="0" xfId="91" applyFont="1" applyFill="1" applyAlignment="1"/>
    <xf numFmtId="43" fontId="39" fillId="30" borderId="0" xfId="91" applyFont="1" applyFill="1" applyAlignment="1" applyProtection="1">
      <alignment vertical="center"/>
      <protection locked="0"/>
    </xf>
    <xf numFmtId="0" fontId="39" fillId="0" borderId="3" xfId="0" applyFont="1" applyFill="1" applyBorder="1" applyAlignment="1" applyProtection="1">
      <alignment horizontal="center" vertical="center"/>
      <protection locked="0"/>
    </xf>
    <xf numFmtId="0" fontId="3" fillId="30" borderId="0" xfId="0" applyFont="1" applyFill="1" applyAlignment="1" applyProtection="1">
      <alignment vertical="center"/>
      <protection locked="0"/>
    </xf>
    <xf numFmtId="9" fontId="39" fillId="0" borderId="3" xfId="0" applyNumberFormat="1" applyFont="1" applyFill="1" applyBorder="1" applyAlignment="1" applyProtection="1">
      <alignment vertical="center"/>
      <protection locked="0"/>
    </xf>
    <xf numFmtId="0" fontId="39" fillId="0" borderId="3" xfId="0" applyFont="1" applyFill="1" applyBorder="1" applyAlignment="1" applyProtection="1">
      <alignment horizontal="center" vertical="center"/>
      <protection locked="0"/>
    </xf>
    <xf numFmtId="43" fontId="39" fillId="0" borderId="0" xfId="91" applyFont="1" applyFill="1" applyAlignment="1" applyProtection="1">
      <alignment vertical="center"/>
      <protection locked="0"/>
    </xf>
    <xf numFmtId="0" fontId="39" fillId="30" borderId="109" xfId="0" applyFont="1" applyFill="1" applyBorder="1" applyAlignment="1" applyProtection="1">
      <alignment vertical="center"/>
      <protection locked="0"/>
    </xf>
    <xf numFmtId="43" fontId="39" fillId="30" borderId="109" xfId="91" applyFont="1" applyFill="1" applyBorder="1" applyAlignment="1" applyProtection="1">
      <alignment vertical="center"/>
      <protection locked="0"/>
    </xf>
    <xf numFmtId="0" fontId="39" fillId="30" borderId="109" xfId="0" applyFont="1" applyFill="1" applyBorder="1" applyAlignment="1" applyProtection="1">
      <alignment horizontal="center" vertical="center"/>
      <protection locked="0"/>
    </xf>
    <xf numFmtId="9" fontId="39" fillId="0" borderId="0" xfId="0" applyNumberFormat="1" applyFont="1" applyFill="1" applyAlignment="1" applyProtection="1">
      <alignment horizontal="left" vertical="center"/>
      <protection locked="0"/>
    </xf>
    <xf numFmtId="43" fontId="39" fillId="0" borderId="0" xfId="91" applyFont="1" applyFill="1" applyAlignment="1" applyProtection="1">
      <alignment horizontal="left" vertical="center"/>
      <protection locked="0"/>
    </xf>
    <xf numFmtId="0" fontId="62" fillId="0" borderId="0" xfId="0" applyFont="1" applyFill="1" applyAlignment="1" applyProtection="1">
      <alignment vertical="center"/>
      <protection locked="0"/>
    </xf>
    <xf numFmtId="43" fontId="39" fillId="0" borderId="0" xfId="114" applyNumberFormat="1" applyFont="1" applyFill="1" applyAlignment="1" applyProtection="1">
      <alignment vertical="center"/>
      <protection locked="0"/>
    </xf>
    <xf numFmtId="0" fontId="57" fillId="0" borderId="0" xfId="114" applyFont="1" applyFill="1" applyAlignment="1" applyProtection="1">
      <alignment horizontal="center" vertical="center"/>
      <protection locked="0"/>
    </xf>
    <xf numFmtId="0" fontId="57" fillId="0" borderId="3" xfId="0" applyFont="1" applyFill="1" applyBorder="1" applyAlignment="1" applyProtection="1">
      <alignment horizontal="justify" vertical="center"/>
      <protection locked="0"/>
    </xf>
    <xf numFmtId="43" fontId="39" fillId="0" borderId="0" xfId="91" applyFont="1" applyFill="1" applyAlignment="1" applyProtection="1">
      <alignment vertical="center"/>
      <protection locked="0"/>
    </xf>
    <xf numFmtId="0" fontId="167" fillId="0" borderId="109" xfId="0" applyFont="1" applyBorder="1" applyAlignment="1">
      <alignment horizontal="center" vertical="center"/>
    </xf>
    <xf numFmtId="43" fontId="167" fillId="0" borderId="109" xfId="91" applyFont="1" applyBorder="1" applyAlignment="1">
      <alignment horizontal="center" vertical="center"/>
    </xf>
    <xf numFmtId="0" fontId="0" fillId="0" borderId="109" xfId="0" applyBorder="1" applyAlignment="1"/>
    <xf numFmtId="43" fontId="168" fillId="0" borderId="109" xfId="91" applyFont="1" applyBorder="1" applyAlignment="1"/>
    <xf numFmtId="43" fontId="168" fillId="0" borderId="109" xfId="0" applyNumberFormat="1" applyFont="1" applyBorder="1" applyAlignment="1"/>
    <xf numFmtId="43" fontId="52" fillId="0" borderId="0" xfId="91" applyFont="1" applyFill="1" applyAlignment="1" applyProtection="1">
      <alignment vertical="center"/>
      <protection locked="0"/>
    </xf>
    <xf numFmtId="0" fontId="39" fillId="0" borderId="3" xfId="0" applyFont="1" applyFill="1" applyBorder="1" applyAlignment="1" applyProtection="1">
      <alignment vertical="center"/>
      <protection locked="0"/>
    </xf>
    <xf numFmtId="0" fontId="39" fillId="0" borderId="3" xfId="0" applyFont="1" applyFill="1" applyBorder="1" applyAlignment="1" applyProtection="1">
      <alignment horizontal="center" vertical="center"/>
      <protection locked="0"/>
    </xf>
    <xf numFmtId="0" fontId="152" fillId="0" borderId="3" xfId="0" applyFont="1" applyFill="1" applyBorder="1" applyAlignment="1" applyProtection="1">
      <alignment vertical="center"/>
      <protection locked="0"/>
    </xf>
    <xf numFmtId="43" fontId="39" fillId="0" borderId="3" xfId="91" applyFont="1" applyBorder="1" applyAlignment="1">
      <alignment horizontal="center" vertical="center" wrapText="1"/>
    </xf>
    <xf numFmtId="43" fontId="39" fillId="19" borderId="3" xfId="91" applyFont="1" applyFill="1" applyBorder="1" applyAlignment="1" applyProtection="1">
      <alignment vertical="center"/>
      <protection hidden="1"/>
    </xf>
    <xf numFmtId="0" fontId="39" fillId="0" borderId="3" xfId="0" applyFont="1" applyFill="1" applyBorder="1" applyAlignment="1" applyProtection="1">
      <alignment horizontal="center" vertical="center"/>
      <protection locked="0"/>
    </xf>
    <xf numFmtId="43" fontId="39" fillId="0" borderId="0" xfId="91" applyFont="1" applyFill="1" applyAlignment="1" applyProtection="1">
      <alignment vertical="center"/>
      <protection locked="0"/>
    </xf>
    <xf numFmtId="43" fontId="39" fillId="0" borderId="0" xfId="0" applyNumberFormat="1" applyFont="1" applyFill="1" applyAlignment="1" applyProtection="1">
      <alignment horizontal="left" vertical="center"/>
      <protection locked="0"/>
    </xf>
    <xf numFmtId="0" fontId="59" fillId="0" borderId="0" xfId="0" applyFont="1" applyFill="1" applyBorder="1" applyAlignment="1" applyProtection="1">
      <alignment horizontal="center" vertical="center"/>
      <protection hidden="1"/>
    </xf>
    <xf numFmtId="177" fontId="56" fillId="0" borderId="26" xfId="129" applyFont="1" applyFill="1" applyBorder="1" applyAlignment="1" applyProtection="1">
      <alignment horizontal="center" vertical="center" wrapText="1"/>
      <protection locked="0"/>
    </xf>
    <xf numFmtId="177" fontId="56" fillId="0" borderId="27" xfId="129" applyFont="1" applyFill="1" applyBorder="1" applyAlignment="1" applyProtection="1">
      <alignment horizontal="center" vertical="center" wrapText="1"/>
      <protection locked="0"/>
    </xf>
    <xf numFmtId="177" fontId="56" fillId="0" borderId="3" xfId="129" applyFont="1" applyFill="1" applyBorder="1" applyAlignment="1" applyProtection="1">
      <alignment horizontal="center" vertical="center" wrapText="1"/>
      <protection locked="0"/>
    </xf>
    <xf numFmtId="177" fontId="49" fillId="0" borderId="3" xfId="129" applyFont="1" applyFill="1" applyBorder="1" applyAlignment="1" applyProtection="1">
      <alignment horizontal="center" vertical="center" wrapText="1"/>
      <protection locked="0"/>
    </xf>
    <xf numFmtId="177" fontId="39" fillId="0" borderId="3" xfId="129" applyFont="1" applyFill="1" applyBorder="1" applyAlignment="1" applyProtection="1">
      <alignment vertical="center"/>
      <protection locked="0"/>
    </xf>
    <xf numFmtId="177" fontId="39" fillId="0" borderId="3" xfId="129" applyFont="1" applyFill="1" applyBorder="1" applyAlignment="1" applyProtection="1">
      <alignment horizontal="center" vertical="center"/>
      <protection locked="0"/>
    </xf>
    <xf numFmtId="177" fontId="39" fillId="0" borderId="3" xfId="129" applyFont="1" applyFill="1" applyBorder="1" applyAlignment="1" applyProtection="1">
      <alignment horizontal="center" vertical="center" wrapText="1"/>
      <protection locked="0"/>
    </xf>
    <xf numFmtId="177" fontId="39" fillId="0" borderId="75" xfId="129" applyFont="1" applyFill="1" applyBorder="1" applyAlignment="1" applyProtection="1">
      <alignment horizontal="center" vertical="center"/>
      <protection locked="0"/>
    </xf>
    <xf numFmtId="177" fontId="39" fillId="0" borderId="13" xfId="129" applyFont="1" applyFill="1" applyBorder="1" applyAlignment="1" applyProtection="1">
      <alignment horizontal="center" vertical="center"/>
      <protection locked="0"/>
    </xf>
    <xf numFmtId="177" fontId="39" fillId="0" borderId="23" xfId="129" applyFont="1" applyFill="1" applyBorder="1" applyAlignment="1" applyProtection="1">
      <alignment horizontal="center" vertical="center"/>
      <protection locked="0"/>
    </xf>
    <xf numFmtId="177" fontId="39" fillId="0" borderId="3" xfId="129" applyFont="1" applyFill="1" applyBorder="1" applyAlignment="1" applyProtection="1">
      <alignment horizontal="center"/>
      <protection locked="0"/>
    </xf>
    <xf numFmtId="177" fontId="57" fillId="0" borderId="3" xfId="129" applyFont="1" applyFill="1" applyBorder="1" applyAlignment="1" applyProtection="1">
      <alignment horizontal="center" vertical="center"/>
      <protection locked="0"/>
    </xf>
    <xf numFmtId="177" fontId="57" fillId="0" borderId="3" xfId="129" applyFont="1" applyFill="1" applyBorder="1" applyAlignment="1" applyProtection="1">
      <alignment horizontal="center" vertical="center" wrapText="1"/>
      <protection locked="0"/>
    </xf>
    <xf numFmtId="177" fontId="73" fillId="0" borderId="3" xfId="129" applyFont="1" applyFill="1" applyBorder="1" applyAlignment="1">
      <alignment horizontal="center" vertical="center"/>
    </xf>
    <xf numFmtId="177" fontId="39" fillId="0" borderId="75" xfId="129" applyFont="1" applyFill="1" applyBorder="1" applyAlignment="1" applyProtection="1">
      <alignment horizontal="center" vertical="center" wrapText="1"/>
      <protection locked="0"/>
    </xf>
    <xf numFmtId="177" fontId="39" fillId="0" borderId="23" xfId="129" applyFont="1" applyFill="1" applyBorder="1" applyAlignment="1" applyProtection="1">
      <alignment horizontal="center" vertical="center" wrapText="1"/>
      <protection locked="0"/>
    </xf>
    <xf numFmtId="177" fontId="57" fillId="0" borderId="25" xfId="129" applyFont="1" applyFill="1" applyBorder="1" applyAlignment="1" applyProtection="1">
      <alignment horizontal="center" vertical="center" wrapText="1"/>
      <protection locked="0"/>
    </xf>
    <xf numFmtId="177" fontId="39" fillId="0" borderId="54" xfId="129" applyFont="1" applyFill="1" applyBorder="1" applyAlignment="1" applyProtection="1">
      <alignment horizontal="center" vertical="center" wrapText="1"/>
      <protection locked="0"/>
    </xf>
    <xf numFmtId="177" fontId="39" fillId="0" borderId="41" xfId="129" applyFont="1" applyBorder="1" applyAlignment="1">
      <alignment horizontal="center" vertical="center"/>
    </xf>
    <xf numFmtId="177" fontId="39" fillId="0" borderId="3" xfId="129" applyFont="1" applyFill="1" applyBorder="1" applyAlignment="1" applyProtection="1">
      <alignment horizontal="center" vertical="center" wrapText="1" shrinkToFit="1"/>
      <protection locked="0"/>
    </xf>
    <xf numFmtId="177" fontId="57" fillId="0" borderId="3" xfId="129" applyFont="1" applyFill="1" applyBorder="1" applyAlignment="1" applyProtection="1">
      <alignment horizontal="center" vertical="center" wrapText="1" shrinkToFit="1"/>
      <protection locked="0"/>
    </xf>
    <xf numFmtId="0" fontId="39" fillId="0" borderId="0" xfId="61" applyFont="1" applyFill="1" applyAlignment="1" applyProtection="1">
      <alignment horizontal="center" vertical="center" wrapText="1"/>
      <protection locked="0"/>
    </xf>
    <xf numFmtId="0" fontId="56" fillId="0" borderId="0" xfId="61" applyFont="1" applyFill="1" applyBorder="1" applyAlignment="1" applyProtection="1">
      <alignment horizontal="center" vertical="center"/>
      <protection locked="0"/>
    </xf>
    <xf numFmtId="0" fontId="55" fillId="19" borderId="38" xfId="61" applyFont="1" applyFill="1" applyBorder="1" applyAlignment="1" applyProtection="1">
      <alignment horizontal="center" vertical="center"/>
      <protection hidden="1"/>
    </xf>
    <xf numFmtId="0" fontId="55" fillId="19" borderId="13" xfId="61" applyFont="1" applyFill="1" applyBorder="1" applyAlignment="1" applyProtection="1">
      <alignment horizontal="center" vertical="center"/>
      <protection hidden="1"/>
    </xf>
    <xf numFmtId="0" fontId="55" fillId="19" borderId="22" xfId="61" applyFont="1" applyFill="1" applyBorder="1" applyAlignment="1" applyProtection="1">
      <alignment horizontal="center" vertical="center"/>
      <protection hidden="1"/>
    </xf>
    <xf numFmtId="31" fontId="55" fillId="19" borderId="0" xfId="61" applyNumberFormat="1" applyFont="1" applyFill="1" applyBorder="1" applyAlignment="1" applyProtection="1">
      <alignment horizontal="center" vertical="center"/>
      <protection hidden="1"/>
    </xf>
    <xf numFmtId="0" fontId="39" fillId="0" borderId="14" xfId="61" applyFont="1" applyFill="1" applyBorder="1" applyAlignment="1" applyProtection="1">
      <alignment horizontal="left" vertical="center"/>
      <protection locked="0"/>
    </xf>
    <xf numFmtId="0" fontId="56" fillId="0" borderId="14" xfId="61" applyFont="1" applyFill="1" applyBorder="1" applyAlignment="1" applyProtection="1">
      <alignment horizontal="center" vertical="center"/>
      <protection locked="0"/>
    </xf>
    <xf numFmtId="178" fontId="69" fillId="19" borderId="25" xfId="92" applyNumberFormat="1" applyFont="1" applyFill="1" applyBorder="1" applyAlignment="1" applyProtection="1">
      <alignment horizontal="center" vertical="center"/>
      <protection hidden="1"/>
    </xf>
    <xf numFmtId="178" fontId="69" fillId="19" borderId="2" xfId="92" applyNumberFormat="1" applyFont="1" applyFill="1" applyBorder="1" applyAlignment="1" applyProtection="1">
      <alignment horizontal="center" vertical="center"/>
      <protection hidden="1"/>
    </xf>
    <xf numFmtId="178" fontId="69" fillId="19" borderId="54" xfId="92" applyNumberFormat="1" applyFont="1" applyFill="1" applyBorder="1" applyAlignment="1" applyProtection="1">
      <alignment horizontal="center" vertical="center"/>
      <protection hidden="1"/>
    </xf>
    <xf numFmtId="31" fontId="69" fillId="19" borderId="0" xfId="61" applyNumberFormat="1" applyFont="1" applyFill="1" applyBorder="1" applyAlignment="1" applyProtection="1">
      <alignment horizontal="center" vertical="center"/>
      <protection hidden="1"/>
    </xf>
    <xf numFmtId="43" fontId="130" fillId="0" borderId="0" xfId="61" applyNumberFormat="1" applyFont="1" applyFill="1" applyAlignment="1" applyProtection="1">
      <alignment horizontal="left" vertical="center" wrapText="1"/>
      <protection locked="0"/>
    </xf>
    <xf numFmtId="0" fontId="56" fillId="19" borderId="0" xfId="60" applyFont="1" applyFill="1" applyAlignment="1" applyProtection="1">
      <alignment horizontal="center" vertical="center"/>
      <protection hidden="1"/>
    </xf>
    <xf numFmtId="31" fontId="56" fillId="19" borderId="0" xfId="60" applyNumberFormat="1" applyFont="1" applyFill="1" applyBorder="1" applyAlignment="1" applyProtection="1">
      <alignment horizontal="center" vertical="center"/>
      <protection hidden="1"/>
    </xf>
    <xf numFmtId="43" fontId="56" fillId="19" borderId="0" xfId="60" applyNumberFormat="1" applyFont="1" applyFill="1" applyBorder="1" applyAlignment="1" applyProtection="1">
      <alignment horizontal="center" vertical="center"/>
      <protection hidden="1"/>
    </xf>
    <xf numFmtId="0" fontId="46" fillId="0" borderId="0" xfId="0" applyFont="1" applyFill="1" applyBorder="1" applyAlignment="1" applyProtection="1">
      <alignment horizontal="center" vertical="center"/>
      <protection locked="0"/>
    </xf>
    <xf numFmtId="43" fontId="168" fillId="0" borderId="109" xfId="91" applyFont="1" applyBorder="1" applyAlignment="1">
      <alignment horizontal="right" vertical="center"/>
    </xf>
    <xf numFmtId="43" fontId="168" fillId="0" borderId="109" xfId="0" applyNumberFormat="1" applyFont="1" applyBorder="1" applyAlignment="1">
      <alignment horizontal="right" vertical="center"/>
    </xf>
    <xf numFmtId="0" fontId="0" fillId="0" borderId="109" xfId="0" applyBorder="1" applyAlignment="1">
      <alignment horizontal="center" vertical="center"/>
    </xf>
    <xf numFmtId="0" fontId="110" fillId="0" borderId="0" xfId="68" applyFont="1" applyFill="1" applyAlignment="1" applyProtection="1">
      <alignment horizontal="center" vertical="center" wrapText="1" shrinkToFit="1"/>
      <protection locked="0"/>
    </xf>
    <xf numFmtId="0" fontId="55" fillId="0" borderId="0" xfId="61" applyFont="1" applyFill="1" applyBorder="1" applyAlignment="1" applyProtection="1">
      <alignment horizontal="left" vertical="center"/>
      <protection locked="0"/>
    </xf>
    <xf numFmtId="0" fontId="131" fillId="19" borderId="38" xfId="61" applyFont="1" applyFill="1" applyBorder="1" applyAlignment="1" applyProtection="1">
      <alignment horizontal="center" vertical="center"/>
      <protection hidden="1"/>
    </xf>
    <xf numFmtId="0" fontId="131" fillId="19" borderId="13" xfId="61" applyFont="1" applyFill="1" applyBorder="1" applyAlignment="1" applyProtection="1">
      <alignment horizontal="center" vertical="center"/>
      <protection hidden="1"/>
    </xf>
    <xf numFmtId="0" fontId="131" fillId="19" borderId="22" xfId="61" applyFont="1" applyFill="1" applyBorder="1" applyAlignment="1" applyProtection="1">
      <alignment horizontal="center" vertical="center"/>
      <protection hidden="1"/>
    </xf>
    <xf numFmtId="0" fontId="69" fillId="0" borderId="14" xfId="61" applyFont="1" applyFill="1" applyBorder="1" applyAlignment="1" applyProtection="1">
      <alignment horizontal="left" vertical="center"/>
      <protection locked="0"/>
    </xf>
    <xf numFmtId="0" fontId="55" fillId="0" borderId="14" xfId="61" applyFont="1" applyFill="1" applyBorder="1" applyAlignment="1" applyProtection="1">
      <alignment horizontal="center" vertical="center"/>
      <protection locked="0"/>
    </xf>
    <xf numFmtId="0" fontId="55" fillId="19" borderId="0" xfId="61" applyFont="1" applyFill="1" applyAlignment="1" applyProtection="1">
      <alignment horizontal="center" vertical="center"/>
      <protection hidden="1"/>
    </xf>
    <xf numFmtId="0" fontId="56" fillId="0" borderId="0" xfId="61" applyFont="1" applyFill="1" applyBorder="1" applyAlignment="1" applyProtection="1">
      <alignment horizontal="left" vertical="center"/>
      <protection locked="0"/>
    </xf>
    <xf numFmtId="0" fontId="109" fillId="0" borderId="0" xfId="68" applyFont="1" applyFill="1" applyAlignment="1" applyProtection="1">
      <alignment horizontal="center" vertical="center" wrapText="1" shrinkToFit="1"/>
      <protection locked="0"/>
    </xf>
    <xf numFmtId="0" fontId="55" fillId="19" borderId="0" xfId="60" applyFont="1" applyFill="1" applyAlignment="1" applyProtection="1">
      <alignment horizontal="center" vertical="center"/>
      <protection hidden="1"/>
    </xf>
    <xf numFmtId="31" fontId="55" fillId="19" borderId="0" xfId="60" applyNumberFormat="1" applyFont="1" applyFill="1" applyBorder="1" applyAlignment="1" applyProtection="1">
      <alignment horizontal="center" vertical="center"/>
      <protection hidden="1"/>
    </xf>
    <xf numFmtId="43" fontId="55" fillId="19" borderId="0" xfId="60" applyNumberFormat="1" applyFont="1" applyFill="1" applyBorder="1" applyAlignment="1" applyProtection="1">
      <alignment horizontal="center" vertical="center"/>
      <protection hidden="1"/>
    </xf>
    <xf numFmtId="0" fontId="128" fillId="0" borderId="0" xfId="68" applyFont="1" applyFill="1" applyAlignment="1" applyProtection="1">
      <alignment vertical="center"/>
      <protection locked="0"/>
    </xf>
    <xf numFmtId="0" fontId="56" fillId="0" borderId="3" xfId="6" applyFont="1" applyFill="1" applyBorder="1" applyAlignment="1" applyProtection="1">
      <alignment horizontal="center" vertical="center"/>
      <protection locked="0"/>
    </xf>
    <xf numFmtId="0" fontId="56" fillId="0" borderId="3" xfId="6" applyFont="1" applyFill="1" applyBorder="1" applyAlignment="1" applyProtection="1">
      <alignment horizontal="center" vertical="center" wrapText="1"/>
      <protection locked="0"/>
    </xf>
    <xf numFmtId="0" fontId="56" fillId="0" borderId="26" xfId="6" applyFont="1" applyFill="1" applyBorder="1" applyAlignment="1" applyProtection="1">
      <alignment horizontal="center" vertical="center" wrapText="1"/>
      <protection locked="0"/>
    </xf>
    <xf numFmtId="0" fontId="56" fillId="0" borderId="27" xfId="6" applyFont="1" applyFill="1" applyBorder="1" applyAlignment="1" applyProtection="1">
      <alignment horizontal="center" vertical="center" wrapText="1"/>
      <protection locked="0"/>
    </xf>
    <xf numFmtId="0" fontId="56" fillId="0" borderId="29" xfId="6" applyFont="1" applyFill="1" applyBorder="1" applyAlignment="1" applyProtection="1">
      <alignment horizontal="center" vertical="center"/>
      <protection locked="0"/>
    </xf>
    <xf numFmtId="0" fontId="56" fillId="0" borderId="30" xfId="6" applyFont="1" applyFill="1" applyBorder="1" applyAlignment="1" applyProtection="1">
      <alignment horizontal="center" vertical="center"/>
      <protection locked="0"/>
    </xf>
    <xf numFmtId="0" fontId="56" fillId="0" borderId="31" xfId="6" applyFont="1" applyFill="1" applyBorder="1" applyAlignment="1" applyProtection="1">
      <alignment horizontal="center" vertical="center" wrapText="1"/>
      <protection locked="0"/>
    </xf>
    <xf numFmtId="49" fontId="39" fillId="0" borderId="0" xfId="67" applyNumberFormat="1" applyFont="1" applyFill="1" applyBorder="1" applyAlignment="1" applyProtection="1">
      <alignment horizontal="center" vertical="center"/>
      <protection locked="0"/>
    </xf>
    <xf numFmtId="0" fontId="56" fillId="0" borderId="26" xfId="67" applyFont="1" applyFill="1" applyBorder="1" applyAlignment="1" applyProtection="1">
      <alignment horizontal="center" vertical="center" wrapText="1"/>
      <protection locked="0"/>
    </xf>
    <xf numFmtId="0" fontId="56" fillId="0" borderId="27" xfId="67" applyFont="1" applyFill="1" applyBorder="1" applyAlignment="1" applyProtection="1">
      <alignment horizontal="center" vertical="center" wrapText="1"/>
      <protection locked="0"/>
    </xf>
    <xf numFmtId="0" fontId="56" fillId="0" borderId="29" xfId="67" applyFont="1" applyFill="1" applyBorder="1" applyAlignment="1" applyProtection="1">
      <alignment horizontal="center" vertical="center" wrapText="1"/>
      <protection locked="0"/>
    </xf>
    <xf numFmtId="0" fontId="56" fillId="0" borderId="3" xfId="67" applyFont="1" applyFill="1" applyBorder="1" applyAlignment="1" applyProtection="1">
      <alignment horizontal="center" vertical="center" wrapText="1"/>
      <protection locked="0"/>
    </xf>
    <xf numFmtId="0" fontId="56" fillId="0" borderId="29" xfId="67" applyFont="1" applyFill="1" applyBorder="1" applyAlignment="1" applyProtection="1">
      <alignment horizontal="center" vertical="center"/>
      <protection locked="0"/>
    </xf>
    <xf numFmtId="0" fontId="56" fillId="0" borderId="30" xfId="67" applyFont="1" applyFill="1" applyBorder="1" applyAlignment="1" applyProtection="1">
      <alignment horizontal="center" vertical="center" wrapText="1"/>
      <protection locked="0"/>
    </xf>
    <xf numFmtId="0" fontId="56" fillId="0" borderId="31" xfId="67" applyFont="1" applyFill="1" applyBorder="1" applyAlignment="1" applyProtection="1">
      <alignment horizontal="center" vertical="center" wrapText="1"/>
      <protection locked="0"/>
    </xf>
    <xf numFmtId="0" fontId="56" fillId="0" borderId="1" xfId="127" applyFont="1" applyFill="1" applyBorder="1" applyAlignment="1" applyProtection="1">
      <alignment horizontal="center" vertical="center"/>
      <protection locked="0"/>
    </xf>
    <xf numFmtId="0" fontId="56" fillId="0" borderId="91" xfId="127" applyFont="1" applyFill="1" applyBorder="1" applyAlignment="1" applyProtection="1">
      <alignment horizontal="center" vertical="center"/>
      <protection locked="0"/>
    </xf>
    <xf numFmtId="0" fontId="56" fillId="0" borderId="77" xfId="127" applyFont="1" applyFill="1" applyBorder="1" applyAlignment="1" applyProtection="1">
      <alignment horizontal="center" vertical="center"/>
      <protection locked="0"/>
    </xf>
    <xf numFmtId="0" fontId="56" fillId="0" borderId="92" xfId="127" applyFont="1" applyFill="1" applyBorder="1" applyAlignment="1" applyProtection="1">
      <alignment horizontal="center" vertical="center"/>
      <protection locked="0"/>
    </xf>
    <xf numFmtId="0" fontId="39" fillId="0" borderId="27" xfId="127" applyFont="1" applyFill="1" applyBorder="1" applyAlignment="1" applyProtection="1">
      <alignment vertical="center"/>
      <protection locked="0"/>
    </xf>
    <xf numFmtId="0" fontId="39" fillId="0" borderId="3" xfId="127" applyFont="1" applyFill="1" applyBorder="1" applyAlignment="1" applyProtection="1">
      <alignment vertical="center"/>
      <protection locked="0"/>
    </xf>
    <xf numFmtId="0" fontId="56" fillId="0" borderId="27" xfId="127" applyFont="1" applyFill="1" applyBorder="1" applyAlignment="1" applyProtection="1">
      <alignment horizontal="center" vertical="center"/>
      <protection locked="0"/>
    </xf>
    <xf numFmtId="0" fontId="56" fillId="0" borderId="3" xfId="127" applyFont="1" applyFill="1" applyBorder="1" applyAlignment="1" applyProtection="1">
      <alignment horizontal="center" vertical="center"/>
      <protection locked="0"/>
    </xf>
    <xf numFmtId="0" fontId="56" fillId="0" borderId="31" xfId="127" applyFont="1" applyFill="1" applyBorder="1" applyAlignment="1" applyProtection="1">
      <alignment horizontal="center" vertical="center"/>
      <protection locked="0"/>
    </xf>
    <xf numFmtId="0" fontId="39" fillId="0" borderId="28" xfId="127" applyFont="1" applyFill="1" applyBorder="1" applyAlignment="1" applyProtection="1">
      <alignment vertical="center"/>
      <protection locked="0"/>
    </xf>
    <xf numFmtId="0" fontId="39" fillId="0" borderId="32" xfId="127" applyFont="1" applyFill="1" applyBorder="1" applyAlignment="1" applyProtection="1">
      <alignment vertical="center"/>
      <protection locked="0"/>
    </xf>
    <xf numFmtId="0" fontId="39" fillId="0" borderId="27" xfId="127" applyFont="1" applyFill="1" applyBorder="1" applyAlignment="1" applyProtection="1">
      <alignment horizontal="center" vertical="center"/>
      <protection locked="0"/>
    </xf>
    <xf numFmtId="0" fontId="39" fillId="0" borderId="3" xfId="127" applyFont="1" applyFill="1" applyBorder="1" applyAlignment="1" applyProtection="1">
      <alignment horizontal="center" vertical="center"/>
      <protection locked="0"/>
    </xf>
    <xf numFmtId="0" fontId="56" fillId="0" borderId="93" xfId="127" applyFont="1" applyFill="1" applyBorder="1" applyAlignment="1" applyProtection="1">
      <alignment horizontal="center" vertical="center"/>
      <protection locked="0"/>
    </xf>
    <xf numFmtId="0" fontId="56" fillId="0" borderId="2" xfId="127" applyFont="1" applyFill="1" applyBorder="1" applyAlignment="1" applyProtection="1">
      <alignment horizontal="center" vertical="center"/>
      <protection locked="0"/>
    </xf>
    <xf numFmtId="0" fontId="56" fillId="0" borderId="94" xfId="127" applyFont="1" applyFill="1" applyBorder="1" applyAlignment="1" applyProtection="1">
      <alignment horizontal="center" vertical="center"/>
      <protection locked="0"/>
    </xf>
    <xf numFmtId="0" fontId="56" fillId="0" borderId="98" xfId="127" applyFont="1" applyFill="1" applyBorder="1" applyAlignment="1" applyProtection="1">
      <alignment horizontal="center" vertical="center"/>
      <protection locked="0"/>
    </xf>
    <xf numFmtId="0" fontId="56" fillId="0" borderId="99" xfId="127" applyFont="1" applyFill="1" applyBorder="1" applyAlignment="1" applyProtection="1">
      <alignment horizontal="center" vertical="center"/>
      <protection locked="0"/>
    </xf>
    <xf numFmtId="0" fontId="56" fillId="0" borderId="26" xfId="127" applyFont="1" applyFill="1" applyBorder="1" applyAlignment="1" applyProtection="1">
      <alignment horizontal="center" vertical="center"/>
      <protection locked="0"/>
    </xf>
    <xf numFmtId="0" fontId="56" fillId="0" borderId="29" xfId="127" applyFont="1" applyFill="1" applyBorder="1" applyAlignment="1" applyProtection="1">
      <alignment horizontal="center" vertical="center"/>
      <protection locked="0"/>
    </xf>
    <xf numFmtId="0" fontId="56" fillId="0" borderId="30" xfId="127" applyFont="1" applyFill="1" applyBorder="1" applyAlignment="1" applyProtection="1">
      <alignment horizontal="center" vertical="center"/>
      <protection locked="0"/>
    </xf>
    <xf numFmtId="0" fontId="39" fillId="0" borderId="93" xfId="127" applyFont="1" applyFill="1" applyBorder="1" applyAlignment="1" applyProtection="1">
      <alignment horizontal="center" vertical="center"/>
      <protection locked="0"/>
    </xf>
    <xf numFmtId="0" fontId="39" fillId="0" borderId="54" xfId="127" applyFont="1" applyFill="1" applyBorder="1" applyAlignment="1" applyProtection="1">
      <alignment horizontal="center" vertical="center"/>
      <protection locked="0"/>
    </xf>
    <xf numFmtId="0" fontId="56" fillId="0" borderId="16" xfId="127" applyFont="1" applyFill="1" applyBorder="1" applyAlignment="1" applyProtection="1">
      <alignment horizontal="center" vertical="center"/>
      <protection locked="0"/>
    </xf>
    <xf numFmtId="178" fontId="39" fillId="0" borderId="27" xfId="127" applyNumberFormat="1" applyFont="1" applyFill="1" applyBorder="1" applyAlignment="1" applyProtection="1">
      <alignment vertical="center"/>
      <protection locked="0"/>
    </xf>
    <xf numFmtId="178" fontId="39" fillId="0" borderId="3" xfId="127" applyNumberFormat="1" applyFont="1" applyFill="1" applyBorder="1" applyAlignment="1" applyProtection="1">
      <alignment vertical="center"/>
      <protection locked="0"/>
    </xf>
    <xf numFmtId="0" fontId="56" fillId="0" borderId="95" xfId="127" applyFont="1" applyFill="1" applyBorder="1" applyAlignment="1" applyProtection="1">
      <alignment horizontal="center" vertical="center"/>
      <protection locked="0"/>
    </xf>
    <xf numFmtId="0" fontId="56" fillId="0" borderId="41" xfId="127" applyFont="1" applyFill="1" applyBorder="1" applyAlignment="1" applyProtection="1">
      <alignment horizontal="center" vertical="center"/>
      <protection locked="0"/>
    </xf>
    <xf numFmtId="0" fontId="56" fillId="0" borderId="100" xfId="127" applyFont="1" applyFill="1" applyBorder="1" applyAlignment="1" applyProtection="1">
      <alignment horizontal="center" vertical="center"/>
      <protection locked="0"/>
    </xf>
    <xf numFmtId="178" fontId="56" fillId="0" borderId="93" xfId="127" applyNumberFormat="1" applyFont="1" applyFill="1" applyBorder="1" applyAlignment="1" applyProtection="1">
      <alignment horizontal="center" vertical="center"/>
      <protection locked="0"/>
    </xf>
    <xf numFmtId="178" fontId="56" fillId="0" borderId="2" xfId="127" applyNumberFormat="1" applyFont="1" applyFill="1" applyBorder="1" applyAlignment="1" applyProtection="1">
      <alignment horizontal="center" vertical="center"/>
      <protection locked="0"/>
    </xf>
    <xf numFmtId="178" fontId="56" fillId="0" borderId="94" xfId="127" applyNumberFormat="1" applyFont="1" applyFill="1" applyBorder="1" applyAlignment="1" applyProtection="1">
      <alignment horizontal="center" vertical="center"/>
      <protection locked="0"/>
    </xf>
    <xf numFmtId="178" fontId="39" fillId="0" borderId="93" xfId="127" applyNumberFormat="1" applyFont="1" applyFill="1" applyBorder="1" applyAlignment="1" applyProtection="1">
      <alignment horizontal="center" vertical="center"/>
      <protection locked="0"/>
    </xf>
    <xf numFmtId="178" fontId="39" fillId="0" borderId="54" xfId="127" applyNumberFormat="1" applyFont="1" applyFill="1" applyBorder="1" applyAlignment="1" applyProtection="1">
      <alignment horizontal="center" vertical="center"/>
      <protection locked="0"/>
    </xf>
    <xf numFmtId="40" fontId="39" fillId="0" borderId="27" xfId="127" applyNumberFormat="1" applyFont="1" applyFill="1" applyBorder="1" applyAlignment="1" applyProtection="1">
      <alignment vertical="center"/>
      <protection locked="0"/>
    </xf>
    <xf numFmtId="40" fontId="39" fillId="0" borderId="3" xfId="127" applyNumberFormat="1" applyFont="1" applyFill="1" applyBorder="1" applyAlignment="1" applyProtection="1">
      <alignment vertical="center"/>
      <protection locked="0"/>
    </xf>
    <xf numFmtId="40" fontId="56" fillId="0" borderId="27" xfId="127" applyNumberFormat="1" applyFont="1" applyFill="1" applyBorder="1" applyAlignment="1" applyProtection="1">
      <alignment horizontal="center" vertical="center"/>
      <protection locked="0"/>
    </xf>
    <xf numFmtId="40" fontId="56" fillId="0" borderId="3" xfId="127" applyNumberFormat="1" applyFont="1" applyFill="1" applyBorder="1" applyAlignment="1" applyProtection="1">
      <alignment horizontal="center" vertical="center"/>
      <protection locked="0"/>
    </xf>
    <xf numFmtId="40" fontId="56" fillId="0" borderId="31" xfId="127" applyNumberFormat="1" applyFont="1" applyFill="1" applyBorder="1" applyAlignment="1" applyProtection="1">
      <alignment horizontal="center" vertical="center"/>
      <protection locked="0"/>
    </xf>
    <xf numFmtId="40" fontId="39" fillId="0" borderId="27" xfId="127" applyNumberFormat="1" applyFont="1" applyFill="1" applyBorder="1" applyAlignment="1" applyProtection="1">
      <alignment horizontal="center" vertical="center"/>
      <protection locked="0"/>
    </xf>
    <xf numFmtId="40" fontId="39" fillId="0" borderId="3" xfId="127" applyNumberFormat="1" applyFont="1" applyFill="1" applyBorder="1" applyAlignment="1" applyProtection="1">
      <alignment horizontal="center" vertical="center"/>
      <protection locked="0"/>
    </xf>
    <xf numFmtId="40" fontId="56" fillId="0" borderId="93" xfId="127" applyNumberFormat="1" applyFont="1" applyFill="1" applyBorder="1" applyAlignment="1" applyProtection="1">
      <alignment horizontal="center" vertical="center"/>
      <protection locked="0"/>
    </xf>
    <xf numFmtId="40" fontId="56" fillId="0" borderId="2" xfId="127" applyNumberFormat="1" applyFont="1" applyFill="1" applyBorder="1" applyAlignment="1" applyProtection="1">
      <alignment horizontal="center" vertical="center"/>
      <protection locked="0"/>
    </xf>
    <xf numFmtId="40" fontId="56" fillId="0" borderId="94" xfId="127" applyNumberFormat="1" applyFont="1" applyFill="1" applyBorder="1" applyAlignment="1" applyProtection="1">
      <alignment horizontal="center" vertical="center"/>
      <protection locked="0"/>
    </xf>
    <xf numFmtId="40" fontId="39" fillId="0" borderId="93" xfId="127" applyNumberFormat="1" applyFont="1" applyFill="1" applyBorder="1" applyAlignment="1" applyProtection="1">
      <alignment horizontal="center" vertical="center"/>
      <protection locked="0"/>
    </xf>
    <xf numFmtId="40" fontId="39" fillId="0" borderId="54" xfId="127" applyNumberFormat="1" applyFont="1" applyFill="1" applyBorder="1" applyAlignment="1" applyProtection="1">
      <alignment horizontal="center" vertical="center"/>
      <protection locked="0"/>
    </xf>
    <xf numFmtId="40" fontId="39" fillId="0" borderId="95" xfId="127" applyNumberFormat="1" applyFont="1" applyFill="1" applyBorder="1" applyAlignment="1" applyProtection="1">
      <alignment vertical="center"/>
      <protection locked="0"/>
    </xf>
    <xf numFmtId="40" fontId="39" fillId="0" borderId="39" xfId="127" applyNumberFormat="1" applyFont="1" applyFill="1" applyBorder="1" applyAlignment="1" applyProtection="1">
      <alignment vertical="center"/>
      <protection locked="0"/>
    </xf>
    <xf numFmtId="40" fontId="39" fillId="0" borderId="93" xfId="127" applyNumberFormat="1" applyFont="1" applyFill="1" applyBorder="1" applyAlignment="1" applyProtection="1">
      <alignment vertical="center"/>
      <protection locked="0"/>
    </xf>
    <xf numFmtId="40" fontId="39" fillId="0" borderId="54" xfId="127" applyNumberFormat="1" applyFont="1" applyFill="1" applyBorder="1" applyAlignment="1" applyProtection="1">
      <alignment vertical="center"/>
      <protection locked="0"/>
    </xf>
    <xf numFmtId="0" fontId="132" fillId="37" borderId="0" xfId="0" applyFont="1" applyFill="1" applyBorder="1" applyAlignment="1" applyProtection="1">
      <alignment horizontal="left" vertical="center" wrapText="1"/>
      <protection locked="0"/>
    </xf>
    <xf numFmtId="0" fontId="39" fillId="0" borderId="95" xfId="127" applyFont="1" applyFill="1" applyBorder="1" applyAlignment="1" applyProtection="1">
      <alignment vertical="center"/>
      <protection locked="0"/>
    </xf>
    <xf numFmtId="0" fontId="39" fillId="0" borderId="39" xfId="127" applyFont="1" applyFill="1" applyBorder="1" applyAlignment="1" applyProtection="1">
      <alignment vertical="center"/>
      <protection locked="0"/>
    </xf>
    <xf numFmtId="0" fontId="39" fillId="0" borderId="93" xfId="127" applyFont="1" applyFill="1" applyBorder="1" applyAlignment="1" applyProtection="1">
      <alignment vertical="center"/>
      <protection locked="0"/>
    </xf>
    <xf numFmtId="0" fontId="39" fillId="0" borderId="54" xfId="127" applyFont="1" applyFill="1" applyBorder="1" applyAlignment="1" applyProtection="1">
      <alignment vertical="center"/>
      <protection locked="0"/>
    </xf>
    <xf numFmtId="0" fontId="39" fillId="0" borderId="96" xfId="127" applyFont="1" applyFill="1" applyBorder="1" applyAlignment="1" applyProtection="1">
      <alignment vertical="center"/>
      <protection locked="0"/>
    </xf>
    <xf numFmtId="0" fontId="39" fillId="0" borderId="97" xfId="127" applyFont="1" applyFill="1" applyBorder="1" applyAlignment="1" applyProtection="1">
      <alignment vertical="center"/>
      <protection locked="0"/>
    </xf>
    <xf numFmtId="0" fontId="39" fillId="0" borderId="22" xfId="127" applyFont="1" applyFill="1" applyBorder="1" applyAlignment="1" applyProtection="1">
      <alignment horizontal="left" vertical="center"/>
      <protection locked="0"/>
    </xf>
    <xf numFmtId="0" fontId="39" fillId="0" borderId="0" xfId="127" applyFont="1" applyFill="1" applyBorder="1" applyAlignment="1" applyProtection="1">
      <alignment horizontal="left" vertical="center"/>
      <protection locked="0"/>
    </xf>
    <xf numFmtId="0" fontId="39" fillId="0" borderId="24" xfId="127" applyFont="1" applyFill="1" applyBorder="1" applyAlignment="1" applyProtection="1">
      <alignment horizontal="left" vertical="center" wrapText="1"/>
      <protection locked="0"/>
    </xf>
    <xf numFmtId="0" fontId="39" fillId="0" borderId="41" xfId="127" applyFont="1" applyFill="1" applyBorder="1" applyAlignment="1" applyProtection="1">
      <alignment horizontal="left" vertical="center" wrapText="1"/>
      <protection locked="0"/>
    </xf>
    <xf numFmtId="0" fontId="39" fillId="0" borderId="39" xfId="127" applyFont="1" applyFill="1" applyBorder="1" applyAlignment="1" applyProtection="1">
      <alignment horizontal="left" vertical="center" wrapText="1"/>
      <protection locked="0"/>
    </xf>
    <xf numFmtId="0" fontId="112" fillId="0" borderId="0" xfId="68" applyFont="1" applyFill="1" applyAlignment="1" applyProtection="1">
      <alignment horizontal="center" vertical="center" wrapText="1" shrinkToFit="1"/>
      <protection locked="0"/>
    </xf>
    <xf numFmtId="43" fontId="47" fillId="0" borderId="19" xfId="91" applyFont="1" applyFill="1" applyBorder="1" applyAlignment="1" applyProtection="1">
      <alignment horizontal="left" vertical="center"/>
      <protection locked="0"/>
    </xf>
    <xf numFmtId="43" fontId="47" fillId="0" borderId="14" xfId="91" applyFont="1" applyFill="1" applyBorder="1" applyAlignment="1" applyProtection="1">
      <alignment horizontal="left" vertical="center"/>
      <protection locked="0"/>
    </xf>
    <xf numFmtId="43" fontId="47" fillId="0" borderId="17" xfId="91" applyFont="1" applyFill="1" applyBorder="1" applyAlignment="1" applyProtection="1">
      <alignment horizontal="left" vertical="center"/>
      <protection locked="0"/>
    </xf>
    <xf numFmtId="43" fontId="47" fillId="0" borderId="20" xfId="91" applyFont="1" applyFill="1" applyBorder="1" applyAlignment="1" applyProtection="1">
      <alignment horizontal="left" vertical="center"/>
      <protection locked="0"/>
    </xf>
    <xf numFmtId="43" fontId="47" fillId="0" borderId="0" xfId="91" applyFont="1" applyFill="1" applyBorder="1" applyAlignment="1" applyProtection="1">
      <alignment horizontal="left" vertical="center"/>
      <protection locked="0"/>
    </xf>
    <xf numFmtId="43" fontId="47" fillId="0" borderId="18" xfId="91" applyFont="1" applyFill="1" applyBorder="1" applyAlignment="1" applyProtection="1">
      <alignment horizontal="left" vertical="center"/>
      <protection locked="0"/>
    </xf>
    <xf numFmtId="43" fontId="47" fillId="0" borderId="15" xfId="91" applyFont="1" applyFill="1" applyBorder="1" applyAlignment="1" applyProtection="1">
      <alignment horizontal="left" vertical="center"/>
      <protection locked="0"/>
    </xf>
    <xf numFmtId="43" fontId="47" fillId="0" borderId="16" xfId="91" applyFont="1" applyFill="1" applyBorder="1" applyAlignment="1" applyProtection="1">
      <alignment horizontal="left" vertical="center"/>
      <protection locked="0"/>
    </xf>
    <xf numFmtId="43" fontId="47" fillId="0" borderId="35" xfId="91" applyFont="1" applyFill="1" applyBorder="1" applyAlignment="1" applyProtection="1">
      <alignment horizontal="left" vertical="center"/>
      <protection locked="0"/>
    </xf>
    <xf numFmtId="0" fontId="47" fillId="0" borderId="30" xfId="62" applyFont="1" applyFill="1" applyBorder="1" applyAlignment="1" applyProtection="1">
      <alignment horizontal="center" vertical="center"/>
      <protection locked="0"/>
    </xf>
    <xf numFmtId="0" fontId="47" fillId="0" borderId="31" xfId="62" applyFont="1" applyFill="1" applyBorder="1" applyAlignment="1" applyProtection="1">
      <alignment horizontal="center" vertical="center"/>
      <protection locked="0"/>
    </xf>
    <xf numFmtId="0" fontId="47" fillId="0" borderId="26" xfId="62" applyFont="1" applyFill="1" applyBorder="1" applyAlignment="1" applyProtection="1">
      <alignment horizontal="center" vertical="center" wrapText="1"/>
      <protection locked="0"/>
    </xf>
    <xf numFmtId="0" fontId="47" fillId="0" borderId="27" xfId="62" applyFont="1" applyFill="1" applyBorder="1" applyAlignment="1" applyProtection="1">
      <alignment horizontal="center" vertical="center" wrapText="1"/>
      <protection locked="0"/>
    </xf>
    <xf numFmtId="43" fontId="47" fillId="0" borderId="76" xfId="91" applyFont="1" applyFill="1" applyBorder="1" applyAlignment="1" applyProtection="1">
      <alignment horizontal="center" vertical="center"/>
      <protection locked="0"/>
    </xf>
    <xf numFmtId="43" fontId="47" fillId="0" borderId="77" xfId="91" applyFont="1" applyFill="1" applyBorder="1" applyAlignment="1" applyProtection="1">
      <alignment horizontal="center" vertical="center"/>
      <protection locked="0"/>
    </xf>
    <xf numFmtId="43" fontId="47" fillId="0" borderId="55" xfId="91" applyFont="1" applyFill="1" applyBorder="1" applyAlignment="1" applyProtection="1">
      <alignment horizontal="center" vertical="center"/>
      <protection locked="0"/>
    </xf>
    <xf numFmtId="0" fontId="47" fillId="0" borderId="78" xfId="62" applyFont="1" applyFill="1" applyBorder="1" applyAlignment="1" applyProtection="1">
      <alignment horizontal="center" vertical="center"/>
      <protection locked="0"/>
    </xf>
    <xf numFmtId="0" fontId="47" fillId="0" borderId="23" xfId="62" applyFont="1" applyFill="1" applyBorder="1" applyAlignment="1" applyProtection="1">
      <alignment horizontal="center" vertical="center"/>
      <protection locked="0"/>
    </xf>
    <xf numFmtId="43" fontId="47" fillId="0" borderId="78" xfId="91" applyFont="1" applyFill="1" applyBorder="1" applyAlignment="1" applyProtection="1">
      <alignment horizontal="center" vertical="center"/>
      <protection locked="0"/>
    </xf>
    <xf numFmtId="43" fontId="47" fillId="0" borderId="23" xfId="91" applyFont="1" applyFill="1" applyBorder="1" applyAlignment="1" applyProtection="1">
      <alignment horizontal="center" vertical="center"/>
      <protection locked="0"/>
    </xf>
    <xf numFmtId="0" fontId="12" fillId="0" borderId="3" xfId="0" applyFont="1" applyFill="1" applyBorder="1" applyAlignment="1" applyProtection="1">
      <alignment vertical="center"/>
      <protection locked="0"/>
    </xf>
    <xf numFmtId="0" fontId="57" fillId="0" borderId="25" xfId="0" applyFont="1" applyFill="1" applyBorder="1" applyAlignment="1" applyProtection="1">
      <alignment horizontal="center" vertical="center"/>
      <protection locked="0"/>
    </xf>
    <xf numFmtId="0" fontId="12" fillId="0" borderId="2" xfId="0" applyFont="1" applyFill="1" applyBorder="1" applyAlignment="1" applyProtection="1">
      <alignment horizontal="center" vertical="center"/>
      <protection locked="0"/>
    </xf>
    <xf numFmtId="0" fontId="12" fillId="0" borderId="54" xfId="0" applyFont="1" applyFill="1" applyBorder="1" applyAlignment="1" applyProtection="1">
      <alignment horizontal="center" vertical="center"/>
      <protection locked="0"/>
    </xf>
    <xf numFmtId="49" fontId="57" fillId="0" borderId="0" xfId="0" applyNumberFormat="1" applyFont="1" applyFill="1" applyBorder="1" applyAlignment="1" applyProtection="1">
      <alignment horizontal="center" vertical="center"/>
      <protection locked="0"/>
    </xf>
    <xf numFmtId="0" fontId="39" fillId="0" borderId="75" xfId="0" applyFont="1" applyFill="1" applyBorder="1" applyAlignment="1" applyProtection="1">
      <alignment horizontal="center" vertical="center"/>
      <protection locked="0"/>
    </xf>
    <xf numFmtId="0" fontId="39" fillId="0" borderId="13" xfId="0" applyFont="1" applyFill="1" applyBorder="1" applyAlignment="1" applyProtection="1">
      <alignment horizontal="center" vertical="center"/>
      <protection locked="0"/>
    </xf>
    <xf numFmtId="0" fontId="39" fillId="0" borderId="23" xfId="0" applyFont="1" applyFill="1" applyBorder="1" applyAlignment="1" applyProtection="1">
      <alignment horizontal="center" vertical="center"/>
      <protection locked="0"/>
    </xf>
    <xf numFmtId="178" fontId="39" fillId="0" borderId="25" xfId="0" applyNumberFormat="1" applyFont="1" applyFill="1" applyBorder="1" applyAlignment="1" applyProtection="1">
      <alignment horizontal="center" vertical="center"/>
      <protection locked="0"/>
    </xf>
    <xf numFmtId="178" fontId="39" fillId="0" borderId="2" xfId="0" applyNumberFormat="1" applyFont="1" applyFill="1" applyBorder="1" applyAlignment="1" applyProtection="1">
      <alignment horizontal="center" vertical="center"/>
      <protection locked="0"/>
    </xf>
    <xf numFmtId="178" fontId="39" fillId="0" borderId="54" xfId="0" applyNumberFormat="1" applyFont="1" applyFill="1" applyBorder="1" applyAlignment="1" applyProtection="1">
      <alignment horizontal="center" vertical="center"/>
      <protection locked="0"/>
    </xf>
    <xf numFmtId="178" fontId="39" fillId="0" borderId="3" xfId="0" applyNumberFormat="1" applyFont="1" applyFill="1" applyBorder="1" applyAlignment="1" applyProtection="1">
      <alignment horizontal="center" vertical="center"/>
      <protection locked="0"/>
    </xf>
    <xf numFmtId="178" fontId="39" fillId="0" borderId="3" xfId="0" applyNumberFormat="1" applyFont="1" applyFill="1" applyBorder="1" applyAlignment="1" applyProtection="1">
      <alignment horizontal="center"/>
      <protection locked="0"/>
    </xf>
    <xf numFmtId="0" fontId="39" fillId="0" borderId="3" xfId="0" applyFont="1" applyFill="1" applyBorder="1" applyAlignment="1" applyProtection="1">
      <alignment vertical="center"/>
      <protection locked="0"/>
    </xf>
    <xf numFmtId="0" fontId="39" fillId="0" borderId="22" xfId="0" applyFont="1" applyFill="1" applyBorder="1" applyAlignment="1" applyProtection="1">
      <alignment horizontal="center" vertical="center"/>
      <protection locked="0"/>
    </xf>
    <xf numFmtId="0" fontId="39" fillId="0" borderId="3" xfId="0" applyFont="1" applyFill="1" applyBorder="1" applyAlignment="1" applyProtection="1">
      <alignment horizontal="center" vertical="center"/>
      <protection locked="0"/>
    </xf>
    <xf numFmtId="43" fontId="39" fillId="0" borderId="3" xfId="91" applyFont="1" applyFill="1" applyBorder="1" applyAlignment="1" applyProtection="1">
      <alignment horizontal="center" vertical="center"/>
      <protection locked="0"/>
    </xf>
    <xf numFmtId="178" fontId="39" fillId="0" borderId="3" xfId="91" applyNumberFormat="1" applyFont="1" applyFill="1" applyBorder="1" applyAlignment="1" applyProtection="1">
      <alignment horizontal="center"/>
      <protection locked="0"/>
    </xf>
    <xf numFmtId="43" fontId="39" fillId="0" borderId="0" xfId="91" applyFont="1" applyFill="1" applyAlignment="1" applyProtection="1">
      <alignment vertical="center"/>
      <protection locked="0"/>
    </xf>
    <xf numFmtId="178" fontId="39" fillId="0" borderId="3" xfId="91" applyNumberFormat="1" applyFont="1" applyFill="1" applyBorder="1" applyAlignment="1" applyProtection="1">
      <alignment horizontal="center" vertical="center"/>
      <protection locked="0"/>
    </xf>
    <xf numFmtId="0" fontId="63" fillId="0" borderId="25" xfId="0" applyFont="1" applyFill="1" applyBorder="1" applyAlignment="1" applyProtection="1">
      <alignment horizontal="center" vertical="center"/>
      <protection locked="0"/>
    </xf>
    <xf numFmtId="0" fontId="63" fillId="0" borderId="54" xfId="0" applyFont="1" applyFill="1" applyBorder="1" applyAlignment="1" applyProtection="1">
      <alignment horizontal="center" vertical="center"/>
      <protection locked="0"/>
    </xf>
    <xf numFmtId="0" fontId="63" fillId="0" borderId="3" xfId="0" applyFont="1" applyFill="1" applyBorder="1" applyAlignment="1" applyProtection="1">
      <alignment horizontal="center" vertical="center"/>
      <protection locked="0"/>
    </xf>
    <xf numFmtId="0" fontId="63" fillId="0" borderId="3" xfId="0" applyFont="1" applyFill="1" applyBorder="1" applyAlignment="1" applyProtection="1">
      <alignment horizontal="center"/>
      <protection locked="0"/>
    </xf>
    <xf numFmtId="0" fontId="39" fillId="0" borderId="3" xfId="0" applyFont="1" applyFill="1" applyBorder="1" applyAlignment="1" applyProtection="1">
      <alignment horizontal="center" vertical="center" wrapText="1"/>
      <protection locked="0"/>
    </xf>
    <xf numFmtId="178" fontId="39" fillId="0" borderId="25" xfId="0" applyNumberFormat="1" applyFont="1" applyFill="1" applyBorder="1" applyAlignment="1" applyProtection="1">
      <alignment horizontal="center" vertical="center" wrapText="1"/>
      <protection locked="0"/>
    </xf>
    <xf numFmtId="178" fontId="39" fillId="0" borderId="54" xfId="0" applyNumberFormat="1" applyFont="1" applyFill="1" applyBorder="1" applyAlignment="1" applyProtection="1">
      <alignment vertical="center"/>
      <protection locked="0"/>
    </xf>
    <xf numFmtId="43" fontId="39" fillId="0" borderId="3" xfId="91" applyFont="1" applyFill="1" applyBorder="1" applyAlignment="1" applyProtection="1">
      <alignment horizontal="center" vertical="center" wrapText="1"/>
      <protection locked="0"/>
    </xf>
    <xf numFmtId="178" fontId="39" fillId="0" borderId="3" xfId="91" applyNumberFormat="1" applyFont="1" applyFill="1" applyBorder="1" applyAlignment="1" applyProtection="1">
      <alignment horizontal="center" wrapText="1"/>
      <protection locked="0"/>
    </xf>
    <xf numFmtId="43" fontId="39" fillId="0" borderId="0" xfId="91" applyFont="1" applyFill="1" applyAlignment="1" applyProtection="1">
      <alignment horizontal="center" vertical="center" wrapText="1"/>
      <protection locked="0"/>
    </xf>
    <xf numFmtId="178" fontId="39" fillId="0" borderId="3" xfId="91" applyNumberFormat="1" applyFont="1" applyFill="1" applyBorder="1" applyAlignment="1" applyProtection="1">
      <alignment horizontal="center" vertical="center" wrapText="1"/>
      <protection locked="0"/>
    </xf>
    <xf numFmtId="0" fontId="39" fillId="0" borderId="3" xfId="0" applyFont="1" applyBorder="1" applyAlignment="1">
      <alignment horizontal="center" vertical="center" wrapText="1"/>
    </xf>
    <xf numFmtId="0" fontId="39" fillId="0" borderId="3" xfId="0" applyFont="1" applyBorder="1" applyAlignment="1">
      <alignment horizontal="center" vertical="center"/>
    </xf>
    <xf numFmtId="0" fontId="57" fillId="0" borderId="108" xfId="0" applyFont="1" applyBorder="1" applyAlignment="1">
      <alignment horizontal="center" vertical="center"/>
    </xf>
    <xf numFmtId="0" fontId="39" fillId="0" borderId="23" xfId="0" applyFont="1" applyBorder="1" applyAlignment="1">
      <alignment horizontal="center" vertical="center"/>
    </xf>
    <xf numFmtId="0" fontId="39" fillId="0" borderId="25" xfId="0" applyFont="1" applyBorder="1" applyAlignment="1">
      <alignment horizontal="center" vertical="center"/>
    </xf>
    <xf numFmtId="0" fontId="39" fillId="0" borderId="2" xfId="0" applyFont="1" applyBorder="1" applyAlignment="1">
      <alignment horizontal="center" vertical="center"/>
    </xf>
    <xf numFmtId="0" fontId="39" fillId="0" borderId="54" xfId="0" applyFont="1" applyBorder="1" applyAlignment="1">
      <alignment horizontal="center" vertical="center"/>
    </xf>
    <xf numFmtId="0" fontId="63" fillId="0" borderId="3" xfId="0" applyFont="1" applyBorder="1" applyAlignment="1">
      <alignment horizontal="center" vertical="center"/>
    </xf>
    <xf numFmtId="0" fontId="63" fillId="0" borderId="108" xfId="0" applyFont="1" applyFill="1" applyBorder="1" applyAlignment="1" applyProtection="1">
      <alignment horizontal="center" vertical="center" wrapText="1"/>
      <protection locked="0"/>
    </xf>
    <xf numFmtId="0" fontId="63" fillId="0" borderId="23" xfId="0" applyFont="1" applyFill="1" applyBorder="1" applyAlignment="1" applyProtection="1">
      <alignment horizontal="center" vertical="center" wrapText="1"/>
      <protection locked="0"/>
    </xf>
    <xf numFmtId="0" fontId="5" fillId="0" borderId="109" xfId="0" applyFont="1" applyFill="1" applyBorder="1" applyAlignment="1" applyProtection="1">
      <alignment horizontal="center" vertical="center" wrapText="1"/>
      <protection locked="0"/>
    </xf>
    <xf numFmtId="0" fontId="63" fillId="0" borderId="109" xfId="0" applyFont="1" applyFill="1" applyBorder="1" applyAlignment="1" applyProtection="1">
      <alignment horizontal="center" vertical="center" wrapText="1"/>
      <protection locked="0"/>
    </xf>
    <xf numFmtId="0" fontId="5" fillId="0" borderId="25" xfId="0" applyFont="1" applyFill="1" applyBorder="1" applyAlignment="1" applyProtection="1">
      <alignment horizontal="center" vertical="center" wrapText="1"/>
      <protection locked="0"/>
    </xf>
    <xf numFmtId="0" fontId="5" fillId="0" borderId="2" xfId="0" applyFont="1" applyFill="1" applyBorder="1" applyAlignment="1" applyProtection="1">
      <alignment horizontal="center" vertical="center" wrapText="1"/>
      <protection locked="0"/>
    </xf>
    <xf numFmtId="0" fontId="5" fillId="0" borderId="107" xfId="0" applyFont="1" applyFill="1" applyBorder="1" applyAlignment="1" applyProtection="1">
      <alignment horizontal="center" vertical="center" wrapText="1"/>
      <protection locked="0"/>
    </xf>
    <xf numFmtId="0" fontId="5" fillId="0" borderId="108" xfId="0" applyFont="1" applyFill="1" applyBorder="1" applyAlignment="1" applyProtection="1">
      <alignment horizontal="center" vertical="center"/>
      <protection locked="0"/>
    </xf>
    <xf numFmtId="0" fontId="63" fillId="0" borderId="23" xfId="0" applyFont="1" applyFill="1" applyBorder="1" applyAlignment="1" applyProtection="1">
      <alignment horizontal="center" vertical="center"/>
      <protection locked="0"/>
    </xf>
    <xf numFmtId="0" fontId="39" fillId="0" borderId="25" xfId="0" applyFont="1" applyFill="1" applyBorder="1" applyAlignment="1" applyProtection="1">
      <alignment horizontal="center" vertical="center" wrapText="1"/>
      <protection locked="0"/>
    </xf>
    <xf numFmtId="0" fontId="39" fillId="0" borderId="2" xfId="0" applyFont="1" applyFill="1" applyBorder="1" applyAlignment="1" applyProtection="1">
      <alignment horizontal="center" vertical="center" wrapText="1"/>
      <protection locked="0"/>
    </xf>
    <xf numFmtId="0" fontId="39" fillId="0" borderId="54" xfId="0" applyFont="1" applyFill="1" applyBorder="1" applyAlignment="1" applyProtection="1">
      <alignment horizontal="center" vertical="center" wrapText="1"/>
      <protection locked="0"/>
    </xf>
    <xf numFmtId="0" fontId="51" fillId="0" borderId="0" xfId="204" applyFont="1" applyBorder="1" applyAlignment="1">
      <alignment horizontal="left" vertical="center"/>
    </xf>
    <xf numFmtId="43" fontId="63" fillId="0" borderId="25" xfId="91" applyFont="1" applyBorder="1" applyAlignment="1">
      <alignment horizontal="center" vertical="center"/>
    </xf>
    <xf numFmtId="43" fontId="63" fillId="0" borderId="2" xfId="91" applyFont="1" applyBorder="1" applyAlignment="1">
      <alignment horizontal="center" vertical="center"/>
    </xf>
    <xf numFmtId="43" fontId="63" fillId="0" borderId="54" xfId="91" applyFont="1" applyBorder="1" applyAlignment="1">
      <alignment horizontal="center" vertical="center"/>
    </xf>
    <xf numFmtId="0" fontId="42" fillId="0" borderId="0" xfId="204" applyFont="1" applyFill="1" applyBorder="1" applyAlignment="1" applyProtection="1">
      <alignment horizontal="left" vertical="center" wrapText="1"/>
      <protection locked="0"/>
    </xf>
    <xf numFmtId="0" fontId="63" fillId="0" borderId="3" xfId="0" applyFont="1" applyFill="1" applyBorder="1" applyAlignment="1" applyProtection="1">
      <alignment horizontal="center" vertical="center" wrapText="1"/>
      <protection locked="0"/>
    </xf>
    <xf numFmtId="0" fontId="63" fillId="0" borderId="25" xfId="0" applyFont="1" applyFill="1" applyBorder="1" applyAlignment="1" applyProtection="1">
      <alignment horizontal="center" vertical="center" wrapText="1"/>
      <protection locked="0"/>
    </xf>
    <xf numFmtId="0" fontId="63" fillId="0" borderId="54" xfId="0" applyFont="1" applyFill="1" applyBorder="1" applyAlignment="1" applyProtection="1">
      <alignment horizontal="center" vertical="center" wrapText="1"/>
      <protection locked="0"/>
    </xf>
    <xf numFmtId="0" fontId="39" fillId="0" borderId="75" xfId="0" applyFont="1" applyFill="1" applyBorder="1" applyAlignment="1" applyProtection="1">
      <alignment horizontal="center" vertical="center" wrapText="1"/>
      <protection locked="0"/>
    </xf>
    <xf numFmtId="0" fontId="39" fillId="0" borderId="23" xfId="0" applyFont="1" applyFill="1" applyBorder="1" applyAlignment="1" applyProtection="1">
      <alignment horizontal="center" vertical="center" wrapText="1"/>
      <protection locked="0"/>
    </xf>
    <xf numFmtId="0" fontId="39" fillId="0" borderId="25" xfId="0" applyFont="1" applyFill="1" applyBorder="1" applyAlignment="1" applyProtection="1">
      <alignment horizontal="center" wrapText="1"/>
      <protection locked="0"/>
    </xf>
    <xf numFmtId="0" fontId="39" fillId="0" borderId="54" xfId="0" applyFont="1" applyFill="1" applyBorder="1" applyAlignment="1" applyProtection="1">
      <alignment horizontal="center" wrapText="1"/>
      <protection locked="0"/>
    </xf>
    <xf numFmtId="0" fontId="57" fillId="0" borderId="109" xfId="0" applyFont="1" applyBorder="1" applyAlignment="1">
      <alignment horizontal="center" vertical="center"/>
    </xf>
    <xf numFmtId="0" fontId="57" fillId="0" borderId="108" xfId="0" applyFont="1" applyBorder="1" applyAlignment="1">
      <alignment horizontal="center" vertical="center" wrapText="1"/>
    </xf>
    <xf numFmtId="0" fontId="57" fillId="0" borderId="23" xfId="0" applyFont="1" applyBorder="1" applyAlignment="1">
      <alignment horizontal="center" vertical="center" wrapText="1"/>
    </xf>
    <xf numFmtId="0" fontId="39" fillId="0" borderId="106" xfId="114" applyFont="1" applyBorder="1" applyAlignment="1">
      <alignment horizontal="center" vertical="center"/>
    </xf>
    <xf numFmtId="0" fontId="39" fillId="0" borderId="106" xfId="114" applyFont="1" applyBorder="1" applyAlignment="1">
      <alignment horizontal="center" vertical="center" wrapText="1"/>
    </xf>
    <xf numFmtId="0" fontId="39" fillId="0" borderId="3" xfId="0" applyFont="1" applyFill="1" applyBorder="1" applyAlignment="1" applyProtection="1">
      <alignment horizontal="center" vertical="top" wrapText="1"/>
      <protection locked="0"/>
    </xf>
    <xf numFmtId="0" fontId="75" fillId="0" borderId="106" xfId="0" applyFont="1" applyBorder="1" applyAlignment="1">
      <alignment horizontal="center" vertical="center" wrapText="1"/>
    </xf>
    <xf numFmtId="0" fontId="39" fillId="0" borderId="25" xfId="0" applyFont="1" applyFill="1" applyBorder="1" applyAlignment="1" applyProtection="1">
      <alignment horizontal="center" vertical="center"/>
      <protection locked="0"/>
    </xf>
    <xf numFmtId="0" fontId="39" fillId="0" borderId="2" xfId="0" applyFont="1" applyFill="1" applyBorder="1" applyAlignment="1" applyProtection="1">
      <alignment horizontal="center" vertical="center"/>
      <protection locked="0"/>
    </xf>
    <xf numFmtId="0" fontId="39" fillId="0" borderId="54" xfId="0" applyFont="1" applyFill="1" applyBorder="1" applyAlignment="1" applyProtection="1">
      <alignment horizontal="center" vertical="center"/>
      <protection locked="0"/>
    </xf>
    <xf numFmtId="178" fontId="39" fillId="0" borderId="75" xfId="0" applyNumberFormat="1" applyFont="1" applyFill="1" applyBorder="1" applyAlignment="1" applyProtection="1">
      <alignment horizontal="center" vertical="center" wrapText="1"/>
      <protection locked="0"/>
    </xf>
    <xf numFmtId="178" fontId="39" fillId="0" borderId="23" xfId="0" applyNumberFormat="1" applyFont="1" applyFill="1" applyBorder="1" applyAlignment="1" applyProtection="1">
      <alignment horizontal="center" vertical="center" wrapText="1"/>
      <protection locked="0"/>
    </xf>
    <xf numFmtId="178" fontId="39" fillId="0" borderId="75" xfId="0" applyNumberFormat="1" applyFont="1" applyFill="1" applyBorder="1" applyAlignment="1" applyProtection="1">
      <alignment horizontal="center" vertical="center"/>
      <protection locked="0"/>
    </xf>
    <xf numFmtId="178" fontId="39" fillId="0" borderId="23" xfId="0" applyNumberFormat="1" applyFont="1" applyFill="1" applyBorder="1" applyAlignment="1" applyProtection="1">
      <alignment horizontal="center" vertical="center"/>
      <protection locked="0"/>
    </xf>
    <xf numFmtId="0" fontId="39" fillId="31" borderId="0" xfId="0" applyFont="1" applyFill="1" applyBorder="1" applyAlignment="1" applyProtection="1">
      <alignment horizontal="center" vertical="center" wrapText="1" shrinkToFit="1"/>
      <protection locked="0"/>
    </xf>
    <xf numFmtId="0" fontId="39" fillId="0" borderId="75" xfId="0" applyFont="1" applyFill="1" applyBorder="1" applyAlignment="1" applyProtection="1">
      <alignment horizontal="center" vertical="center" wrapText="1" shrinkToFit="1"/>
      <protection locked="0"/>
    </xf>
    <xf numFmtId="0" fontId="39" fillId="0" borderId="23" xfId="0" applyFont="1" applyFill="1" applyBorder="1" applyAlignment="1" applyProtection="1">
      <alignment horizontal="center" vertical="center" wrapText="1" shrinkToFit="1"/>
      <protection locked="0"/>
    </xf>
    <xf numFmtId="0" fontId="39" fillId="0" borderId="3" xfId="0" applyFont="1" applyFill="1" applyBorder="1" applyAlignment="1" applyProtection="1">
      <alignment horizontal="center" vertical="center" wrapText="1" shrinkToFit="1"/>
      <protection locked="0"/>
    </xf>
    <xf numFmtId="0" fontId="39" fillId="0" borderId="13" xfId="0" applyFont="1" applyFill="1" applyBorder="1" applyAlignment="1" applyProtection="1">
      <alignment horizontal="center" vertical="center" wrapText="1" shrinkToFit="1"/>
      <protection locked="0"/>
    </xf>
    <xf numFmtId="0" fontId="39" fillId="0" borderId="0" xfId="0" applyFont="1" applyFill="1" applyAlignment="1" applyProtection="1">
      <alignment horizontal="left" vertical="center" wrapText="1" shrinkToFit="1"/>
      <protection locked="0"/>
    </xf>
    <xf numFmtId="0" fontId="56" fillId="0" borderId="0" xfId="0" applyFont="1" applyFill="1" applyBorder="1" applyAlignment="1" applyProtection="1">
      <alignment horizontal="center" vertical="center"/>
      <protection locked="0"/>
    </xf>
    <xf numFmtId="0" fontId="39" fillId="0" borderId="57" xfId="64" applyFont="1" applyFill="1" applyBorder="1" applyAlignment="1" applyProtection="1">
      <alignment horizontal="center" vertical="center" wrapText="1"/>
      <protection locked="0"/>
    </xf>
    <xf numFmtId="12" fontId="39" fillId="0" borderId="79" xfId="59" applyNumberFormat="1" applyFont="1" applyFill="1" applyBorder="1" applyAlignment="1" applyProtection="1">
      <alignment horizontal="center" vertical="center"/>
      <protection locked="0"/>
    </xf>
    <xf numFmtId="12" fontId="39" fillId="0" borderId="58" xfId="59" applyNumberFormat="1" applyFont="1" applyFill="1" applyBorder="1" applyAlignment="1" applyProtection="1">
      <alignment horizontal="center" vertical="center"/>
      <protection locked="0"/>
    </xf>
    <xf numFmtId="31" fontId="39" fillId="0" borderId="62" xfId="91" applyNumberFormat="1" applyFont="1" applyFill="1" applyBorder="1" applyAlignment="1" applyProtection="1">
      <alignment horizontal="center" vertical="center" wrapText="1" shrinkToFit="1"/>
      <protection locked="0"/>
    </xf>
    <xf numFmtId="31" fontId="39" fillId="0" borderId="44" xfId="91" applyNumberFormat="1" applyFont="1" applyFill="1" applyBorder="1" applyAlignment="1" applyProtection="1">
      <alignment horizontal="center" vertical="center" wrapText="1" shrinkToFit="1"/>
      <protection locked="0"/>
    </xf>
    <xf numFmtId="57" fontId="39" fillId="0" borderId="44" xfId="91" applyNumberFormat="1" applyFont="1" applyFill="1" applyBorder="1" applyAlignment="1" applyProtection="1">
      <alignment horizontal="center" vertical="center" wrapText="1" shrinkToFit="1"/>
      <protection locked="0"/>
    </xf>
    <xf numFmtId="57" fontId="39" fillId="0" borderId="62" xfId="91" applyNumberFormat="1" applyFont="1" applyFill="1" applyBorder="1" applyAlignment="1" applyProtection="1">
      <alignment horizontal="center" vertical="center" wrapText="1" shrinkToFit="1"/>
      <protection locked="0"/>
    </xf>
    <xf numFmtId="57" fontId="39" fillId="0" borderId="44" xfId="91" applyNumberFormat="1" applyFont="1" applyFill="1" applyBorder="1" applyAlignment="1" applyProtection="1">
      <alignment horizontal="center" vertical="center" wrapText="1"/>
      <protection locked="0"/>
    </xf>
    <xf numFmtId="57" fontId="39" fillId="0" borderId="57" xfId="91" applyNumberFormat="1" applyFont="1" applyFill="1" applyBorder="1" applyAlignment="1" applyProtection="1">
      <alignment horizontal="center" vertical="center" wrapText="1"/>
      <protection locked="0"/>
    </xf>
    <xf numFmtId="12" fontId="39" fillId="0" borderId="79" xfId="59" applyNumberFormat="1" applyFont="1" applyFill="1" applyBorder="1" applyAlignment="1" applyProtection="1">
      <alignment horizontal="center" vertical="center" wrapText="1"/>
      <protection locked="0"/>
    </xf>
    <xf numFmtId="12" fontId="39" fillId="0" borderId="58" xfId="59" applyNumberFormat="1" applyFont="1" applyFill="1" applyBorder="1" applyAlignment="1" applyProtection="1">
      <alignment horizontal="center" vertical="center" wrapText="1"/>
      <protection locked="0"/>
    </xf>
    <xf numFmtId="43" fontId="39" fillId="0" borderId="62" xfId="91" applyFont="1" applyFill="1" applyBorder="1" applyAlignment="1" applyProtection="1">
      <alignment horizontal="center" vertical="center" wrapText="1" shrinkToFit="1"/>
      <protection locked="0"/>
    </xf>
    <xf numFmtId="43" fontId="39" fillId="0" borderId="44" xfId="91" applyFont="1" applyFill="1" applyBorder="1" applyAlignment="1" applyProtection="1">
      <alignment horizontal="center" vertical="center" wrapText="1" shrinkToFit="1"/>
      <protection locked="0"/>
    </xf>
    <xf numFmtId="0" fontId="39" fillId="0" borderId="3" xfId="56" applyFont="1" applyBorder="1" applyAlignment="1">
      <alignment horizontal="center" vertical="center"/>
    </xf>
    <xf numFmtId="0" fontId="39" fillId="28" borderId="47" xfId="56" applyFont="1" applyFill="1" applyBorder="1" applyAlignment="1" applyProtection="1">
      <alignment horizontal="center" vertical="center" wrapText="1"/>
      <protection hidden="1"/>
    </xf>
    <xf numFmtId="0" fontId="39" fillId="28" borderId="83" xfId="56" applyFont="1" applyFill="1" applyBorder="1" applyAlignment="1" applyProtection="1">
      <alignment horizontal="center" vertical="center" wrapText="1"/>
      <protection hidden="1"/>
    </xf>
    <xf numFmtId="0" fontId="39" fillId="28" borderId="84" xfId="56" applyFont="1" applyFill="1" applyBorder="1" applyAlignment="1" applyProtection="1">
      <alignment horizontal="center" vertical="center" wrapText="1"/>
      <protection hidden="1"/>
    </xf>
    <xf numFmtId="0" fontId="39" fillId="19" borderId="85" xfId="56" applyFont="1" applyFill="1" applyBorder="1" applyAlignment="1" applyProtection="1">
      <alignment horizontal="center" vertical="center"/>
      <protection hidden="1"/>
    </xf>
    <xf numFmtId="0" fontId="39" fillId="19" borderId="40" xfId="56" applyFont="1" applyFill="1" applyBorder="1" applyAlignment="1" applyProtection="1">
      <alignment horizontal="center" vertical="center"/>
      <protection hidden="1"/>
    </xf>
    <xf numFmtId="0" fontId="39" fillId="19" borderId="86" xfId="56" applyFont="1" applyFill="1" applyBorder="1" applyAlignment="1" applyProtection="1">
      <alignment horizontal="center" vertical="center"/>
      <protection hidden="1"/>
    </xf>
    <xf numFmtId="0" fontId="39" fillId="19" borderId="42" xfId="56" applyFont="1" applyFill="1" applyBorder="1" applyAlignment="1" applyProtection="1">
      <alignment horizontal="center" vertical="center" wrapText="1"/>
      <protection hidden="1"/>
    </xf>
    <xf numFmtId="0" fontId="39" fillId="19" borderId="44" xfId="56" applyFont="1" applyFill="1" applyBorder="1" applyAlignment="1" applyProtection="1">
      <alignment horizontal="center" vertical="center" wrapText="1"/>
      <protection hidden="1"/>
    </xf>
    <xf numFmtId="0" fontId="39" fillId="19" borderId="42" xfId="56" applyFont="1" applyFill="1" applyBorder="1" applyAlignment="1" applyProtection="1">
      <alignment horizontal="center" vertical="center"/>
      <protection hidden="1"/>
    </xf>
    <xf numFmtId="0" fontId="39" fillId="19" borderId="44" xfId="56" applyFont="1" applyFill="1" applyBorder="1" applyAlignment="1" applyProtection="1">
      <alignment horizontal="center" vertical="center"/>
      <protection hidden="1"/>
    </xf>
    <xf numFmtId="0" fontId="39" fillId="28" borderId="46" xfId="56" applyFont="1" applyFill="1" applyBorder="1" applyAlignment="1" applyProtection="1">
      <alignment horizontal="center" vertical="center" wrapText="1"/>
      <protection hidden="1"/>
    </xf>
    <xf numFmtId="0" fontId="39" fillId="0" borderId="3" xfId="56" applyFont="1" applyBorder="1" applyAlignment="1">
      <alignment horizontal="center" vertical="center" wrapText="1"/>
    </xf>
    <xf numFmtId="0" fontId="39" fillId="19" borderId="80" xfId="56" applyFont="1" applyFill="1" applyBorder="1" applyAlignment="1" applyProtection="1">
      <alignment horizontal="center" vertical="center"/>
      <protection hidden="1"/>
    </xf>
    <xf numFmtId="0" fontId="39" fillId="19" borderId="81" xfId="56" applyFont="1" applyFill="1" applyBorder="1" applyAlignment="1" applyProtection="1">
      <alignment horizontal="center" vertical="center"/>
      <protection hidden="1"/>
    </xf>
    <xf numFmtId="0" fontId="39" fillId="19" borderId="82" xfId="56" applyFont="1" applyFill="1" applyBorder="1" applyAlignment="1" applyProtection="1">
      <alignment horizontal="center" vertical="center" wrapText="1"/>
      <protection hidden="1"/>
    </xf>
    <xf numFmtId="0" fontId="39" fillId="19" borderId="46" xfId="56" applyFont="1" applyFill="1" applyBorder="1" applyAlignment="1" applyProtection="1">
      <alignment horizontal="center" vertical="center" wrapText="1"/>
      <protection hidden="1"/>
    </xf>
  </cellXfs>
  <cellStyles count="213">
    <cellStyle name="_x000a_mouse.drv=lm" xfId="1" xr:uid="{00000000-0005-0000-0000-000000000000}"/>
    <cellStyle name="_x000d__x000a_JournalTemplate=C:\COMFO\CTALK\JOURSTD.TPL_x000d__x000a_LbStateAddress=3 3 0 251 1 89 2 311_x000d__x000a_LbStateJou" xfId="115" xr:uid="{00000000-0005-0000-0000-000001000000}"/>
    <cellStyle name="_x000d_mouse.drv=lm" xfId="206" xr:uid="{00000000-0005-0000-0000-000002000000}"/>
    <cellStyle name="_报表-模拟" xfId="2" xr:uid="{00000000-0005-0000-0000-000003000000}"/>
    <cellStyle name="_合并抵销-中轻物产（含天津）" xfId="4" xr:uid="{00000000-0005-0000-0000-000004000000}"/>
    <cellStyle name="_合并底稿--现金流和往来" xfId="3" xr:uid="{00000000-0005-0000-0000-000005000000}"/>
    <cellStyle name="_往来明细原始资料" xfId="130" xr:uid="{00000000-0005-0000-0000-000006000000}"/>
    <cellStyle name="_往来明细原始资料_1" xfId="131" xr:uid="{00000000-0005-0000-0000-000007000000}"/>
    <cellStyle name="_往来明细原始资料_2" xfId="132" xr:uid="{00000000-0005-0000-0000-000008000000}"/>
    <cellStyle name="_原准则三年一期试算平衡表" xfId="5" xr:uid="{00000000-0005-0000-0000-000009000000}"/>
    <cellStyle name="0%" xfId="133" xr:uid="{00000000-0005-0000-0000-00000A000000}"/>
    <cellStyle name="0,0_x000d__x000a_NA_x000d__x000a_" xfId="6" xr:uid="{00000000-0005-0000-0000-00000B000000}"/>
    <cellStyle name="0,0_x000d__x000a_NA_x000d__x000a_ 2" xfId="116" xr:uid="{00000000-0005-0000-0000-00000C000000}"/>
    <cellStyle name="0,0_x000d__x000d_NA_x000d__x000d_" xfId="207" xr:uid="{00000000-0005-0000-0000-00000D000000}"/>
    <cellStyle name="0.0%" xfId="134" xr:uid="{00000000-0005-0000-0000-00000E000000}"/>
    <cellStyle name="0.00%" xfId="135" xr:uid="{00000000-0005-0000-0000-00000F000000}"/>
    <cellStyle name="00" xfId="7" xr:uid="{00000000-0005-0000-0000-000010000000}"/>
    <cellStyle name="20% - 着色 1" xfId="8" builtinId="30" customBuiltin="1"/>
    <cellStyle name="20% - 着色 2" xfId="9" builtinId="34" customBuiltin="1"/>
    <cellStyle name="20% - 着色 3" xfId="10" builtinId="38" customBuiltin="1"/>
    <cellStyle name="20% - 着色 4" xfId="11" builtinId="42" customBuiltin="1"/>
    <cellStyle name="20% - 着色 5" xfId="12" builtinId="46" customBuiltin="1"/>
    <cellStyle name="20% - 着色 6" xfId="13" builtinId="50" customBuiltin="1"/>
    <cellStyle name="40% - 着色 1" xfId="14" builtinId="31" customBuiltin="1"/>
    <cellStyle name="40% - 着色 2" xfId="15" builtinId="35" customBuiltin="1"/>
    <cellStyle name="40% - 着色 3" xfId="16" builtinId="39" customBuiltin="1"/>
    <cellStyle name="40% - 着色 4" xfId="17" builtinId="43" customBuiltin="1"/>
    <cellStyle name="40% - 着色 5" xfId="18" builtinId="47" customBuiltin="1"/>
    <cellStyle name="40% - 着色 6" xfId="19" builtinId="51" customBuiltin="1"/>
    <cellStyle name="60% - 着色 1" xfId="20" builtinId="32" customBuiltin="1"/>
    <cellStyle name="60% - 着色 2" xfId="21" builtinId="36" customBuiltin="1"/>
    <cellStyle name="60% - 着色 3" xfId="22" builtinId="40" customBuiltin="1"/>
    <cellStyle name="60% - 着色 4" xfId="23" builtinId="44" customBuiltin="1"/>
    <cellStyle name="60% - 着色 5" xfId="24" builtinId="48" customBuiltin="1"/>
    <cellStyle name="60% - 着色 6" xfId="25" builtinId="52" customBuiltin="1"/>
    <cellStyle name="6mal" xfId="136" xr:uid="{00000000-0005-0000-0000-000023000000}"/>
    <cellStyle name="args.style" xfId="137" xr:uid="{00000000-0005-0000-0000-000024000000}"/>
    <cellStyle name="Black" xfId="138" xr:uid="{00000000-0005-0000-0000-000025000000}"/>
    <cellStyle name="Border" xfId="139" xr:uid="{00000000-0005-0000-0000-000026000000}"/>
    <cellStyle name="Calc Currency (0)" xfId="26" xr:uid="{00000000-0005-0000-0000-000027000000}"/>
    <cellStyle name="Col Heads" xfId="140" xr:uid="{00000000-0005-0000-0000-000028000000}"/>
    <cellStyle name="ColLevel_0" xfId="27" xr:uid="{00000000-0005-0000-0000-000029000000}"/>
    <cellStyle name="Column_Title" xfId="141" xr:uid="{00000000-0005-0000-0000-00002A000000}"/>
    <cellStyle name="Comma [0]_ SG&amp;A Bridge " xfId="28" xr:uid="{00000000-0005-0000-0000-00002B000000}"/>
    <cellStyle name="comma zerodec" xfId="29" xr:uid="{00000000-0005-0000-0000-00002C000000}"/>
    <cellStyle name="Comma,0" xfId="142" xr:uid="{00000000-0005-0000-0000-00002D000000}"/>
    <cellStyle name="Comma,1" xfId="143" xr:uid="{00000000-0005-0000-0000-00002E000000}"/>
    <cellStyle name="Comma,2" xfId="144" xr:uid="{00000000-0005-0000-0000-00002F000000}"/>
    <cellStyle name="Comma_ SG&amp;A Bridge " xfId="30" xr:uid="{00000000-0005-0000-0000-000030000000}"/>
    <cellStyle name="Currency [0]_ SG&amp;A Bridge " xfId="31" xr:uid="{00000000-0005-0000-0000-000031000000}"/>
    <cellStyle name="Currency,0" xfId="145" xr:uid="{00000000-0005-0000-0000-000032000000}"/>
    <cellStyle name="Currency,2" xfId="146" xr:uid="{00000000-0005-0000-0000-000033000000}"/>
    <cellStyle name="Currency_ SG&amp;A Bridge " xfId="32" xr:uid="{00000000-0005-0000-0000-000034000000}"/>
    <cellStyle name="Currency1" xfId="33" xr:uid="{00000000-0005-0000-0000-000035000000}"/>
    <cellStyle name="Date" xfId="147" xr:uid="{00000000-0005-0000-0000-000036000000}"/>
    <cellStyle name="Dezimal [0]_laroux" xfId="148" xr:uid="{00000000-0005-0000-0000-000037000000}"/>
    <cellStyle name="Dezimal_laroux" xfId="149" xr:uid="{00000000-0005-0000-0000-000038000000}"/>
    <cellStyle name="Dollar (zero dec)" xfId="34" xr:uid="{00000000-0005-0000-0000-000039000000}"/>
    <cellStyle name="Fixed" xfId="150" xr:uid="{00000000-0005-0000-0000-00003A000000}"/>
    <cellStyle name="Followed Hyperlink_AheadBehind.xls Chart 23" xfId="151" xr:uid="{00000000-0005-0000-0000-00003B000000}"/>
    <cellStyle name="Grey" xfId="35" xr:uid="{00000000-0005-0000-0000-00003C000000}"/>
    <cellStyle name="Header1" xfId="36" xr:uid="{00000000-0005-0000-0000-00003D000000}"/>
    <cellStyle name="Header2" xfId="37" xr:uid="{00000000-0005-0000-0000-00003E000000}"/>
    <cellStyle name="HEADING1" xfId="152" xr:uid="{00000000-0005-0000-0000-00003F000000}"/>
    <cellStyle name="HEADING2" xfId="153" xr:uid="{00000000-0005-0000-0000-000040000000}"/>
    <cellStyle name="Hyperlink_AheadBehind.xls Chart 23" xfId="154" xr:uid="{00000000-0005-0000-0000-000041000000}"/>
    <cellStyle name="Input [yellow]" xfId="38" xr:uid="{00000000-0005-0000-0000-000042000000}"/>
    <cellStyle name="Input Cells" xfId="155" xr:uid="{00000000-0005-0000-0000-000043000000}"/>
    <cellStyle name="Linked Cells" xfId="156" xr:uid="{00000000-0005-0000-0000-000044000000}"/>
    <cellStyle name="Millares [0]_96 Risk" xfId="157" xr:uid="{00000000-0005-0000-0000-000045000000}"/>
    <cellStyle name="Millares_96 Risk" xfId="158" xr:uid="{00000000-0005-0000-0000-000046000000}"/>
    <cellStyle name="Milliers [0]_!!!GO" xfId="159" xr:uid="{00000000-0005-0000-0000-000047000000}"/>
    <cellStyle name="Milliers_!!!GO" xfId="160" xr:uid="{00000000-0005-0000-0000-000048000000}"/>
    <cellStyle name="Moneda [0]_96 Risk" xfId="161" xr:uid="{00000000-0005-0000-0000-000049000000}"/>
    <cellStyle name="Moneda_96 Risk" xfId="162" xr:uid="{00000000-0005-0000-0000-00004A000000}"/>
    <cellStyle name="Mon閠aire [0]_!!!GO" xfId="163" xr:uid="{00000000-0005-0000-0000-00004B000000}"/>
    <cellStyle name="Mon閠aire_!!!GO" xfId="164" xr:uid="{00000000-0005-0000-0000-00004C000000}"/>
    <cellStyle name="New Times Roman" xfId="165" xr:uid="{00000000-0005-0000-0000-00004D000000}"/>
    <cellStyle name="no dec" xfId="166" xr:uid="{00000000-0005-0000-0000-00004E000000}"/>
    <cellStyle name="Non défini" xfId="167" xr:uid="{00000000-0005-0000-0000-00004F000000}"/>
    <cellStyle name="Normal - Style1" xfId="39" xr:uid="{00000000-0005-0000-0000-000050000000}"/>
    <cellStyle name="Normal_ SG&amp;A Bridge " xfId="40" xr:uid="{00000000-0005-0000-0000-000051000000}"/>
    <cellStyle name="per.style" xfId="168" xr:uid="{00000000-0005-0000-0000-000052000000}"/>
    <cellStyle name="Percent [2]" xfId="41" xr:uid="{00000000-0005-0000-0000-000053000000}"/>
    <cellStyle name="Percent_!!!GO" xfId="169" xr:uid="{00000000-0005-0000-0000-000054000000}"/>
    <cellStyle name="Pourcentage_pldt" xfId="170" xr:uid="{00000000-0005-0000-0000-000055000000}"/>
    <cellStyle name="PSChar" xfId="171" xr:uid="{00000000-0005-0000-0000-000056000000}"/>
    <cellStyle name="PSDate" xfId="172" xr:uid="{00000000-0005-0000-0000-000057000000}"/>
    <cellStyle name="PSDec" xfId="173" xr:uid="{00000000-0005-0000-0000-000058000000}"/>
    <cellStyle name="PSHeading" xfId="174" xr:uid="{00000000-0005-0000-0000-000059000000}"/>
    <cellStyle name="PSInt" xfId="175" xr:uid="{00000000-0005-0000-0000-00005A000000}"/>
    <cellStyle name="PSSpacer" xfId="176" xr:uid="{00000000-0005-0000-0000-00005B000000}"/>
    <cellStyle name="Red" xfId="177" xr:uid="{00000000-0005-0000-0000-00005C000000}"/>
    <cellStyle name="row_def_array" xfId="42" xr:uid="{00000000-0005-0000-0000-00005D000000}"/>
    <cellStyle name="RowLevel_0" xfId="43" xr:uid="{00000000-0005-0000-0000-00005E000000}"/>
    <cellStyle name="S5" xfId="208" xr:uid="{00000000-0005-0000-0000-00005F000000}"/>
    <cellStyle name="sstot" xfId="178" xr:uid="{00000000-0005-0000-0000-000060000000}"/>
    <cellStyle name="Standard_AREAS" xfId="179" xr:uid="{00000000-0005-0000-0000-000061000000}"/>
    <cellStyle name="style" xfId="180" xr:uid="{00000000-0005-0000-0000-000062000000}"/>
    <cellStyle name="style1" xfId="181" xr:uid="{00000000-0005-0000-0000-000063000000}"/>
    <cellStyle name="style2" xfId="182" xr:uid="{00000000-0005-0000-0000-000064000000}"/>
    <cellStyle name="t" xfId="183" xr:uid="{00000000-0005-0000-0000-000065000000}"/>
    <cellStyle name="t_HVAC Equipment (3)" xfId="184" xr:uid="{00000000-0005-0000-0000-000066000000}"/>
    <cellStyle name="Total" xfId="185" xr:uid="{00000000-0005-0000-0000-000067000000}"/>
    <cellStyle name="_laroux" xfId="111" xr:uid="{00000000-0005-0000-0000-000068000000}"/>
    <cellStyle name="だ_laroux" xfId="112" xr:uid="{00000000-0005-0000-0000-000069000000}"/>
    <cellStyle name="百分比" xfId="44" builtinId="5"/>
    <cellStyle name="百分比 2" xfId="45" xr:uid="{00000000-0005-0000-0000-00006B000000}"/>
    <cellStyle name="百分比 2 2" xfId="124" xr:uid="{00000000-0005-0000-0000-00006C000000}"/>
    <cellStyle name="百分比 3" xfId="117" xr:uid="{00000000-0005-0000-0000-00006D000000}"/>
    <cellStyle name="捠壿 [0.00]_PRODUCT DETAIL Q1" xfId="46" xr:uid="{00000000-0005-0000-0000-00006E000000}"/>
    <cellStyle name="捠壿_PRODUCT DETAIL Q1" xfId="47" xr:uid="{00000000-0005-0000-0000-00006F000000}"/>
    <cellStyle name="编号" xfId="186" xr:uid="{00000000-0005-0000-0000-000070000000}"/>
    <cellStyle name="标题" xfId="48" builtinId="15" customBuiltin="1"/>
    <cellStyle name="标题 1" xfId="49" builtinId="16" customBuiltin="1"/>
    <cellStyle name="标题 2" xfId="50" builtinId="17" customBuiltin="1"/>
    <cellStyle name="标题 3" xfId="51" builtinId="18" customBuiltin="1"/>
    <cellStyle name="标题 4" xfId="52" builtinId="19" customBuiltin="1"/>
    <cellStyle name="标题1" xfId="187" xr:uid="{00000000-0005-0000-0000-000076000000}"/>
    <cellStyle name="部门" xfId="188" xr:uid="{00000000-0005-0000-0000-000077000000}"/>
    <cellStyle name="差" xfId="53" builtinId="27" customBuiltin="1"/>
    <cellStyle name="差_8100－1合并报表试算平衡表(新准则)" xfId="54" xr:uid="{00000000-0005-0000-0000-000079000000}"/>
    <cellStyle name="差_报表附注" xfId="189" xr:uid="{00000000-0005-0000-0000-00007A000000}"/>
    <cellStyle name="差_往来明细原始资料" xfId="190" xr:uid="{00000000-0005-0000-0000-00007B000000}"/>
    <cellStyle name="差_新准则报表－融辉2007-06-20" xfId="191" xr:uid="{00000000-0005-0000-0000-00007C000000}"/>
    <cellStyle name="常规" xfId="0" builtinId="0"/>
    <cellStyle name="常规 2" xfId="55" xr:uid="{00000000-0005-0000-0000-00007E000000}"/>
    <cellStyle name="常规 2 2" xfId="209" xr:uid="{00000000-0005-0000-0000-00007F000000}"/>
    <cellStyle name="常规 2 3" xfId="210" xr:uid="{00000000-0005-0000-0000-000080000000}"/>
    <cellStyle name="常规 3" xfId="56" xr:uid="{00000000-0005-0000-0000-000081000000}"/>
    <cellStyle name="常规 4" xfId="57" xr:uid="{00000000-0005-0000-0000-000082000000}"/>
    <cellStyle name="常规 5" xfId="114" xr:uid="{00000000-0005-0000-0000-000083000000}"/>
    <cellStyle name="常规 6" xfId="118" xr:uid="{00000000-0005-0000-0000-000084000000}"/>
    <cellStyle name="常规 7" xfId="119" xr:uid="{00000000-0005-0000-0000-000085000000}"/>
    <cellStyle name="常规 8" xfId="127" xr:uid="{00000000-0005-0000-0000-000086000000}"/>
    <cellStyle name="常规 9" xfId="192" xr:uid="{00000000-0005-0000-0000-000087000000}"/>
    <cellStyle name="常规_5600长期借款通用表格" xfId="58" xr:uid="{00000000-0005-0000-0000-000088000000}"/>
    <cellStyle name="常规_8100－1合并报表试算平衡表(新准则)" xfId="59" xr:uid="{00000000-0005-0000-0000-000089000000}"/>
    <cellStyle name="常规_Bs&amp;Is2000-北旅年审披露报表-双披" xfId="60" xr:uid="{00000000-0005-0000-0000-00008A000000}"/>
    <cellStyle name="常规_Cape M&amp;E Report" xfId="61" xr:uid="{00000000-0005-0000-0000-00008B000000}"/>
    <cellStyle name="常规_货币资金C" xfId="62" xr:uid="{00000000-0005-0000-0000-00008C000000}"/>
    <cellStyle name="常规_货币资金C 2" xfId="128" xr:uid="{00000000-0005-0000-0000-00008D000000}"/>
    <cellStyle name="常规_控制测试底稿" xfId="63" xr:uid="{00000000-0005-0000-0000-00008E000000}"/>
    <cellStyle name="常规_控制测试底稿 2" xfId="126" xr:uid="{00000000-0005-0000-0000-00008F000000}"/>
    <cellStyle name="常规_潼关矿业" xfId="64" xr:uid="{00000000-0005-0000-0000-000090000000}"/>
    <cellStyle name="常规_细节测试样本" xfId="65" xr:uid="{00000000-0005-0000-0000-000091000000}"/>
    <cellStyle name="常规_项目实施的分析程序（F122-BF25）" xfId="66" xr:uid="{00000000-0005-0000-0000-000092000000}"/>
    <cellStyle name="常规_项目实施的分析程序（F122-BF25） 2" xfId="125" xr:uid="{00000000-0005-0000-0000-000093000000}"/>
    <cellStyle name="常规_资产损失与科研补充表修改2稿" xfId="67" xr:uid="{00000000-0005-0000-0000-000094000000}"/>
    <cellStyle name="超级链接_报表及附注项目明细表" xfId="193" xr:uid="{00000000-0005-0000-0000-000095000000}"/>
    <cellStyle name="超链接" xfId="68" builtinId="8"/>
    <cellStyle name="超链接 2" xfId="69" xr:uid="{00000000-0005-0000-0000-000097000000}"/>
    <cellStyle name="逗号 2" xfId="205" xr:uid="{00000000-0005-0000-0000-000098000000}"/>
    <cellStyle name="分级显示行_1_4附件二凯旋评估表" xfId="194" xr:uid="{00000000-0005-0000-0000-000099000000}"/>
    <cellStyle name="分级显示列_1_Book1" xfId="195" xr:uid="{00000000-0005-0000-0000-00009A000000}"/>
    <cellStyle name="好" xfId="70" builtinId="26" customBuiltin="1"/>
    <cellStyle name="好_8100－1合并报表试算平衡表(新准则)" xfId="71" xr:uid="{00000000-0005-0000-0000-00009C000000}"/>
    <cellStyle name="好_报表附注" xfId="196" xr:uid="{00000000-0005-0000-0000-00009D000000}"/>
    <cellStyle name="好_往来明细原始资料" xfId="197" xr:uid="{00000000-0005-0000-0000-00009E000000}"/>
    <cellStyle name="好_新准则报表－融辉2007-06-20" xfId="198" xr:uid="{00000000-0005-0000-0000-00009F000000}"/>
    <cellStyle name="汇总" xfId="72" builtinId="25" customBuiltin="1"/>
    <cellStyle name="计算" xfId="73" builtinId="22" customBuiltin="1"/>
    <cellStyle name="检查单元格" xfId="74" builtinId="23" customBuiltin="1"/>
    <cellStyle name="解释性文本" xfId="75" builtinId="53" customBuiltin="1"/>
    <cellStyle name="借出原因" xfId="199" xr:uid="{00000000-0005-0000-0000-0000A4000000}"/>
    <cellStyle name="警告文本" xfId="76" builtinId="11" customBuiltin="1"/>
    <cellStyle name="链接单元格" xfId="77" builtinId="24" customBuiltin="1"/>
    <cellStyle name="霓付 [0]_1202" xfId="83" xr:uid="{00000000-0005-0000-0000-0000A7000000}"/>
    <cellStyle name="霓付_1202" xfId="84" xr:uid="{00000000-0005-0000-0000-0000A8000000}"/>
    <cellStyle name="烹拳 [0]_1202" xfId="85" xr:uid="{00000000-0005-0000-0000-0000A9000000}"/>
    <cellStyle name="烹拳_1202" xfId="86" xr:uid="{00000000-0005-0000-0000-0000AA000000}"/>
    <cellStyle name="普通 2" xfId="204" xr:uid="{00000000-0005-0000-0000-0000AB000000}"/>
    <cellStyle name="千分位[0]_ 白土" xfId="87" xr:uid="{00000000-0005-0000-0000-0000AC000000}"/>
    <cellStyle name="千分位_ 白土" xfId="88" xr:uid="{00000000-0005-0000-0000-0000AD000000}"/>
    <cellStyle name="千位[0]_ 方正PC" xfId="89" xr:uid="{00000000-0005-0000-0000-0000AE000000}"/>
    <cellStyle name="千位_ 方正PC" xfId="90" xr:uid="{00000000-0005-0000-0000-0000AF000000}"/>
    <cellStyle name="千位分隔" xfId="91" builtinId="3"/>
    <cellStyle name="千位分隔 2" xfId="92" xr:uid="{00000000-0005-0000-0000-0000B1000000}"/>
    <cellStyle name="千位分隔 2 2" xfId="120" xr:uid="{00000000-0005-0000-0000-0000B2000000}"/>
    <cellStyle name="千位分隔 2 3" xfId="211" xr:uid="{00000000-0005-0000-0000-0000B3000000}"/>
    <cellStyle name="千位分隔 3" xfId="93" xr:uid="{00000000-0005-0000-0000-0000B4000000}"/>
    <cellStyle name="千位分隔 4" xfId="113" xr:uid="{00000000-0005-0000-0000-0000B5000000}"/>
    <cellStyle name="千位分隔 4 2" xfId="129" xr:uid="{00000000-0005-0000-0000-0000B6000000}"/>
    <cellStyle name="千位分隔 5" xfId="121" xr:uid="{00000000-0005-0000-0000-0000B7000000}"/>
    <cellStyle name="千位分隔 6" xfId="200" xr:uid="{00000000-0005-0000-0000-0000B8000000}"/>
    <cellStyle name="千位分隔[0]" xfId="94" builtinId="6"/>
    <cellStyle name="千位分隔[0] 2" xfId="95" xr:uid="{00000000-0005-0000-0000-0000BA000000}"/>
    <cellStyle name="钎霖_(沥焊何巩)岿喊牢盔拌裙" xfId="96" xr:uid="{00000000-0005-0000-0000-0000BB000000}"/>
    <cellStyle name="日期" xfId="201" xr:uid="{00000000-0005-0000-0000-0000BC000000}"/>
    <cellStyle name="商品名称" xfId="202" xr:uid="{00000000-0005-0000-0000-0000BD000000}"/>
    <cellStyle name="适中" xfId="103" builtinId="28" customBuiltin="1"/>
    <cellStyle name="输出" xfId="104" builtinId="21" customBuiltin="1"/>
    <cellStyle name="输入" xfId="105" builtinId="20" customBuiltin="1"/>
    <cellStyle name="数量" xfId="203" xr:uid="{00000000-0005-0000-0000-0000C1000000}"/>
    <cellStyle name="样式 1" xfId="106" xr:uid="{00000000-0005-0000-0000-0000C2000000}"/>
    <cellStyle name="样式 1 2" xfId="122" xr:uid="{00000000-0005-0000-0000-0000C3000000}"/>
    <cellStyle name="已访问的超链接" xfId="212" builtinId="9" hidden="1"/>
    <cellStyle name="昗弨_BOOKSHIP" xfId="107" xr:uid="{00000000-0005-0000-0000-0000C5000000}"/>
    <cellStyle name="着色 1" xfId="97" builtinId="29" customBuiltin="1"/>
    <cellStyle name="着色 2" xfId="98" builtinId="33" customBuiltin="1"/>
    <cellStyle name="着色 3" xfId="99" builtinId="37" customBuiltin="1"/>
    <cellStyle name="着色 4" xfId="100" builtinId="41" customBuiltin="1"/>
    <cellStyle name="着色 5" xfId="101" builtinId="45" customBuiltin="1"/>
    <cellStyle name="着色 6" xfId="102" builtinId="49" customBuiltin="1"/>
    <cellStyle name="寘嬫愗傝 [0.00]_PRODUCT DETAIL Q1" xfId="108" xr:uid="{00000000-0005-0000-0000-0000CC000000}"/>
    <cellStyle name="寘嬫愗傝_PRODUCT DETAIL Q1" xfId="109" xr:uid="{00000000-0005-0000-0000-0000CD000000}"/>
    <cellStyle name="注释" xfId="110" builtinId="10" customBuiltin="1"/>
    <cellStyle name="注释 2" xfId="123" xr:uid="{00000000-0005-0000-0000-0000CF000000}"/>
    <cellStyle name="콤마 [0]_BOILER-CO1" xfId="78" xr:uid="{00000000-0005-0000-0000-0000D0000000}"/>
    <cellStyle name="콤마_BOILER-CO1" xfId="79" xr:uid="{00000000-0005-0000-0000-0000D1000000}"/>
    <cellStyle name="통화 [0]_BOILER-CO1" xfId="80" xr:uid="{00000000-0005-0000-0000-0000D2000000}"/>
    <cellStyle name="통화_BOILER-CO1" xfId="81" xr:uid="{00000000-0005-0000-0000-0000D3000000}"/>
    <cellStyle name="표준_0N-HANDLING " xfId="82" xr:uid="{00000000-0005-0000-0000-0000D4000000}"/>
  </cellStyles>
  <dxfs count="180">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ill>
        <patternFill>
          <bgColor indexed="11"/>
        </patternFill>
      </fill>
    </dxf>
    <dxf>
      <fill>
        <patternFill>
          <bgColor indexed="10"/>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23"/>
      </font>
    </dxf>
    <dxf>
      <font>
        <condense val="0"/>
        <extend val="0"/>
        <color indexed="23"/>
      </font>
      <fill>
        <patternFill>
          <bgColor indexed="13"/>
        </patternFill>
      </fill>
    </dxf>
    <dxf>
      <font>
        <condense val="0"/>
        <extend val="0"/>
        <color indexed="10"/>
      </font>
      <fill>
        <patternFill>
          <bgColor indexed="13"/>
        </patternFill>
      </fill>
    </dxf>
    <dxf>
      <font>
        <condense val="0"/>
        <extend val="0"/>
        <color indexed="12"/>
      </font>
    </dxf>
    <dxf>
      <font>
        <condense val="0"/>
        <extend val="0"/>
        <color indexed="10"/>
      </font>
      <fill>
        <patternFill>
          <bgColor indexed="13"/>
        </patternFill>
      </fill>
    </dxf>
    <dxf>
      <font>
        <condense val="0"/>
        <extend val="0"/>
        <color indexed="12"/>
      </font>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ill>
        <patternFill>
          <bgColor indexed="11"/>
        </patternFill>
      </fill>
    </dxf>
    <dxf>
      <fill>
        <patternFill>
          <bgColor indexed="10"/>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ont>
        <condense val="0"/>
        <extend val="0"/>
        <color indexed="8"/>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dxf>
    <dxf>
      <font>
        <condense val="0"/>
        <extend val="0"/>
        <color indexed="23"/>
      </font>
    </dxf>
  </dxfs>
  <tableStyles count="0" defaultTableStyle="TableStyleMedium9" defaultPivotStyle="PivotStyleLight16"/>
  <colors>
    <mruColors>
      <color rgb="FF0099FF"/>
      <color rgb="FF339966"/>
      <color rgb="FF006666"/>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sharedStrings" Target="sharedStrings.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calcChain" Target="calcChain.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s>
</file>

<file path=xl/drawings/_rels/drawing2.xml.rels><?xml version="1.0" encoding="UTF-8" standalone="yes"?>
<Relationships xmlns="http://schemas.openxmlformats.org/package/2006/relationships"><Relationship Id="rId1" Type="http://schemas.openxmlformats.org/officeDocument/2006/relationships/hyperlink" Target="#StartUp!A1"/></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hyperlink" Target="#StartUp!A1"/></Relationships>
</file>

<file path=xl/drawings/_rels/vmlDrawing5.vml.rels><?xml version="1.0" encoding="UTF-8" standalone="yes"?>
<Relationships xmlns="http://schemas.openxmlformats.org/package/2006/relationships"><Relationship Id="rId1" Type="http://schemas.openxmlformats.org/officeDocument/2006/relationships/image" Target="../media/image2.wmf"/></Relationships>
</file>

<file path=xl/drawings/drawing1.xml><?xml version="1.0" encoding="utf-8"?>
<xdr:wsDr xmlns:xdr="http://schemas.openxmlformats.org/drawingml/2006/spreadsheetDrawing" xmlns:a="http://schemas.openxmlformats.org/drawingml/2006/main">
  <xdr:twoCellAnchor>
    <xdr:from>
      <xdr:col>8</xdr:col>
      <xdr:colOff>28575</xdr:colOff>
      <xdr:row>4</xdr:row>
      <xdr:rowOff>95250</xdr:rowOff>
    </xdr:from>
    <xdr:to>
      <xdr:col>8</xdr:col>
      <xdr:colOff>257175</xdr:colOff>
      <xdr:row>4</xdr:row>
      <xdr:rowOff>95250</xdr:rowOff>
    </xdr:to>
    <xdr:sp macro="" textlink="">
      <xdr:nvSpPr>
        <xdr:cNvPr id="107910" name="Line 2">
          <a:extLst>
            <a:ext uri="{FF2B5EF4-FFF2-40B4-BE49-F238E27FC236}">
              <a16:creationId xmlns:a16="http://schemas.microsoft.com/office/drawing/2014/main" id="{00000000-0008-0000-0000-000086A50100}"/>
            </a:ext>
          </a:extLst>
        </xdr:cNvPr>
        <xdr:cNvSpPr>
          <a:spLocks noChangeShapeType="1"/>
        </xdr:cNvSpPr>
      </xdr:nvSpPr>
      <xdr:spPr bwMode="auto">
        <a:xfrm>
          <a:off x="3600450" y="762000"/>
          <a:ext cx="228600" cy="0"/>
        </a:xfrm>
        <a:prstGeom prst="line">
          <a:avLst/>
        </a:prstGeom>
        <a:noFill/>
        <a:ln w="9525">
          <a:solidFill>
            <a:srgbClr val="FF0000"/>
          </a:solidFill>
          <a:round/>
          <a:headEnd/>
          <a:tailEnd type="triangle" w="med" len="med"/>
        </a:ln>
      </xdr:spPr>
    </xdr:sp>
    <xdr:clientData/>
  </xdr:twoCellAnchor>
  <xdr:twoCellAnchor>
    <xdr:from>
      <xdr:col>10</xdr:col>
      <xdr:colOff>19050</xdr:colOff>
      <xdr:row>4</xdr:row>
      <xdr:rowOff>85725</xdr:rowOff>
    </xdr:from>
    <xdr:to>
      <xdr:col>10</xdr:col>
      <xdr:colOff>247650</xdr:colOff>
      <xdr:row>4</xdr:row>
      <xdr:rowOff>85725</xdr:rowOff>
    </xdr:to>
    <xdr:sp macro="" textlink="">
      <xdr:nvSpPr>
        <xdr:cNvPr id="107911" name="Line 3">
          <a:extLst>
            <a:ext uri="{FF2B5EF4-FFF2-40B4-BE49-F238E27FC236}">
              <a16:creationId xmlns:a16="http://schemas.microsoft.com/office/drawing/2014/main" id="{00000000-0008-0000-0000-000087A50100}"/>
            </a:ext>
          </a:extLst>
        </xdr:cNvPr>
        <xdr:cNvSpPr>
          <a:spLocks noChangeShapeType="1"/>
        </xdr:cNvSpPr>
      </xdr:nvSpPr>
      <xdr:spPr bwMode="auto">
        <a:xfrm>
          <a:off x="4848225" y="752475"/>
          <a:ext cx="228600" cy="0"/>
        </a:xfrm>
        <a:prstGeom prst="line">
          <a:avLst/>
        </a:prstGeom>
        <a:noFill/>
        <a:ln w="9525">
          <a:solidFill>
            <a:srgbClr val="FF0000"/>
          </a:solidFill>
          <a:round/>
          <a:headEnd/>
          <a:tailEnd type="triangle" w="med" len="med"/>
        </a:ln>
      </xdr:spPr>
    </xdr:sp>
    <xdr:clientData/>
  </xdr:twoCellAnchor>
  <xdr:twoCellAnchor>
    <xdr:from>
      <xdr:col>10</xdr:col>
      <xdr:colOff>152400</xdr:colOff>
      <xdr:row>5</xdr:row>
      <xdr:rowOff>76200</xdr:rowOff>
    </xdr:from>
    <xdr:to>
      <xdr:col>10</xdr:col>
      <xdr:colOff>152400</xdr:colOff>
      <xdr:row>9</xdr:row>
      <xdr:rowOff>123825</xdr:rowOff>
    </xdr:to>
    <xdr:sp macro="" textlink="">
      <xdr:nvSpPr>
        <xdr:cNvPr id="107912" name="Line 4">
          <a:extLst>
            <a:ext uri="{FF2B5EF4-FFF2-40B4-BE49-F238E27FC236}">
              <a16:creationId xmlns:a16="http://schemas.microsoft.com/office/drawing/2014/main" id="{00000000-0008-0000-0000-000088A50100}"/>
            </a:ext>
          </a:extLst>
        </xdr:cNvPr>
        <xdr:cNvSpPr>
          <a:spLocks noChangeShapeType="1"/>
        </xdr:cNvSpPr>
      </xdr:nvSpPr>
      <xdr:spPr bwMode="auto">
        <a:xfrm>
          <a:off x="4981575" y="885825"/>
          <a:ext cx="0" cy="619125"/>
        </a:xfrm>
        <a:prstGeom prst="line">
          <a:avLst/>
        </a:prstGeom>
        <a:noFill/>
        <a:ln w="9525">
          <a:solidFill>
            <a:srgbClr val="FF0000"/>
          </a:solidFill>
          <a:round/>
          <a:headEnd/>
          <a:tailEnd/>
        </a:ln>
      </xdr:spPr>
    </xdr:sp>
    <xdr:clientData/>
  </xdr:twoCellAnchor>
  <xdr:twoCellAnchor>
    <xdr:from>
      <xdr:col>10</xdr:col>
      <xdr:colOff>28575</xdr:colOff>
      <xdr:row>7</xdr:row>
      <xdr:rowOff>76200</xdr:rowOff>
    </xdr:from>
    <xdr:to>
      <xdr:col>10</xdr:col>
      <xdr:colOff>152400</xdr:colOff>
      <xdr:row>7</xdr:row>
      <xdr:rowOff>76200</xdr:rowOff>
    </xdr:to>
    <xdr:sp macro="" textlink="">
      <xdr:nvSpPr>
        <xdr:cNvPr id="107913" name="Line 5">
          <a:extLst>
            <a:ext uri="{FF2B5EF4-FFF2-40B4-BE49-F238E27FC236}">
              <a16:creationId xmlns:a16="http://schemas.microsoft.com/office/drawing/2014/main" id="{00000000-0008-0000-0000-000089A50100}"/>
            </a:ext>
          </a:extLst>
        </xdr:cNvPr>
        <xdr:cNvSpPr>
          <a:spLocks noChangeShapeType="1"/>
        </xdr:cNvSpPr>
      </xdr:nvSpPr>
      <xdr:spPr bwMode="auto">
        <a:xfrm>
          <a:off x="4857750" y="1171575"/>
          <a:ext cx="123825" cy="0"/>
        </a:xfrm>
        <a:prstGeom prst="line">
          <a:avLst/>
        </a:prstGeom>
        <a:noFill/>
        <a:ln w="9525">
          <a:solidFill>
            <a:srgbClr val="FF0000"/>
          </a:solidFill>
          <a:round/>
          <a:headEnd type="stealth" w="med" len="med"/>
          <a:tailEnd/>
        </a:ln>
      </xdr:spPr>
    </xdr:sp>
    <xdr:clientData/>
  </xdr:twoCellAnchor>
  <xdr:twoCellAnchor>
    <xdr:from>
      <xdr:col>10</xdr:col>
      <xdr:colOff>152400</xdr:colOff>
      <xdr:row>5</xdr:row>
      <xdr:rowOff>76200</xdr:rowOff>
    </xdr:from>
    <xdr:to>
      <xdr:col>10</xdr:col>
      <xdr:colOff>257175</xdr:colOff>
      <xdr:row>5</xdr:row>
      <xdr:rowOff>76200</xdr:rowOff>
    </xdr:to>
    <xdr:sp macro="" textlink="">
      <xdr:nvSpPr>
        <xdr:cNvPr id="107914" name="Line 6">
          <a:extLst>
            <a:ext uri="{FF2B5EF4-FFF2-40B4-BE49-F238E27FC236}">
              <a16:creationId xmlns:a16="http://schemas.microsoft.com/office/drawing/2014/main" id="{00000000-0008-0000-0000-00008AA50100}"/>
            </a:ext>
          </a:extLst>
        </xdr:cNvPr>
        <xdr:cNvSpPr>
          <a:spLocks noChangeShapeType="1"/>
        </xdr:cNvSpPr>
      </xdr:nvSpPr>
      <xdr:spPr bwMode="auto">
        <a:xfrm flipH="1">
          <a:off x="4981575" y="885825"/>
          <a:ext cx="104775" cy="0"/>
        </a:xfrm>
        <a:prstGeom prst="line">
          <a:avLst/>
        </a:prstGeom>
        <a:noFill/>
        <a:ln w="9525">
          <a:solidFill>
            <a:srgbClr val="FF0000"/>
          </a:solidFill>
          <a:round/>
          <a:headEnd/>
          <a:tailEnd/>
        </a:ln>
      </xdr:spPr>
    </xdr:sp>
    <xdr:clientData/>
  </xdr:twoCellAnchor>
  <xdr:twoCellAnchor>
    <xdr:from>
      <xdr:col>10</xdr:col>
      <xdr:colOff>152400</xdr:colOff>
      <xdr:row>9</xdr:row>
      <xdr:rowOff>123825</xdr:rowOff>
    </xdr:from>
    <xdr:to>
      <xdr:col>10</xdr:col>
      <xdr:colOff>257175</xdr:colOff>
      <xdr:row>9</xdr:row>
      <xdr:rowOff>123825</xdr:rowOff>
    </xdr:to>
    <xdr:sp macro="" textlink="">
      <xdr:nvSpPr>
        <xdr:cNvPr id="107915" name="Line 7">
          <a:extLst>
            <a:ext uri="{FF2B5EF4-FFF2-40B4-BE49-F238E27FC236}">
              <a16:creationId xmlns:a16="http://schemas.microsoft.com/office/drawing/2014/main" id="{00000000-0008-0000-0000-00008BA50100}"/>
            </a:ext>
          </a:extLst>
        </xdr:cNvPr>
        <xdr:cNvSpPr>
          <a:spLocks noChangeShapeType="1"/>
        </xdr:cNvSpPr>
      </xdr:nvSpPr>
      <xdr:spPr bwMode="auto">
        <a:xfrm flipH="1">
          <a:off x="4981575" y="1504950"/>
          <a:ext cx="104775" cy="0"/>
        </a:xfrm>
        <a:prstGeom prst="line">
          <a:avLst/>
        </a:prstGeom>
        <a:noFill/>
        <a:ln w="9525">
          <a:solidFill>
            <a:srgbClr val="FF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oneCellAnchor>
    <xdr:from>
      <xdr:col>3</xdr:col>
      <xdr:colOff>211667</xdr:colOff>
      <xdr:row>0</xdr:row>
      <xdr:rowOff>257175</xdr:rowOff>
    </xdr:from>
    <xdr:ext cx="184730" cy="359073"/>
    <xdr:sp macro="" textlink="">
      <xdr:nvSpPr>
        <xdr:cNvPr id="2" name="矩形 1">
          <a:hlinkClick xmlns:r="http://schemas.openxmlformats.org/officeDocument/2006/relationships" r:id="rId1"/>
          <a:extLst>
            <a:ext uri="{FF2B5EF4-FFF2-40B4-BE49-F238E27FC236}">
              <a16:creationId xmlns:a16="http://schemas.microsoft.com/office/drawing/2014/main" id="{00000000-0008-0000-0D00-000002000000}"/>
            </a:ext>
          </a:extLst>
        </xdr:cNvPr>
        <xdr:cNvSpPr/>
      </xdr:nvSpPr>
      <xdr:spPr>
        <a:xfrm>
          <a:off x="7620000" y="257175"/>
          <a:ext cx="184730" cy="359073"/>
        </a:xfrm>
        <a:prstGeom prst="rect">
          <a:avLst/>
        </a:prstGeom>
        <a:noFill/>
      </xdr:spPr>
      <xdr:txBody>
        <a:bodyPr wrap="none" lIns="91440" tIns="45720" rIns="91440" bIns="45720">
          <a:spAutoFit/>
        </a:bodyPr>
        <a:lstStyle/>
        <a:p>
          <a:pPr algn="ctr"/>
          <a:endParaRPr lang="zh-CN" altLang="en-US" sz="1600" b="1" i="0"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latin typeface="黑体"/>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1133474</xdr:colOff>
      <xdr:row>0</xdr:row>
      <xdr:rowOff>9525</xdr:rowOff>
    </xdr:from>
    <xdr:to>
      <xdr:col>4</xdr:col>
      <xdr:colOff>1914525</xdr:colOff>
      <xdr:row>0</xdr:row>
      <xdr:rowOff>276225</xdr:rowOff>
    </xdr:to>
    <xdr:pic>
      <xdr:nvPicPr>
        <xdr:cNvPr id="2" name="图片 3">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228849" y="9525"/>
          <a:ext cx="1914525" cy="266700"/>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xdr:from>
          <xdr:col>9</xdr:col>
          <xdr:colOff>0</xdr:colOff>
          <xdr:row>4</xdr:row>
          <xdr:rowOff>0</xdr:rowOff>
        </xdr:from>
        <xdr:to>
          <xdr:col>9</xdr:col>
          <xdr:colOff>9525</xdr:colOff>
          <xdr:row>4</xdr:row>
          <xdr:rowOff>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1000-0000011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8</xdr:col>
      <xdr:colOff>488204</xdr:colOff>
      <xdr:row>0</xdr:row>
      <xdr:rowOff>257175</xdr:rowOff>
    </xdr:from>
    <xdr:ext cx="184730" cy="359073"/>
    <xdr:sp macro="" textlink="">
      <xdr:nvSpPr>
        <xdr:cNvPr id="2" name="矩形 1">
          <a:hlinkClick xmlns:r="http://schemas.openxmlformats.org/officeDocument/2006/relationships" r:id="rId1"/>
          <a:extLst>
            <a:ext uri="{FF2B5EF4-FFF2-40B4-BE49-F238E27FC236}">
              <a16:creationId xmlns:a16="http://schemas.microsoft.com/office/drawing/2014/main" id="{00000000-0008-0000-1600-000002000000}"/>
            </a:ext>
          </a:extLst>
        </xdr:cNvPr>
        <xdr:cNvSpPr/>
      </xdr:nvSpPr>
      <xdr:spPr>
        <a:xfrm>
          <a:off x="8508254" y="257175"/>
          <a:ext cx="184730" cy="359073"/>
        </a:xfrm>
        <a:prstGeom prst="rect">
          <a:avLst/>
        </a:prstGeom>
        <a:noFill/>
      </xdr:spPr>
      <xdr:txBody>
        <a:bodyPr wrap="none" lIns="91440" tIns="45720" rIns="91440" bIns="45720">
          <a:spAutoFit/>
        </a:bodyPr>
        <a:lstStyle/>
        <a:p>
          <a:pPr algn="ctr"/>
          <a:endParaRPr lang="zh-CN" altLang="en-US" sz="1600" b="1" i="0"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latin typeface="黑体"/>
          </a:endParaRPr>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7.bin"/><Relationship Id="rId6" Type="http://schemas.openxmlformats.org/officeDocument/2006/relationships/comments" Target="../comments5.xml"/><Relationship Id="rId5" Type="http://schemas.openxmlformats.org/officeDocument/2006/relationships/image" Target="../media/image2.wmf"/><Relationship Id="rId4" Type="http://schemas.openxmlformats.org/officeDocument/2006/relationships/oleObject" Target="../embeddings/oleObject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22.bin"/><Relationship Id="rId4" Type="http://schemas.openxmlformats.org/officeDocument/2006/relationships/comments" Target="../comments6.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4.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N39"/>
  <sheetViews>
    <sheetView showGridLines="0" showZeros="0" workbookViewId="0">
      <selection activeCell="J5" sqref="J5"/>
    </sheetView>
  </sheetViews>
  <sheetFormatPr defaultColWidth="9" defaultRowHeight="13.5"/>
  <cols>
    <col min="1" max="1" width="2" style="361" customWidth="1"/>
    <col min="2" max="2" width="10.625" style="361" customWidth="1"/>
    <col min="3" max="3" width="22.125" style="362" bestFit="1" customWidth="1"/>
    <col min="4" max="4" width="9" style="361" hidden="1" customWidth="1"/>
    <col min="5" max="7" width="15.375" style="361" hidden="1" customWidth="1"/>
    <col min="8" max="8" width="15.375" style="362" customWidth="1"/>
    <col min="9" max="9" width="4.125" style="361" customWidth="1"/>
    <col min="10" max="10" width="12.125" style="362" customWidth="1"/>
    <col min="11" max="11" width="3.625" style="361" customWidth="1"/>
    <col min="12" max="12" width="15.125" style="362" customWidth="1"/>
    <col min="13" max="13" width="5" style="362" customWidth="1"/>
    <col min="14" max="14" width="9" style="362"/>
    <col min="15" max="15" width="2.375" style="362" customWidth="1"/>
    <col min="16" max="16" width="9" style="362"/>
    <col min="17" max="17" width="17.625" style="362" hidden="1" customWidth="1"/>
    <col min="18" max="40" width="9" style="362"/>
    <col min="41" max="16384" width="9" style="361"/>
  </cols>
  <sheetData>
    <row r="1" spans="1:17" ht="14.25" thickBot="1"/>
    <row r="2" spans="1:17" ht="26.25" thickTop="1">
      <c r="B2" s="1442" t="s">
        <v>4753</v>
      </c>
      <c r="C2" s="363"/>
      <c r="D2" s="363"/>
      <c r="E2" s="363"/>
      <c r="F2" s="363"/>
      <c r="G2" s="363"/>
      <c r="H2" s="363"/>
      <c r="I2" s="363"/>
      <c r="J2" s="363"/>
      <c r="K2" s="363"/>
      <c r="L2" s="363"/>
      <c r="M2" s="364"/>
    </row>
    <row r="3" spans="1:17">
      <c r="B3" s="365"/>
      <c r="C3" s="366"/>
      <c r="D3" s="367"/>
      <c r="E3" s="367"/>
      <c r="F3" s="367"/>
      <c r="G3" s="367"/>
      <c r="H3" s="366"/>
      <c r="I3" s="367"/>
      <c r="J3" s="366"/>
      <c r="K3" s="367"/>
      <c r="L3" s="366"/>
      <c r="M3" s="368"/>
    </row>
    <row r="4" spans="1:17">
      <c r="B4" s="369" t="s">
        <v>1474</v>
      </c>
      <c r="C4" s="1569" t="s">
        <v>5187</v>
      </c>
      <c r="D4" s="371" t="str">
        <f>B4&amp;"："&amp;C4</f>
        <v>编制单位：华鼎资本（北京）有限公司</v>
      </c>
      <c r="E4" s="371" t="str">
        <f>"被审计单位："&amp;C4</f>
        <v>被审计单位：华鼎资本（北京）有限公司</v>
      </c>
      <c r="F4" s="371"/>
      <c r="G4" s="371"/>
      <c r="H4" s="372"/>
      <c r="I4" s="371"/>
      <c r="J4" s="372"/>
      <c r="K4" s="371"/>
      <c r="L4" s="373" t="s">
        <v>1449</v>
      </c>
      <c r="M4" s="368"/>
    </row>
    <row r="5" spans="1:17">
      <c r="B5" s="369" t="s">
        <v>1475</v>
      </c>
      <c r="C5" s="374">
        <v>43616</v>
      </c>
      <c r="D5" s="371"/>
      <c r="E5" s="371"/>
      <c r="F5" s="371"/>
      <c r="G5" s="371"/>
      <c r="H5" s="373" t="s">
        <v>1450</v>
      </c>
      <c r="I5" s="375"/>
      <c r="J5" s="376" t="s">
        <v>1451</v>
      </c>
      <c r="K5" s="371"/>
      <c r="L5" s="377" t="s">
        <v>1452</v>
      </c>
      <c r="M5" s="368"/>
      <c r="Q5" s="362" t="s">
        <v>1448</v>
      </c>
    </row>
    <row r="6" spans="1:17">
      <c r="B6" s="369" t="s">
        <v>1476</v>
      </c>
      <c r="C6" s="370" t="s">
        <v>4999</v>
      </c>
      <c r="D6" s="371"/>
      <c r="E6" s="371"/>
      <c r="F6" s="371"/>
      <c r="G6" s="371"/>
      <c r="H6" s="378" t="s">
        <v>1453</v>
      </c>
      <c r="I6" s="375"/>
      <c r="J6" s="379"/>
      <c r="K6" s="371"/>
      <c r="L6" s="377" t="s">
        <v>1454</v>
      </c>
      <c r="M6" s="368"/>
    </row>
    <row r="7" spans="1:17">
      <c r="B7" s="369" t="s">
        <v>1477</v>
      </c>
      <c r="C7" s="370"/>
      <c r="D7" s="371"/>
      <c r="E7" s="371"/>
      <c r="F7" s="371"/>
      <c r="G7" s="371"/>
      <c r="H7" s="372"/>
      <c r="I7" s="371"/>
      <c r="J7" s="372"/>
      <c r="K7" s="371"/>
      <c r="L7" s="377" t="s">
        <v>1455</v>
      </c>
      <c r="M7" s="368"/>
    </row>
    <row r="8" spans="1:17">
      <c r="B8" s="369" t="s">
        <v>1478</v>
      </c>
      <c r="C8" s="1569" t="s">
        <v>5000</v>
      </c>
      <c r="D8" s="371"/>
      <c r="E8" s="371"/>
      <c r="F8" s="371"/>
      <c r="G8" s="371"/>
      <c r="H8" s="380" t="s">
        <v>1456</v>
      </c>
      <c r="I8" s="371"/>
      <c r="J8" s="376" t="s">
        <v>1457</v>
      </c>
      <c r="K8" s="371"/>
      <c r="L8" s="377" t="s">
        <v>1458</v>
      </c>
      <c r="M8" s="368"/>
    </row>
    <row r="9" spans="1:17">
      <c r="B9" s="369" t="s">
        <v>1479</v>
      </c>
      <c r="C9" s="1569" t="s">
        <v>5001</v>
      </c>
      <c r="D9" s="371"/>
      <c r="E9" s="371"/>
      <c r="F9" s="371"/>
      <c r="G9" s="371"/>
      <c r="H9" s="372"/>
      <c r="I9" s="371"/>
      <c r="J9" s="372"/>
      <c r="K9" s="371"/>
      <c r="L9" s="377" t="s">
        <v>1480</v>
      </c>
      <c r="M9" s="368"/>
    </row>
    <row r="10" spans="1:17">
      <c r="B10" s="369" t="s">
        <v>1481</v>
      </c>
      <c r="C10" s="381"/>
      <c r="D10" s="371"/>
      <c r="E10" s="371"/>
      <c r="F10" s="371"/>
      <c r="G10" s="371"/>
      <c r="H10" s="372"/>
      <c r="I10" s="371"/>
      <c r="J10" s="372"/>
      <c r="K10" s="371"/>
      <c r="L10" s="378" t="s">
        <v>1482</v>
      </c>
      <c r="M10" s="368"/>
    </row>
    <row r="11" spans="1:17" ht="14.25" thickBot="1">
      <c r="B11" s="382" t="s">
        <v>1483</v>
      </c>
      <c r="C11" s="383">
        <f>C10</f>
        <v>0</v>
      </c>
      <c r="D11" s="384"/>
      <c r="E11" s="384"/>
      <c r="F11" s="384"/>
      <c r="G11" s="384"/>
      <c r="H11" s="385"/>
      <c r="I11" s="384"/>
      <c r="J11" s="385"/>
      <c r="K11" s="384"/>
      <c r="L11" s="385"/>
      <c r="M11" s="386"/>
    </row>
    <row r="12" spans="1:17" ht="14.25" thickTop="1">
      <c r="A12" s="362"/>
      <c r="B12" s="362"/>
      <c r="D12" s="362"/>
      <c r="E12" s="362"/>
      <c r="F12" s="362"/>
      <c r="G12" s="362"/>
      <c r="I12" s="362"/>
      <c r="K12" s="362"/>
    </row>
    <row r="13" spans="1:17">
      <c r="A13" s="362"/>
      <c r="B13" s="362"/>
      <c r="D13" s="362"/>
      <c r="E13" s="362"/>
      <c r="F13" s="362"/>
      <c r="G13" s="362"/>
      <c r="I13" s="362"/>
      <c r="K13" s="362"/>
    </row>
    <row r="14" spans="1:17">
      <c r="A14" s="362"/>
      <c r="B14" s="362"/>
      <c r="C14" s="387"/>
      <c r="D14" s="362"/>
      <c r="E14" s="362"/>
      <c r="F14" s="362"/>
      <c r="G14" s="362"/>
      <c r="I14" s="362"/>
      <c r="K14" s="362"/>
    </row>
    <row r="15" spans="1:17" hidden="1">
      <c r="A15" s="362"/>
      <c r="B15" s="362"/>
      <c r="C15" s="387" t="s">
        <v>1484</v>
      </c>
      <c r="D15" s="362"/>
      <c r="E15" s="362"/>
      <c r="F15" s="362"/>
      <c r="G15" s="362"/>
      <c r="I15" s="362"/>
      <c r="K15" s="362"/>
    </row>
    <row r="16" spans="1:17" hidden="1">
      <c r="A16" s="362"/>
      <c r="B16" s="362"/>
      <c r="C16" s="387"/>
      <c r="D16" s="362"/>
      <c r="E16" s="362"/>
      <c r="F16" s="362"/>
      <c r="G16" s="362"/>
      <c r="I16" s="362"/>
      <c r="K16" s="362"/>
    </row>
    <row r="17" spans="3:14">
      <c r="C17" s="388"/>
      <c r="H17" s="361"/>
      <c r="J17" s="361"/>
      <c r="L17" s="361"/>
      <c r="M17" s="361"/>
      <c r="N17" s="361"/>
    </row>
    <row r="18" spans="3:14">
      <c r="C18" s="388"/>
      <c r="H18" s="361"/>
      <c r="J18" s="361"/>
      <c r="L18" s="361"/>
      <c r="M18" s="361"/>
      <c r="N18" s="361"/>
    </row>
    <row r="19" spans="3:14">
      <c r="C19" s="388" t="s">
        <v>1459</v>
      </c>
      <c r="H19" s="361"/>
      <c r="J19" s="361"/>
      <c r="L19" s="361"/>
      <c r="M19" s="361"/>
      <c r="N19" s="361"/>
    </row>
    <row r="20" spans="3:14">
      <c r="C20" s="388"/>
      <c r="H20" s="361"/>
      <c r="J20" s="361"/>
      <c r="L20" s="361"/>
      <c r="M20" s="361"/>
      <c r="N20" s="361"/>
    </row>
    <row r="21" spans="3:14">
      <c r="C21" s="388"/>
      <c r="H21" s="361"/>
      <c r="J21" s="361"/>
      <c r="L21" s="361"/>
      <c r="M21" s="361"/>
      <c r="N21" s="361"/>
    </row>
    <row r="22" spans="3:14">
      <c r="C22" s="388"/>
      <c r="H22" s="361"/>
      <c r="J22" s="361"/>
      <c r="L22" s="361"/>
      <c r="M22" s="361"/>
      <c r="N22" s="361"/>
    </row>
    <row r="23" spans="3:14">
      <c r="C23" s="388"/>
      <c r="H23" s="361"/>
      <c r="J23" s="361"/>
      <c r="L23" s="361"/>
      <c r="M23" s="361"/>
      <c r="N23" s="361"/>
    </row>
    <row r="24" spans="3:14">
      <c r="C24" s="388"/>
      <c r="H24" s="361"/>
      <c r="J24" s="361"/>
      <c r="L24" s="361"/>
      <c r="M24" s="361"/>
      <c r="N24" s="361"/>
    </row>
    <row r="25" spans="3:14">
      <c r="C25" s="361"/>
      <c r="H25" s="361"/>
      <c r="J25" s="361"/>
      <c r="L25" s="361"/>
      <c r="M25" s="361"/>
      <c r="N25" s="361"/>
    </row>
    <row r="26" spans="3:14">
      <c r="C26" s="361"/>
      <c r="H26" s="361"/>
      <c r="J26" s="361"/>
      <c r="L26" s="361"/>
      <c r="M26" s="361"/>
      <c r="N26" s="361"/>
    </row>
    <row r="27" spans="3:14">
      <c r="C27" s="361"/>
      <c r="H27" s="361"/>
      <c r="J27" s="361"/>
      <c r="L27" s="361"/>
      <c r="M27" s="361"/>
      <c r="N27" s="361"/>
    </row>
    <row r="28" spans="3:14">
      <c r="C28" s="361"/>
      <c r="H28" s="361"/>
      <c r="J28" s="361"/>
      <c r="L28" s="361"/>
      <c r="M28" s="361"/>
      <c r="N28" s="361"/>
    </row>
    <row r="29" spans="3:14">
      <c r="C29" s="361"/>
      <c r="H29" s="361"/>
      <c r="J29" s="361"/>
      <c r="L29" s="361"/>
      <c r="M29" s="361"/>
      <c r="N29" s="361"/>
    </row>
    <row r="30" spans="3:14">
      <c r="C30" s="361"/>
      <c r="H30" s="361"/>
      <c r="J30" s="361"/>
      <c r="L30" s="361"/>
      <c r="M30" s="361"/>
      <c r="N30" s="361"/>
    </row>
    <row r="31" spans="3:14">
      <c r="C31" s="361"/>
      <c r="H31" s="361"/>
      <c r="J31" s="361"/>
      <c r="L31" s="361"/>
      <c r="M31" s="361"/>
      <c r="N31" s="361"/>
    </row>
    <row r="32" spans="3:14">
      <c r="C32" s="361"/>
      <c r="H32" s="361"/>
      <c r="J32" s="361"/>
      <c r="L32" s="361"/>
      <c r="M32" s="361"/>
      <c r="N32" s="361"/>
    </row>
    <row r="33" spans="3:14">
      <c r="C33" s="361"/>
      <c r="H33" s="361"/>
      <c r="J33" s="361"/>
      <c r="L33" s="361"/>
      <c r="M33" s="361"/>
      <c r="N33" s="361"/>
    </row>
    <row r="34" spans="3:14">
      <c r="C34" s="361"/>
      <c r="H34" s="361"/>
      <c r="J34" s="361"/>
      <c r="L34" s="361"/>
      <c r="M34" s="361"/>
      <c r="N34" s="361"/>
    </row>
    <row r="35" spans="3:14">
      <c r="C35" s="361"/>
      <c r="H35" s="361"/>
      <c r="J35" s="361"/>
      <c r="L35" s="361"/>
      <c r="M35" s="361"/>
      <c r="N35" s="361"/>
    </row>
    <row r="36" spans="3:14">
      <c r="C36" s="361"/>
      <c r="H36" s="361"/>
      <c r="J36" s="361"/>
      <c r="L36" s="361"/>
      <c r="M36" s="361"/>
      <c r="N36" s="361"/>
    </row>
    <row r="37" spans="3:14">
      <c r="C37" s="361"/>
      <c r="H37" s="361"/>
      <c r="J37" s="361"/>
      <c r="L37" s="361"/>
      <c r="M37" s="361"/>
      <c r="N37" s="361"/>
    </row>
    <row r="38" spans="3:14">
      <c r="C38" s="361"/>
      <c r="H38" s="361"/>
      <c r="J38" s="361"/>
      <c r="L38" s="361"/>
      <c r="M38" s="361"/>
      <c r="N38" s="361"/>
    </row>
    <row r="39" spans="3:14">
      <c r="C39" s="361"/>
      <c r="H39" s="361"/>
      <c r="J39" s="361"/>
      <c r="L39" s="361"/>
      <c r="M39" s="361"/>
      <c r="N39" s="361"/>
    </row>
  </sheetData>
  <sheetProtection formatCells="0" formatColumns="0" formatRows="0" autoFilter="0"/>
  <phoneticPr fontId="5" type="noConversion"/>
  <conditionalFormatting sqref="L4:L7">
    <cfRule type="cellIs" dxfId="179" priority="1" stopIfTrue="1" operator="equal">
      <formula>0</formula>
    </cfRule>
    <cfRule type="cellIs" dxfId="178" priority="2" stopIfTrue="1" operator="notEqual">
      <formula>0</formula>
    </cfRule>
  </conditionalFormatting>
  <hyperlinks>
    <hyperlink ref="H6" location="未审利润表!A1" display="未审利润表!A1" xr:uid="{00000000-0004-0000-0000-000000000000}"/>
    <hyperlink ref="H5" location="未审资产负债表!A1" display="未审资产负债表!A1" xr:uid="{00000000-0004-0000-0000-000001000000}"/>
    <hyperlink ref="J5" location="调整分录!A1" display="调整分录!A1" xr:uid="{00000000-0004-0000-0000-000002000000}"/>
    <hyperlink ref="L4" location="试算平衡表!A1" display="试算平衡表!A1" xr:uid="{00000000-0004-0000-0000-000003000000}"/>
    <hyperlink ref="L5" location="导引表!A1" display="导引表!A1" xr:uid="{00000000-0004-0000-0000-000004000000}"/>
    <hyperlink ref="L6" location="审定资产负债表!A1" display="审定资产负债表!A1" xr:uid="{00000000-0004-0000-0000-000005000000}"/>
    <hyperlink ref="L7" location="审定利润表!A1" display="审定利润表!A1" xr:uid="{00000000-0004-0000-0000-000006000000}"/>
    <hyperlink ref="L8" location="审定现金流量表!A1" display="审定现金流量表!A1" xr:uid="{00000000-0004-0000-0000-000007000000}"/>
    <hyperlink ref="L9" location="审定所有者权益变动表!A1" display="审定所有者权益变动表!A1" xr:uid="{00000000-0004-0000-0000-000008000000}"/>
    <hyperlink ref="L10" location="审定资产减值准备情况表!A1" display="审定资产减值准备情况表!A1" xr:uid="{00000000-0004-0000-0000-000009000000}"/>
    <hyperlink ref="J8" location="附注填写封面!A1" display="附注填写封面!A1" xr:uid="{00000000-0004-0000-0000-00000A000000}"/>
    <hyperlink ref="H8" location="使用说明!A1" display="使用说明!A1" xr:uid="{00000000-0004-0000-0000-00000B000000}"/>
    <hyperlink ref="C19" location="附注填写封面!B3" display="返回目录" xr:uid="{00000000-0004-0000-0000-00000C000000}"/>
    <hyperlink ref="Q5" location="附注填写封面!B3" display="返回目录" xr:uid="{00000000-0004-0000-0000-00000D000000}"/>
  </hyperlinks>
  <pageMargins left="0.75" right="0.75" top="1" bottom="1" header="0.5" footer="0.5"/>
  <pageSetup paperSize="9" orientation="portrait" horizontalDpi="300" verticalDpi="300" r:id="rId1"/>
  <headerFooter alignWithMargins="0"/>
  <drawing r:id="rId2"/>
  <picture r:id="rId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5"/>
  <dimension ref="A1:O34"/>
  <sheetViews>
    <sheetView showGridLines="0" workbookViewId="0">
      <pane xSplit="2" ySplit="3" topLeftCell="C4" activePane="bottomRight" state="frozen"/>
      <selection activeCell="A5" sqref="A5:A6"/>
      <selection pane="topRight" activeCell="A5" sqref="A5:A6"/>
      <selection pane="bottomLeft" activeCell="A5" sqref="A5:A6"/>
      <selection pane="bottomRight"/>
    </sheetView>
  </sheetViews>
  <sheetFormatPr defaultColWidth="9" defaultRowHeight="16.5" customHeight="1"/>
  <cols>
    <col min="1" max="1" width="8" style="875" customWidth="1"/>
    <col min="2" max="2" width="4" style="167" customWidth="1"/>
    <col min="3" max="3" width="147.125" style="166" customWidth="1"/>
    <col min="4" max="7" width="9" style="166"/>
    <col min="8" max="8" width="9" style="167"/>
    <col min="9" max="9" width="9" style="166"/>
    <col min="10" max="10" width="9" style="167"/>
    <col min="11" max="11" width="9" style="166"/>
    <col min="12" max="12" width="7" style="167" customWidth="1"/>
    <col min="13" max="19" width="7" style="166" customWidth="1"/>
    <col min="20" max="16384" width="9" style="166"/>
  </cols>
  <sheetData>
    <row r="1" spans="1:15" ht="12"/>
    <row r="2" spans="1:15" ht="20.25" customHeight="1">
      <c r="A2" s="876" t="s">
        <v>243</v>
      </c>
      <c r="B2" s="1655" t="s">
        <v>330</v>
      </c>
      <c r="C2" s="1655"/>
      <c r="D2" s="877"/>
      <c r="E2" s="877"/>
      <c r="F2" s="877"/>
      <c r="G2" s="877"/>
      <c r="H2" s="877"/>
      <c r="I2" s="877"/>
      <c r="J2" s="877"/>
      <c r="K2" s="877"/>
      <c r="L2" s="877"/>
      <c r="M2" s="877"/>
      <c r="N2" s="877"/>
      <c r="O2" s="877"/>
    </row>
    <row r="3" spans="1:15" ht="14.25" customHeight="1">
      <c r="B3" s="169"/>
      <c r="C3" s="877"/>
      <c r="D3" s="877"/>
      <c r="E3" s="877"/>
      <c r="F3" s="877"/>
      <c r="G3" s="877"/>
      <c r="H3" s="169"/>
      <c r="I3" s="877"/>
      <c r="J3" s="169"/>
      <c r="K3" s="877"/>
      <c r="L3" s="169"/>
      <c r="M3" s="877"/>
      <c r="N3" s="877"/>
      <c r="O3" s="877"/>
    </row>
    <row r="4" spans="1:15" ht="21" customHeight="1">
      <c r="B4" s="165" t="s">
        <v>513</v>
      </c>
      <c r="C4" s="164" t="s">
        <v>508</v>
      </c>
    </row>
    <row r="5" spans="1:15" ht="21" customHeight="1">
      <c r="B5" s="165" t="s">
        <v>323</v>
      </c>
      <c r="C5" s="878" t="s">
        <v>509</v>
      </c>
    </row>
    <row r="6" spans="1:15" ht="21" customHeight="1">
      <c r="A6" s="876" t="s">
        <v>243</v>
      </c>
      <c r="B6" s="165" t="s">
        <v>324</v>
      </c>
      <c r="C6" s="164" t="s">
        <v>4834</v>
      </c>
    </row>
    <row r="7" spans="1:15" ht="21" customHeight="1">
      <c r="B7" s="165" t="s">
        <v>325</v>
      </c>
      <c r="C7" s="164" t="s">
        <v>4838</v>
      </c>
    </row>
    <row r="8" spans="1:15" ht="21" customHeight="1">
      <c r="B8" s="165" t="s">
        <v>326</v>
      </c>
      <c r="C8" s="164" t="s">
        <v>510</v>
      </c>
    </row>
    <row r="9" spans="1:15" ht="21" customHeight="1">
      <c r="B9" s="165" t="s">
        <v>327</v>
      </c>
      <c r="C9" s="164" t="s">
        <v>511</v>
      </c>
    </row>
    <row r="10" spans="1:15" s="168" customFormat="1" ht="21" customHeight="1">
      <c r="A10" s="876" t="s">
        <v>243</v>
      </c>
      <c r="B10" s="165" t="s">
        <v>328</v>
      </c>
      <c r="C10" s="878" t="s">
        <v>4839</v>
      </c>
      <c r="H10" s="169"/>
      <c r="J10" s="169"/>
      <c r="L10" s="169"/>
    </row>
    <row r="11" spans="1:15" ht="21" customHeight="1">
      <c r="B11" s="165" t="s">
        <v>321</v>
      </c>
      <c r="C11" s="878" t="s">
        <v>512</v>
      </c>
    </row>
    <row r="12" spans="1:15" ht="21" customHeight="1">
      <c r="B12" s="165" t="s">
        <v>322</v>
      </c>
      <c r="C12" s="878" t="s">
        <v>1440</v>
      </c>
    </row>
    <row r="13" spans="1:15" ht="16.5" customHeight="1">
      <c r="B13" s="166"/>
      <c r="H13" s="166"/>
      <c r="J13" s="166"/>
      <c r="L13" s="166"/>
    </row>
    <row r="15" spans="1:15" ht="16.5" hidden="1" customHeight="1">
      <c r="A15" s="876" t="s">
        <v>243</v>
      </c>
    </row>
    <row r="16" spans="1:15" ht="16.5" hidden="1" customHeight="1">
      <c r="B16" s="165"/>
      <c r="C16" s="878" t="s">
        <v>1435</v>
      </c>
    </row>
    <row r="17" spans="1:3" ht="16.5" hidden="1" customHeight="1">
      <c r="B17" s="165" t="s">
        <v>503</v>
      </c>
      <c r="C17" s="164" t="s">
        <v>506</v>
      </c>
    </row>
    <row r="18" spans="1:3" ht="16.5" hidden="1" customHeight="1">
      <c r="B18" s="165" t="s">
        <v>504</v>
      </c>
      <c r="C18" s="164" t="s">
        <v>505</v>
      </c>
    </row>
    <row r="19" spans="1:3" ht="16.5" hidden="1" customHeight="1">
      <c r="B19" s="165" t="s">
        <v>324</v>
      </c>
      <c r="C19" s="164" t="s">
        <v>514</v>
      </c>
    </row>
    <row r="20" spans="1:3" ht="16.5" hidden="1" customHeight="1">
      <c r="B20" s="165" t="s">
        <v>325</v>
      </c>
      <c r="C20" s="164" t="s">
        <v>519</v>
      </c>
    </row>
    <row r="21" spans="1:3" ht="16.5" hidden="1" customHeight="1">
      <c r="A21" s="876" t="s">
        <v>243</v>
      </c>
      <c r="B21" s="165" t="s">
        <v>326</v>
      </c>
      <c r="C21" s="164" t="s">
        <v>520</v>
      </c>
    </row>
    <row r="22" spans="1:3" ht="16.5" hidden="1" customHeight="1">
      <c r="B22" s="165" t="s">
        <v>327</v>
      </c>
      <c r="C22" s="164" t="s">
        <v>521</v>
      </c>
    </row>
    <row r="23" spans="1:3" ht="16.5" hidden="1" customHeight="1">
      <c r="B23" s="165" t="s">
        <v>328</v>
      </c>
      <c r="C23" s="164" t="s">
        <v>516</v>
      </c>
    </row>
    <row r="24" spans="1:3" ht="16.5" hidden="1" customHeight="1">
      <c r="B24" s="165" t="s">
        <v>321</v>
      </c>
      <c r="C24" s="164" t="s">
        <v>515</v>
      </c>
    </row>
    <row r="25" spans="1:3" ht="16.5" hidden="1" customHeight="1">
      <c r="A25" s="876" t="s">
        <v>243</v>
      </c>
      <c r="B25" s="165" t="s">
        <v>322</v>
      </c>
      <c r="C25" s="164" t="s">
        <v>517</v>
      </c>
    </row>
    <row r="26" spans="1:3" ht="16.5" hidden="1" customHeight="1">
      <c r="B26" s="165" t="s">
        <v>329</v>
      </c>
      <c r="C26" s="164" t="s">
        <v>518</v>
      </c>
    </row>
    <row r="27" spans="1:3" ht="16.5" hidden="1" customHeight="1">
      <c r="B27" s="165" t="s">
        <v>507</v>
      </c>
      <c r="C27" s="164" t="s">
        <v>522</v>
      </c>
    </row>
    <row r="28" spans="1:3" ht="16.5" hidden="1" customHeight="1"/>
    <row r="29" spans="1:3" ht="16.5" hidden="1" customHeight="1">
      <c r="B29" s="165"/>
      <c r="C29" s="878" t="s">
        <v>1436</v>
      </c>
    </row>
    <row r="30" spans="1:3" ht="16.5" hidden="1" customHeight="1">
      <c r="B30" s="165">
        <v>1</v>
      </c>
      <c r="C30" s="164" t="s">
        <v>1439</v>
      </c>
    </row>
    <row r="31" spans="1:3" ht="16.5" hidden="1" customHeight="1">
      <c r="B31" s="165">
        <v>2</v>
      </c>
      <c r="C31" s="164" t="s">
        <v>1437</v>
      </c>
    </row>
    <row r="32" spans="1:3" ht="16.5" hidden="1" customHeight="1">
      <c r="B32" s="165">
        <v>3</v>
      </c>
      <c r="C32" s="164" t="s">
        <v>1438</v>
      </c>
    </row>
    <row r="33" ht="16.5" hidden="1" customHeight="1"/>
    <row r="34" ht="16.5" hidden="1" customHeight="1"/>
  </sheetData>
  <sheetProtection formatCells="0" formatColumns="0" formatRows="0" autoFilter="0"/>
  <mergeCells count="1">
    <mergeCell ref="B2:C2"/>
  </mergeCells>
  <phoneticPr fontId="5" type="noConversion"/>
  <hyperlinks>
    <hyperlink ref="A2" location="附注填写封面!B3" display="返回目录" xr:uid="{00000000-0004-0000-0100-000000000000}"/>
    <hyperlink ref="A6" location="附注填写封面!B3" display="返回目录" xr:uid="{00000000-0004-0000-0100-000001000000}"/>
    <hyperlink ref="A10" location="附注填写封面!B3" display="返回目录" xr:uid="{00000000-0004-0000-0100-000002000000}"/>
    <hyperlink ref="A21" location="附注填写封面!B3" display="返回目录" xr:uid="{00000000-0004-0000-0100-000003000000}"/>
    <hyperlink ref="A25" location="附注填写封面!B3" display="返回目录" xr:uid="{00000000-0004-0000-0100-000004000000}"/>
    <hyperlink ref="A15" location="附注填写封面!B3" display="返回目录" xr:uid="{00000000-0004-0000-0100-000005000000}"/>
  </hyperlinks>
  <pageMargins left="0.75" right="0.75" top="1" bottom="1" header="0.5" footer="0.5"/>
  <pageSetup paperSize="9" orientation="portrait" r:id="rId1"/>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S112"/>
  <sheetViews>
    <sheetView showGridLines="0" showZeros="0" workbookViewId="0">
      <pane xSplit="3" ySplit="5" topLeftCell="D9" activePane="bottomRight" state="frozen"/>
      <selection activeCell="A5" sqref="A5:A6"/>
      <selection pane="topRight" activeCell="A5" sqref="A5:A6"/>
      <selection pane="bottomLeft" activeCell="A5" sqref="A5:A6"/>
      <selection pane="bottomRight" activeCell="B3" sqref="B3"/>
    </sheetView>
  </sheetViews>
  <sheetFormatPr defaultColWidth="11.625" defaultRowHeight="12.75"/>
  <cols>
    <col min="1" max="1" width="7.625" style="879" customWidth="1"/>
    <col min="2" max="2" width="6.875" style="162" customWidth="1"/>
    <col min="3" max="3" width="40.375" style="344" customWidth="1"/>
    <col min="4" max="4" width="12.125" style="390" bestFit="1" customWidth="1"/>
    <col min="5" max="9" width="14.875" style="390" bestFit="1" customWidth="1"/>
    <col min="10" max="10" width="18.625" style="390" bestFit="1" customWidth="1"/>
    <col min="11" max="13" width="14.875" style="344" bestFit="1" customWidth="1"/>
    <col min="14" max="14" width="15.625" style="344" bestFit="1" customWidth="1"/>
    <col min="15" max="16384" width="11.625" style="344"/>
  </cols>
  <sheetData>
    <row r="1" spans="1:19" ht="16.5" customHeight="1">
      <c r="A1" s="661"/>
    </row>
    <row r="2" spans="1:19" s="162" customFormat="1" ht="27.95" customHeight="1">
      <c r="A2" s="879" t="s">
        <v>2679</v>
      </c>
      <c r="B2" s="162" t="s">
        <v>1485</v>
      </c>
      <c r="C2" s="392" t="s">
        <v>1486</v>
      </c>
      <c r="D2" s="355" t="s">
        <v>1465</v>
      </c>
      <c r="E2" s="355" t="s">
        <v>1466</v>
      </c>
      <c r="F2" s="355" t="s">
        <v>1467</v>
      </c>
      <c r="G2" s="355" t="s">
        <v>1468</v>
      </c>
      <c r="H2" s="355" t="s">
        <v>1469</v>
      </c>
      <c r="I2" s="355" t="s">
        <v>1460</v>
      </c>
      <c r="J2" s="355" t="s">
        <v>1461</v>
      </c>
      <c r="K2" s="355" t="s">
        <v>1462</v>
      </c>
      <c r="L2" s="355" t="s">
        <v>1470</v>
      </c>
      <c r="M2" s="355" t="s">
        <v>1463</v>
      </c>
      <c r="N2" s="355" t="s">
        <v>1464</v>
      </c>
    </row>
    <row r="3" spans="1:19" s="393" customFormat="1" ht="24" hidden="1" customHeight="1">
      <c r="A3" s="879"/>
      <c r="B3" s="393" t="s">
        <v>1487</v>
      </c>
      <c r="C3" s="394" t="s">
        <v>1488</v>
      </c>
      <c r="D3" s="394" t="s">
        <v>1489</v>
      </c>
      <c r="E3" s="394" t="s">
        <v>1490</v>
      </c>
      <c r="F3" s="394" t="s">
        <v>1491</v>
      </c>
      <c r="G3" s="394"/>
      <c r="H3" s="394" t="s">
        <v>1492</v>
      </c>
      <c r="I3" s="394" t="s">
        <v>1417</v>
      </c>
      <c r="J3" s="394" t="s">
        <v>1493</v>
      </c>
      <c r="K3" s="394" t="s">
        <v>1494</v>
      </c>
      <c r="L3" s="394" t="s">
        <v>1495</v>
      </c>
      <c r="M3" s="394" t="s">
        <v>1496</v>
      </c>
      <c r="N3" s="394" t="s">
        <v>1497</v>
      </c>
      <c r="O3" s="344"/>
      <c r="P3" s="344"/>
      <c r="Q3" s="344"/>
      <c r="R3" s="344"/>
      <c r="S3" s="344"/>
    </row>
    <row r="4" spans="1:19" s="397" customFormat="1" ht="13.9" hidden="1" customHeight="1">
      <c r="A4" s="661"/>
      <c r="B4" s="395" t="s">
        <v>1487</v>
      </c>
      <c r="C4" s="396"/>
      <c r="D4" s="396"/>
      <c r="E4" s="396"/>
      <c r="F4" s="396"/>
      <c r="G4" s="396"/>
      <c r="H4" s="396"/>
      <c r="I4" s="396"/>
      <c r="J4" s="396"/>
      <c r="K4" s="396"/>
      <c r="L4" s="396"/>
      <c r="M4" s="396"/>
      <c r="N4" s="396"/>
      <c r="O4" s="344"/>
      <c r="P4" s="344"/>
      <c r="Q4" s="344"/>
      <c r="R4" s="344"/>
      <c r="S4" s="344"/>
    </row>
    <row r="5" spans="1:19" s="393" customFormat="1" ht="12.75" hidden="1" customHeight="1">
      <c r="A5" s="879"/>
      <c r="C5" s="398" t="s">
        <v>1498</v>
      </c>
      <c r="D5" s="398" t="s">
        <v>1499</v>
      </c>
      <c r="E5" s="398" t="s">
        <v>1500</v>
      </c>
      <c r="F5" s="398" t="s">
        <v>1501</v>
      </c>
      <c r="G5" s="398" t="s">
        <v>1502</v>
      </c>
      <c r="H5" s="398" t="s">
        <v>1503</v>
      </c>
      <c r="I5" s="398" t="s">
        <v>1504</v>
      </c>
      <c r="J5" s="399" t="s">
        <v>1505</v>
      </c>
      <c r="K5" s="394"/>
      <c r="L5" s="394"/>
      <c r="M5" s="400"/>
      <c r="N5" s="401"/>
      <c r="O5" s="344"/>
      <c r="P5" s="344"/>
      <c r="Q5" s="344"/>
      <c r="R5" s="344"/>
      <c r="S5" s="344"/>
    </row>
    <row r="6" spans="1:19" s="393" customFormat="1" ht="12" customHeight="1">
      <c r="A6" s="879"/>
      <c r="C6" s="398"/>
      <c r="D6" s="398"/>
      <c r="E6" s="398"/>
      <c r="F6" s="396"/>
      <c r="G6" s="396"/>
      <c r="H6" s="396"/>
      <c r="I6" s="402"/>
      <c r="J6" s="403"/>
      <c r="K6" s="394" t="s">
        <v>2680</v>
      </c>
      <c r="L6" s="401"/>
      <c r="M6" s="401"/>
      <c r="N6" s="401"/>
      <c r="O6" s="344"/>
      <c r="P6" s="344"/>
      <c r="Q6" s="344"/>
      <c r="R6" s="344"/>
      <c r="S6" s="344"/>
    </row>
    <row r="7" spans="1:19">
      <c r="A7" s="661"/>
      <c r="B7" s="162">
        <v>7</v>
      </c>
      <c r="C7" s="404" t="s">
        <v>1506</v>
      </c>
      <c r="D7" s="405">
        <f>ROUND(E7+F7+G7+H7+I7,2)</f>
        <v>0</v>
      </c>
      <c r="E7" s="405">
        <f t="array" ref="E7">SUM(ABS(审定资产负债表!E4:F131))</f>
        <v>9.3132257461547852E-10</v>
      </c>
      <c r="F7" s="405">
        <f t="array" ref="F7">SUM(ABS(审定资产负债表!C137:D159))</f>
        <v>0</v>
      </c>
      <c r="G7" s="403"/>
      <c r="H7" s="403"/>
      <c r="I7" s="394"/>
      <c r="J7" s="398"/>
      <c r="K7" s="1300"/>
      <c r="L7" s="1300"/>
      <c r="M7" s="1300"/>
      <c r="N7" s="1300"/>
    </row>
    <row r="8" spans="1:19">
      <c r="B8" s="162">
        <v>8</v>
      </c>
      <c r="C8" s="404" t="s">
        <v>1507</v>
      </c>
      <c r="D8" s="405">
        <f>ROUND(E8+F8+G8+H8+I8,2)</f>
        <v>0</v>
      </c>
      <c r="E8" s="405">
        <f t="array" ref="E8">SUM(ABS(审定利润表!E4:F74))</f>
        <v>2.6411726139485836E-9</v>
      </c>
      <c r="F8" s="405">
        <f t="array" ref="F8">SUM(ABS(审定利润表!C78:D94))</f>
        <v>2.6411726139485836E-9</v>
      </c>
      <c r="G8" s="403"/>
      <c r="H8" s="403"/>
      <c r="I8" s="394"/>
      <c r="J8" s="398"/>
      <c r="K8" s="1300"/>
      <c r="L8" s="1300"/>
      <c r="M8" s="1300"/>
      <c r="N8" s="1300"/>
    </row>
    <row r="9" spans="1:19">
      <c r="A9" s="879" t="str">
        <f>HYPERLINK("#C5","置顶")</f>
        <v>置顶</v>
      </c>
      <c r="B9" s="162">
        <v>9</v>
      </c>
      <c r="C9" s="404" t="s">
        <v>1508</v>
      </c>
      <c r="D9" s="405">
        <f t="array" ref="D9">ROUND(E9+F9+G9+H9+I9+J9+K9+L9+M9+N9,2)</f>
        <v>0</v>
      </c>
      <c r="E9" s="405">
        <f t="array" ref="E9">SUM(ABS(审定现金流量表!E4:F62))</f>
        <v>1.1641532182693481E-9</v>
      </c>
      <c r="F9" s="405">
        <f t="array" ref="F9">SUM(ABS(审定现金流量表!C65:D79))</f>
        <v>1.1641532182693481E-9</v>
      </c>
      <c r="G9" s="408">
        <f t="array" ref="G9">SUM(审定现金流量表!C81:C82)</f>
        <v>0</v>
      </c>
      <c r="H9" s="403"/>
      <c r="I9" s="403"/>
      <c r="J9" s="403"/>
      <c r="K9" s="400"/>
      <c r="L9" s="400"/>
      <c r="M9" s="400"/>
      <c r="N9" s="400"/>
    </row>
    <row r="10" spans="1:19">
      <c r="A10" s="661"/>
      <c r="B10" s="162">
        <v>10</v>
      </c>
      <c r="C10" s="404" t="s">
        <v>1509</v>
      </c>
      <c r="D10" s="405">
        <f t="shared" ref="D10:D85" si="0">ROUND(E10+F10+G10+H10+I10+J10+K10+L10+M10+N10,2)</f>
        <v>0</v>
      </c>
      <c r="E10" s="405">
        <f t="array" ref="E10">SUM(ABS(审定所有者权益变动表!AB7:AE38))</f>
        <v>0</v>
      </c>
      <c r="F10" s="405">
        <f t="array" ref="F10">SUM(ABS(审定所有者权益变动表!B42:AA56))</f>
        <v>0</v>
      </c>
      <c r="G10" s="403"/>
      <c r="H10" s="403"/>
      <c r="I10" s="405">
        <f t="array" ref="I10">SUM(ABS(审定所有者权益变动表!B48:AA56))</f>
        <v>0</v>
      </c>
      <c r="J10" s="403"/>
      <c r="K10" s="400"/>
      <c r="L10" s="400"/>
      <c r="M10" s="400"/>
      <c r="N10" s="400"/>
    </row>
    <row r="11" spans="1:19">
      <c r="B11" s="162">
        <v>11</v>
      </c>
      <c r="C11" s="404"/>
      <c r="D11" s="405"/>
      <c r="E11" s="405"/>
      <c r="F11" s="405"/>
      <c r="G11" s="405"/>
      <c r="H11" s="403"/>
      <c r="I11" s="403"/>
      <c r="J11" s="403"/>
      <c r="K11" s="400"/>
      <c r="L11" s="400"/>
      <c r="M11" s="400"/>
      <c r="N11" s="400"/>
    </row>
    <row r="12" spans="1:19">
      <c r="A12" s="879" t="str">
        <f>HYPERLINK("#C5","置顶")</f>
        <v>置顶</v>
      </c>
      <c r="B12" s="162">
        <v>12</v>
      </c>
      <c r="C12" s="888"/>
      <c r="D12" s="403"/>
      <c r="E12" s="403"/>
      <c r="F12" s="403"/>
      <c r="G12" s="403"/>
      <c r="H12" s="403"/>
      <c r="I12" s="403"/>
      <c r="J12" s="403"/>
      <c r="K12" s="400"/>
      <c r="L12" s="400"/>
      <c r="M12" s="400"/>
      <c r="N12" s="400"/>
    </row>
    <row r="13" spans="1:19">
      <c r="A13" s="661"/>
      <c r="B13" s="162">
        <v>13</v>
      </c>
      <c r="C13" s="404" t="s">
        <v>1510</v>
      </c>
      <c r="D13" s="405">
        <f>ROUND(E13+F13+G13,2)</f>
        <v>0</v>
      </c>
      <c r="E13" s="405">
        <f>ABS(货币资金!D82)+ABS(货币资金!E82)</f>
        <v>9.5460563898086548E-9</v>
      </c>
      <c r="F13" s="403"/>
      <c r="G13" s="405">
        <f>ABS(货币资金!D116)+ABS(货币资金!E116)</f>
        <v>0</v>
      </c>
      <c r="H13" s="405">
        <f>货币资金!D113</f>
        <v>0</v>
      </c>
      <c r="I13" s="405">
        <f>货币资金!E113</f>
        <v>0</v>
      </c>
      <c r="J13" s="405">
        <f>货币资金!D114</f>
        <v>0</v>
      </c>
      <c r="K13" s="405">
        <f>货币资金!E114</f>
        <v>0</v>
      </c>
      <c r="L13" s="406">
        <f>货币资金!D115</f>
        <v>0</v>
      </c>
      <c r="M13" s="406">
        <f>货币资金!E115</f>
        <v>0</v>
      </c>
      <c r="N13" s="400"/>
    </row>
    <row r="14" spans="1:19">
      <c r="B14" s="162">
        <v>14</v>
      </c>
      <c r="C14" s="407" t="s">
        <v>1511</v>
      </c>
      <c r="D14" s="405">
        <f t="shared" si="0"/>
        <v>0</v>
      </c>
      <c r="E14" s="405">
        <f>ABS(以公允价值计量且其变动计入当期损益的金融资产!D14)+ABS(以公允价值计量且其变动计入当期损益的金融资产!E14)</f>
        <v>0</v>
      </c>
      <c r="F14" s="403"/>
      <c r="G14" s="403"/>
      <c r="H14" s="403"/>
      <c r="I14" s="403"/>
      <c r="J14" s="403"/>
      <c r="K14" s="400"/>
      <c r="L14" s="400"/>
      <c r="M14" s="400"/>
      <c r="N14" s="400"/>
    </row>
    <row r="15" spans="1:19">
      <c r="B15" s="162">
        <v>15</v>
      </c>
      <c r="C15" s="407" t="s">
        <v>1512</v>
      </c>
      <c r="D15" s="405">
        <f t="shared" si="0"/>
        <v>0</v>
      </c>
      <c r="E15" s="405">
        <f>ABS(衍生金融资产!D12)+ABS(衍生金融资产!E12)</f>
        <v>0</v>
      </c>
      <c r="F15" s="403"/>
      <c r="G15" s="403"/>
      <c r="H15" s="403"/>
      <c r="I15" s="403"/>
      <c r="J15" s="403"/>
      <c r="K15" s="400"/>
      <c r="L15" s="400"/>
      <c r="M15" s="400"/>
      <c r="N15" s="400"/>
    </row>
    <row r="16" spans="1:19">
      <c r="B16" s="162">
        <v>16</v>
      </c>
      <c r="C16" s="404" t="s">
        <v>1513</v>
      </c>
      <c r="D16" s="405">
        <f>ROUND(E16+F16+G16,2)</f>
        <v>0</v>
      </c>
      <c r="E16" s="405">
        <f>ABS(应收票据!D24)+ABS(应收票据!E24)</f>
        <v>0</v>
      </c>
      <c r="F16" s="405">
        <f>应收票据!D34</f>
        <v>0</v>
      </c>
      <c r="G16" s="405">
        <f>应收票据!D35</f>
        <v>0</v>
      </c>
      <c r="H16" s="405">
        <f>应收票据!D32</f>
        <v>0</v>
      </c>
      <c r="I16" s="405">
        <f>应收票据!E32</f>
        <v>0</v>
      </c>
      <c r="J16" s="405">
        <f>应收票据!D33</f>
        <v>0</v>
      </c>
      <c r="K16" s="405">
        <f>应收票据!E33</f>
        <v>0</v>
      </c>
      <c r="L16" s="400"/>
      <c r="M16" s="400"/>
      <c r="N16" s="400"/>
    </row>
    <row r="17" spans="1:15">
      <c r="A17" s="661" t="str">
        <f>HYPERLINK("#C5","置顶")</f>
        <v>置顶</v>
      </c>
      <c r="B17" s="162">
        <v>17</v>
      </c>
      <c r="C17" s="1333" t="s">
        <v>5244</v>
      </c>
      <c r="D17" s="405">
        <f>ROUND(E17+F17+G17+H17+I17+J17+K17+L17+M17+N17,2)</f>
        <v>0</v>
      </c>
      <c r="E17" s="405">
        <f>ABS(应收账款!D25)+ABS(应收账款!E25)+ABS(应收账款!F25)+ABS(应收账款!G25)</f>
        <v>0</v>
      </c>
      <c r="F17" s="405">
        <f>ABS(应收账款!D43)+ABS(应收账款!E43)+ABS(应收账款!F43)+ABS(应收账款!G43)+ABS(应收账款!H43)+ABS(应收账款!I43)</f>
        <v>0</v>
      </c>
      <c r="G17" s="405"/>
      <c r="H17" s="405">
        <f>ABS(应收账款!D68)+ABS(应收账款!E68)+ABS(应收账款!F68)+ABS(应收账款!G68)</f>
        <v>0</v>
      </c>
      <c r="I17" s="405">
        <f>ABS(应收账款!D91)+ABS(应收账款!E91)+ABS(应收账款!F91)</f>
        <v>0</v>
      </c>
      <c r="J17" s="405">
        <f>ABS(应收账款!D112)+ABS(应收账款!E112)+ABS(应收账款!F112)</f>
        <v>0</v>
      </c>
      <c r="K17" s="405">
        <f>ABS(应收账款!D175)+ABS(应收账款!E175)+ABS(应收账款!F175)+ABS(应收账款!G175)+ABS(应收账款!H175)+ABS(应收账款!I175)</f>
        <v>0</v>
      </c>
      <c r="L17" s="405">
        <f>ABS(应收账款!D176)+ABS(应收账款!G176)</f>
        <v>0</v>
      </c>
      <c r="M17" s="405">
        <f>ABS(应收账款!F24)+ABS(应收账款!G24)</f>
        <v>0</v>
      </c>
      <c r="N17" s="408"/>
      <c r="O17" s="409"/>
    </row>
    <row r="18" spans="1:15">
      <c r="B18" s="162">
        <v>18</v>
      </c>
      <c r="C18" s="404" t="s">
        <v>1514</v>
      </c>
      <c r="D18" s="405">
        <f t="shared" si="0"/>
        <v>0</v>
      </c>
      <c r="E18" s="405">
        <f>ABS(预付账款!D13)+ABS(预付账款!E13)</f>
        <v>0</v>
      </c>
      <c r="F18" s="405">
        <f>ABS(预付账款!H12)+ABS(预付账款!I12)</f>
        <v>0</v>
      </c>
      <c r="G18" s="403"/>
      <c r="H18" s="403"/>
      <c r="I18" s="403"/>
      <c r="J18" s="403"/>
      <c r="K18" s="400"/>
      <c r="L18" s="400"/>
      <c r="M18" s="400"/>
      <c r="N18" s="400"/>
    </row>
    <row r="19" spans="1:15">
      <c r="B19" s="162">
        <v>19</v>
      </c>
      <c r="C19" s="404" t="s">
        <v>1515</v>
      </c>
      <c r="D19" s="405">
        <f t="shared" si="0"/>
        <v>0</v>
      </c>
      <c r="E19" s="405">
        <f>ABS(应收利息!D24)+ABS(应收利息!E24)</f>
        <v>0</v>
      </c>
      <c r="F19" s="403"/>
      <c r="G19" s="403"/>
      <c r="H19" s="403"/>
      <c r="I19" s="403"/>
      <c r="J19" s="403"/>
      <c r="K19" s="400"/>
      <c r="L19" s="400"/>
      <c r="M19" s="400"/>
      <c r="N19" s="400"/>
    </row>
    <row r="20" spans="1:15">
      <c r="A20" s="661"/>
      <c r="B20" s="162">
        <v>20</v>
      </c>
      <c r="C20" s="404" t="s">
        <v>1516</v>
      </c>
      <c r="D20" s="405">
        <f t="shared" si="0"/>
        <v>0</v>
      </c>
      <c r="E20" s="405">
        <f>ABS(应收股利!D28)+ABS(应收股利!G28)</f>
        <v>0</v>
      </c>
      <c r="F20" s="403"/>
      <c r="G20" s="403"/>
      <c r="H20" s="403"/>
      <c r="I20" s="403"/>
      <c r="J20" s="403"/>
      <c r="K20" s="400"/>
      <c r="L20" s="400"/>
      <c r="M20" s="400"/>
      <c r="N20" s="400"/>
    </row>
    <row r="21" spans="1:15">
      <c r="B21" s="162">
        <v>21</v>
      </c>
      <c r="C21" s="404" t="s">
        <v>360</v>
      </c>
      <c r="D21" s="405">
        <f t="shared" si="0"/>
        <v>1.96</v>
      </c>
      <c r="E21" s="405">
        <f>ABS(其他应收款!D25)+ABS(其他应收款!E25)+ABS(其他应收款!F25)+ABS(其他应收款!G25)</f>
        <v>0.65456468693446368</v>
      </c>
      <c r="F21" s="405">
        <f>ABS(其他应收款!D43)+ABS(其他应收款!E43)+ABS(其他应收款!F43)+ABS(其他应收款!G43)+ABS(其他应收款!H43)+ABS(其他应收款!I43)</f>
        <v>0.65456468699267134</v>
      </c>
      <c r="G21" s="405">
        <f>ABS(其他应收款!D56)+ABS(其他应收款!F56)+ABS(其他应收款!G56)+ABS(其他应收款!I56)</f>
        <v>0</v>
      </c>
      <c r="H21" s="405">
        <f>ABS(其他应收款!D68)+ABS(其他应收款!E68)+ABS(其他应收款!F68)+ABS(其他应收款!G68)</f>
        <v>0</v>
      </c>
      <c r="I21" s="405">
        <f>ABS(其他应收款!D91)+ABS(其他应收款!E91)+ABS(其他应收款!F91)</f>
        <v>0</v>
      </c>
      <c r="J21" s="405">
        <f>ABS(其他应收款!D112)+ABS(其他应收款!E112)+ABS(其他应收款!F112)</f>
        <v>0</v>
      </c>
      <c r="K21" s="405">
        <f>ABS(其他应收款!D175)+ABS(其他应收款!E175)+ABS(其他应收款!F175)+ABS(其他应收款!G175)+ABS(其他应收款!H175)+ABS(其他应收款!I175)</f>
        <v>0.65456468693446368</v>
      </c>
      <c r="L21" s="405">
        <f>ABS(其他应收款!D176)+ABS(其他应收款!G176)</f>
        <v>0</v>
      </c>
      <c r="M21" s="405">
        <f>ABS(其他应收款!F24)+ABS(其他应收款!G24)</f>
        <v>0</v>
      </c>
      <c r="N21" s="408"/>
    </row>
    <row r="22" spans="1:15">
      <c r="B22" s="162">
        <v>22</v>
      </c>
      <c r="C22" s="1333" t="s">
        <v>4541</v>
      </c>
      <c r="D22" s="405">
        <f t="shared" si="0"/>
        <v>0</v>
      </c>
      <c r="E22" s="405">
        <f>ABS(存货!D53)+ABS(存货!G53)</f>
        <v>0</v>
      </c>
      <c r="F22" s="405">
        <f>ABS(存货!D69)+ABS(存货!E69)</f>
        <v>0</v>
      </c>
      <c r="G22" s="405">
        <f>ABS(存货!D75)+ABS(存货!D76)+ABS(存货!E75)+ABS(存货!E76)</f>
        <v>0</v>
      </c>
      <c r="H22" s="405">
        <f>ABS(存货!D80)+ABS(存货!E80)</f>
        <v>0</v>
      </c>
      <c r="I22" s="405">
        <f>ABS(存货!I22)</f>
        <v>0</v>
      </c>
      <c r="J22" s="403"/>
      <c r="K22" s="400"/>
      <c r="L22" s="400"/>
      <c r="M22" s="400"/>
      <c r="N22" s="400"/>
    </row>
    <row r="23" spans="1:15">
      <c r="B23" s="162">
        <v>23</v>
      </c>
      <c r="C23" s="1333" t="s">
        <v>4663</v>
      </c>
      <c r="D23" s="405">
        <f t="shared" si="0"/>
        <v>0</v>
      </c>
      <c r="E23" s="405">
        <f>ABS(持有待售的非流动资产或持有待售的处置组中的资产!D22)</f>
        <v>0</v>
      </c>
      <c r="F23" s="405">
        <f>ABS(持有待售的非流动资产或持有待售的处置组中的资产!E22)</f>
        <v>0</v>
      </c>
      <c r="G23" s="405">
        <f>ABS(持有待售的非流动资产或持有待售的处置组中的资产!D64)</f>
        <v>0</v>
      </c>
      <c r="H23" s="405">
        <f>ABS(持有待售的非流动资产或持有待售的处置组中的资产!E64)</f>
        <v>0</v>
      </c>
      <c r="I23" s="403"/>
      <c r="J23" s="403"/>
      <c r="K23" s="400"/>
      <c r="L23" s="400"/>
      <c r="M23" s="400"/>
      <c r="N23" s="400"/>
    </row>
    <row r="24" spans="1:15">
      <c r="A24" s="661"/>
      <c r="B24" s="162">
        <v>24</v>
      </c>
      <c r="C24" s="404" t="s">
        <v>1518</v>
      </c>
      <c r="D24" s="405">
        <f t="shared" si="0"/>
        <v>0</v>
      </c>
      <c r="E24" s="405">
        <f>ABS(一年内到期的非流动资产!D22)</f>
        <v>0</v>
      </c>
      <c r="F24" s="405">
        <f>ABS(一年内到期的非流动资产!E22)</f>
        <v>0</v>
      </c>
      <c r="G24" s="403"/>
      <c r="H24" s="403"/>
      <c r="I24" s="403"/>
      <c r="J24" s="403"/>
      <c r="K24" s="400"/>
      <c r="L24" s="400"/>
      <c r="M24" s="400"/>
      <c r="N24" s="400"/>
    </row>
    <row r="25" spans="1:15">
      <c r="B25" s="162">
        <v>25</v>
      </c>
      <c r="C25" s="404" t="s">
        <v>1519</v>
      </c>
      <c r="D25" s="405">
        <f t="shared" si="0"/>
        <v>0</v>
      </c>
      <c r="E25" s="405">
        <f>ABS(其他流动资产!D22)</f>
        <v>0</v>
      </c>
      <c r="F25" s="405">
        <f>ABS(其他流动资产!E22)</f>
        <v>0</v>
      </c>
      <c r="G25" s="403"/>
      <c r="H25" s="403"/>
      <c r="I25" s="403"/>
      <c r="J25" s="403"/>
      <c r="K25" s="400"/>
      <c r="L25" s="400"/>
      <c r="M25" s="400"/>
      <c r="N25" s="400"/>
    </row>
    <row r="26" spans="1:15">
      <c r="B26" s="162">
        <v>26</v>
      </c>
      <c r="C26" s="404" t="s">
        <v>1520</v>
      </c>
      <c r="D26" s="405">
        <f t="shared" si="0"/>
        <v>0</v>
      </c>
      <c r="E26" s="405">
        <f>ABS(可供出售金融资产!D31)</f>
        <v>0</v>
      </c>
      <c r="F26" s="405">
        <f>ABS(可供出售金融资产!E31)</f>
        <v>0</v>
      </c>
      <c r="G26" s="403"/>
      <c r="H26" s="403"/>
      <c r="I26" s="403"/>
      <c r="J26" s="403"/>
      <c r="K26" s="400"/>
      <c r="L26" s="400"/>
      <c r="M26" s="400"/>
      <c r="N26" s="400"/>
    </row>
    <row r="27" spans="1:15">
      <c r="A27" s="879" t="str">
        <f>HYPERLINK("#C5","置顶")</f>
        <v>置顶</v>
      </c>
      <c r="B27" s="162">
        <v>27</v>
      </c>
      <c r="C27" s="404" t="s">
        <v>1521</v>
      </c>
      <c r="D27" s="405">
        <f t="shared" si="0"/>
        <v>0</v>
      </c>
      <c r="E27" s="405">
        <f>ABS(持有至到期投资!D34)</f>
        <v>0</v>
      </c>
      <c r="F27" s="405">
        <f>ABS(持有至到期投资!E34)</f>
        <v>0</v>
      </c>
      <c r="G27" s="403"/>
      <c r="H27" s="403"/>
      <c r="I27" s="403"/>
      <c r="J27" s="403"/>
      <c r="K27" s="400"/>
      <c r="L27" s="400"/>
      <c r="M27" s="400"/>
      <c r="N27" s="400"/>
    </row>
    <row r="28" spans="1:15">
      <c r="A28" s="661"/>
      <c r="B28" s="162">
        <v>28</v>
      </c>
      <c r="C28" s="404" t="s">
        <v>1522</v>
      </c>
      <c r="D28" s="405">
        <f t="shared" si="0"/>
        <v>0</v>
      </c>
      <c r="E28" s="405">
        <f>ABS(长期应收款!D13)</f>
        <v>0</v>
      </c>
      <c r="F28" s="405">
        <f>ABS(长期应收款!E13)</f>
        <v>0</v>
      </c>
      <c r="G28" s="403"/>
      <c r="H28" s="403"/>
      <c r="I28" s="403"/>
      <c r="J28" s="403"/>
      <c r="K28" s="400"/>
      <c r="L28" s="400"/>
      <c r="M28" s="400"/>
      <c r="N28" s="400"/>
    </row>
    <row r="29" spans="1:15">
      <c r="B29" s="162">
        <v>29</v>
      </c>
      <c r="C29" s="404" t="s">
        <v>1523</v>
      </c>
      <c r="D29" s="405">
        <f t="shared" si="0"/>
        <v>0</v>
      </c>
      <c r="E29" s="405">
        <f>ABS(长期股权投资!D13)+ABS(长期股权投资!G13)</f>
        <v>0</v>
      </c>
      <c r="F29" s="405">
        <f>ABS(长期股权投资!O17)+ABS(长期股权投资!P17)+ABS(长期股权投资!Q17)+ABS(长期股权投资!O18)+ABS(长期股权投资!P18)+ABS(长期股权投资!Q18)+ABS(长期股权投资!O49)+ABS(长期股权投资!P49)+ABS(长期股权投资!Q49)+ABS(长期股权投资!O58)+ABS(长期股权投资!P58)+ABS(长期股权投资!Q58)+ABS(长期股权投资!O70)</f>
        <v>0</v>
      </c>
      <c r="G29" s="405">
        <f>ABS(长期股权投资!H214)+ABS(长期股权投资!I214)+ABS(长期股权投资!H220)+ABS(长期股权投资!I220)</f>
        <v>0</v>
      </c>
      <c r="H29" s="405">
        <f>ABS(长期股权投资!D233)+ABS(长期股权投资!E233)</f>
        <v>0</v>
      </c>
      <c r="I29" s="405">
        <f>ABS(长期股权投资!D237)+ABS(长期股权投资!E237)</f>
        <v>0</v>
      </c>
      <c r="J29" s="405">
        <f>ABS(长期股权投资!D261)+ABS(长期股权投资!E261)+ABS(长期股权投资!F261)+ABS(长期股权投资!G261)+ABS(长期股权投资!H261)</f>
        <v>0</v>
      </c>
      <c r="K29" s="405">
        <f>ABS(SUM(长期股权投资!D263:E265))</f>
        <v>0</v>
      </c>
      <c r="L29" s="400"/>
      <c r="M29" s="400"/>
      <c r="N29" s="400"/>
    </row>
    <row r="30" spans="1:15">
      <c r="B30" s="162">
        <v>30</v>
      </c>
      <c r="C30" s="404" t="s">
        <v>1524</v>
      </c>
      <c r="D30" s="405">
        <f t="shared" si="0"/>
        <v>0</v>
      </c>
      <c r="E30" s="405">
        <f>ABS(投资性房地产!D42)+ABS(投资性房地产!E42)</f>
        <v>0</v>
      </c>
      <c r="F30" s="403"/>
      <c r="G30" s="403"/>
      <c r="H30" s="403"/>
      <c r="I30" s="403"/>
      <c r="J30" s="403"/>
      <c r="K30" s="400"/>
      <c r="L30" s="400"/>
      <c r="M30" s="400"/>
      <c r="N30" s="400"/>
    </row>
    <row r="31" spans="1:15">
      <c r="B31" s="162">
        <v>31</v>
      </c>
      <c r="C31" s="404" t="s">
        <v>1525</v>
      </c>
      <c r="D31" s="405">
        <f t="shared" si="0"/>
        <v>0</v>
      </c>
      <c r="E31" s="405">
        <f>ABS(固定资产!D79)+ABS(固定资产!E79)</f>
        <v>0</v>
      </c>
      <c r="F31" s="403"/>
      <c r="G31" s="403"/>
      <c r="H31" s="403"/>
      <c r="I31" s="403"/>
      <c r="J31" s="403"/>
      <c r="K31" s="400"/>
      <c r="L31" s="400"/>
      <c r="M31" s="400"/>
      <c r="N31" s="400"/>
    </row>
    <row r="32" spans="1:15">
      <c r="B32" s="162">
        <v>32</v>
      </c>
      <c r="C32" s="1541" t="s">
        <v>4954</v>
      </c>
      <c r="D32" s="405">
        <f t="shared" si="0"/>
        <v>264360.2</v>
      </c>
      <c r="E32" s="1542">
        <f>ABS('固定资产（上市公司）'!C93)+ABS('固定资产（上市公司）'!D93)</f>
        <v>264360.2</v>
      </c>
      <c r="F32" s="1543"/>
      <c r="G32" s="1543"/>
      <c r="H32" s="1543"/>
      <c r="I32" s="1543"/>
      <c r="J32" s="1543"/>
      <c r="K32" s="1426"/>
      <c r="L32" s="1426"/>
      <c r="M32" s="1426"/>
      <c r="N32" s="1426"/>
    </row>
    <row r="33" spans="1:14">
      <c r="B33" s="162">
        <v>33</v>
      </c>
      <c r="C33" s="404" t="s">
        <v>1526</v>
      </c>
      <c r="D33" s="405">
        <f t="shared" si="0"/>
        <v>0</v>
      </c>
      <c r="E33" s="405">
        <f>ABS(在建工程!D59)+ABS(在建工程!E59)</f>
        <v>0</v>
      </c>
      <c r="F33" s="405">
        <f>ABS(在建工程!D63)+ABS(在建工程!E63)</f>
        <v>0</v>
      </c>
      <c r="G33" s="403"/>
      <c r="H33" s="403"/>
      <c r="I33" s="403"/>
      <c r="J33" s="403"/>
      <c r="K33" s="400"/>
      <c r="L33" s="400"/>
      <c r="M33" s="400"/>
      <c r="N33" s="400"/>
    </row>
    <row r="34" spans="1:14">
      <c r="A34" s="879" t="str">
        <f>HYPERLINK("#C5","置顶")</f>
        <v>置顶</v>
      </c>
      <c r="B34" s="162">
        <v>34</v>
      </c>
      <c r="C34" s="404" t="s">
        <v>1527</v>
      </c>
      <c r="D34" s="405">
        <f t="shared" si="0"/>
        <v>0</v>
      </c>
      <c r="E34" s="405">
        <f>ABS(工程物资!D17)+ABS(工程物资!E17)</f>
        <v>0</v>
      </c>
      <c r="F34" s="403"/>
      <c r="G34" s="403"/>
      <c r="H34" s="403"/>
      <c r="I34" s="403"/>
      <c r="J34" s="403"/>
      <c r="K34" s="400"/>
      <c r="L34" s="400"/>
      <c r="M34" s="400"/>
      <c r="N34" s="400"/>
    </row>
    <row r="35" spans="1:14">
      <c r="A35" s="661"/>
      <c r="B35" s="162">
        <v>35</v>
      </c>
      <c r="C35" s="404" t="s">
        <v>1528</v>
      </c>
      <c r="D35" s="405">
        <f t="shared" si="0"/>
        <v>0</v>
      </c>
      <c r="E35" s="405">
        <f>ABS(固定资产清理!D17)+ABS(固定资产清理!E17)</f>
        <v>0</v>
      </c>
      <c r="F35" s="403"/>
      <c r="G35" s="403"/>
      <c r="H35" s="403"/>
      <c r="I35" s="403"/>
      <c r="J35" s="403"/>
      <c r="K35" s="400"/>
      <c r="L35" s="400"/>
      <c r="M35" s="400"/>
      <c r="N35" s="400"/>
    </row>
    <row r="36" spans="1:14">
      <c r="B36" s="162">
        <v>36</v>
      </c>
      <c r="C36" s="404" t="s">
        <v>1529</v>
      </c>
      <c r="D36" s="405">
        <f t="shared" si="0"/>
        <v>0</v>
      </c>
      <c r="E36" s="405">
        <f>ABS(无形资产!D52)+ABS(无形资产!E52)</f>
        <v>0</v>
      </c>
      <c r="F36" s="403"/>
      <c r="G36" s="403"/>
      <c r="H36" s="403"/>
      <c r="I36" s="403"/>
      <c r="J36" s="403"/>
      <c r="K36" s="400"/>
      <c r="L36" s="400"/>
      <c r="M36" s="400"/>
      <c r="N36" s="400"/>
    </row>
    <row r="37" spans="1:14">
      <c r="B37" s="162">
        <v>37</v>
      </c>
      <c r="C37" s="1541" t="s">
        <v>4955</v>
      </c>
      <c r="D37" s="405">
        <f t="shared" si="0"/>
        <v>0</v>
      </c>
      <c r="E37" s="405">
        <f>ABS('无形资产（上市公司）'!C46)+ABS('无形资产（上市公司）'!D46)</f>
        <v>0</v>
      </c>
      <c r="F37" s="1543"/>
      <c r="G37" s="1543"/>
      <c r="H37" s="1543"/>
      <c r="I37" s="1543"/>
      <c r="J37" s="1543"/>
      <c r="K37" s="1426"/>
      <c r="L37" s="1426"/>
      <c r="M37" s="1426"/>
      <c r="N37" s="1426"/>
    </row>
    <row r="38" spans="1:14">
      <c r="B38" s="162">
        <v>38</v>
      </c>
      <c r="C38" s="1333" t="s">
        <v>4461</v>
      </c>
      <c r="D38" s="405">
        <f>ROUND(E38+F38+G38+H38+I38+J38+K38+L38+M38+N38,2)</f>
        <v>0</v>
      </c>
      <c r="E38" s="405">
        <f>ABS(开发支出!D21)+ABS(开发支出!F21)+ABS(开发支出!E21)</f>
        <v>0</v>
      </c>
      <c r="F38" s="403"/>
      <c r="G38" s="403"/>
      <c r="H38" s="403"/>
      <c r="I38" s="403"/>
      <c r="J38" s="403"/>
      <c r="K38" s="400"/>
      <c r="L38" s="400"/>
      <c r="M38" s="400"/>
      <c r="N38" s="400"/>
    </row>
    <row r="39" spans="1:14">
      <c r="B39" s="162">
        <v>39</v>
      </c>
      <c r="C39" s="404" t="s">
        <v>1530</v>
      </c>
      <c r="D39" s="405">
        <f t="shared" si="0"/>
        <v>0</v>
      </c>
      <c r="E39" s="405">
        <f>ABS(商誉!D32)+ABS(商誉!E32)</f>
        <v>0</v>
      </c>
      <c r="F39" s="405">
        <f>ABS(商誉!E36)+ABS(商誉!D36)</f>
        <v>0</v>
      </c>
      <c r="G39" s="403"/>
      <c r="H39" s="403"/>
      <c r="I39" s="403"/>
      <c r="J39" s="403"/>
      <c r="K39" s="400"/>
      <c r="L39" s="400"/>
      <c r="M39" s="400"/>
      <c r="N39" s="400"/>
    </row>
    <row r="40" spans="1:14">
      <c r="B40" s="162">
        <v>40</v>
      </c>
      <c r="C40" s="404" t="s">
        <v>1531</v>
      </c>
      <c r="D40" s="405">
        <f t="shared" si="0"/>
        <v>0</v>
      </c>
      <c r="E40" s="405">
        <f>ABS(长期待摊费用!D18)+ABS(长期待摊费用!E18)</f>
        <v>0</v>
      </c>
      <c r="F40" s="403"/>
      <c r="G40" s="403"/>
      <c r="H40" s="403"/>
      <c r="I40" s="403"/>
      <c r="J40" s="403"/>
      <c r="K40" s="400"/>
      <c r="L40" s="400"/>
      <c r="M40" s="400"/>
      <c r="N40" s="400"/>
    </row>
    <row r="41" spans="1:14">
      <c r="B41" s="162">
        <v>41</v>
      </c>
      <c r="C41" s="404" t="s">
        <v>1532</v>
      </c>
      <c r="D41" s="405">
        <f t="shared" si="0"/>
        <v>0</v>
      </c>
      <c r="E41" s="405">
        <f>ABS(递延所得税资产与递延所得税负债!D116)+ABS(递延所得税资产与递延所得税负债!E116)</f>
        <v>0</v>
      </c>
      <c r="F41" s="405">
        <f>ABS(递延所得税资产与递延所得税负债!D120)+ABS(递延所得税资产与递延所得税负债!E120)</f>
        <v>0</v>
      </c>
      <c r="G41" s="408">
        <f>ABS(递延所得税资产与递延所得税负债!D125)+ABS(递延所得税资产与递延所得税负债!E125)</f>
        <v>0</v>
      </c>
      <c r="H41" s="408">
        <f>ABS(递延所得税资产与递延所得税负债!J108)+ABS(递延所得税资产与递延所得税负债!K108)</f>
        <v>0</v>
      </c>
      <c r="I41" s="403"/>
      <c r="J41" s="403"/>
      <c r="K41" s="400"/>
      <c r="L41" s="400"/>
      <c r="M41" s="400"/>
      <c r="N41" s="400"/>
    </row>
    <row r="42" spans="1:14">
      <c r="A42" s="661" t="str">
        <f>HYPERLINK("#C5","置顶")</f>
        <v>置顶</v>
      </c>
      <c r="B42" s="162">
        <v>42</v>
      </c>
      <c r="C42" s="404" t="s">
        <v>1533</v>
      </c>
      <c r="D42" s="405">
        <f t="shared" si="0"/>
        <v>0</v>
      </c>
      <c r="E42" s="405">
        <f>ABS(其他非流动资产!D22)+ABS(其他非流动资产!E22)</f>
        <v>0</v>
      </c>
      <c r="F42" s="403"/>
      <c r="G42" s="403"/>
      <c r="H42" s="403"/>
      <c r="I42" s="403"/>
      <c r="J42" s="403"/>
      <c r="K42" s="400"/>
      <c r="L42" s="400"/>
      <c r="M42" s="400"/>
      <c r="N42" s="400"/>
    </row>
    <row r="43" spans="1:14">
      <c r="B43" s="162">
        <v>43</v>
      </c>
      <c r="C43" s="404" t="s">
        <v>2681</v>
      </c>
      <c r="D43" s="405">
        <f t="shared" si="0"/>
        <v>0</v>
      </c>
      <c r="E43" s="403"/>
      <c r="F43" s="403"/>
      <c r="G43" s="403"/>
      <c r="H43" s="403"/>
      <c r="I43" s="403"/>
      <c r="J43" s="403"/>
      <c r="K43" s="400"/>
      <c r="L43" s="400"/>
      <c r="M43" s="400"/>
      <c r="N43" s="400"/>
    </row>
    <row r="44" spans="1:14">
      <c r="B44" s="162">
        <v>44</v>
      </c>
      <c r="C44" s="404" t="s">
        <v>1534</v>
      </c>
      <c r="D44" s="405">
        <f t="shared" si="0"/>
        <v>0</v>
      </c>
      <c r="E44" s="405">
        <f>ABS(短期借款!D28)+ABS(短期借款!E28)</f>
        <v>0</v>
      </c>
      <c r="F44" s="403"/>
      <c r="G44" s="403"/>
      <c r="H44" s="403"/>
      <c r="I44" s="403"/>
      <c r="J44" s="403"/>
      <c r="K44" s="400"/>
      <c r="L44" s="400"/>
      <c r="M44" s="400"/>
      <c r="N44" s="400"/>
    </row>
    <row r="45" spans="1:14">
      <c r="B45" s="162">
        <v>45</v>
      </c>
      <c r="C45" s="404" t="s">
        <v>1535</v>
      </c>
      <c r="D45" s="405">
        <f t="shared" si="0"/>
        <v>0</v>
      </c>
      <c r="E45" s="405">
        <f>ABS(以公允价值计量且其变动计入当期损益的金融负债!D11)+ABS(以公允价值计量且其变动计入当期损益的金融负债!E11)</f>
        <v>0</v>
      </c>
      <c r="F45" s="403"/>
      <c r="G45" s="403"/>
      <c r="H45" s="403"/>
      <c r="I45" s="403"/>
      <c r="J45" s="403"/>
      <c r="K45" s="400"/>
      <c r="L45" s="400"/>
      <c r="M45" s="400"/>
      <c r="N45" s="400"/>
    </row>
    <row r="46" spans="1:14">
      <c r="B46" s="162">
        <v>46</v>
      </c>
      <c r="C46" s="404" t="s">
        <v>1536</v>
      </c>
      <c r="D46" s="405">
        <f t="shared" si="0"/>
        <v>0</v>
      </c>
      <c r="E46" s="405">
        <f>ABS(应付票据!D9)+ABS(应付票据!E9)</f>
        <v>0</v>
      </c>
      <c r="F46" s="403"/>
      <c r="G46" s="403"/>
      <c r="H46" s="403"/>
      <c r="I46" s="403"/>
      <c r="J46" s="403"/>
      <c r="K46" s="400"/>
      <c r="L46" s="400"/>
      <c r="M46" s="400"/>
      <c r="N46" s="400"/>
    </row>
    <row r="47" spans="1:14">
      <c r="A47" s="661" t="str">
        <f>HYPERLINK("#C5","置顶")</f>
        <v>置顶</v>
      </c>
      <c r="B47" s="162">
        <v>47</v>
      </c>
      <c r="C47" s="404" t="s">
        <v>1537</v>
      </c>
      <c r="D47" s="405">
        <f t="shared" si="0"/>
        <v>0</v>
      </c>
      <c r="E47" s="405">
        <f>ABS(应付账款!D46)+ABS(应付账款!E46)</f>
        <v>0</v>
      </c>
      <c r="F47" s="403"/>
      <c r="G47" s="403"/>
      <c r="H47" s="403"/>
      <c r="I47" s="403"/>
      <c r="J47" s="403"/>
      <c r="K47" s="400"/>
      <c r="L47" s="400"/>
      <c r="M47" s="400"/>
      <c r="N47" s="400"/>
    </row>
    <row r="48" spans="1:14">
      <c r="B48" s="162">
        <v>48</v>
      </c>
      <c r="C48" s="404" t="s">
        <v>1538</v>
      </c>
      <c r="D48" s="405">
        <f t="shared" si="0"/>
        <v>0</v>
      </c>
      <c r="E48" s="405">
        <f>ABS(预收款项!D37)+ABS(预收款项!E37)</f>
        <v>0</v>
      </c>
      <c r="F48" s="403"/>
      <c r="G48" s="403"/>
      <c r="H48" s="403"/>
      <c r="I48" s="403"/>
      <c r="J48" s="403"/>
      <c r="K48" s="400"/>
      <c r="L48" s="400"/>
      <c r="M48" s="400"/>
      <c r="N48" s="400"/>
    </row>
    <row r="49" spans="1:14">
      <c r="B49" s="162">
        <v>49</v>
      </c>
      <c r="C49" s="404" t="s">
        <v>450</v>
      </c>
      <c r="D49" s="405">
        <f>ROUND(E49+F49+G49+H49+I49+J49+K49+L49+M49+N49,2)</f>
        <v>0</v>
      </c>
      <c r="E49" s="405">
        <f>ABS(应付职工薪酬!D36)+ABS(应付职工薪酬!E36)</f>
        <v>2.4738255888223648E-10</v>
      </c>
      <c r="F49" s="405">
        <f>ABS(SUM(应付职工薪酬!D37:G38))+ABS(SUM(应付职工薪酬!D43:E44))</f>
        <v>2.3283064365386963E-10</v>
      </c>
      <c r="G49" s="405">
        <f>ABS(SUM(应付职工薪酬!D45:E45))</f>
        <v>0</v>
      </c>
      <c r="H49" s="403"/>
      <c r="I49" s="403"/>
      <c r="J49" s="403"/>
      <c r="K49" s="400"/>
      <c r="L49" s="400"/>
      <c r="M49" s="400"/>
      <c r="N49" s="400"/>
    </row>
    <row r="50" spans="1:14">
      <c r="B50" s="162">
        <v>50</v>
      </c>
      <c r="C50" s="404" t="s">
        <v>1539</v>
      </c>
      <c r="D50" s="405">
        <f t="shared" si="0"/>
        <v>0</v>
      </c>
      <c r="E50" s="405">
        <f>ABS(应交税费!D27)+ABS(应交税费!E27)</f>
        <v>0</v>
      </c>
      <c r="F50" s="405">
        <f>ABS(应交税费!D34)+ABS(应交税费!E34)</f>
        <v>1.1095835361629725E-10</v>
      </c>
      <c r="G50" s="405">
        <f>ABS(SUM(应交税费!D35:E35))</f>
        <v>0</v>
      </c>
      <c r="H50" s="403"/>
      <c r="I50" s="403"/>
      <c r="J50" s="403"/>
      <c r="K50" s="400"/>
      <c r="L50" s="400"/>
      <c r="M50" s="400"/>
      <c r="N50" s="400"/>
    </row>
    <row r="51" spans="1:14">
      <c r="B51" s="162">
        <v>51</v>
      </c>
      <c r="C51" s="404" t="s">
        <v>1540</v>
      </c>
      <c r="D51" s="405">
        <f t="shared" si="0"/>
        <v>0</v>
      </c>
      <c r="E51" s="405">
        <f>ABS(应付利息!D15)+ABS(应付利息!E15)</f>
        <v>0</v>
      </c>
      <c r="F51" s="403"/>
      <c r="G51" s="403"/>
      <c r="H51" s="403"/>
      <c r="I51" s="403"/>
      <c r="J51" s="403"/>
      <c r="K51" s="400"/>
      <c r="L51" s="400"/>
      <c r="M51" s="400"/>
      <c r="N51" s="400"/>
    </row>
    <row r="52" spans="1:14">
      <c r="A52" s="661"/>
      <c r="B52" s="162">
        <v>52</v>
      </c>
      <c r="C52" s="404" t="s">
        <v>1541</v>
      </c>
      <c r="D52" s="405">
        <f t="shared" si="0"/>
        <v>0</v>
      </c>
      <c r="E52" s="405">
        <f>ABS(应付股利!D22)+ABS(应付股利!E22)</f>
        <v>0</v>
      </c>
      <c r="F52" s="405">
        <f>ABS(应付股利!D23)+ABS(应付股利!E23)</f>
        <v>0</v>
      </c>
      <c r="G52" s="403"/>
      <c r="H52" s="403"/>
      <c r="I52" s="403"/>
      <c r="J52" s="403"/>
      <c r="K52" s="400"/>
      <c r="L52" s="400"/>
      <c r="M52" s="400"/>
      <c r="N52" s="400"/>
    </row>
    <row r="53" spans="1:14">
      <c r="B53" s="162">
        <v>53</v>
      </c>
      <c r="C53" s="404" t="s">
        <v>1542</v>
      </c>
      <c r="D53" s="405">
        <f t="shared" si="0"/>
        <v>0</v>
      </c>
      <c r="E53" s="405">
        <f>ABS(其他应付款!D56)+ABS(其他应付款!E56)</f>
        <v>0</v>
      </c>
      <c r="F53" s="403"/>
      <c r="G53" s="403"/>
      <c r="H53" s="403"/>
      <c r="I53" s="403"/>
      <c r="J53" s="403"/>
      <c r="K53" s="400"/>
      <c r="L53" s="400"/>
      <c r="M53" s="400"/>
      <c r="N53" s="400"/>
    </row>
    <row r="54" spans="1:14">
      <c r="B54" s="162">
        <v>54</v>
      </c>
      <c r="C54" s="1345" t="s">
        <v>4664</v>
      </c>
      <c r="D54" s="405">
        <f t="shared" si="0"/>
        <v>0</v>
      </c>
      <c r="E54" s="405">
        <f>ABS(持有待售的处置组中的负债!D22)+ABS(持有待售的处置组中的负债!E22)</f>
        <v>0</v>
      </c>
      <c r="F54" s="403"/>
      <c r="G54" s="403"/>
      <c r="H54" s="403"/>
      <c r="I54" s="403"/>
      <c r="J54" s="403"/>
      <c r="K54" s="400"/>
      <c r="L54" s="400"/>
      <c r="M54" s="400"/>
      <c r="N54" s="400"/>
    </row>
    <row r="55" spans="1:14">
      <c r="B55" s="162">
        <v>55</v>
      </c>
      <c r="C55" s="404" t="s">
        <v>1543</v>
      </c>
      <c r="D55" s="405">
        <f t="shared" si="0"/>
        <v>0</v>
      </c>
      <c r="E55" s="405">
        <f>ABS(一年内到期的非流动负债!D15)+ABS(一年内到期的非流动负债!E15)</f>
        <v>0</v>
      </c>
      <c r="F55" s="403"/>
      <c r="G55" s="403"/>
      <c r="H55" s="403"/>
      <c r="I55" s="403"/>
      <c r="J55" s="403"/>
      <c r="K55" s="400"/>
      <c r="L55" s="400"/>
      <c r="M55" s="400"/>
      <c r="N55" s="400"/>
    </row>
    <row r="56" spans="1:14">
      <c r="B56" s="162">
        <v>56</v>
      </c>
      <c r="C56" s="404" t="s">
        <v>1544</v>
      </c>
      <c r="D56" s="405">
        <f t="shared" si="0"/>
        <v>0</v>
      </c>
      <c r="E56" s="405">
        <f>ABS(其他流动负债!D17)</f>
        <v>0</v>
      </c>
      <c r="F56" s="405">
        <f>ABS(其他流动负债!E17)</f>
        <v>0</v>
      </c>
      <c r="G56" s="403"/>
      <c r="H56" s="403"/>
      <c r="I56" s="403"/>
      <c r="J56" s="403"/>
      <c r="K56" s="400"/>
      <c r="L56" s="400"/>
      <c r="M56" s="400"/>
      <c r="N56" s="400"/>
    </row>
    <row r="57" spans="1:14">
      <c r="A57" s="879" t="str">
        <f>HYPERLINK("#C5","置顶")</f>
        <v>置顶</v>
      </c>
      <c r="B57" s="162">
        <v>57</v>
      </c>
      <c r="C57" s="404" t="s">
        <v>1545</v>
      </c>
      <c r="D57" s="405">
        <f t="shared" si="0"/>
        <v>0</v>
      </c>
      <c r="E57" s="405">
        <f>ABS(长期借款!D71)</f>
        <v>0</v>
      </c>
      <c r="F57" s="405">
        <f>ABS(长期借款!E71)</f>
        <v>0</v>
      </c>
      <c r="G57" s="403"/>
      <c r="H57" s="403"/>
      <c r="I57" s="403"/>
      <c r="J57" s="403"/>
      <c r="K57" s="400"/>
      <c r="L57" s="400"/>
      <c r="M57" s="400"/>
      <c r="N57" s="400"/>
    </row>
    <row r="58" spans="1:14">
      <c r="A58" s="661"/>
      <c r="B58" s="162">
        <v>58</v>
      </c>
      <c r="C58" s="404" t="s">
        <v>1546</v>
      </c>
      <c r="D58" s="405">
        <f t="shared" si="0"/>
        <v>0</v>
      </c>
      <c r="E58" s="405">
        <f>ABS(应付债券!D29)+ABS(应付债券!E29)</f>
        <v>0</v>
      </c>
      <c r="F58" s="405">
        <f>ABS(应付债券!D30)+ABS(应付债券!E30)</f>
        <v>0</v>
      </c>
      <c r="G58" s="403"/>
      <c r="H58" s="403"/>
      <c r="I58" s="403"/>
      <c r="J58" s="403"/>
      <c r="K58" s="400"/>
      <c r="L58" s="400"/>
      <c r="M58" s="400"/>
      <c r="N58" s="400"/>
    </row>
    <row r="59" spans="1:14">
      <c r="B59" s="162">
        <v>59</v>
      </c>
      <c r="C59" s="404" t="s">
        <v>1547</v>
      </c>
      <c r="D59" s="405">
        <f t="shared" si="0"/>
        <v>13918819.82</v>
      </c>
      <c r="E59" s="405">
        <f>ABS('优先股、永续债等金融工具'!I17)</f>
        <v>0</v>
      </c>
      <c r="F59" s="405">
        <f>ABS('优先股、永续债等金融工具'!D41)+ABS('优先股、永续债等金融工具'!E41)</f>
        <v>0</v>
      </c>
      <c r="G59" s="405">
        <f>ABS('优先股、永续债等金融工具'!H48)+ABS('优先股、永续债等金融工具'!I48)</f>
        <v>13918819.82</v>
      </c>
      <c r="H59" s="405">
        <f>ABS('优先股、永续债等金融工具'!H56)+ABS('优先股、永续债等金融工具'!I56)</f>
        <v>0</v>
      </c>
      <c r="I59" s="403"/>
      <c r="J59" s="403"/>
      <c r="K59" s="400"/>
      <c r="L59" s="400"/>
      <c r="M59" s="400"/>
      <c r="N59" s="400"/>
    </row>
    <row r="60" spans="1:14">
      <c r="B60" s="162">
        <v>60</v>
      </c>
      <c r="C60" s="404" t="s">
        <v>1548</v>
      </c>
      <c r="D60" s="405">
        <f>ROUND(E60+F60+G60+H60+I60+J60+K60+L60+M60+N60,2)</f>
        <v>0</v>
      </c>
      <c r="E60" s="405">
        <f>ABS(长期应付款!D18)</f>
        <v>0</v>
      </c>
      <c r="F60" s="405">
        <f>ABS(长期应付款!E18)</f>
        <v>0</v>
      </c>
      <c r="G60" s="405">
        <f>ABS(长期应付款!D20)</f>
        <v>0</v>
      </c>
      <c r="H60" s="405">
        <f>ABS(长期应付款!E20)</f>
        <v>0</v>
      </c>
      <c r="I60" s="403"/>
      <c r="J60" s="403"/>
      <c r="K60" s="400"/>
      <c r="L60" s="400"/>
      <c r="M60" s="400"/>
      <c r="N60" s="400"/>
    </row>
    <row r="61" spans="1:14">
      <c r="B61" s="162">
        <v>61</v>
      </c>
      <c r="C61" s="404" t="s">
        <v>2682</v>
      </c>
      <c r="D61" s="405">
        <f>ROUND(E61+F61+G61+H61+I61+J61+K61+L61+M61+N61,2)</f>
        <v>0</v>
      </c>
      <c r="E61" s="405">
        <f>ABS(长期应付职工薪酬!D11)</f>
        <v>0</v>
      </c>
      <c r="F61" s="405">
        <f>ABS(长期应付职工薪酬!E11)</f>
        <v>0</v>
      </c>
      <c r="G61" s="405">
        <f>ABS(长期应付职工薪酬!D13)</f>
        <v>0</v>
      </c>
      <c r="H61" s="405">
        <f>ABS(长期应付职工薪酬!E13)</f>
        <v>0</v>
      </c>
      <c r="I61" s="403"/>
      <c r="J61" s="403"/>
      <c r="K61" s="400"/>
      <c r="L61" s="400"/>
      <c r="M61" s="400"/>
      <c r="N61" s="400"/>
    </row>
    <row r="62" spans="1:14">
      <c r="B62" s="162">
        <v>62</v>
      </c>
      <c r="C62" s="404" t="s">
        <v>1549</v>
      </c>
      <c r="D62" s="405">
        <f t="shared" si="0"/>
        <v>0</v>
      </c>
      <c r="E62" s="405">
        <f>ABS(专项应付款!D17)+ABS(专项应付款!G17)</f>
        <v>0</v>
      </c>
      <c r="F62" s="405">
        <f>ABS(专项应付款!D18)</f>
        <v>0</v>
      </c>
      <c r="G62" s="405">
        <f>ABS(专项应付款!E18)</f>
        <v>0</v>
      </c>
      <c r="H62" s="405">
        <f>ABS(专项应付款!F18)</f>
        <v>0</v>
      </c>
      <c r="I62" s="405">
        <f>ABS(专项应付款!G18)</f>
        <v>0</v>
      </c>
      <c r="J62" s="403"/>
      <c r="K62" s="400"/>
      <c r="L62" s="400"/>
      <c r="M62" s="400"/>
      <c r="N62" s="400"/>
    </row>
    <row r="63" spans="1:14">
      <c r="B63" s="162">
        <v>63</v>
      </c>
      <c r="C63" s="404" t="s">
        <v>994</v>
      </c>
      <c r="D63" s="405">
        <f t="shared" si="0"/>
        <v>0</v>
      </c>
      <c r="E63" s="405">
        <f>ABS(预计负债!D16)+ABS(预计负债!E16)</f>
        <v>0</v>
      </c>
      <c r="F63" s="403"/>
      <c r="G63" s="403"/>
      <c r="H63" s="403"/>
      <c r="I63" s="403"/>
      <c r="J63" s="403"/>
      <c r="K63" s="400"/>
      <c r="L63" s="400"/>
      <c r="M63" s="400"/>
      <c r="N63" s="400"/>
    </row>
    <row r="64" spans="1:14">
      <c r="B64" s="162">
        <v>64</v>
      </c>
      <c r="C64" s="404" t="s">
        <v>997</v>
      </c>
      <c r="D64" s="405">
        <f t="shared" si="0"/>
        <v>0</v>
      </c>
      <c r="E64" s="405">
        <f>ABS(递延收益!D24)+ABS(递延收益!E24)</f>
        <v>0</v>
      </c>
      <c r="F64" s="403"/>
      <c r="G64" s="403"/>
      <c r="H64" s="403"/>
      <c r="I64" s="403"/>
      <c r="J64" s="403"/>
      <c r="K64" s="400"/>
      <c r="L64" s="400"/>
      <c r="M64" s="400"/>
      <c r="N64" s="400"/>
    </row>
    <row r="65" spans="1:14" hidden="1">
      <c r="A65" s="661" t="str">
        <f>HYPERLINK("#C5","置顶")</f>
        <v>置顶</v>
      </c>
      <c r="B65" s="162">
        <v>65</v>
      </c>
      <c r="C65" s="1367" t="s">
        <v>4582</v>
      </c>
      <c r="D65" s="405">
        <f t="shared" si="0"/>
        <v>0</v>
      </c>
      <c r="E65" s="1364">
        <f>ABS(政府补助!D45)</f>
        <v>0</v>
      </c>
      <c r="F65" s="1364">
        <f>ABS(政府补助!E45)</f>
        <v>0</v>
      </c>
      <c r="G65" s="1365"/>
      <c r="H65" s="1365"/>
      <c r="I65" s="1365"/>
      <c r="J65" s="1365"/>
      <c r="K65" s="1366"/>
      <c r="L65" s="1366"/>
      <c r="M65" s="1366"/>
      <c r="N65" s="1366"/>
    </row>
    <row r="66" spans="1:14">
      <c r="B66" s="162">
        <v>66</v>
      </c>
      <c r="C66" s="404" t="s">
        <v>1550</v>
      </c>
      <c r="D66" s="405">
        <f>ROUND(E66+F66+G66+H66+I66+J66+K66+L66+M66+N66,2)</f>
        <v>0</v>
      </c>
      <c r="E66" s="405">
        <f>ABS(其他非流动负债!D18)+ABS(其他非流动负债!E18)</f>
        <v>0</v>
      </c>
      <c r="F66" s="405">
        <f>ABS(其他非流动负债!D19)+ABS(其他非流动负债!E19)+ABS(其他非流动负债!F19)+ABS(其他非流动负债!G19)</f>
        <v>0</v>
      </c>
      <c r="G66" s="403"/>
      <c r="H66" s="403"/>
      <c r="I66" s="403"/>
      <c r="J66" s="403"/>
      <c r="K66" s="403"/>
      <c r="L66" s="403"/>
      <c r="M66" s="400"/>
      <c r="N66" s="400"/>
    </row>
    <row r="67" spans="1:14">
      <c r="B67" s="162">
        <v>67</v>
      </c>
      <c r="C67" s="404" t="s">
        <v>1551</v>
      </c>
      <c r="D67" s="405">
        <f t="shared" si="0"/>
        <v>0</v>
      </c>
      <c r="E67" s="405">
        <f>ABS(实收资本!D18)+ABS(实收资本!E18)</f>
        <v>0</v>
      </c>
      <c r="F67" s="405">
        <f>ABS(实收资本!F18)+ABS(实收资本!G18)</f>
        <v>0</v>
      </c>
      <c r="G67" s="403"/>
      <c r="H67" s="403"/>
      <c r="I67" s="403"/>
      <c r="J67" s="403"/>
      <c r="K67" s="403"/>
      <c r="L67" s="403"/>
      <c r="M67" s="400"/>
      <c r="N67" s="400"/>
    </row>
    <row r="68" spans="1:14">
      <c r="B68" s="162">
        <v>68</v>
      </c>
      <c r="C68" s="404" t="s">
        <v>1552</v>
      </c>
      <c r="D68" s="405">
        <f t="shared" si="0"/>
        <v>0</v>
      </c>
      <c r="E68" s="405">
        <f>ABS(资本公积!D19)+ABS(资本公积!E19)</f>
        <v>0</v>
      </c>
      <c r="F68" s="403"/>
      <c r="G68" s="403"/>
      <c r="H68" s="403"/>
      <c r="I68" s="403"/>
      <c r="J68" s="403"/>
      <c r="K68" s="400"/>
      <c r="L68" s="400"/>
      <c r="M68" s="400"/>
      <c r="N68" s="400"/>
    </row>
    <row r="69" spans="1:14">
      <c r="A69" s="661"/>
      <c r="B69" s="162">
        <v>69</v>
      </c>
      <c r="C69" s="404" t="s">
        <v>1553</v>
      </c>
      <c r="D69" s="405">
        <f t="shared" si="0"/>
        <v>0</v>
      </c>
      <c r="E69" s="405">
        <f>ABS(专项储备!D12)+ABS(专项储备!E12)+ABS(专项储备!F12)+ABS(专项储备!G12)</f>
        <v>0</v>
      </c>
      <c r="F69" s="403"/>
      <c r="G69" s="403"/>
      <c r="H69" s="403"/>
      <c r="I69" s="403"/>
      <c r="J69" s="403"/>
      <c r="K69" s="400"/>
      <c r="L69" s="400"/>
      <c r="M69" s="400"/>
      <c r="N69" s="400"/>
    </row>
    <row r="70" spans="1:14">
      <c r="B70" s="162">
        <v>70</v>
      </c>
      <c r="C70" s="404" t="s">
        <v>1554</v>
      </c>
      <c r="D70" s="405">
        <f t="shared" si="0"/>
        <v>0</v>
      </c>
      <c r="E70" s="405">
        <f>ABS(盈余公积!D13)+ABS(盈余公积!E13)</f>
        <v>0</v>
      </c>
      <c r="F70" s="405">
        <f>ABS(盈余公积!D16)+ABS(盈余公积!E16)</f>
        <v>0</v>
      </c>
      <c r="G70" s="405">
        <f>ABS(盈余公积!D17)+ABS(盈余公积!E17)</f>
        <v>0</v>
      </c>
      <c r="H70" s="405">
        <f>ABS(盈余公积!D18)+ABS(盈余公积!E18)</f>
        <v>0</v>
      </c>
      <c r="I70" s="405">
        <f>ABS(盈余公积!D19)+ABS(盈余公积!E19)</f>
        <v>0</v>
      </c>
      <c r="J70" s="405">
        <f>ABS(盈余公积!D20)+ABS(盈余公积!E20)</f>
        <v>0</v>
      </c>
      <c r="K70" s="400"/>
      <c r="L70" s="400"/>
      <c r="M70" s="400"/>
      <c r="N70" s="400"/>
    </row>
    <row r="71" spans="1:14">
      <c r="A71" s="879" t="str">
        <f>HYPERLINK("#C5","置顶")</f>
        <v>置顶</v>
      </c>
      <c r="B71" s="162">
        <v>71</v>
      </c>
      <c r="C71" s="404" t="s">
        <v>1555</v>
      </c>
      <c r="D71" s="405">
        <f t="shared" si="0"/>
        <v>0</v>
      </c>
      <c r="E71" s="405">
        <f>ABS(未分配利润!D17)+ABS(未分配利润!E17)</f>
        <v>0</v>
      </c>
      <c r="F71" s="403"/>
      <c r="G71" s="403"/>
      <c r="H71" s="403"/>
      <c r="I71" s="403"/>
      <c r="J71" s="403"/>
      <c r="K71" s="400"/>
      <c r="L71" s="400"/>
      <c r="M71" s="400"/>
      <c r="N71" s="400"/>
    </row>
    <row r="72" spans="1:14">
      <c r="B72" s="162">
        <v>72</v>
      </c>
      <c r="C72" s="404" t="s">
        <v>1556</v>
      </c>
      <c r="D72" s="405">
        <f t="shared" si="0"/>
        <v>0</v>
      </c>
      <c r="E72" s="405">
        <f>ABS(营业收入营业成本!D89)+ABS(营业收入营业成本!E89)</f>
        <v>0</v>
      </c>
      <c r="F72" s="405">
        <f>ABS(营业收入营业成本!D93)+ABS(营业收入营业成本!E93)</f>
        <v>0</v>
      </c>
      <c r="G72" s="405">
        <f>ABS(营业收入营业成本!D97)+ABS(营业收入营业成本!E97)</f>
        <v>0</v>
      </c>
      <c r="H72" s="405">
        <f>ABS(营业收入营业成本!D101)+ABS(营业收入营业成本!E101)</f>
        <v>0</v>
      </c>
      <c r="I72" s="405">
        <f>ABS(营业收入营业成本!D105)+ABS(营业收入营业成本!E105)</f>
        <v>0</v>
      </c>
      <c r="J72" s="405">
        <f>ABS(营业收入营业成本!D109)+ABS(营业收入营业成本!E109)</f>
        <v>0</v>
      </c>
      <c r="K72" s="400"/>
      <c r="L72" s="400"/>
      <c r="M72" s="400"/>
      <c r="N72" s="400"/>
    </row>
    <row r="73" spans="1:14">
      <c r="B73" s="162">
        <v>73</v>
      </c>
      <c r="C73" s="1333" t="s">
        <v>5253</v>
      </c>
      <c r="D73" s="405">
        <f t="shared" si="0"/>
        <v>0</v>
      </c>
      <c r="E73" s="405">
        <f>ABS(主营业务税金及附加!D18)+ABS(主营业务税金及附加!E18)</f>
        <v>0</v>
      </c>
      <c r="F73" s="403"/>
      <c r="G73" s="403"/>
      <c r="H73" s="403"/>
      <c r="I73" s="403"/>
      <c r="J73" s="403"/>
      <c r="K73" s="400"/>
      <c r="L73" s="400"/>
      <c r="M73" s="400"/>
      <c r="N73" s="400"/>
    </row>
    <row r="74" spans="1:14">
      <c r="B74" s="162">
        <v>74</v>
      </c>
      <c r="C74" s="404" t="s">
        <v>1557</v>
      </c>
      <c r="D74" s="408">
        <f t="shared" si="0"/>
        <v>0</v>
      </c>
      <c r="E74" s="408">
        <f>ABS(销售费用!D22)+ABS(销售费用!E22)</f>
        <v>0</v>
      </c>
      <c r="F74" s="403"/>
      <c r="G74" s="403"/>
      <c r="H74" s="403"/>
      <c r="I74" s="403"/>
      <c r="J74" s="403"/>
      <c r="K74" s="400"/>
      <c r="L74" s="400"/>
      <c r="M74" s="400"/>
      <c r="N74" s="400"/>
    </row>
    <row r="75" spans="1:14">
      <c r="B75" s="162">
        <v>75</v>
      </c>
      <c r="C75" s="404" t="s">
        <v>1558</v>
      </c>
      <c r="D75" s="408">
        <f t="shared" si="0"/>
        <v>0</v>
      </c>
      <c r="E75" s="408">
        <f>ABS(管理费用!D22)+ABS(管理费用!E22)</f>
        <v>0</v>
      </c>
      <c r="F75" s="403"/>
      <c r="G75" s="403"/>
      <c r="H75" s="403"/>
      <c r="I75" s="403"/>
      <c r="J75" s="403"/>
      <c r="K75" s="400"/>
      <c r="L75" s="400"/>
      <c r="M75" s="400"/>
      <c r="N75" s="400"/>
    </row>
    <row r="76" spans="1:14">
      <c r="A76" s="661"/>
      <c r="B76" s="162">
        <v>76</v>
      </c>
      <c r="C76" s="404" t="s">
        <v>1559</v>
      </c>
      <c r="D76" s="405">
        <f t="shared" si="0"/>
        <v>0</v>
      </c>
      <c r="E76" s="405">
        <f>ABS(财务费用!D21)+ABS(财务费用!E21)</f>
        <v>0</v>
      </c>
      <c r="F76" s="405">
        <f>ABS(财务费用!D22)+ABS(财务费用!E22)</f>
        <v>0</v>
      </c>
      <c r="G76" s="405">
        <f>ABS(财务费用!D23)+ABS(财务费用!E23)</f>
        <v>0</v>
      </c>
      <c r="H76" s="405">
        <f>ABS(财务费用!D24)+ABS(财务费用!E24)</f>
        <v>0</v>
      </c>
      <c r="I76" s="405">
        <f>ABS(财务费用!D17)+ABS(财务费用!E17)</f>
        <v>0</v>
      </c>
      <c r="J76" s="403"/>
      <c r="K76" s="400"/>
      <c r="L76" s="400"/>
      <c r="M76" s="400"/>
      <c r="N76" s="400"/>
    </row>
    <row r="77" spans="1:14">
      <c r="B77" s="162">
        <v>77</v>
      </c>
      <c r="C77" s="404" t="s">
        <v>1560</v>
      </c>
      <c r="D77" s="405">
        <f t="shared" si="0"/>
        <v>0</v>
      </c>
      <c r="E77" s="405">
        <f>ABS(资产减值损失!D21)+ABS(资产减值损失!E21)</f>
        <v>0</v>
      </c>
      <c r="F77" s="403"/>
      <c r="G77" s="403"/>
      <c r="H77" s="403"/>
      <c r="I77" s="403"/>
      <c r="J77" s="403"/>
      <c r="K77" s="400"/>
      <c r="L77" s="400"/>
      <c r="M77" s="400"/>
      <c r="N77" s="400"/>
    </row>
    <row r="78" spans="1:14">
      <c r="B78" s="162">
        <v>78</v>
      </c>
      <c r="C78" s="404" t="s">
        <v>1561</v>
      </c>
      <c r="D78" s="405">
        <f t="shared" si="0"/>
        <v>0</v>
      </c>
      <c r="E78" s="405">
        <f>ABS(公允价值变动收益!D13)+ABS(公允价值变动收益!E13)</f>
        <v>0</v>
      </c>
      <c r="F78" s="403"/>
      <c r="G78" s="403"/>
      <c r="H78" s="403"/>
      <c r="I78" s="403"/>
      <c r="J78" s="403"/>
      <c r="K78" s="400"/>
      <c r="L78" s="400"/>
      <c r="M78" s="400"/>
      <c r="N78" s="400"/>
    </row>
    <row r="79" spans="1:14">
      <c r="A79" s="879" t="str">
        <f>HYPERLINK("#C5","置顶")</f>
        <v>置顶</v>
      </c>
      <c r="B79" s="162">
        <v>79</v>
      </c>
      <c r="C79" s="404" t="s">
        <v>1562</v>
      </c>
      <c r="D79" s="405">
        <f t="shared" si="0"/>
        <v>0</v>
      </c>
      <c r="E79" s="405">
        <f>ABS(投资收益!D18)+ABS(投资收益!E18)</f>
        <v>0</v>
      </c>
      <c r="F79" s="405">
        <f>ABS(投资收益!D30)+ABS(投资收益!E30)</f>
        <v>0</v>
      </c>
      <c r="G79" s="405">
        <f>ABS(投资收益!D43)+ABS(投资收益!E43)</f>
        <v>0</v>
      </c>
      <c r="H79" s="403"/>
      <c r="I79" s="403"/>
      <c r="J79" s="403"/>
      <c r="K79" s="400"/>
      <c r="L79" s="400"/>
      <c r="M79" s="400"/>
      <c r="N79" s="400"/>
    </row>
    <row r="80" spans="1:14">
      <c r="A80" s="661"/>
      <c r="B80" s="162">
        <v>80</v>
      </c>
      <c r="C80" s="1367" t="s">
        <v>4586</v>
      </c>
      <c r="D80" s="405">
        <f t="shared" si="0"/>
        <v>0</v>
      </c>
      <c r="E80" s="1364">
        <f>ABS(其他收益!D22)</f>
        <v>0</v>
      </c>
      <c r="F80" s="1364">
        <f>ABS(其他收益!E22)</f>
        <v>0</v>
      </c>
      <c r="G80" s="1365"/>
      <c r="H80" s="1365"/>
      <c r="I80" s="1365"/>
      <c r="J80" s="1365"/>
      <c r="K80" s="1366"/>
      <c r="L80" s="1366"/>
      <c r="M80" s="1366"/>
      <c r="N80" s="1366"/>
    </row>
    <row r="81" spans="1:14">
      <c r="A81" s="661"/>
      <c r="B81" s="162">
        <v>81</v>
      </c>
      <c r="C81" s="1541" t="s">
        <v>4946</v>
      </c>
      <c r="D81" s="405">
        <f t="shared" si="0"/>
        <v>0</v>
      </c>
      <c r="E81" s="1364">
        <f>ABS(资产处置收益!D22)</f>
        <v>0</v>
      </c>
      <c r="F81" s="1364">
        <f>ABS(资产处置收益!E22)</f>
        <v>0</v>
      </c>
      <c r="G81" s="1543"/>
      <c r="H81" s="1543"/>
      <c r="I81" s="1543"/>
      <c r="J81" s="1543"/>
      <c r="K81" s="1426"/>
      <c r="L81" s="1426"/>
      <c r="M81" s="1426"/>
      <c r="N81" s="1426"/>
    </row>
    <row r="82" spans="1:14">
      <c r="B82" s="162">
        <v>82</v>
      </c>
      <c r="C82" s="404" t="s">
        <v>1563</v>
      </c>
      <c r="D82" s="405">
        <f t="shared" si="0"/>
        <v>0</v>
      </c>
      <c r="E82" s="405">
        <f>ABS(营业外收入!D44)+ABS(营业外收入!E44)</f>
        <v>0</v>
      </c>
      <c r="F82" s="405">
        <f>ABS(营业外收入!I11)+ABS(营业外收入!I12)+ABS(营业外收入!I13)+ABS(营业外收入!I14)+ABS(营业外收入!I15)</f>
        <v>0</v>
      </c>
      <c r="G82" s="405">
        <f>ABS(营业外收入!J11)+ABS(营业外收入!J12)+ABS(营业外收入!J13)+ABS(营业外收入!J14)+ABS(营业外收入!J15)</f>
        <v>0</v>
      </c>
      <c r="H82" s="405">
        <f>ABS(营业外收入!D40)+ABS(营业外收入!E40)+ABS(营业外收入!F40)</f>
        <v>0</v>
      </c>
      <c r="I82" s="403"/>
      <c r="J82" s="403"/>
      <c r="K82" s="400"/>
      <c r="L82" s="400"/>
      <c r="M82" s="400"/>
      <c r="N82" s="400"/>
    </row>
    <row r="83" spans="1:14">
      <c r="B83" s="162">
        <v>83</v>
      </c>
      <c r="C83" s="404" t="s">
        <v>1564</v>
      </c>
      <c r="D83" s="405">
        <f t="shared" si="0"/>
        <v>0</v>
      </c>
      <c r="E83" s="405">
        <f>ABS(营业外支出!D26)+ABS(营业外支出!E26)+ABS(营业外支出!F26)</f>
        <v>0</v>
      </c>
      <c r="F83" s="405">
        <f>ABS(营业外支出!I10)+ABS(营业外支出!I11)+ABS(营业外支出!I12)+ABS(营业外支出!I13)</f>
        <v>0</v>
      </c>
      <c r="G83" s="405">
        <f>ABS(营业外支出!J10)+ABS(营业外支出!J11)+ABS(营业外支出!J12)+ABS(营业外支出!J13)</f>
        <v>0</v>
      </c>
      <c r="H83" s="403"/>
      <c r="I83" s="403"/>
      <c r="J83" s="403"/>
      <c r="K83" s="400"/>
      <c r="L83" s="400"/>
      <c r="M83" s="400"/>
      <c r="N83" s="400"/>
    </row>
    <row r="84" spans="1:14">
      <c r="A84" s="661"/>
      <c r="B84" s="162">
        <v>84</v>
      </c>
      <c r="C84" s="404" t="s">
        <v>1445</v>
      </c>
      <c r="D84" s="405">
        <f t="shared" si="0"/>
        <v>0</v>
      </c>
      <c r="E84" s="405">
        <f>ABS(所得税费用!D10)</f>
        <v>7.2759576141834259E-12</v>
      </c>
      <c r="F84" s="405">
        <f>ABS(所得税费用!E10)</f>
        <v>0</v>
      </c>
      <c r="G84" s="405">
        <f>ABS(所得税费用!D28)</f>
        <v>0</v>
      </c>
      <c r="H84" s="405">
        <f>ABS(所得税费用!E28)</f>
        <v>0</v>
      </c>
      <c r="I84" s="403"/>
      <c r="J84" s="403"/>
      <c r="K84" s="400"/>
      <c r="L84" s="400"/>
      <c r="M84" s="400"/>
      <c r="N84" s="400"/>
    </row>
    <row r="85" spans="1:14">
      <c r="B85" s="162">
        <v>85</v>
      </c>
      <c r="C85" s="404" t="s">
        <v>1565</v>
      </c>
      <c r="D85" s="405">
        <f t="shared" si="0"/>
        <v>0</v>
      </c>
      <c r="E85" s="405">
        <f>ABS(其他综合收益!E29)+ABS(其他综合收益!F29)</f>
        <v>0</v>
      </c>
      <c r="F85" s="405">
        <f>ABS(其他综合收益!E31)+ABS(其他综合收益!F31)</f>
        <v>0</v>
      </c>
      <c r="G85" s="405">
        <f>ABS(其他综合收益!E33)+ABS(其他综合收益!F33)</f>
        <v>0</v>
      </c>
      <c r="H85" s="405">
        <f>ABS(其他综合收益!E35)+ABS(其他综合收益!F35)</f>
        <v>0</v>
      </c>
      <c r="I85" s="405">
        <f>ABS(其他综合收益!E37)+ABS(其他综合收益!F37)</f>
        <v>0</v>
      </c>
      <c r="J85" s="405">
        <f>ABS(其他综合收益!E39)+ABS(其他综合收益!F39)</f>
        <v>0</v>
      </c>
      <c r="K85" s="405">
        <f>ABS(其他综合收益!E41)+ABS(其他综合收益!F41)</f>
        <v>0</v>
      </c>
      <c r="L85" s="405">
        <f>ABS(其他综合收益!E43)+ABS(其他综合收益!F43)</f>
        <v>0</v>
      </c>
      <c r="M85" s="405">
        <f>ABS(其他综合收益!E45)+ABS(其他综合收益!F45)</f>
        <v>0</v>
      </c>
      <c r="N85" s="405">
        <f>ABS(其他综合收益!E47)+ABS(其他综合收益!F47)+ABS(其他综合收益!E59)+ABS(其他综合收益!D59)+ABS(其他综合收益!E62)+ABS(其他综合收益!D62)</f>
        <v>0</v>
      </c>
    </row>
    <row r="86" spans="1:14">
      <c r="A86" s="879" t="str">
        <f>HYPERLINK("#C5","置顶")</f>
        <v>置顶</v>
      </c>
      <c r="B86" s="162">
        <v>86</v>
      </c>
      <c r="C86" s="404" t="s">
        <v>1566</v>
      </c>
      <c r="D86" s="405">
        <f t="shared" ref="D86:D99" si="1">ROUND(E86+F86+G86+H86+I86+J86+K86+L86+M86+N86,2)</f>
        <v>0</v>
      </c>
      <c r="E86" s="403"/>
      <c r="F86" s="403"/>
      <c r="G86" s="403"/>
      <c r="H86" s="403"/>
      <c r="I86" s="403"/>
      <c r="J86" s="403"/>
      <c r="K86" s="400"/>
      <c r="L86" s="400"/>
      <c r="M86" s="400"/>
      <c r="N86" s="400"/>
    </row>
    <row r="87" spans="1:14">
      <c r="B87" s="162">
        <v>87</v>
      </c>
      <c r="C87" s="404" t="s">
        <v>1567</v>
      </c>
      <c r="D87" s="405">
        <f t="shared" si="1"/>
        <v>0</v>
      </c>
      <c r="E87" s="403"/>
      <c r="F87" s="403"/>
      <c r="G87" s="403"/>
      <c r="H87" s="403"/>
      <c r="I87" s="403"/>
      <c r="J87" s="403"/>
      <c r="K87" s="400"/>
      <c r="L87" s="400"/>
      <c r="M87" s="400"/>
      <c r="N87" s="400"/>
    </row>
    <row r="88" spans="1:14">
      <c r="A88" s="661"/>
      <c r="B88" s="162">
        <v>88</v>
      </c>
      <c r="C88" s="404" t="s">
        <v>1568</v>
      </c>
      <c r="D88" s="405">
        <f t="shared" si="1"/>
        <v>0</v>
      </c>
      <c r="E88" s="405">
        <f>ABS(借款费用!D22)+ABS(借款费用!E22)</f>
        <v>0</v>
      </c>
      <c r="F88" s="403"/>
      <c r="G88" s="403"/>
      <c r="H88" s="403"/>
      <c r="I88" s="403"/>
      <c r="J88" s="403"/>
      <c r="K88" s="400"/>
      <c r="L88" s="400"/>
      <c r="M88" s="400"/>
      <c r="N88" s="400"/>
    </row>
    <row r="89" spans="1:14">
      <c r="B89" s="162">
        <v>89</v>
      </c>
      <c r="C89" s="404" t="s">
        <v>1569</v>
      </c>
      <c r="D89" s="405">
        <f>ROUND(E89+F89+G89+H89+I89+J89+K89+L89+M89+N89,2)</f>
        <v>0</v>
      </c>
      <c r="E89" s="405">
        <f>ABS(外币折算!D7)</f>
        <v>0</v>
      </c>
      <c r="F89" s="403"/>
      <c r="G89" s="403"/>
      <c r="H89" s="403"/>
      <c r="I89" s="403"/>
      <c r="J89" s="403"/>
      <c r="K89" s="400"/>
      <c r="L89" s="400"/>
      <c r="M89" s="400"/>
      <c r="N89" s="400"/>
    </row>
    <row r="90" spans="1:14">
      <c r="B90" s="162">
        <v>90</v>
      </c>
      <c r="C90" s="404" t="s">
        <v>1570</v>
      </c>
      <c r="D90" s="405">
        <f t="shared" si="1"/>
        <v>0</v>
      </c>
      <c r="E90" s="403"/>
      <c r="F90" s="403"/>
      <c r="G90" s="403"/>
      <c r="H90" s="403"/>
      <c r="I90" s="403"/>
      <c r="J90" s="403"/>
      <c r="K90" s="400"/>
      <c r="L90" s="400"/>
      <c r="M90" s="400"/>
      <c r="N90" s="400"/>
    </row>
    <row r="91" spans="1:14">
      <c r="B91" s="162">
        <v>91</v>
      </c>
      <c r="C91" s="404" t="s">
        <v>1571</v>
      </c>
      <c r="D91" s="405">
        <f t="shared" si="1"/>
        <v>0</v>
      </c>
      <c r="E91" s="403"/>
      <c r="F91" s="403"/>
      <c r="G91" s="403"/>
      <c r="H91" s="403"/>
      <c r="I91" s="403"/>
      <c r="J91" s="403"/>
      <c r="K91" s="400"/>
      <c r="L91" s="400"/>
      <c r="M91" s="400"/>
      <c r="N91" s="400"/>
    </row>
    <row r="92" spans="1:14">
      <c r="A92" s="661"/>
      <c r="B92" s="162">
        <v>92</v>
      </c>
      <c r="C92" s="404" t="s">
        <v>1572</v>
      </c>
      <c r="D92" s="408">
        <f t="shared" si="1"/>
        <v>0</v>
      </c>
      <c r="E92" s="408">
        <f t="array" ref="E92">SUM(ABS(现金流量表项目注释!D84:E89))</f>
        <v>0</v>
      </c>
      <c r="F92" s="410"/>
      <c r="G92" s="410"/>
      <c r="H92" s="410"/>
      <c r="I92" s="410"/>
      <c r="J92" s="410"/>
      <c r="K92" s="400"/>
      <c r="L92" s="400"/>
      <c r="M92" s="400"/>
      <c r="N92" s="400"/>
    </row>
    <row r="93" spans="1:14">
      <c r="A93" s="879" t="str">
        <f>HYPERLINK("#C5","置顶")</f>
        <v>置顶</v>
      </c>
      <c r="B93" s="162">
        <v>93</v>
      </c>
      <c r="C93" s="404" t="s">
        <v>1573</v>
      </c>
      <c r="D93" s="405">
        <f t="shared" si="1"/>
        <v>0</v>
      </c>
      <c r="E93" s="405">
        <f>ABS(现金流量表补充资料!H5)+ABS(现金流量表补充资料!H6)+ABS(现金流量表补充资料!H7)+ABS(现金流量表补充资料!H8)+ABS(现金流量表补充资料!H9)+ABS(现金流量表补充资料!H10)+ABS(现金流量表补充资料!H12)+ABS(现金流量表补充资料!H13)+ABS(现金流量表补充资料!H14)+ABS(现金流量表补充资料!H15)+ABS(现金流量表补充资料!H16)+ABS(现金流量表补充资料!H17)+ABS(现金流量表补充资料!H20)+ABS(现金流量表补充资料!H21)+ABS(现金流量表补充资料!H22)+ABS(现金流量表补充资料!H23)+ABS(现金流量表补充资料!H24)+ABS(现金流量表补充资料!H26)+ABS(现金流量表补充资料!H25)+ABS(现金流量表补充资料!H27)+ABS(现金流量表补充资料!H28)+ABS(现金流量表补充资料!H29)+ABS(现金流量表补充资料!H31)+ABS(现金流量表补充资料!H30)+ABS(现金流量表补充资料!H31)</f>
        <v>3.0267983675003052E-8</v>
      </c>
      <c r="F93" s="405">
        <f>ABS(现金流量表补充资料!D35)+ABS(现金流量表补充资料!E35)</f>
        <v>0</v>
      </c>
      <c r="G93" s="405">
        <f>ABS(现金流量表补充资料!D76)+ABS(现金流量表补充资料!D77)+ABS(现金流量表补充资料!D78)+ABS(现金流量表补充资料!D79)+ABS(现金流量表补充资料!D80)</f>
        <v>9.7788870334625244E-9</v>
      </c>
      <c r="H93" s="405">
        <f>ABS(现金流量表补充资料!E76)+ABS(现金流量表补充资料!E77)+ABS(现金流量表补充资料!E78)+ABS(现金流量表补充资料!E79)+ABS(现金流量表补充资料!E80)</f>
        <v>0</v>
      </c>
      <c r="I93" s="403"/>
      <c r="J93" s="403"/>
      <c r="K93" s="400"/>
      <c r="L93" s="400"/>
      <c r="M93" s="400"/>
      <c r="N93" s="400"/>
    </row>
    <row r="94" spans="1:14">
      <c r="B94" s="162">
        <v>94</v>
      </c>
      <c r="C94" s="404" t="s">
        <v>2683</v>
      </c>
      <c r="D94" s="405">
        <f t="shared" si="1"/>
        <v>0</v>
      </c>
      <c r="E94" s="405"/>
      <c r="F94" s="405"/>
      <c r="G94" s="405"/>
      <c r="H94" s="405"/>
      <c r="I94" s="403"/>
      <c r="J94" s="403"/>
      <c r="K94" s="400"/>
      <c r="L94" s="400"/>
      <c r="M94" s="400"/>
      <c r="N94" s="400"/>
    </row>
    <row r="95" spans="1:14">
      <c r="B95" s="162">
        <v>95</v>
      </c>
      <c r="C95" s="404" t="s">
        <v>1574</v>
      </c>
      <c r="D95" s="405">
        <f t="shared" si="1"/>
        <v>0</v>
      </c>
      <c r="E95" s="403"/>
      <c r="F95" s="403"/>
      <c r="G95" s="403"/>
      <c r="H95" s="403"/>
      <c r="I95" s="403"/>
      <c r="J95" s="403"/>
      <c r="K95" s="400"/>
      <c r="L95" s="400"/>
      <c r="M95" s="400"/>
      <c r="N95" s="400"/>
    </row>
    <row r="96" spans="1:14">
      <c r="B96" s="162">
        <v>96</v>
      </c>
      <c r="C96" s="404" t="s">
        <v>1575</v>
      </c>
      <c r="D96" s="405">
        <f t="shared" si="1"/>
        <v>0</v>
      </c>
      <c r="E96" s="403"/>
      <c r="F96" s="403"/>
      <c r="G96" s="403"/>
      <c r="H96" s="403"/>
      <c r="I96" s="403"/>
      <c r="J96" s="403"/>
      <c r="K96" s="400"/>
      <c r="L96" s="400"/>
      <c r="M96" s="400"/>
      <c r="N96" s="400"/>
    </row>
    <row r="97" spans="1:14">
      <c r="B97" s="162">
        <v>97</v>
      </c>
      <c r="C97" s="404" t="s">
        <v>1576</v>
      </c>
      <c r="D97" s="405">
        <f t="shared" si="1"/>
        <v>0</v>
      </c>
      <c r="E97" s="405">
        <f>关联方应收应付款项!E25+关联方应收应付款项!G25+关联方应收应付款项!E63+关联方应收应付款项!G63+关联方应收应付款项!E82+关联方应收应付款项!G82+关联方应收应付款项!E101+关联方应收应付款项!G101</f>
        <v>0</v>
      </c>
      <c r="F97" s="405">
        <f>关联方应收应付款项!E140+关联方应收应付款项!G140+关联方应收应付款项!E158+关联方应收应付款项!G158+关联方应收应付款项!E177+关联方应收应付款项!G177+关联方应收应付款项!E196+关联方应收应付款项!G196+关联方应收应付款项!E215+关联方应收应付款项!G215</f>
        <v>0</v>
      </c>
      <c r="G97" s="403"/>
      <c r="H97" s="403"/>
      <c r="I97" s="403"/>
      <c r="J97" s="403"/>
      <c r="K97" s="400"/>
      <c r="L97" s="400"/>
      <c r="M97" s="400"/>
      <c r="N97" s="400"/>
    </row>
    <row r="98" spans="1:14" s="412" customFormat="1">
      <c r="A98" s="661"/>
      <c r="B98" s="162">
        <v>98</v>
      </c>
      <c r="C98" s="404" t="s">
        <v>1577</v>
      </c>
      <c r="D98" s="405">
        <f>ROUND(E98+F98+G98+H98,2)</f>
        <v>573987.9</v>
      </c>
      <c r="E98" s="405">
        <f>ABS(往来科目补充资料!G33)+ABS(往来科目补充资料!G34)</f>
        <v>0</v>
      </c>
      <c r="F98" s="405">
        <f>ABS(往来科目补充资料!G64)+ABS(往来科目补充资料!G65)</f>
        <v>573987.9</v>
      </c>
      <c r="G98" s="405">
        <f>ABS(往来科目补充资料!G84)+ABS(往来科目补充资料!G104)+ABS(往来科目补充资料!G124)+ABS(往来科目补充资料!G144)</f>
        <v>0</v>
      </c>
      <c r="H98" s="403"/>
      <c r="I98" s="405">
        <f>往来科目补充资料!G85</f>
        <v>0</v>
      </c>
      <c r="J98" s="405">
        <f>往来科目补充资料!G105</f>
        <v>0</v>
      </c>
      <c r="K98" s="405">
        <f>往来科目补充资料!G125</f>
        <v>0</v>
      </c>
      <c r="L98" s="405">
        <f>往来科目补充资料!G145</f>
        <v>0</v>
      </c>
      <c r="M98" s="400"/>
      <c r="N98" s="400"/>
    </row>
    <row r="99" spans="1:14" hidden="1">
      <c r="B99" s="162">
        <v>99</v>
      </c>
      <c r="C99" s="404" t="s">
        <v>1578</v>
      </c>
      <c r="D99" s="405">
        <f t="shared" si="1"/>
        <v>0</v>
      </c>
      <c r="E99" s="405">
        <f>ABS(财务专项说明!J149)+ABS(财务专项说明!J150)+ABS(财务专项说明!J151)+ABS(财务专项说明!J152)+ABS(财务专项说明!J153)</f>
        <v>0</v>
      </c>
      <c r="F99" s="405">
        <f>ABS(财务专项说明!K149)+ABS(财务专项说明!K150)+ABS(财务专项说明!K151)+ABS(财务专项说明!K152)+ABS(财务专项说明!K153)</f>
        <v>0</v>
      </c>
      <c r="G99" s="405">
        <f>ABS(财务专项说明!J157)+ABS(财务专项说明!J158)</f>
        <v>0</v>
      </c>
      <c r="H99" s="405">
        <f>ABS(财务专项说明!K157)+ABS(财务专项说明!K158)</f>
        <v>0</v>
      </c>
      <c r="I99" s="403"/>
      <c r="J99" s="403"/>
      <c r="K99" s="411"/>
      <c r="L99" s="411"/>
      <c r="M99" s="411"/>
      <c r="N99" s="411"/>
    </row>
    <row r="100" spans="1:14">
      <c r="B100" s="162">
        <v>100</v>
      </c>
      <c r="C100" s="404" t="s">
        <v>1579</v>
      </c>
      <c r="D100" s="405">
        <f>ROUND(E100+F100+G100+H100+I100+J100+K100+L100+M100+N100,2)</f>
        <v>923184.22</v>
      </c>
      <c r="E100" s="405">
        <f t="array" ref="E100">SUM(ABS(现金流量表项目测试表!G416:G425))</f>
        <v>4642378.5999999996</v>
      </c>
      <c r="F100" s="405">
        <f t="array" ref="F100">SUM(ABS(现金流量表项目测试表!G428:G436))</f>
        <v>30000</v>
      </c>
      <c r="G100" s="405">
        <f t="array" ref="G100">SUM(ABS(现金流量表项目测试表!G439:G445))</f>
        <v>0</v>
      </c>
      <c r="H100" s="405">
        <f t="array" ref="H100">SUM(ABS(现金流量表项目测试表!G448:G452))</f>
        <v>76666.394564687042</v>
      </c>
      <c r="I100" s="405">
        <f>现金流量表项目测试表!F6</f>
        <v>-3825860.7745646862</v>
      </c>
      <c r="J100" s="412"/>
      <c r="K100" s="412"/>
      <c r="L100" s="412"/>
      <c r="M100" s="412"/>
      <c r="N100" s="412"/>
    </row>
    <row r="101" spans="1:14">
      <c r="B101" s="162">
        <v>101</v>
      </c>
    </row>
    <row r="102" spans="1:14">
      <c r="A102" s="879" t="str">
        <f>HYPERLINK("#C5","置顶")</f>
        <v>置顶</v>
      </c>
      <c r="B102" s="162">
        <v>102</v>
      </c>
    </row>
    <row r="103" spans="1:14">
      <c r="B103" s="162">
        <v>103</v>
      </c>
      <c r="C103" s="404" t="s">
        <v>1580</v>
      </c>
    </row>
    <row r="104" spans="1:14">
      <c r="A104" s="661"/>
      <c r="B104" s="162">
        <v>104</v>
      </c>
      <c r="C104" s="404" t="s">
        <v>1581</v>
      </c>
    </row>
    <row r="105" spans="1:14">
      <c r="B105" s="162">
        <v>105</v>
      </c>
      <c r="C105" s="404" t="s">
        <v>1582</v>
      </c>
    </row>
    <row r="106" spans="1:14">
      <c r="A106" s="879" t="str">
        <f>HYPERLINK("#B1","置顶")</f>
        <v>置顶</v>
      </c>
      <c r="C106" s="404" t="s">
        <v>1583</v>
      </c>
    </row>
    <row r="107" spans="1:14">
      <c r="C107" s="404" t="s">
        <v>1584</v>
      </c>
    </row>
    <row r="108" spans="1:14">
      <c r="A108" s="661"/>
    </row>
    <row r="112" spans="1:14">
      <c r="A112" s="661"/>
    </row>
  </sheetData>
  <sheetProtection formatCells="0" formatColumns="0" formatRows="0" autoFilter="0"/>
  <phoneticPr fontId="5" type="noConversion"/>
  <conditionalFormatting sqref="D7:I8 I9 D11:I11 D9:F10 D13:N100">
    <cfRule type="cellIs" dxfId="177" priority="5" operator="notEqual">
      <formula>0</formula>
    </cfRule>
  </conditionalFormatting>
  <conditionalFormatting sqref="K7:N8">
    <cfRule type="cellIs" dxfId="176" priority="4" operator="notEqual">
      <formula>0</formula>
    </cfRule>
  </conditionalFormatting>
  <conditionalFormatting sqref="H9">
    <cfRule type="cellIs" dxfId="175" priority="2" operator="notEqual">
      <formula>0</formula>
    </cfRule>
  </conditionalFormatting>
  <conditionalFormatting sqref="I10">
    <cfRule type="cellIs" dxfId="174" priority="1" operator="notEqual">
      <formula>0</formula>
    </cfRule>
  </conditionalFormatting>
  <hyperlinks>
    <hyperlink ref="C7" location="审定资产负债表!A1" display="审定资产负债表!A1" xr:uid="{00000000-0004-0000-0200-000000000000}"/>
    <hyperlink ref="C8" location="审定利润表!A1" display="审定利润表!A1" xr:uid="{00000000-0004-0000-0200-000001000000}"/>
    <hyperlink ref="C9" location="审定现金流量表!A1" display="审定现金流量表!A1" xr:uid="{00000000-0004-0000-0200-000002000000}"/>
    <hyperlink ref="C10" location="审定所有者权益变动表!A1" display="审定所有者权益变动表!A1" xr:uid="{00000000-0004-0000-0200-000003000000}"/>
    <hyperlink ref="C13" location="货币资金!A1" display="货币资金!A1" xr:uid="{00000000-0004-0000-0200-000004000000}"/>
    <hyperlink ref="C16" location="应收票据!A1" display="应收票据!A1" xr:uid="{00000000-0004-0000-0200-000005000000}"/>
    <hyperlink ref="C17" location="应收账款!A1" display="应收账款!A1" xr:uid="{00000000-0004-0000-0200-000006000000}"/>
    <hyperlink ref="C18" location="预付账款!A1" display="预付账款!A1" xr:uid="{00000000-0004-0000-0200-000007000000}"/>
    <hyperlink ref="C19" location="应收利息!A1" display="应收利息!A1" xr:uid="{00000000-0004-0000-0200-000008000000}"/>
    <hyperlink ref="C20" location="应收股利!A1" display="应收股利!A1" xr:uid="{00000000-0004-0000-0200-000009000000}"/>
    <hyperlink ref="C21" location="其他应收款!A1" display="其他应收款!A1" xr:uid="{00000000-0004-0000-0200-00000A000000}"/>
    <hyperlink ref="C22" location="存货!A1" display="存货!A1" xr:uid="{00000000-0004-0000-0200-00000B000000}"/>
    <hyperlink ref="C25" location="其他流动资产!A1" display="其他流动资产!A1" xr:uid="{00000000-0004-0000-0200-00000C000000}"/>
    <hyperlink ref="C26" location="可供出售金融资产!A1" display="可供出售金融资产!A1" xr:uid="{00000000-0004-0000-0200-00000D000000}"/>
    <hyperlink ref="C27" location="持有至到期投资!A1" display="持有至到期投资!A1" xr:uid="{00000000-0004-0000-0200-00000E000000}"/>
    <hyperlink ref="C28" location="长期应收款!A1" display="长期应收款!A1" xr:uid="{00000000-0004-0000-0200-00000F000000}"/>
    <hyperlink ref="C29" location="长期股权投资!A1" display="长期股权投资!A1" xr:uid="{00000000-0004-0000-0200-000010000000}"/>
    <hyperlink ref="C30" location="投资性房地产!A1" display="投资性房地产!A1" xr:uid="{00000000-0004-0000-0200-000011000000}"/>
    <hyperlink ref="C31" location="固定资产!A1" display="固定资产!A1" xr:uid="{00000000-0004-0000-0200-000012000000}"/>
    <hyperlink ref="C33" location="在建工程!A1" display="在建工程!A1" xr:uid="{00000000-0004-0000-0200-000013000000}"/>
    <hyperlink ref="C34" location="工程物资!A1" display="工程物资!A1" xr:uid="{00000000-0004-0000-0200-000014000000}"/>
    <hyperlink ref="C35" location="固定资产清理!A1" display="固定资产清理!A1" xr:uid="{00000000-0004-0000-0200-000015000000}"/>
    <hyperlink ref="C36" location="无形资产!A1" display="无形资产!A1" xr:uid="{00000000-0004-0000-0200-000016000000}"/>
    <hyperlink ref="C39" location="商誉!A1" display="商誉!A1" xr:uid="{00000000-0004-0000-0200-000017000000}"/>
    <hyperlink ref="C40" location="长期待摊费用!A1" display="长期待摊费用!A1" xr:uid="{00000000-0004-0000-0200-000018000000}"/>
    <hyperlink ref="C41" location="递延所得税资产与递延所得税负债!A1" display="递延所得税资产与递延所得税负债!A1" xr:uid="{00000000-0004-0000-0200-000019000000}"/>
    <hyperlink ref="C42" location="其他非流动资产!A1" display="其他非流动资产!A1" xr:uid="{00000000-0004-0000-0200-00001A000000}"/>
    <hyperlink ref="C43" location="所有权和使用权受限制的资产!A1" display="所有权和使用权受限制的资产" xr:uid="{00000000-0004-0000-0200-00001B000000}"/>
    <hyperlink ref="C44" location="短期借款!A1" display="短期借款!A1" xr:uid="{00000000-0004-0000-0200-00001C000000}"/>
    <hyperlink ref="C45" location="以公允价值计量且其变动计入当期损益的金融负债!A1" display="以公允价值计量且其变动计入当期损益的金融负债" xr:uid="{00000000-0004-0000-0200-00001D000000}"/>
    <hyperlink ref="C46" location="应付票据!A1" display="应付票据!A1" xr:uid="{00000000-0004-0000-0200-00001E000000}"/>
    <hyperlink ref="C47" location="应付账款!A1" display="应付账款!A1" xr:uid="{00000000-0004-0000-0200-00001F000000}"/>
    <hyperlink ref="C48" location="预收款项!A1" display="预收款项!A1" xr:uid="{00000000-0004-0000-0200-000020000000}"/>
    <hyperlink ref="C49" location="应付职工薪酬!A1" display="应付职工薪酬!A1" xr:uid="{00000000-0004-0000-0200-000021000000}"/>
    <hyperlink ref="C50" location="应交税费!A1" display="应交税费" xr:uid="{00000000-0004-0000-0200-000022000000}"/>
    <hyperlink ref="C51" location="应付利息!A1" display="应付利息!A1" xr:uid="{00000000-0004-0000-0200-000023000000}"/>
    <hyperlink ref="C52" location="应付股利!A1" display="应付股利!A1" xr:uid="{00000000-0004-0000-0200-000024000000}"/>
    <hyperlink ref="C53" location="其他应付款!A1" display="其他应付款!A1" xr:uid="{00000000-0004-0000-0200-000025000000}"/>
    <hyperlink ref="C55" location="一年内到期的非流动负债!A1" display="一年内到期的非流动负债!A1" xr:uid="{00000000-0004-0000-0200-000026000000}"/>
    <hyperlink ref="C56" location="其他流动负债!A1" display="其他流动负债!A1" xr:uid="{00000000-0004-0000-0200-000027000000}"/>
    <hyperlink ref="C57" location="长期借款!A1" display="长期借款!A1" xr:uid="{00000000-0004-0000-0200-000028000000}"/>
    <hyperlink ref="C58" location="应付债券!A1" display="应付债券!A1" xr:uid="{00000000-0004-0000-0200-000029000000}"/>
    <hyperlink ref="C60" location="长期应付款!A1" display="长期应付款!A1" xr:uid="{00000000-0004-0000-0200-00002A000000}"/>
    <hyperlink ref="C62" location="专项应付款!A1" display="专项应付款!A1" xr:uid="{00000000-0004-0000-0200-00002B000000}"/>
    <hyperlink ref="C63" location="预计负债!A1" display="预计负债!A1" xr:uid="{00000000-0004-0000-0200-00002C000000}"/>
    <hyperlink ref="C66" location="其他非流动负债!A1" display="其他非流动负债!A1" xr:uid="{00000000-0004-0000-0200-00002D000000}"/>
    <hyperlink ref="C67" location="实收资本!A1" display="实收资本!A1" xr:uid="{00000000-0004-0000-0200-00002E000000}"/>
    <hyperlink ref="C68" location="资本公积!A1" display="资本公积!A1" xr:uid="{00000000-0004-0000-0200-00002F000000}"/>
    <hyperlink ref="C69" location="专项储备!A1" display="专项储备!A1" xr:uid="{00000000-0004-0000-0200-000030000000}"/>
    <hyperlink ref="C70" location="盈余公积!A1" display="盈余公积!A1" xr:uid="{00000000-0004-0000-0200-000031000000}"/>
    <hyperlink ref="C71" location="未分配利润!A1" display="未分配利润!A1" xr:uid="{00000000-0004-0000-0200-000032000000}"/>
    <hyperlink ref="C73" location="主营业务税金及附加!A1" display="主营业务税金及附加!A1" xr:uid="{00000000-0004-0000-0200-000033000000}"/>
    <hyperlink ref="C76" location="财务费用!A1" display="财务费用!A1" xr:uid="{00000000-0004-0000-0200-000034000000}"/>
    <hyperlink ref="C72" location="营业收入营业成本!A1" display="营业收入营业成本!A1" xr:uid="{00000000-0004-0000-0200-000035000000}"/>
    <hyperlink ref="C77" location="资产减值损失!A1" display="资产减值损失!A1" xr:uid="{00000000-0004-0000-0200-000036000000}"/>
    <hyperlink ref="C78" location="公允价值变动收益!A1" display="公允价值变动收益!A1" xr:uid="{00000000-0004-0000-0200-000037000000}"/>
    <hyperlink ref="C79" location="投资收益!A1" display="投资收益!A1" xr:uid="{00000000-0004-0000-0200-000038000000}"/>
    <hyperlink ref="C82" location="营业外收入!A1" display="营业外收入!A1" xr:uid="{00000000-0004-0000-0200-000039000000}"/>
    <hyperlink ref="C83" location="营业外支出!A1" display="营业外支出!A1" xr:uid="{00000000-0004-0000-0200-00003A000000}"/>
    <hyperlink ref="C84" location="所得税费用!A1" display="所得税费用!A1" xr:uid="{00000000-0004-0000-0200-00003B000000}"/>
    <hyperlink ref="C85" location="其他综合收益!A1" display="其他综合收益!A1" xr:uid="{00000000-0004-0000-0200-00003C000000}"/>
    <hyperlink ref="C86" location="非货币性资产交换!A1" display="非货币性资产交换!A1" xr:uid="{00000000-0004-0000-0200-00003D000000}"/>
    <hyperlink ref="C87" location="债务重组!A1" display="债务重组!A1" xr:uid="{00000000-0004-0000-0200-00003E000000}"/>
    <hyperlink ref="C88" location="借款费用!A1" display="借款费用!A1" xr:uid="{00000000-0004-0000-0200-00003F000000}"/>
    <hyperlink ref="C90" location="租赁!A1" display="租赁!A1" xr:uid="{00000000-0004-0000-0200-000040000000}"/>
    <hyperlink ref="C91" location="终止经营!A1" display="终止经营!A1" xr:uid="{00000000-0004-0000-0200-000041000000}"/>
    <hyperlink ref="C93" location="现金流量表补充资料!A1" display="现金流量表补充资料!A1" xr:uid="{00000000-0004-0000-0200-000042000000}"/>
    <hyperlink ref="C96" location="关联方交易!A1" display="关联方交易!A1" xr:uid="{00000000-0004-0000-0200-000043000000}"/>
    <hyperlink ref="C97" location="关联方应收应付款项!A1" display="关联方应收应付款项!A1" xr:uid="{00000000-0004-0000-0200-000044000000}"/>
    <hyperlink ref="C99" location="财务专项说明!A1" display="财务专项说明!A1" xr:uid="{00000000-0004-0000-0200-000045000000}"/>
    <hyperlink ref="C103" location="资产分析!A1" display="资产分析" xr:uid="{00000000-0004-0000-0200-000046000000}"/>
    <hyperlink ref="C104" location="负债分析!A1" display="负债分析" xr:uid="{00000000-0004-0000-0200-000047000000}"/>
    <hyperlink ref="C105" location="利润表分析!A1" display="利润表分析" xr:uid="{00000000-0004-0000-0200-000048000000}"/>
    <hyperlink ref="C106" location="现金分析!A1" display="现金分析" xr:uid="{00000000-0004-0000-0200-000049000000}"/>
    <hyperlink ref="C107" location="财务比率分析!A1" display="财务比率分析" xr:uid="{00000000-0004-0000-0200-00004A000000}"/>
    <hyperlink ref="C95" location="关联方关系!A1" display="关联方关系" xr:uid="{00000000-0004-0000-0200-00004B000000}"/>
    <hyperlink ref="C24" location="一年内到期的非流动资产!A1" display="一年内到期的非流动资产" xr:uid="{00000000-0004-0000-0200-00004C000000}"/>
    <hyperlink ref="C89" location="外币折算!A1" display="外币折算" xr:uid="{00000000-0004-0000-0200-00004D000000}"/>
    <hyperlink ref="D3" location="未审利润表!A3" display="未审利润表" xr:uid="{00000000-0004-0000-0200-00004E000000}"/>
    <hyperlink ref="E3" location="未审现金流量表!B3" display="未审现金流量表" xr:uid="{00000000-0004-0000-0200-00004F000000}"/>
    <hyperlink ref="C3" location="未审资产负债表!A3" display="未审资产负债表" xr:uid="{00000000-0004-0000-0200-000050000000}"/>
    <hyperlink ref="F3" location="调整分录!B3" display="调整分录" xr:uid="{00000000-0004-0000-0200-000051000000}"/>
    <hyperlink ref="C92" location="现金流量表项目注释!C3" display="现金流量表项目注释" xr:uid="{00000000-0004-0000-0200-000052000000}"/>
    <hyperlink ref="C75" location="管理费用!C3" display="管理费用" xr:uid="{00000000-0004-0000-0200-000053000000}"/>
    <hyperlink ref="C74" location="销售费用!C3" display="销售费用" xr:uid="{00000000-0004-0000-0200-000054000000}"/>
    <hyperlink ref="H3" location="与2012年久其核对!A1" display="与2012年久其核对" xr:uid="{00000000-0004-0000-0200-000055000000}"/>
    <hyperlink ref="I3" location="与2013年久其核对!A1" display="与2013年久其核对" xr:uid="{00000000-0004-0000-0200-000056000000}"/>
    <hyperlink ref="J3" location="未调整不符事项之分录!A1" display="未调整不符事项之分录" xr:uid="{00000000-0004-0000-0200-000057000000}"/>
    <hyperlink ref="K3" location="未调整不符事项之报表影响!A1" display="未调整不符事项之报表影响" xr:uid="{00000000-0004-0000-0200-000058000000}"/>
    <hyperlink ref="L3" location="'调整简表（万元）'!A1" display="调整简表（万元）" xr:uid="{00000000-0004-0000-0200-000059000000}"/>
    <hyperlink ref="M3" location="试算平衡表!A1" display="试算平衡表" xr:uid="{00000000-0004-0000-0200-00005A000000}"/>
    <hyperlink ref="N3" location="导引表!A1" display="导引表" xr:uid="{00000000-0004-0000-0200-00005B000000}"/>
    <hyperlink ref="E5" location="附注填写封面!A26" display="流动资产类" xr:uid="{00000000-0004-0000-0200-00005C000000}"/>
    <hyperlink ref="G5" location="附注填写封面!A56" display="负债类科目" xr:uid="{00000000-0004-0000-0200-00005D000000}"/>
    <hyperlink ref="I5" location="附注填写封面!A75" display="损益类科目" xr:uid="{00000000-0004-0000-0200-00005E000000}"/>
    <hyperlink ref="J5" location="附注填写封面!A88" display="关联交易及现金流量类" xr:uid="{00000000-0004-0000-0200-00005F000000}"/>
    <hyperlink ref="D5" location="附注填写封面!B6" display="审定报表" xr:uid="{00000000-0004-0000-0200-000060000000}"/>
    <hyperlink ref="F5" location="附注填写封面!A37" display="非流动资产" xr:uid="{00000000-0004-0000-0200-000061000000}"/>
    <hyperlink ref="H5" location="附注填写封面!A60" display="权益类" xr:uid="{00000000-0004-0000-0200-000062000000}"/>
    <hyperlink ref="C98" location="往来科目补充资料!A3" display="往来科目补充资料" xr:uid="{00000000-0004-0000-0200-000063000000}"/>
    <hyperlink ref="C100" location="现金流量表项目测试表!B3" display="现金流量表项目测试表" xr:uid="{00000000-0004-0000-0200-000064000000}"/>
    <hyperlink ref="A2" location="使用说明!A1" display="使用说明" xr:uid="{00000000-0004-0000-0200-000065000000}"/>
    <hyperlink ref="C14" location="以公允价值计量且其变动计入当期损益的金融资产!A1" display="以公允价值计量且其变动计入当期损益的金融资产" xr:uid="{00000000-0004-0000-0200-000066000000}"/>
    <hyperlink ref="C59" location="优先股、永续债等金融工具!A1" display="优先股、永续债等金融工具" xr:uid="{00000000-0004-0000-0200-000067000000}"/>
    <hyperlink ref="C64" location="递延收益!A1" display="递延收益" xr:uid="{00000000-0004-0000-0200-000068000000}"/>
    <hyperlink ref="C23" location="持有待售的非流动资产或持有待售的处置组中的资产!A1" display="持有待售的非流动资产或持有待售的处置组中的资产" xr:uid="{00000000-0004-0000-0200-000069000000}"/>
    <hyperlink ref="C15" location="衍生金融资产!A1" display="衍生金融资产" xr:uid="{00000000-0004-0000-0200-00006A000000}"/>
    <hyperlink ref="C61" location="长期应付职工薪酬!A1" display="长期应付职工薪酬" xr:uid="{00000000-0004-0000-0200-00006B000000}"/>
    <hyperlink ref="C94" location="外币货币性项目!A1" display="外币货币性项目" xr:uid="{00000000-0004-0000-0200-00006C000000}"/>
    <hyperlink ref="C38" location="开发支出!A1" display="开发支出" xr:uid="{00000000-0004-0000-0200-00006D000000}"/>
    <hyperlink ref="C54" location="持有待售的处置组中的负债!A1" display="持有待售的处置组中的负债" xr:uid="{00000000-0004-0000-0200-00006E000000}"/>
    <hyperlink ref="C65" location="政府补助!A1" display="政府补助" xr:uid="{00000000-0004-0000-0200-00006F000000}"/>
    <hyperlink ref="C80" location="其他收益!A1" display="其他收益" xr:uid="{00000000-0004-0000-0200-000070000000}"/>
    <hyperlink ref="C81" location="资产处置收益!A1" display="资产处置收益" xr:uid="{00000000-0004-0000-0200-000071000000}"/>
    <hyperlink ref="C32" location="'固定资产（上市公司）'!A1" display="固定资产（上市公司）" xr:uid="{00000000-0004-0000-0200-000072000000}"/>
    <hyperlink ref="C37" location="'无形资产（上市公司）'!A1" display="无形资产（上市公司）" xr:uid="{00000000-0004-0000-0200-000073000000}"/>
  </hyperlinks>
  <pageMargins left="0.75" right="0.75" top="1" bottom="1" header="0.5" footer="0.5"/>
  <pageSetup paperSize="9" orientation="portrait" r:id="rId1"/>
  <headerFooter alignWithMargins="0"/>
  <ignoredErrors>
    <ignoredError sqref="G23:H23 I10 H41 I22" unlockedFormula="1"/>
  </ignoredError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9">
    <tabColor theme="0" tint="-0.249977111117893"/>
  </sheetPr>
  <dimension ref="A1:T97"/>
  <sheetViews>
    <sheetView showGridLines="0" showZeros="0" workbookViewId="0">
      <pane xSplit="3" ySplit="5" topLeftCell="D6" activePane="bottomRight" state="frozen"/>
      <selection activeCell="D36" sqref="D36"/>
      <selection pane="topRight" activeCell="D36" sqref="D36"/>
      <selection pane="bottomLeft" activeCell="D36" sqref="D36"/>
      <selection pane="bottomRight" activeCell="G50" sqref="G50"/>
    </sheetView>
  </sheetViews>
  <sheetFormatPr defaultColWidth="11.625" defaultRowHeight="12"/>
  <cols>
    <col min="1" max="1" width="7.375" style="146" customWidth="1"/>
    <col min="2" max="2" width="8.625" style="151" hidden="1" customWidth="1"/>
    <col min="3" max="3" width="15.125" style="244" hidden="1" customWidth="1"/>
    <col min="4" max="4" width="15.125" style="244" customWidth="1"/>
    <col min="5" max="5" width="11.625" style="245" customWidth="1"/>
    <col min="6" max="6" width="10" style="246" customWidth="1"/>
    <col min="7" max="7" width="12.125" style="245" customWidth="1"/>
    <col min="8" max="9" width="11.625" style="245"/>
    <col min="10" max="11" width="13.875" style="245" bestFit="1" customWidth="1"/>
    <col min="12" max="12" width="18.125" style="244" bestFit="1" customWidth="1"/>
    <col min="13" max="13" width="14.125" style="244" customWidth="1"/>
    <col min="14" max="14" width="11.625" style="244"/>
    <col min="15" max="15" width="15.375" style="244" customWidth="1"/>
    <col min="16" max="16384" width="11.625" style="244"/>
  </cols>
  <sheetData>
    <row r="1" spans="1:20" ht="16.5" customHeight="1"/>
    <row r="2" spans="1:20" s="151" customFormat="1" ht="18" customHeight="1">
      <c r="A2" s="146" t="s">
        <v>156</v>
      </c>
      <c r="B2" s="247" t="s">
        <v>1384</v>
      </c>
      <c r="C2" s="248" t="s">
        <v>1385</v>
      </c>
      <c r="D2" s="248" t="s">
        <v>1386</v>
      </c>
      <c r="E2" s="249" t="s">
        <v>1387</v>
      </c>
      <c r="F2" s="249" t="s">
        <v>34</v>
      </c>
      <c r="G2" s="249" t="s">
        <v>1388</v>
      </c>
      <c r="H2" s="249" t="s">
        <v>35</v>
      </c>
      <c r="I2" s="249" t="s">
        <v>36</v>
      </c>
      <c r="J2" s="249" t="s">
        <v>157</v>
      </c>
      <c r="K2" s="249" t="s">
        <v>158</v>
      </c>
      <c r="L2" s="248" t="s">
        <v>159</v>
      </c>
      <c r="M2" s="248" t="s">
        <v>333</v>
      </c>
      <c r="N2" s="248" t="s">
        <v>160</v>
      </c>
      <c r="O2" s="248" t="s">
        <v>161</v>
      </c>
    </row>
    <row r="3" spans="1:20" s="254" customFormat="1" ht="24" customHeight="1">
      <c r="A3" s="173" t="s">
        <v>523</v>
      </c>
      <c r="B3" s="250"/>
      <c r="C3" s="251"/>
      <c r="D3" s="251"/>
      <c r="E3" s="251"/>
      <c r="F3" s="252"/>
      <c r="G3" s="173" t="s">
        <v>523</v>
      </c>
      <c r="H3" s="251"/>
      <c r="I3" s="251"/>
      <c r="J3" s="251"/>
      <c r="K3" s="173" t="s">
        <v>523</v>
      </c>
      <c r="L3" s="251"/>
      <c r="M3" s="251"/>
      <c r="N3" s="173" t="s">
        <v>523</v>
      </c>
      <c r="O3" s="251"/>
      <c r="P3" s="253"/>
      <c r="Q3" s="253"/>
      <c r="R3" s="253"/>
      <c r="S3" s="253"/>
      <c r="T3" s="253"/>
    </row>
    <row r="4" spans="1:20" s="157" customFormat="1" ht="13.9" customHeight="1">
      <c r="A4" s="156"/>
      <c r="B4" s="255" t="s">
        <v>1389</v>
      </c>
      <c r="C4" s="143"/>
      <c r="D4" s="256"/>
      <c r="E4" s="267" t="s">
        <v>1416</v>
      </c>
      <c r="F4" s="258"/>
      <c r="G4" s="258"/>
      <c r="H4" s="257" t="s">
        <v>1415</v>
      </c>
      <c r="I4" s="257"/>
      <c r="J4" s="256"/>
      <c r="K4" s="143"/>
      <c r="L4" s="143"/>
      <c r="M4" s="143"/>
      <c r="N4" s="143"/>
      <c r="O4" s="143"/>
      <c r="P4" s="244"/>
      <c r="Q4" s="244"/>
      <c r="R4" s="244"/>
      <c r="S4" s="244"/>
      <c r="T4" s="244"/>
    </row>
    <row r="5" spans="1:20" s="262" customFormat="1" ht="12.75" customHeight="1">
      <c r="A5" s="146"/>
      <c r="B5" s="250"/>
      <c r="C5" s="160"/>
      <c r="D5" s="160"/>
      <c r="E5" s="160"/>
      <c r="F5" s="259"/>
      <c r="G5" s="259"/>
      <c r="H5" s="160"/>
      <c r="I5" s="160"/>
      <c r="J5" s="160"/>
      <c r="K5" s="161"/>
      <c r="L5" s="145"/>
      <c r="M5" s="145"/>
      <c r="N5" s="260"/>
      <c r="O5" s="261"/>
      <c r="P5" s="244"/>
      <c r="Q5" s="244"/>
      <c r="R5" s="244"/>
      <c r="S5" s="244"/>
      <c r="T5" s="244"/>
    </row>
    <row r="6" spans="1:20" s="262" customFormat="1" ht="12" customHeight="1">
      <c r="A6" s="146"/>
      <c r="B6" s="263"/>
      <c r="C6" s="149"/>
      <c r="D6" s="149"/>
      <c r="E6" s="149"/>
      <c r="F6" s="264"/>
      <c r="G6" s="265"/>
      <c r="H6" s="143"/>
      <c r="I6" s="143"/>
      <c r="J6" s="144"/>
      <c r="K6" s="266"/>
      <c r="L6" s="145" t="s">
        <v>331</v>
      </c>
      <c r="M6" s="261"/>
      <c r="N6" s="261"/>
      <c r="O6" s="261"/>
      <c r="P6" s="244"/>
      <c r="Q6" s="244"/>
      <c r="R6" s="244"/>
      <c r="S6" s="244"/>
      <c r="T6" s="244"/>
    </row>
    <row r="7" spans="1:20" ht="14.25">
      <c r="B7" s="151">
        <v>7</v>
      </c>
      <c r="C7" s="96" t="s">
        <v>260</v>
      </c>
      <c r="D7" s="267" t="s">
        <v>189</v>
      </c>
      <c r="E7" s="268">
        <f>ROUND(F7+G7+H7+I7+J7,2)</f>
        <v>10036698784.17</v>
      </c>
      <c r="F7" s="266">
        <f>'2013年调整系统核对'!H53</f>
        <v>3924752612.8400002</v>
      </c>
      <c r="G7" s="266">
        <f>'2013年调整系统核对'!H123</f>
        <v>6111946171.3300009</v>
      </c>
      <c r="H7" s="266"/>
      <c r="I7" s="266"/>
      <c r="J7" s="145"/>
      <c r="K7" s="149" t="s">
        <v>1442</v>
      </c>
      <c r="L7" s="260"/>
      <c r="M7" s="260"/>
      <c r="N7" s="260"/>
      <c r="O7" s="260"/>
    </row>
    <row r="8" spans="1:20" ht="14.25">
      <c r="B8" s="151">
        <v>8</v>
      </c>
      <c r="C8" s="96" t="s">
        <v>190</v>
      </c>
      <c r="D8" s="267" t="s">
        <v>190</v>
      </c>
      <c r="E8" s="268">
        <f>ROUND(F8+G8+H8+I8+J8,2)</f>
        <v>9306910521.9599991</v>
      </c>
      <c r="F8" s="266">
        <f>'2013年调整系统核对'!H180</f>
        <v>9306910521.960001</v>
      </c>
      <c r="G8" s="266"/>
      <c r="H8" s="266"/>
      <c r="I8" s="266"/>
      <c r="J8" s="145"/>
      <c r="K8" s="149" t="s">
        <v>1441</v>
      </c>
      <c r="L8" s="260"/>
      <c r="M8" s="260"/>
      <c r="N8" s="260"/>
      <c r="O8" s="260"/>
    </row>
    <row r="9" spans="1:20" ht="14.25">
      <c r="A9" s="146" t="str">
        <f>HYPERLINK("#C5","置顶")</f>
        <v>置顶</v>
      </c>
      <c r="B9" s="151">
        <v>9</v>
      </c>
      <c r="C9" s="96" t="s">
        <v>191</v>
      </c>
      <c r="D9" s="267" t="s">
        <v>191</v>
      </c>
      <c r="E9" s="268">
        <f>ROUND(F9+G9+H9+I9+J9+K9+L9+M9+N9+O9,2)</f>
        <v>2778199358.73</v>
      </c>
      <c r="F9" s="266">
        <f>'2013年调整系统核对'!H240</f>
        <v>2778199358.7299995</v>
      </c>
      <c r="G9" s="266"/>
      <c r="H9" s="266"/>
      <c r="I9" s="266"/>
      <c r="J9" s="266"/>
      <c r="K9" s="266"/>
      <c r="L9" s="260"/>
      <c r="M9" s="260"/>
      <c r="N9" s="260"/>
      <c r="O9" s="260"/>
    </row>
    <row r="10" spans="1:20">
      <c r="B10" s="151">
        <v>10</v>
      </c>
      <c r="C10" s="96" t="s">
        <v>192</v>
      </c>
      <c r="D10" s="96" t="s">
        <v>192</v>
      </c>
      <c r="E10" s="268">
        <f>ROUND(F10+G10+H10+I10+J10+K10+L10+M10+N10+O10,2)</f>
        <v>0</v>
      </c>
      <c r="F10" s="266"/>
      <c r="G10" s="266"/>
      <c r="H10" s="266"/>
      <c r="I10" s="266"/>
      <c r="J10" s="266"/>
      <c r="K10" s="266"/>
      <c r="L10" s="260"/>
      <c r="M10" s="260"/>
      <c r="N10" s="260"/>
      <c r="O10" s="260"/>
    </row>
    <row r="11" spans="1:20" ht="14.25">
      <c r="B11" s="151">
        <v>11</v>
      </c>
      <c r="C11" s="96" t="s">
        <v>193</v>
      </c>
      <c r="D11" s="267" t="s">
        <v>193</v>
      </c>
      <c r="E11" s="268">
        <f>ROUND(F11+G11+H11+I11+J11+K11+L11+M11+N11+O11,2)</f>
        <v>38448689.840000004</v>
      </c>
      <c r="F11" s="266">
        <f>'2013年调整系统核对'!H261</f>
        <v>38448689.839999996</v>
      </c>
      <c r="G11" s="266"/>
      <c r="H11" s="266"/>
      <c r="I11" s="266"/>
      <c r="J11" s="266"/>
      <c r="K11" s="266"/>
      <c r="L11" s="260"/>
      <c r="M11" s="260"/>
      <c r="N11" s="260"/>
      <c r="O11" s="260"/>
    </row>
    <row r="12" spans="1:20">
      <c r="A12" s="146" t="str">
        <f>HYPERLINK("#C5","置顶")</f>
        <v>置顶</v>
      </c>
      <c r="B12" s="151">
        <v>12</v>
      </c>
      <c r="C12" s="269"/>
      <c r="D12" s="269"/>
      <c r="E12" s="266"/>
      <c r="F12" s="266"/>
      <c r="G12" s="266"/>
      <c r="H12" s="266"/>
      <c r="I12" s="266"/>
      <c r="J12" s="266"/>
      <c r="K12" s="266"/>
      <c r="L12" s="260"/>
      <c r="M12" s="260"/>
      <c r="N12" s="260"/>
      <c r="O12" s="260"/>
    </row>
    <row r="13" spans="1:20" ht="14.25">
      <c r="B13" s="151">
        <v>13</v>
      </c>
      <c r="C13" s="96" t="s">
        <v>53</v>
      </c>
      <c r="D13" s="267" t="s">
        <v>53</v>
      </c>
      <c r="E13" s="268">
        <f>ROUND(SUM(F13:M13),2)</f>
        <v>28326475.120000001</v>
      </c>
      <c r="F13" s="266">
        <f>'2013年调整系统核对'!L339</f>
        <v>12540478.579999998</v>
      </c>
      <c r="G13" s="266">
        <f>'2013年调整系统核对'!M339</f>
        <v>2</v>
      </c>
      <c r="H13" s="266">
        <f>'2013年调整系统核对'!N339</f>
        <v>15785994.540000003</v>
      </c>
      <c r="I13" s="266"/>
      <c r="J13" s="266"/>
      <c r="K13" s="266"/>
      <c r="L13" s="266"/>
      <c r="M13" s="260"/>
      <c r="N13" s="260"/>
      <c r="O13" s="260"/>
    </row>
    <row r="14" spans="1:20">
      <c r="B14" s="151">
        <v>14</v>
      </c>
      <c r="C14" s="96" t="s">
        <v>229</v>
      </c>
      <c r="D14" s="96" t="s">
        <v>229</v>
      </c>
      <c r="E14" s="268">
        <f t="shared" ref="E14:E77" si="0">ROUND(SUM(F14:M14),2)</f>
        <v>0</v>
      </c>
      <c r="F14" s="266">
        <f>'2013年调整系统核对'!H350</f>
        <v>0</v>
      </c>
      <c r="G14" s="266"/>
      <c r="H14" s="266"/>
      <c r="I14" s="266"/>
      <c r="J14" s="266"/>
      <c r="K14" s="266"/>
      <c r="L14" s="260"/>
      <c r="M14" s="260"/>
      <c r="N14" s="260"/>
      <c r="O14" s="260"/>
    </row>
    <row r="15" spans="1:20">
      <c r="B15" s="151">
        <v>15</v>
      </c>
      <c r="C15" s="96" t="s">
        <v>54</v>
      </c>
      <c r="D15" s="96" t="s">
        <v>54</v>
      </c>
      <c r="E15" s="268">
        <f t="shared" si="0"/>
        <v>-8678369.6799999997</v>
      </c>
      <c r="F15" s="266">
        <f>'2013年调整系统核对'!H357</f>
        <v>-8678369.6799999997</v>
      </c>
      <c r="G15" s="266"/>
      <c r="H15" s="266"/>
      <c r="I15" s="266"/>
      <c r="J15" s="266"/>
      <c r="K15" s="266"/>
      <c r="L15" s="266"/>
      <c r="M15" s="260"/>
      <c r="N15" s="260"/>
      <c r="O15" s="260"/>
    </row>
    <row r="16" spans="1:20">
      <c r="A16" s="146" t="str">
        <f>HYPERLINK("#C5","置顶")</f>
        <v>置顶</v>
      </c>
      <c r="B16" s="151">
        <v>16</v>
      </c>
      <c r="C16" s="96" t="s">
        <v>55</v>
      </c>
      <c r="D16" s="96" t="s">
        <v>55</v>
      </c>
      <c r="E16" s="268">
        <f t="shared" si="0"/>
        <v>1383615748.76</v>
      </c>
      <c r="F16" s="266">
        <f>'2013年调整系统核对'!N369+'2013年调整系统核对'!P369</f>
        <v>740854069.32000005</v>
      </c>
      <c r="G16" s="266">
        <f>'2013年调整系统核对'!L382+'2013年调整系统核对'!N382</f>
        <v>148858966.56</v>
      </c>
      <c r="H16" s="266">
        <f>'2013年调整系统核对'!L395+'2013年调整系统核对'!N395</f>
        <v>493902712.88</v>
      </c>
      <c r="I16" s="266"/>
      <c r="J16" s="266"/>
      <c r="K16" s="266"/>
      <c r="L16" s="266"/>
      <c r="M16" s="266"/>
      <c r="N16" s="266"/>
      <c r="O16" s="266"/>
    </row>
    <row r="17" spans="1:15">
      <c r="B17" s="151">
        <v>17</v>
      </c>
      <c r="C17" s="96" t="s">
        <v>194</v>
      </c>
      <c r="D17" s="96" t="s">
        <v>194</v>
      </c>
      <c r="E17" s="268">
        <f t="shared" si="0"/>
        <v>39923262.780000001</v>
      </c>
      <c r="F17" s="266">
        <f>'2013年调整系统核对'!L405+'2013年调整系统核对'!N405</f>
        <v>39923262.780000001</v>
      </c>
      <c r="G17" s="266"/>
      <c r="H17" s="266"/>
      <c r="I17" s="266"/>
      <c r="J17" s="266"/>
      <c r="K17" s="266"/>
      <c r="L17" s="260"/>
      <c r="M17" s="260"/>
      <c r="N17" s="260"/>
      <c r="O17" s="260"/>
    </row>
    <row r="18" spans="1:15">
      <c r="B18" s="151">
        <v>18</v>
      </c>
      <c r="C18" s="96" t="s">
        <v>56</v>
      </c>
      <c r="D18" s="96" t="s">
        <v>56</v>
      </c>
      <c r="E18" s="266">
        <f t="shared" si="0"/>
        <v>0</v>
      </c>
      <c r="F18" s="266"/>
      <c r="G18" s="266"/>
      <c r="H18" s="266"/>
      <c r="I18" s="266"/>
      <c r="J18" s="266"/>
      <c r="K18" s="266"/>
      <c r="L18" s="260"/>
      <c r="M18" s="260"/>
      <c r="N18" s="260"/>
      <c r="O18" s="260"/>
    </row>
    <row r="19" spans="1:15">
      <c r="B19" s="151">
        <v>19</v>
      </c>
      <c r="C19" s="96" t="s">
        <v>57</v>
      </c>
      <c r="D19" s="96" t="s">
        <v>57</v>
      </c>
      <c r="E19" s="266">
        <f t="shared" si="0"/>
        <v>0</v>
      </c>
      <c r="F19" s="266"/>
      <c r="G19" s="266"/>
      <c r="H19" s="266"/>
      <c r="I19" s="266"/>
      <c r="J19" s="266"/>
      <c r="K19" s="266"/>
      <c r="L19" s="260"/>
      <c r="M19" s="260"/>
      <c r="N19" s="260"/>
      <c r="O19" s="260"/>
    </row>
    <row r="20" spans="1:15">
      <c r="B20" s="151">
        <v>20</v>
      </c>
      <c r="C20" s="96" t="s">
        <v>58</v>
      </c>
      <c r="D20" s="96" t="s">
        <v>58</v>
      </c>
      <c r="E20" s="268">
        <f t="shared" si="0"/>
        <v>161798453.52000001</v>
      </c>
      <c r="F20" s="266">
        <f>'2013年调整系统核对'!N417+'2013年调整系统核对'!P417</f>
        <v>68980223.280000001</v>
      </c>
      <c r="G20" s="266">
        <f>'2013年调整系统核对'!L430+'2013年调整系统核对'!N430</f>
        <v>46409115.119999997</v>
      </c>
      <c r="H20" s="266">
        <f>'2013年调整系统核对'!L443+'2013年调整系统核对'!N443</f>
        <v>46409115.119999997</v>
      </c>
      <c r="I20" s="266"/>
      <c r="J20" s="266"/>
      <c r="K20" s="266"/>
      <c r="L20" s="266"/>
      <c r="M20" s="266"/>
      <c r="N20" s="266"/>
      <c r="O20" s="266"/>
    </row>
    <row r="21" spans="1:15">
      <c r="B21" s="151">
        <v>21</v>
      </c>
      <c r="C21" s="96" t="s">
        <v>178</v>
      </c>
      <c r="D21" s="96" t="s">
        <v>178</v>
      </c>
      <c r="E21" s="268">
        <f t="shared" si="0"/>
        <v>370499216.88</v>
      </c>
      <c r="F21" s="266">
        <f>'2013年调整系统核对'!L457</f>
        <v>185249608.44</v>
      </c>
      <c r="G21" s="266">
        <f>'2013年调整系统核对'!M457</f>
        <v>0</v>
      </c>
      <c r="H21" s="266">
        <f>'2013年调整系统核对'!N457</f>
        <v>185249608.44</v>
      </c>
      <c r="I21" s="266"/>
      <c r="J21" s="266"/>
      <c r="K21" s="266"/>
      <c r="L21" s="260"/>
      <c r="M21" s="260"/>
      <c r="N21" s="260"/>
      <c r="O21" s="260"/>
    </row>
    <row r="22" spans="1:15">
      <c r="B22" s="151">
        <v>22</v>
      </c>
      <c r="C22" s="96" t="s">
        <v>1390</v>
      </c>
      <c r="D22" s="96" t="s">
        <v>59</v>
      </c>
      <c r="E22" s="266">
        <f t="shared" si="0"/>
        <v>0</v>
      </c>
      <c r="F22" s="266"/>
      <c r="G22" s="266"/>
      <c r="H22" s="266"/>
      <c r="I22" s="266"/>
      <c r="J22" s="266"/>
      <c r="K22" s="266"/>
      <c r="L22" s="260"/>
      <c r="M22" s="260"/>
      <c r="N22" s="260"/>
      <c r="O22" s="260"/>
    </row>
    <row r="23" spans="1:15">
      <c r="B23" s="151">
        <v>23</v>
      </c>
      <c r="C23" s="96" t="s">
        <v>60</v>
      </c>
      <c r="D23" s="96" t="s">
        <v>60</v>
      </c>
      <c r="E23" s="266">
        <f t="shared" si="0"/>
        <v>0</v>
      </c>
      <c r="F23" s="266"/>
      <c r="G23" s="266"/>
      <c r="H23" s="266"/>
      <c r="I23" s="266"/>
      <c r="J23" s="266"/>
      <c r="K23" s="266"/>
      <c r="L23" s="260"/>
      <c r="M23" s="260"/>
      <c r="N23" s="260"/>
      <c r="O23" s="260"/>
    </row>
    <row r="24" spans="1:15">
      <c r="B24" s="151">
        <v>24</v>
      </c>
      <c r="C24" s="96" t="s">
        <v>224</v>
      </c>
      <c r="D24" s="96" t="s">
        <v>224</v>
      </c>
      <c r="E24" s="268">
        <f t="shared" si="0"/>
        <v>0</v>
      </c>
      <c r="F24" s="266">
        <f>'2013年调整系统核对'!H465</f>
        <v>0</v>
      </c>
      <c r="G24" s="266"/>
      <c r="H24" s="266"/>
      <c r="I24" s="266"/>
      <c r="J24" s="266"/>
      <c r="K24" s="266"/>
      <c r="L24" s="260"/>
      <c r="M24" s="260"/>
      <c r="N24" s="260"/>
      <c r="O24" s="260"/>
    </row>
    <row r="25" spans="1:15">
      <c r="A25" s="146" t="str">
        <f>HYPERLINK("#C5","置顶")</f>
        <v>置顶</v>
      </c>
      <c r="B25" s="151">
        <v>25</v>
      </c>
      <c r="C25" s="96" t="s">
        <v>225</v>
      </c>
      <c r="D25" s="96" t="s">
        <v>225</v>
      </c>
      <c r="E25" s="268" t="e">
        <f t="shared" si="0"/>
        <v>#VALUE!</v>
      </c>
      <c r="F25" s="266" t="e">
        <f>'2013年调整系统核对'!H481</f>
        <v>#VALUE!</v>
      </c>
      <c r="G25" s="266"/>
      <c r="H25" s="266"/>
      <c r="I25" s="266"/>
      <c r="J25" s="266"/>
      <c r="K25" s="266"/>
      <c r="L25" s="260"/>
      <c r="M25" s="260"/>
      <c r="N25" s="260"/>
      <c r="O25" s="260"/>
    </row>
    <row r="26" spans="1:15">
      <c r="B26" s="151">
        <v>26</v>
      </c>
      <c r="C26" s="96" t="s">
        <v>61</v>
      </c>
      <c r="D26" s="96" t="s">
        <v>61</v>
      </c>
      <c r="E26" s="268">
        <f t="shared" si="0"/>
        <v>0</v>
      </c>
      <c r="F26" s="266">
        <f>'2013年调整系统核对'!H491</f>
        <v>0</v>
      </c>
      <c r="G26" s="266"/>
      <c r="H26" s="266"/>
      <c r="I26" s="266"/>
      <c r="J26" s="266"/>
      <c r="K26" s="266"/>
      <c r="L26" s="260"/>
      <c r="M26" s="260"/>
      <c r="N26" s="260"/>
      <c r="O26" s="260"/>
    </row>
    <row r="27" spans="1:15">
      <c r="B27" s="151">
        <v>27</v>
      </c>
      <c r="C27" s="96" t="s">
        <v>62</v>
      </c>
      <c r="D27" s="96" t="s">
        <v>62</v>
      </c>
      <c r="E27" s="268">
        <f t="shared" si="0"/>
        <v>1495000937.0699999</v>
      </c>
      <c r="F27" s="266">
        <f>'2013年调整系统核对'!H503</f>
        <v>1495000937.0699999</v>
      </c>
      <c r="G27" s="266"/>
      <c r="H27" s="266"/>
      <c r="I27" s="266"/>
      <c r="J27" s="266"/>
      <c r="K27" s="266"/>
      <c r="L27" s="260"/>
      <c r="M27" s="260"/>
      <c r="N27" s="260"/>
      <c r="O27" s="260"/>
    </row>
    <row r="28" spans="1:15" ht="14.25">
      <c r="B28" s="151">
        <v>28</v>
      </c>
      <c r="C28" s="96" t="s">
        <v>63</v>
      </c>
      <c r="D28" s="267" t="s">
        <v>63</v>
      </c>
      <c r="E28" s="268">
        <f t="shared" si="0"/>
        <v>126400000</v>
      </c>
      <c r="F28" s="266">
        <f>'2013年调整系统核对'!H523</f>
        <v>126400000</v>
      </c>
      <c r="G28" s="266">
        <f>'2013年调整系统核对'!H530</f>
        <v>0</v>
      </c>
      <c r="H28" s="266"/>
      <c r="I28" s="266"/>
      <c r="J28" s="266"/>
      <c r="K28" s="266"/>
      <c r="L28" s="260"/>
      <c r="M28" s="260"/>
      <c r="N28" s="260"/>
      <c r="O28" s="260"/>
    </row>
    <row r="29" spans="1:15" ht="14.25">
      <c r="B29" s="151">
        <v>29</v>
      </c>
      <c r="C29" s="96" t="s">
        <v>195</v>
      </c>
      <c r="D29" s="267" t="s">
        <v>195</v>
      </c>
      <c r="E29" s="268">
        <f t="shared" si="0"/>
        <v>1490075719.3800001</v>
      </c>
      <c r="F29" s="266">
        <f>'2013年调整系统核对'!H580</f>
        <v>1475987726.0599999</v>
      </c>
      <c r="G29" s="266">
        <f>'2013年调整系统核对'!H591</f>
        <v>557254.28</v>
      </c>
      <c r="H29" s="266">
        <f>'2013年调整系统核对'!H596</f>
        <v>13530739.040000001</v>
      </c>
      <c r="I29" s="266"/>
      <c r="J29" s="266"/>
      <c r="K29" s="266"/>
      <c r="L29" s="260"/>
      <c r="M29" s="260"/>
      <c r="N29" s="260"/>
      <c r="O29" s="260"/>
    </row>
    <row r="30" spans="1:15">
      <c r="B30" s="151">
        <v>30</v>
      </c>
      <c r="C30" s="96" t="s">
        <v>64</v>
      </c>
      <c r="D30" s="96" t="s">
        <v>64</v>
      </c>
      <c r="E30" s="266">
        <f t="shared" si="0"/>
        <v>0</v>
      </c>
      <c r="F30" s="266"/>
      <c r="G30" s="266"/>
      <c r="H30" s="266"/>
      <c r="I30" s="266"/>
      <c r="J30" s="266"/>
      <c r="K30" s="266"/>
      <c r="L30" s="260"/>
      <c r="M30" s="260"/>
      <c r="N30" s="260"/>
      <c r="O30" s="260"/>
    </row>
    <row r="31" spans="1:15">
      <c r="A31" s="146" t="str">
        <f>HYPERLINK("#C5","置顶")</f>
        <v>置顶</v>
      </c>
      <c r="B31" s="151">
        <v>31</v>
      </c>
      <c r="C31" s="96" t="s">
        <v>65</v>
      </c>
      <c r="D31" s="96" t="s">
        <v>65</v>
      </c>
      <c r="E31" s="268">
        <f t="shared" si="0"/>
        <v>0</v>
      </c>
      <c r="F31" s="266">
        <f>'2013年调整系统核对'!H611</f>
        <v>0</v>
      </c>
      <c r="G31" s="266"/>
      <c r="H31" s="266"/>
      <c r="I31" s="266"/>
      <c r="J31" s="266"/>
      <c r="K31" s="266"/>
      <c r="L31" s="260"/>
      <c r="M31" s="260"/>
      <c r="N31" s="260"/>
      <c r="O31" s="260"/>
    </row>
    <row r="32" spans="1:15">
      <c r="B32" s="151">
        <v>32</v>
      </c>
      <c r="C32" s="96" t="s">
        <v>66</v>
      </c>
      <c r="D32" s="96" t="s">
        <v>66</v>
      </c>
      <c r="E32" s="266">
        <f t="shared" si="0"/>
        <v>0</v>
      </c>
      <c r="F32" s="266"/>
      <c r="G32" s="266"/>
      <c r="H32" s="266"/>
      <c r="I32" s="266"/>
      <c r="J32" s="266"/>
      <c r="K32" s="266"/>
      <c r="L32" s="260"/>
      <c r="M32" s="260"/>
      <c r="N32" s="260"/>
      <c r="O32" s="260"/>
    </row>
    <row r="33" spans="1:15">
      <c r="B33" s="151">
        <v>33</v>
      </c>
      <c r="C33" s="96" t="s">
        <v>67</v>
      </c>
      <c r="D33" s="96" t="s">
        <v>67</v>
      </c>
      <c r="E33" s="268">
        <f t="shared" si="0"/>
        <v>48016804.840000004</v>
      </c>
      <c r="F33" s="266">
        <f>'2013年调整系统核对'!H656</f>
        <v>47253172.599999994</v>
      </c>
      <c r="G33" s="266">
        <f>'2013年调整系统核对'!H661</f>
        <v>763632.24</v>
      </c>
      <c r="H33" s="266"/>
      <c r="I33" s="266"/>
      <c r="J33" s="266"/>
      <c r="K33" s="266"/>
      <c r="L33" s="260"/>
      <c r="M33" s="260"/>
      <c r="N33" s="260"/>
      <c r="O33" s="260"/>
    </row>
    <row r="34" spans="1:15">
      <c r="B34" s="151">
        <v>34</v>
      </c>
      <c r="C34" s="96" t="s">
        <v>68</v>
      </c>
      <c r="D34" s="96" t="s">
        <v>68</v>
      </c>
      <c r="E34" s="266">
        <f t="shared" si="0"/>
        <v>0</v>
      </c>
      <c r="F34" s="266"/>
      <c r="G34" s="266"/>
      <c r="H34" s="266"/>
      <c r="I34" s="266"/>
      <c r="J34" s="266"/>
      <c r="K34" s="266"/>
      <c r="L34" s="260"/>
      <c r="M34" s="260"/>
      <c r="N34" s="260"/>
      <c r="O34" s="260"/>
    </row>
    <row r="35" spans="1:15">
      <c r="B35" s="151">
        <v>35</v>
      </c>
      <c r="C35" s="96" t="s">
        <v>69</v>
      </c>
      <c r="D35" s="96" t="s">
        <v>69</v>
      </c>
      <c r="E35" s="266">
        <f t="shared" si="0"/>
        <v>0</v>
      </c>
      <c r="F35" s="266"/>
      <c r="G35" s="266"/>
      <c r="H35" s="266"/>
      <c r="I35" s="266"/>
      <c r="J35" s="266"/>
      <c r="K35" s="266"/>
      <c r="L35" s="260"/>
      <c r="M35" s="260"/>
      <c r="N35" s="260"/>
      <c r="O35" s="260"/>
    </row>
    <row r="36" spans="1:15" ht="14.25">
      <c r="B36" s="151">
        <v>36</v>
      </c>
      <c r="C36" s="96" t="s">
        <v>236</v>
      </c>
      <c r="D36" s="267" t="s">
        <v>236</v>
      </c>
      <c r="E36" s="268">
        <f t="shared" si="0"/>
        <v>61246976.159999996</v>
      </c>
      <c r="F36" s="266">
        <f>'2013年调整系统核对'!J700</f>
        <v>7778239.040000001</v>
      </c>
      <c r="G36" s="266">
        <f>'2013年调整系统核对'!K700</f>
        <v>31112956.100000001</v>
      </c>
      <c r="H36" s="266">
        <f>'2013年调整系统核对'!H714</f>
        <v>22355781.02</v>
      </c>
      <c r="I36" s="266"/>
      <c r="J36" s="266"/>
      <c r="K36" s="266"/>
      <c r="L36" s="260"/>
      <c r="M36" s="260"/>
      <c r="N36" s="260"/>
      <c r="O36" s="260"/>
    </row>
    <row r="37" spans="1:15">
      <c r="A37" s="146" t="str">
        <f>HYPERLINK("#C5","置顶")</f>
        <v>置顶</v>
      </c>
      <c r="B37" s="151">
        <v>37</v>
      </c>
      <c r="C37" s="96" t="s">
        <v>179</v>
      </c>
      <c r="D37" s="96" t="s">
        <v>179</v>
      </c>
      <c r="E37" s="266">
        <f t="shared" si="0"/>
        <v>0</v>
      </c>
      <c r="F37" s="266"/>
      <c r="G37" s="266"/>
      <c r="H37" s="266"/>
      <c r="I37" s="266"/>
      <c r="J37" s="266"/>
      <c r="K37" s="266"/>
      <c r="L37" s="260"/>
      <c r="M37" s="260"/>
      <c r="N37" s="260"/>
      <c r="O37" s="260"/>
    </row>
    <row r="38" spans="1:15" ht="14.25">
      <c r="B38" s="151">
        <v>38</v>
      </c>
      <c r="C38" s="96" t="s">
        <v>237</v>
      </c>
      <c r="D38" s="267" t="s">
        <v>1391</v>
      </c>
      <c r="E38" s="268" t="e">
        <f t="shared" si="0"/>
        <v>#REF!</v>
      </c>
      <c r="F38" s="266" t="e">
        <f>'2013年调整系统核对'!H751</f>
        <v>#REF!</v>
      </c>
      <c r="G38" s="266"/>
      <c r="H38" s="266"/>
      <c r="I38" s="266"/>
      <c r="J38" s="266"/>
      <c r="K38" s="266"/>
      <c r="L38" s="260"/>
      <c r="M38" s="260"/>
      <c r="N38" s="260"/>
      <c r="O38" s="260"/>
    </row>
    <row r="39" spans="1:15">
      <c r="B39" s="151">
        <v>39</v>
      </c>
      <c r="C39" s="96" t="s">
        <v>1392</v>
      </c>
      <c r="D39" s="96" t="s">
        <v>70</v>
      </c>
      <c r="E39" s="268">
        <f t="shared" si="0"/>
        <v>360000000</v>
      </c>
      <c r="F39" s="266">
        <f>'2013年调整系统核对'!H762</f>
        <v>360000000</v>
      </c>
      <c r="G39" s="266"/>
      <c r="H39" s="266"/>
      <c r="I39" s="266"/>
      <c r="J39" s="266"/>
      <c r="K39" s="266"/>
      <c r="L39" s="260"/>
      <c r="M39" s="260"/>
      <c r="N39" s="260"/>
      <c r="O39" s="260"/>
    </row>
    <row r="40" spans="1:15">
      <c r="B40" s="151">
        <v>40</v>
      </c>
      <c r="C40" s="96" t="s">
        <v>230</v>
      </c>
      <c r="D40" s="96" t="s">
        <v>230</v>
      </c>
      <c r="E40" s="268">
        <f t="shared" si="0"/>
        <v>0</v>
      </c>
      <c r="F40" s="266">
        <f>'2013年调整系统核对'!H771</f>
        <v>0</v>
      </c>
      <c r="G40" s="266"/>
      <c r="H40" s="266"/>
      <c r="I40" s="266"/>
      <c r="J40" s="266"/>
      <c r="K40" s="266"/>
      <c r="L40" s="260"/>
      <c r="M40" s="260"/>
      <c r="N40" s="260"/>
      <c r="O40" s="260"/>
    </row>
    <row r="41" spans="1:15">
      <c r="B41" s="151">
        <v>41</v>
      </c>
      <c r="C41" s="96" t="s">
        <v>232</v>
      </c>
      <c r="D41" s="96" t="s">
        <v>232</v>
      </c>
      <c r="E41" s="268">
        <f t="shared" si="0"/>
        <v>0</v>
      </c>
      <c r="F41" s="266">
        <f>'2013年调整系统核对'!H778</f>
        <v>0</v>
      </c>
      <c r="G41" s="266"/>
      <c r="H41" s="266"/>
      <c r="I41" s="266"/>
      <c r="J41" s="266"/>
      <c r="K41" s="266"/>
      <c r="L41" s="260"/>
      <c r="M41" s="260"/>
      <c r="N41" s="260"/>
      <c r="O41" s="260"/>
    </row>
    <row r="42" spans="1:15">
      <c r="A42" s="146" t="str">
        <f>HYPERLINK("#C5","置顶")</f>
        <v>置顶</v>
      </c>
      <c r="B42" s="151">
        <v>42</v>
      </c>
      <c r="C42" s="96" t="s">
        <v>231</v>
      </c>
      <c r="D42" s="96" t="s">
        <v>231</v>
      </c>
      <c r="E42" s="268">
        <f t="shared" si="0"/>
        <v>489356895.06</v>
      </c>
      <c r="F42" s="266">
        <f>'2013年调整系统核对'!H788</f>
        <v>489356895.06000006</v>
      </c>
      <c r="G42" s="266"/>
      <c r="H42" s="266"/>
      <c r="I42" s="266"/>
      <c r="J42" s="266"/>
      <c r="K42" s="266"/>
      <c r="L42" s="260"/>
      <c r="M42" s="260"/>
      <c r="N42" s="260"/>
      <c r="O42" s="260"/>
    </row>
    <row r="43" spans="1:15">
      <c r="B43" s="151">
        <v>43</v>
      </c>
      <c r="C43" s="96" t="s">
        <v>233</v>
      </c>
      <c r="D43" s="96" t="s">
        <v>233</v>
      </c>
      <c r="E43" s="268">
        <f t="shared" si="0"/>
        <v>37824323.240000002</v>
      </c>
      <c r="F43" s="266">
        <f>'2013年调整系统核对'!H798</f>
        <v>37824323.23999995</v>
      </c>
      <c r="G43" s="266"/>
      <c r="H43" s="266"/>
      <c r="I43" s="266"/>
      <c r="J43" s="266"/>
      <c r="K43" s="266"/>
      <c r="L43" s="260"/>
      <c r="M43" s="260"/>
      <c r="N43" s="260"/>
      <c r="O43" s="260"/>
    </row>
    <row r="44" spans="1:15">
      <c r="B44" s="151">
        <v>44</v>
      </c>
      <c r="C44" s="96" t="s">
        <v>180</v>
      </c>
      <c r="D44" s="96" t="s">
        <v>180</v>
      </c>
      <c r="E44" s="268" t="e">
        <f t="shared" si="0"/>
        <v>#REF!</v>
      </c>
      <c r="F44" s="266" t="e">
        <f>'2013年调整系统核对'!J821</f>
        <v>#REF!</v>
      </c>
      <c r="G44" s="266"/>
      <c r="H44" s="266"/>
      <c r="I44" s="266"/>
      <c r="J44" s="266"/>
      <c r="K44" s="266"/>
      <c r="L44" s="260"/>
      <c r="M44" s="260"/>
      <c r="N44" s="260"/>
      <c r="O44" s="260"/>
    </row>
    <row r="45" spans="1:15">
      <c r="B45" s="151">
        <v>45</v>
      </c>
      <c r="C45" s="96" t="s">
        <v>1393</v>
      </c>
      <c r="D45" s="96" t="s">
        <v>181</v>
      </c>
      <c r="E45" s="268">
        <f t="shared" si="0"/>
        <v>1882866.24</v>
      </c>
      <c r="F45" s="266">
        <f>'2013年调整系统核对'!H837</f>
        <v>1882866.24</v>
      </c>
      <c r="G45" s="266"/>
      <c r="H45" s="266"/>
      <c r="I45" s="266"/>
      <c r="J45" s="266"/>
      <c r="K45" s="266"/>
      <c r="L45" s="260"/>
      <c r="M45" s="260"/>
      <c r="N45" s="260"/>
      <c r="O45" s="260"/>
    </row>
    <row r="46" spans="1:15">
      <c r="B46" s="151">
        <v>46</v>
      </c>
      <c r="C46" s="96" t="s">
        <v>71</v>
      </c>
      <c r="D46" s="96" t="s">
        <v>71</v>
      </c>
      <c r="E46" s="268">
        <f t="shared" si="0"/>
        <v>803880</v>
      </c>
      <c r="F46" s="266">
        <f>'2013年调整系统核对'!H850</f>
        <v>803880</v>
      </c>
      <c r="G46" s="266"/>
      <c r="H46" s="266"/>
      <c r="I46" s="266"/>
      <c r="J46" s="266"/>
      <c r="K46" s="266"/>
      <c r="L46" s="260"/>
      <c r="M46" s="260"/>
      <c r="N46" s="260"/>
      <c r="O46" s="260"/>
    </row>
    <row r="47" spans="1:15">
      <c r="B47" s="151">
        <v>47</v>
      </c>
      <c r="C47" s="96" t="s">
        <v>72</v>
      </c>
      <c r="D47" s="96" t="s">
        <v>72</v>
      </c>
      <c r="E47" s="266">
        <f t="shared" si="0"/>
        <v>0</v>
      </c>
      <c r="F47" s="266"/>
      <c r="G47" s="266"/>
      <c r="H47" s="266"/>
      <c r="I47" s="266"/>
      <c r="J47" s="266"/>
      <c r="K47" s="266"/>
      <c r="L47" s="260"/>
      <c r="M47" s="260"/>
      <c r="N47" s="260"/>
      <c r="O47" s="260"/>
    </row>
    <row r="48" spans="1:15">
      <c r="B48" s="151">
        <v>48</v>
      </c>
      <c r="C48" s="96" t="s">
        <v>234</v>
      </c>
      <c r="D48" s="96" t="s">
        <v>234</v>
      </c>
      <c r="E48" s="268">
        <f t="shared" si="0"/>
        <v>27176908.079999998</v>
      </c>
      <c r="F48" s="266">
        <f>'2013年调整系统核对'!H860</f>
        <v>27176908.080000002</v>
      </c>
      <c r="G48" s="266"/>
      <c r="H48" s="266"/>
      <c r="I48" s="266"/>
      <c r="J48" s="266"/>
      <c r="K48" s="266"/>
      <c r="L48" s="260"/>
      <c r="M48" s="260"/>
      <c r="N48" s="260"/>
      <c r="O48" s="260"/>
    </row>
    <row r="49" spans="1:15">
      <c r="B49" s="151">
        <v>49</v>
      </c>
      <c r="C49" s="96" t="s">
        <v>73</v>
      </c>
      <c r="D49" s="96" t="s">
        <v>73</v>
      </c>
      <c r="E49" s="268">
        <f t="shared" si="0"/>
        <v>3000000</v>
      </c>
      <c r="F49" s="266">
        <f>'2013年调整系统核对'!H873</f>
        <v>3000000</v>
      </c>
      <c r="G49" s="266"/>
      <c r="H49" s="266"/>
      <c r="I49" s="266"/>
      <c r="J49" s="266"/>
      <c r="K49" s="266"/>
      <c r="L49" s="260"/>
      <c r="M49" s="260"/>
      <c r="N49" s="260"/>
      <c r="O49" s="260"/>
    </row>
    <row r="50" spans="1:15">
      <c r="B50" s="151">
        <v>50</v>
      </c>
      <c r="C50" s="96" t="s">
        <v>74</v>
      </c>
      <c r="D50" s="96" t="s">
        <v>74</v>
      </c>
      <c r="E50" s="268">
        <f t="shared" si="0"/>
        <v>0</v>
      </c>
      <c r="F50" s="266">
        <f>'2013年调整系统核对'!I887</f>
        <v>0</v>
      </c>
      <c r="G50" s="266"/>
      <c r="H50" s="266"/>
      <c r="I50" s="266"/>
      <c r="J50" s="266"/>
      <c r="K50" s="266"/>
      <c r="L50" s="260"/>
      <c r="M50" s="260"/>
      <c r="N50" s="260"/>
      <c r="O50" s="260"/>
    </row>
    <row r="51" spans="1:15">
      <c r="A51" s="146" t="str">
        <f>HYPERLINK("#C5","置顶")</f>
        <v>置顶</v>
      </c>
      <c r="B51" s="151">
        <v>51</v>
      </c>
      <c r="C51" s="96" t="s">
        <v>75</v>
      </c>
      <c r="D51" s="96" t="s">
        <v>75</v>
      </c>
      <c r="E51" s="268">
        <f t="shared" si="0"/>
        <v>144000000</v>
      </c>
      <c r="F51" s="266">
        <f>'2013年调整系统核对'!H899</f>
        <v>144000000</v>
      </c>
      <c r="G51" s="266"/>
      <c r="H51" s="266"/>
      <c r="I51" s="266"/>
      <c r="J51" s="266"/>
      <c r="K51" s="266"/>
      <c r="L51" s="260"/>
      <c r="M51" s="260"/>
      <c r="N51" s="260"/>
      <c r="O51" s="260"/>
    </row>
    <row r="52" spans="1:15">
      <c r="B52" s="151">
        <v>52</v>
      </c>
      <c r="C52" s="96" t="s">
        <v>76</v>
      </c>
      <c r="D52" s="96" t="s">
        <v>76</v>
      </c>
      <c r="E52" s="266">
        <f t="shared" si="0"/>
        <v>0</v>
      </c>
      <c r="F52" s="266"/>
      <c r="G52" s="266"/>
      <c r="H52" s="266"/>
      <c r="I52" s="266"/>
      <c r="J52" s="266"/>
      <c r="K52" s="266"/>
      <c r="L52" s="260"/>
      <c r="M52" s="260"/>
      <c r="N52" s="260"/>
      <c r="O52" s="260"/>
    </row>
    <row r="53" spans="1:15">
      <c r="B53" s="151">
        <v>53</v>
      </c>
      <c r="C53" s="96" t="s">
        <v>77</v>
      </c>
      <c r="D53" s="96" t="s">
        <v>1394</v>
      </c>
      <c r="E53" s="268">
        <f t="shared" si="0"/>
        <v>0</v>
      </c>
      <c r="F53" s="266">
        <f>'2013年调整系统核对'!K915</f>
        <v>0</v>
      </c>
      <c r="G53" s="266"/>
      <c r="H53" s="266"/>
      <c r="I53" s="266"/>
      <c r="J53" s="266"/>
      <c r="K53" s="266"/>
      <c r="L53" s="260"/>
      <c r="M53" s="260"/>
      <c r="N53" s="260"/>
      <c r="O53" s="260"/>
    </row>
    <row r="54" spans="1:15">
      <c r="B54" s="151">
        <v>54</v>
      </c>
      <c r="C54" s="96" t="s">
        <v>78</v>
      </c>
      <c r="D54" s="96" t="s">
        <v>78</v>
      </c>
      <c r="E54" s="266">
        <f t="shared" si="0"/>
        <v>0</v>
      </c>
      <c r="F54" s="266"/>
      <c r="G54" s="266"/>
      <c r="H54" s="266"/>
      <c r="I54" s="266"/>
      <c r="J54" s="266"/>
      <c r="K54" s="266"/>
      <c r="L54" s="260"/>
      <c r="M54" s="260"/>
      <c r="N54" s="260"/>
      <c r="O54" s="260"/>
    </row>
    <row r="55" spans="1:15">
      <c r="B55" s="151">
        <v>55</v>
      </c>
      <c r="C55" s="96" t="s">
        <v>79</v>
      </c>
      <c r="D55" s="96" t="s">
        <v>79</v>
      </c>
      <c r="E55" s="268">
        <f t="shared" si="0"/>
        <v>0</v>
      </c>
      <c r="F55" s="266">
        <f>'2013年调整系统核对'!H929</f>
        <v>0</v>
      </c>
      <c r="G55" s="266"/>
      <c r="H55" s="266"/>
      <c r="I55" s="266"/>
      <c r="J55" s="266"/>
      <c r="K55" s="266"/>
      <c r="L55" s="260"/>
      <c r="M55" s="260"/>
      <c r="N55" s="260"/>
      <c r="O55" s="260"/>
    </row>
    <row r="56" spans="1:15">
      <c r="A56" s="146" t="str">
        <f>HYPERLINK("#C5","置顶")</f>
        <v>置顶</v>
      </c>
      <c r="B56" s="151">
        <v>56</v>
      </c>
      <c r="C56" s="96" t="s">
        <v>182</v>
      </c>
      <c r="D56" s="96" t="s">
        <v>182</v>
      </c>
      <c r="E56" s="266">
        <f t="shared" si="0"/>
        <v>0</v>
      </c>
      <c r="F56" s="266"/>
      <c r="G56" s="266"/>
      <c r="H56" s="266"/>
      <c r="I56" s="266"/>
      <c r="J56" s="266"/>
      <c r="K56" s="266"/>
      <c r="L56" s="266"/>
      <c r="M56" s="266"/>
      <c r="N56" s="260"/>
      <c r="O56" s="260"/>
    </row>
    <row r="57" spans="1:15">
      <c r="B57" s="151">
        <v>57</v>
      </c>
      <c r="C57" s="96" t="s">
        <v>183</v>
      </c>
      <c r="D57" s="96" t="s">
        <v>183</v>
      </c>
      <c r="E57" s="266">
        <f t="shared" si="0"/>
        <v>0</v>
      </c>
      <c r="F57" s="266"/>
      <c r="G57" s="266"/>
      <c r="H57" s="266"/>
      <c r="I57" s="266"/>
      <c r="J57" s="266"/>
      <c r="K57" s="266"/>
      <c r="L57" s="266"/>
      <c r="M57" s="266"/>
      <c r="N57" s="260"/>
      <c r="O57" s="260"/>
    </row>
    <row r="58" spans="1:15">
      <c r="B58" s="151">
        <v>58</v>
      </c>
      <c r="C58" s="96" t="s">
        <v>80</v>
      </c>
      <c r="D58" s="96" t="s">
        <v>80</v>
      </c>
      <c r="E58" s="268">
        <f t="shared" si="0"/>
        <v>8364909.0599999996</v>
      </c>
      <c r="F58" s="266">
        <f>'2013年调整系统核对'!H947</f>
        <v>8364909.0600000005</v>
      </c>
      <c r="G58" s="266"/>
      <c r="H58" s="266"/>
      <c r="I58" s="266"/>
      <c r="J58" s="266"/>
      <c r="K58" s="266"/>
      <c r="L58" s="260"/>
      <c r="M58" s="260"/>
      <c r="N58" s="260"/>
      <c r="O58" s="260"/>
    </row>
    <row r="59" spans="1:15">
      <c r="B59" s="151">
        <v>59</v>
      </c>
      <c r="C59" s="96" t="s">
        <v>81</v>
      </c>
      <c r="D59" s="96" t="s">
        <v>81</v>
      </c>
      <c r="E59" s="268">
        <f t="shared" si="0"/>
        <v>0</v>
      </c>
      <c r="F59" s="266">
        <f>'2013年调整系统核对'!H957</f>
        <v>0</v>
      </c>
      <c r="G59" s="266"/>
      <c r="H59" s="266"/>
      <c r="I59" s="266"/>
      <c r="J59" s="266"/>
      <c r="K59" s="266"/>
      <c r="L59" s="260"/>
      <c r="M59" s="260"/>
      <c r="N59" s="260"/>
      <c r="O59" s="260"/>
    </row>
    <row r="60" spans="1:15">
      <c r="B60" s="151">
        <v>60</v>
      </c>
      <c r="C60" s="96" t="s">
        <v>184</v>
      </c>
      <c r="D60" s="96" t="s">
        <v>184</v>
      </c>
      <c r="E60" s="268">
        <f t="shared" si="0"/>
        <v>2971842.54</v>
      </c>
      <c r="F60" s="266">
        <f>'2013年调整系统核对'!H968</f>
        <v>2971842.5399999991</v>
      </c>
      <c r="G60" s="266"/>
      <c r="H60" s="266"/>
      <c r="I60" s="266"/>
      <c r="J60" s="266"/>
      <c r="K60" s="266"/>
      <c r="L60" s="260"/>
      <c r="M60" s="260"/>
      <c r="N60" s="260"/>
      <c r="O60" s="260"/>
    </row>
    <row r="61" spans="1:15">
      <c r="B61" s="151">
        <v>61</v>
      </c>
      <c r="C61" s="96" t="s">
        <v>163</v>
      </c>
      <c r="D61" s="96" t="s">
        <v>163</v>
      </c>
      <c r="E61" s="268">
        <f t="shared" si="0"/>
        <v>97591454.25</v>
      </c>
      <c r="F61" s="266">
        <f>'2013年调整系统核对'!H983</f>
        <v>97591454.25</v>
      </c>
      <c r="G61" s="266"/>
      <c r="H61" s="266"/>
      <c r="I61" s="266"/>
      <c r="J61" s="266"/>
      <c r="K61" s="266"/>
      <c r="L61" s="260"/>
      <c r="M61" s="260"/>
      <c r="N61" s="260"/>
      <c r="O61" s="260"/>
    </row>
    <row r="62" spans="1:15">
      <c r="A62" s="146" t="str">
        <f>HYPERLINK("#C5","置顶")</f>
        <v>置顶</v>
      </c>
      <c r="B62" s="151">
        <v>62</v>
      </c>
      <c r="C62" s="96" t="s">
        <v>52</v>
      </c>
      <c r="D62" s="96" t="s">
        <v>52</v>
      </c>
      <c r="E62" s="266">
        <f t="shared" si="0"/>
        <v>0</v>
      </c>
      <c r="F62" s="266"/>
      <c r="G62" s="266"/>
      <c r="H62" s="266"/>
      <c r="I62" s="266"/>
      <c r="J62" s="266"/>
      <c r="K62" s="266"/>
      <c r="L62" s="260"/>
      <c r="M62" s="260"/>
      <c r="N62" s="260"/>
      <c r="O62" s="260"/>
    </row>
    <row r="63" spans="1:15">
      <c r="B63" s="151">
        <v>63</v>
      </c>
      <c r="C63" s="96" t="s">
        <v>235</v>
      </c>
      <c r="D63" s="96" t="s">
        <v>1395</v>
      </c>
      <c r="E63" s="268">
        <f t="shared" si="0"/>
        <v>207315.13</v>
      </c>
      <c r="F63" s="266">
        <f>'2013年调整系统核对'!K995</f>
        <v>207315.13</v>
      </c>
      <c r="G63" s="266"/>
      <c r="H63" s="266"/>
      <c r="I63" s="266"/>
      <c r="J63" s="266"/>
      <c r="K63" s="266"/>
      <c r="L63" s="260"/>
      <c r="M63" s="260"/>
      <c r="N63" s="260"/>
      <c r="O63" s="260"/>
    </row>
    <row r="64" spans="1:15">
      <c r="B64" s="151">
        <v>64</v>
      </c>
      <c r="C64" s="96" t="s">
        <v>1396</v>
      </c>
      <c r="D64" s="96" t="s">
        <v>82</v>
      </c>
      <c r="E64" s="266">
        <f t="shared" si="0"/>
        <v>0</v>
      </c>
      <c r="F64" s="266"/>
      <c r="G64" s="266"/>
      <c r="H64" s="266"/>
      <c r="I64" s="266"/>
      <c r="J64" s="266"/>
      <c r="K64" s="266"/>
      <c r="L64" s="260"/>
      <c r="M64" s="260"/>
      <c r="N64" s="260"/>
      <c r="O64" s="260"/>
    </row>
    <row r="65" spans="1:15">
      <c r="B65" s="151">
        <v>65</v>
      </c>
      <c r="C65" s="96" t="s">
        <v>1397</v>
      </c>
      <c r="D65" s="96" t="s">
        <v>185</v>
      </c>
      <c r="E65" s="266">
        <f t="shared" si="0"/>
        <v>0</v>
      </c>
      <c r="F65" s="266"/>
      <c r="G65" s="266"/>
      <c r="H65" s="266"/>
      <c r="I65" s="266"/>
      <c r="J65" s="266"/>
      <c r="K65" s="266"/>
      <c r="L65" s="260"/>
      <c r="M65" s="260"/>
      <c r="N65" s="260"/>
      <c r="O65" s="260"/>
    </row>
    <row r="66" spans="1:15">
      <c r="B66" s="151">
        <v>66</v>
      </c>
      <c r="C66" s="96" t="s">
        <v>186</v>
      </c>
      <c r="D66" s="96" t="s">
        <v>186</v>
      </c>
      <c r="E66" s="268">
        <f t="shared" si="0"/>
        <v>27765867.600000001</v>
      </c>
      <c r="F66" s="266">
        <f>'2013年调整系统核对'!H1006</f>
        <v>27765867.600000001</v>
      </c>
      <c r="G66" s="266"/>
      <c r="H66" s="266"/>
      <c r="I66" s="266"/>
      <c r="J66" s="266"/>
      <c r="K66" s="266"/>
      <c r="L66" s="260"/>
      <c r="M66" s="260"/>
      <c r="N66" s="260"/>
      <c r="O66" s="260"/>
    </row>
    <row r="67" spans="1:15">
      <c r="B67" s="151">
        <v>67</v>
      </c>
      <c r="C67" s="96" t="s">
        <v>83</v>
      </c>
      <c r="D67" s="96" t="s">
        <v>83</v>
      </c>
      <c r="E67" s="268">
        <f t="shared" si="0"/>
        <v>6040838.2000000002</v>
      </c>
      <c r="F67" s="266">
        <f>'2013年调整系统核对'!H1025</f>
        <v>6040838.1999999993</v>
      </c>
      <c r="G67" s="266"/>
      <c r="H67" s="266"/>
      <c r="I67" s="266"/>
      <c r="J67" s="266"/>
      <c r="K67" s="266"/>
      <c r="L67" s="260"/>
      <c r="M67" s="260"/>
      <c r="N67" s="260"/>
      <c r="O67" s="260"/>
    </row>
    <row r="68" spans="1:15">
      <c r="B68" s="151">
        <v>68</v>
      </c>
      <c r="C68" s="96" t="s">
        <v>84</v>
      </c>
      <c r="D68" s="96" t="s">
        <v>84</v>
      </c>
      <c r="E68" s="268">
        <f t="shared" si="0"/>
        <v>0</v>
      </c>
      <c r="F68" s="266">
        <f>'2013年调整系统核对'!H1036</f>
        <v>0</v>
      </c>
      <c r="G68" s="266"/>
      <c r="H68" s="266"/>
      <c r="I68" s="266"/>
      <c r="J68" s="266"/>
      <c r="K68" s="266"/>
      <c r="L68" s="260"/>
      <c r="M68" s="260"/>
      <c r="N68" s="260"/>
      <c r="O68" s="260"/>
    </row>
    <row r="69" spans="1:15">
      <c r="B69" s="151">
        <v>69</v>
      </c>
      <c r="C69" s="96" t="s">
        <v>162</v>
      </c>
      <c r="D69" s="96" t="s">
        <v>162</v>
      </c>
      <c r="E69" s="268">
        <f t="shared" si="0"/>
        <v>7733252.7000000002</v>
      </c>
      <c r="F69" s="266">
        <f>'2013年调整系统核对'!H1051</f>
        <v>7733252.7000000002</v>
      </c>
      <c r="G69" s="266"/>
      <c r="H69" s="266"/>
      <c r="I69" s="266"/>
      <c r="J69" s="266"/>
      <c r="K69" s="266"/>
      <c r="L69" s="260"/>
      <c r="M69" s="260"/>
      <c r="N69" s="260"/>
      <c r="O69" s="260"/>
    </row>
    <row r="70" spans="1:15">
      <c r="A70" s="146" t="str">
        <f>HYPERLINK("#C5","置顶")</f>
        <v>置顶</v>
      </c>
      <c r="B70" s="151">
        <v>70</v>
      </c>
      <c r="C70" s="96" t="s">
        <v>187</v>
      </c>
      <c r="D70" s="96" t="s">
        <v>187</v>
      </c>
      <c r="E70" s="268">
        <f t="shared" si="0"/>
        <v>23125468.609999999</v>
      </c>
      <c r="F70" s="266">
        <f>'2013年调整系统核对'!H1072</f>
        <v>23125468.609999999</v>
      </c>
      <c r="G70" s="266"/>
      <c r="H70" s="266"/>
      <c r="I70" s="266"/>
      <c r="J70" s="266"/>
      <c r="K70" s="266"/>
      <c r="L70" s="260"/>
      <c r="M70" s="260"/>
      <c r="N70" s="260"/>
      <c r="O70" s="260"/>
    </row>
    <row r="71" spans="1:15">
      <c r="B71" s="151">
        <v>71</v>
      </c>
      <c r="C71" s="96" t="s">
        <v>188</v>
      </c>
      <c r="D71" s="96" t="s">
        <v>188</v>
      </c>
      <c r="E71" s="268">
        <f t="shared" si="0"/>
        <v>0</v>
      </c>
      <c r="F71" s="266">
        <f>'2013年调整系统核对'!H1097</f>
        <v>0</v>
      </c>
      <c r="G71" s="266"/>
      <c r="H71" s="266"/>
      <c r="I71" s="266"/>
      <c r="J71" s="266"/>
      <c r="K71" s="266"/>
      <c r="L71" s="260"/>
      <c r="M71" s="260"/>
      <c r="N71" s="260"/>
      <c r="O71" s="260"/>
    </row>
    <row r="72" spans="1:15">
      <c r="B72" s="151">
        <v>72</v>
      </c>
      <c r="C72" s="96" t="s">
        <v>85</v>
      </c>
      <c r="D72" s="96" t="s">
        <v>1398</v>
      </c>
      <c r="E72" s="268">
        <f t="shared" si="0"/>
        <v>7553567.3600000003</v>
      </c>
      <c r="F72" s="266">
        <f>'2013年调整系统核对'!H1105</f>
        <v>7553567.3599999994</v>
      </c>
      <c r="G72" s="266"/>
      <c r="H72" s="266"/>
      <c r="I72" s="266"/>
      <c r="J72" s="266"/>
      <c r="K72" s="266"/>
      <c r="L72" s="260"/>
      <c r="M72" s="260"/>
      <c r="N72" s="260"/>
      <c r="O72" s="260"/>
    </row>
    <row r="73" spans="1:15">
      <c r="B73" s="151">
        <v>73</v>
      </c>
      <c r="C73" s="96" t="s">
        <v>228</v>
      </c>
      <c r="D73" s="96" t="s">
        <v>228</v>
      </c>
      <c r="E73" s="268" t="e">
        <f t="shared" si="0"/>
        <v>#VALUE!</v>
      </c>
      <c r="F73" s="266" t="e">
        <f>'2013年调整系统核对'!H1130</f>
        <v>#VALUE!</v>
      </c>
      <c r="G73" s="266"/>
      <c r="H73" s="266"/>
      <c r="I73" s="266"/>
      <c r="J73" s="266"/>
      <c r="K73" s="266"/>
      <c r="L73" s="260"/>
      <c r="M73" s="260"/>
      <c r="N73" s="260"/>
      <c r="O73" s="260"/>
    </row>
    <row r="74" spans="1:15">
      <c r="B74" s="151">
        <v>74</v>
      </c>
      <c r="C74" s="96" t="s">
        <v>238</v>
      </c>
      <c r="D74" s="96" t="s">
        <v>238</v>
      </c>
      <c r="E74" s="266">
        <f t="shared" si="0"/>
        <v>0</v>
      </c>
      <c r="F74" s="266"/>
      <c r="G74" s="266"/>
      <c r="H74" s="266"/>
      <c r="I74" s="266"/>
      <c r="J74" s="266"/>
      <c r="K74" s="266"/>
      <c r="L74" s="260"/>
      <c r="M74" s="260"/>
      <c r="N74" s="260"/>
      <c r="O74" s="260"/>
    </row>
    <row r="75" spans="1:15">
      <c r="B75" s="151">
        <v>75</v>
      </c>
      <c r="C75" s="96" t="s">
        <v>88</v>
      </c>
      <c r="D75" s="96" t="s">
        <v>1399</v>
      </c>
      <c r="E75" s="266">
        <f t="shared" si="0"/>
        <v>0</v>
      </c>
      <c r="F75" s="266"/>
      <c r="G75" s="266"/>
      <c r="H75" s="266"/>
      <c r="I75" s="266"/>
      <c r="J75" s="266"/>
      <c r="K75" s="266"/>
      <c r="L75" s="260"/>
      <c r="M75" s="260"/>
      <c r="N75" s="260"/>
      <c r="O75" s="260"/>
    </row>
    <row r="76" spans="1:15">
      <c r="A76" s="146" t="str">
        <f>HYPERLINK("#C5","置顶")</f>
        <v>置顶</v>
      </c>
      <c r="B76" s="151">
        <v>76</v>
      </c>
      <c r="C76" s="96" t="s">
        <v>89</v>
      </c>
      <c r="D76" s="96" t="s">
        <v>1400</v>
      </c>
      <c r="E76" s="266">
        <f t="shared" si="0"/>
        <v>0</v>
      </c>
      <c r="F76" s="266"/>
      <c r="G76" s="266"/>
      <c r="H76" s="266"/>
      <c r="I76" s="266"/>
      <c r="J76" s="266"/>
      <c r="K76" s="266"/>
      <c r="L76" s="260"/>
      <c r="M76" s="260"/>
      <c r="N76" s="260"/>
      <c r="O76" s="260"/>
    </row>
    <row r="77" spans="1:15">
      <c r="B77" s="151">
        <v>77</v>
      </c>
      <c r="C77" s="96" t="s">
        <v>286</v>
      </c>
      <c r="D77" s="96" t="s">
        <v>1401</v>
      </c>
      <c r="E77" s="266">
        <f t="shared" si="0"/>
        <v>0</v>
      </c>
      <c r="F77" s="266"/>
      <c r="G77" s="266"/>
      <c r="H77" s="266"/>
      <c r="I77" s="266"/>
      <c r="J77" s="266"/>
      <c r="K77" s="266"/>
      <c r="L77" s="260"/>
      <c r="M77" s="260"/>
      <c r="N77" s="260"/>
      <c r="O77" s="260"/>
    </row>
    <row r="78" spans="1:15">
      <c r="B78" s="151">
        <v>78</v>
      </c>
      <c r="C78" s="96" t="s">
        <v>1402</v>
      </c>
      <c r="D78" s="96" t="s">
        <v>1402</v>
      </c>
      <c r="E78" s="268">
        <f t="shared" ref="E78:E88" si="1">ROUND(SUM(F78:M78),2)</f>
        <v>132367705.22</v>
      </c>
      <c r="F78" s="266">
        <f>'2013年调整系统核对'!H1144</f>
        <v>132367705.21999998</v>
      </c>
      <c r="G78" s="266">
        <f>'2013年调整系统核对'!H1157</f>
        <v>0</v>
      </c>
      <c r="H78" s="266"/>
      <c r="I78" s="266"/>
      <c r="J78" s="266"/>
      <c r="K78" s="266"/>
      <c r="L78" s="260"/>
      <c r="M78" s="260"/>
      <c r="N78" s="260"/>
      <c r="O78" s="260"/>
    </row>
    <row r="79" spans="1:15">
      <c r="B79" s="151">
        <v>79</v>
      </c>
      <c r="C79" s="96" t="s">
        <v>90</v>
      </c>
      <c r="D79" s="96" t="s">
        <v>90</v>
      </c>
      <c r="E79" s="266">
        <f t="shared" si="1"/>
        <v>0</v>
      </c>
      <c r="F79" s="266"/>
      <c r="G79" s="266"/>
      <c r="H79" s="266"/>
      <c r="I79" s="266"/>
      <c r="J79" s="266"/>
      <c r="K79" s="266"/>
      <c r="L79" s="260"/>
      <c r="M79" s="260"/>
      <c r="N79" s="260"/>
      <c r="O79" s="260"/>
    </row>
    <row r="80" spans="1:15">
      <c r="B80" s="151">
        <v>80</v>
      </c>
      <c r="C80" s="96" t="s">
        <v>50</v>
      </c>
      <c r="D80" s="96" t="s">
        <v>50</v>
      </c>
      <c r="E80" s="266">
        <f t="shared" si="1"/>
        <v>0</v>
      </c>
      <c r="F80" s="266"/>
      <c r="G80" s="266"/>
      <c r="H80" s="266"/>
      <c r="I80" s="266"/>
      <c r="J80" s="266"/>
      <c r="K80" s="266"/>
      <c r="L80" s="260"/>
      <c r="M80" s="260"/>
      <c r="N80" s="260"/>
      <c r="O80" s="260"/>
    </row>
    <row r="81" spans="1:15">
      <c r="B81" s="151">
        <v>81</v>
      </c>
      <c r="C81" s="96" t="s">
        <v>316</v>
      </c>
      <c r="D81" s="96" t="s">
        <v>316</v>
      </c>
      <c r="E81" s="266">
        <f t="shared" si="1"/>
        <v>0</v>
      </c>
      <c r="F81" s="266"/>
      <c r="G81" s="266"/>
      <c r="H81" s="266"/>
      <c r="I81" s="266"/>
      <c r="J81" s="266"/>
      <c r="K81" s="266"/>
      <c r="L81" s="260"/>
      <c r="M81" s="260"/>
      <c r="N81" s="260"/>
      <c r="O81" s="260"/>
    </row>
    <row r="82" spans="1:15">
      <c r="B82" s="151">
        <v>82</v>
      </c>
      <c r="C82" s="96" t="s">
        <v>196</v>
      </c>
      <c r="D82" s="96" t="s">
        <v>196</v>
      </c>
      <c r="E82" s="268">
        <f t="shared" si="1"/>
        <v>526277366.02999997</v>
      </c>
      <c r="F82" s="266">
        <f>'2013年调整系统核对'!H1194</f>
        <v>494821746.70999992</v>
      </c>
      <c r="G82" s="266">
        <f>'2013年调整系统核对'!H1205</f>
        <v>15727809.660000004</v>
      </c>
      <c r="H82" s="266">
        <f>'2013年调整系统核对'!H1217</f>
        <v>15727809.660000002</v>
      </c>
      <c r="I82" s="266"/>
      <c r="J82" s="266"/>
      <c r="K82" s="266"/>
      <c r="L82" s="260"/>
      <c r="M82" s="260"/>
      <c r="N82" s="260"/>
      <c r="O82" s="260"/>
    </row>
    <row r="83" spans="1:15">
      <c r="A83" s="146" t="str">
        <f>HYPERLINK("#C5","置顶")</f>
        <v>置顶</v>
      </c>
      <c r="B83" s="151">
        <v>83</v>
      </c>
      <c r="C83" s="96" t="s">
        <v>244</v>
      </c>
      <c r="D83" s="96" t="s">
        <v>1403</v>
      </c>
      <c r="E83" s="266">
        <f t="shared" si="1"/>
        <v>0</v>
      </c>
      <c r="F83" s="266"/>
      <c r="G83" s="266"/>
      <c r="H83" s="266"/>
      <c r="I83" s="266"/>
      <c r="J83" s="266"/>
      <c r="K83" s="266"/>
      <c r="L83" s="260"/>
      <c r="M83" s="260"/>
      <c r="N83" s="260"/>
      <c r="O83" s="260"/>
    </row>
    <row r="84" spans="1:15">
      <c r="B84" s="151">
        <v>84</v>
      </c>
      <c r="C84" s="96" t="s">
        <v>197</v>
      </c>
      <c r="D84" s="96" t="s">
        <v>197</v>
      </c>
      <c r="E84" s="266">
        <f t="shared" si="1"/>
        <v>0</v>
      </c>
      <c r="F84" s="266"/>
      <c r="G84" s="266"/>
      <c r="H84" s="266"/>
      <c r="I84" s="266"/>
      <c r="J84" s="266"/>
      <c r="K84" s="266"/>
      <c r="L84" s="260"/>
      <c r="M84" s="260"/>
      <c r="N84" s="260"/>
      <c r="O84" s="260"/>
    </row>
    <row r="85" spans="1:15">
      <c r="B85" s="151">
        <v>85</v>
      </c>
      <c r="C85" s="96" t="s">
        <v>198</v>
      </c>
      <c r="D85" s="96" t="s">
        <v>198</v>
      </c>
      <c r="E85" s="266">
        <f t="shared" si="1"/>
        <v>0</v>
      </c>
      <c r="F85" s="266"/>
      <c r="G85" s="266"/>
      <c r="H85" s="266"/>
      <c r="I85" s="266"/>
      <c r="J85" s="266"/>
      <c r="K85" s="266"/>
      <c r="L85" s="260"/>
      <c r="M85" s="260"/>
      <c r="N85" s="260"/>
      <c r="O85" s="260"/>
    </row>
    <row r="86" spans="1:15">
      <c r="B86" s="151">
        <v>86</v>
      </c>
      <c r="C86" s="96" t="s">
        <v>361</v>
      </c>
      <c r="D86" s="96" t="s">
        <v>361</v>
      </c>
      <c r="E86" s="266">
        <f t="shared" si="1"/>
        <v>0</v>
      </c>
      <c r="F86" s="266"/>
      <c r="G86" s="266"/>
      <c r="H86" s="266"/>
      <c r="I86" s="266"/>
      <c r="J86" s="266"/>
      <c r="K86" s="266"/>
      <c r="L86" s="266"/>
      <c r="M86" s="266"/>
      <c r="N86" s="260"/>
      <c r="O86" s="260"/>
    </row>
    <row r="87" spans="1:15" ht="14.25">
      <c r="B87" s="151">
        <v>87</v>
      </c>
      <c r="C87" s="96" t="s">
        <v>51</v>
      </c>
      <c r="D87" s="267" t="s">
        <v>51</v>
      </c>
      <c r="E87" s="268" t="e">
        <f>ROUND(SUM(F87:M87),2)</f>
        <v>#REF!</v>
      </c>
      <c r="F87" s="266" t="e">
        <f>'2013年调整系统核对'!J1259</f>
        <v>#REF!</v>
      </c>
      <c r="G87" s="266" t="e">
        <f>'2013年调整系统核对'!K1259</f>
        <v>#REF!</v>
      </c>
      <c r="H87" s="266" t="e">
        <f>'2013年调整系统核对'!J1297</f>
        <v>#REF!</v>
      </c>
      <c r="I87" s="266" t="e">
        <f>'2013年调整系统核对'!K1297</f>
        <v>#REF!</v>
      </c>
      <c r="J87" s="266">
        <f>'2013年调整系统核对'!L1297</f>
        <v>187803064.61000004</v>
      </c>
      <c r="K87" s="266">
        <f>'2013年调整系统核对'!M1297</f>
        <v>186681535.91000006</v>
      </c>
      <c r="L87" s="270"/>
      <c r="M87" s="270"/>
      <c r="N87" s="270"/>
      <c r="O87" s="270"/>
    </row>
    <row r="88" spans="1:15" s="163" customFormat="1">
      <c r="B88" s="151">
        <v>88</v>
      </c>
      <c r="C88" s="96" t="s">
        <v>490</v>
      </c>
      <c r="D88" s="96" t="s">
        <v>490</v>
      </c>
      <c r="E88" s="266">
        <f t="shared" si="1"/>
        <v>0</v>
      </c>
      <c r="F88" s="266"/>
      <c r="G88" s="266"/>
      <c r="H88" s="266"/>
      <c r="I88" s="266"/>
      <c r="J88" s="266"/>
    </row>
    <row r="89" spans="1:15">
      <c r="B89" s="151">
        <v>89</v>
      </c>
    </row>
    <row r="91" spans="1:15">
      <c r="B91" s="151">
        <v>90</v>
      </c>
      <c r="C91" s="96" t="s">
        <v>149</v>
      </c>
      <c r="D91" s="163" t="s">
        <v>1404</v>
      </c>
    </row>
    <row r="92" spans="1:15">
      <c r="A92" s="146" t="str">
        <f>HYPERLINK("#C5","置顶")</f>
        <v>置顶</v>
      </c>
      <c r="B92" s="151">
        <v>91</v>
      </c>
      <c r="C92" s="96" t="s">
        <v>150</v>
      </c>
      <c r="D92" s="163" t="s">
        <v>150</v>
      </c>
    </row>
    <row r="93" spans="1:15">
      <c r="B93" s="151">
        <v>92</v>
      </c>
      <c r="C93" s="96" t="s">
        <v>151</v>
      </c>
      <c r="D93" s="163" t="s">
        <v>151</v>
      </c>
    </row>
    <row r="94" spans="1:15">
      <c r="B94" s="151">
        <v>93</v>
      </c>
      <c r="C94" s="96" t="s">
        <v>152</v>
      </c>
      <c r="D94" s="163" t="s">
        <v>152</v>
      </c>
    </row>
    <row r="95" spans="1:15">
      <c r="B95" s="151">
        <v>92</v>
      </c>
      <c r="C95" s="96" t="s">
        <v>153</v>
      </c>
      <c r="D95" s="163" t="s">
        <v>153</v>
      </c>
    </row>
    <row r="96" spans="1:15">
      <c r="A96" s="146" t="str">
        <f>HYPERLINK("#B1","置顶")</f>
        <v>置顶</v>
      </c>
      <c r="B96" s="151">
        <v>93</v>
      </c>
    </row>
    <row r="97" spans="2:2">
      <c r="B97" s="151">
        <v>94</v>
      </c>
    </row>
  </sheetData>
  <sheetProtection formatCells="0" formatColumns="0" formatRows="0" autoFilter="0"/>
  <phoneticPr fontId="5" type="noConversion"/>
  <hyperlinks>
    <hyperlink ref="C7" location="审定资产负债表!A1" display="审定资产负债表!A1" xr:uid="{00000000-0004-0000-0300-000000000000}"/>
    <hyperlink ref="C8" location="审定利润表!A1" display="审定利润表!A1" xr:uid="{00000000-0004-0000-0300-000001000000}"/>
    <hyperlink ref="C9" location="审定现金流量表!A1" display="审定现金流量表!A1" xr:uid="{00000000-0004-0000-0300-000002000000}"/>
    <hyperlink ref="C10" location="审定所有者权益变动表!A1" display="审定所有者权益变动表!A1" xr:uid="{00000000-0004-0000-0300-000003000000}"/>
    <hyperlink ref="C11" location="审定资产减值准备情况表!A1" display="审定资产减值准备情况表!A1" xr:uid="{00000000-0004-0000-0300-000004000000}"/>
    <hyperlink ref="C13" location="货币资金!A1" display="货币资金!A1" xr:uid="{00000000-0004-0000-0300-000005000000}"/>
    <hyperlink ref="C14" location="交易性金融资产!A1" display="交易性金融资产!A1" xr:uid="{00000000-0004-0000-0300-000006000000}"/>
    <hyperlink ref="C15" location="应收票据!A1" display="应收票据!A1" xr:uid="{00000000-0004-0000-0300-000007000000}"/>
    <hyperlink ref="C16" location="应收账款!A1" display="应收账款!A1" xr:uid="{00000000-0004-0000-0300-000008000000}"/>
    <hyperlink ref="C17" location="预付账款!A1" display="预付账款!A1" xr:uid="{00000000-0004-0000-0300-000009000000}"/>
    <hyperlink ref="C18" location="应收利息!A1" display="应收利息!A1" xr:uid="{00000000-0004-0000-0300-00000A000000}"/>
    <hyperlink ref="C19" location="应收股利!A1" display="应收股利!A1" xr:uid="{00000000-0004-0000-0300-00000B000000}"/>
    <hyperlink ref="C20" location="其他应收款!A1" display="其他应收款!A1" xr:uid="{00000000-0004-0000-0300-00000C000000}"/>
    <hyperlink ref="C21" location="存货!A1" display="存货!A1" xr:uid="{00000000-0004-0000-0300-00000D000000}"/>
    <hyperlink ref="C23" location="其他流动资产!A1" display="其他流动资产!A1" xr:uid="{00000000-0004-0000-0300-00000E000000}"/>
    <hyperlink ref="C24" location="可供出售金融资产!A1" display="可供出售金融资产!A1" xr:uid="{00000000-0004-0000-0300-00000F000000}"/>
    <hyperlink ref="C25" location="持有至到期投资!A1" display="持有至到期投资!A1" xr:uid="{00000000-0004-0000-0300-000010000000}"/>
    <hyperlink ref="C26" location="长期应收款!A1" display="长期应收款!A1" xr:uid="{00000000-0004-0000-0300-000011000000}"/>
    <hyperlink ref="C27" location="长期股权投资!A1" display="长期股权投资!A1" xr:uid="{00000000-0004-0000-0300-000012000000}"/>
    <hyperlink ref="C28" location="投资性房地产!A1" display="投资性房地产!A1" xr:uid="{00000000-0004-0000-0300-000013000000}"/>
    <hyperlink ref="C29" location="固定资产!A1" display="固定资产!A1" xr:uid="{00000000-0004-0000-0300-000014000000}"/>
    <hyperlink ref="C30" location="在建工程!A1" display="在建工程!A1" xr:uid="{00000000-0004-0000-0300-000015000000}"/>
    <hyperlink ref="C31" location="工程物资!A1" display="工程物资!A1" xr:uid="{00000000-0004-0000-0300-000016000000}"/>
    <hyperlink ref="C32" location="固定资产清理!A1" display="固定资产清理!A1" xr:uid="{00000000-0004-0000-0300-000017000000}"/>
    <hyperlink ref="C33" location="无形资产!A1" display="无形资产!A1" xr:uid="{00000000-0004-0000-0300-000018000000}"/>
    <hyperlink ref="C34" location="商誉!A1" display="商誉!A1" xr:uid="{00000000-0004-0000-0300-000019000000}"/>
    <hyperlink ref="C35" location="长期待摊费用!A1" display="长期待摊费用!A1" xr:uid="{00000000-0004-0000-0300-00001A000000}"/>
    <hyperlink ref="C36" location="递延所得税资产与递延所得税负债!A1" display="递延所得税资产与递延所得税负债!A1" xr:uid="{00000000-0004-0000-0300-00001B000000}"/>
    <hyperlink ref="C37" location="其他非流动资产!A1" display="其他非流动资产!A1" xr:uid="{00000000-0004-0000-0300-00001C000000}"/>
    <hyperlink ref="C38" location="所有权或使用权受限制的资产!A1" display="所有权或使用权受限制的资产!A1" xr:uid="{00000000-0004-0000-0300-00001D000000}"/>
    <hyperlink ref="C39" location="短期借款!A1" display="短期借款!A1" xr:uid="{00000000-0004-0000-0300-00001E000000}"/>
    <hyperlink ref="C40" location="交易性金融负债!A1" display="交易性金融负债!A1" xr:uid="{00000000-0004-0000-0300-00001F000000}"/>
    <hyperlink ref="C41" location="应付票据!A1" display="应付票据!A1" xr:uid="{00000000-0004-0000-0300-000020000000}"/>
    <hyperlink ref="C42" location="应付账款!A1" display="应付账款!A1" xr:uid="{00000000-0004-0000-0300-000021000000}"/>
    <hyperlink ref="C43" location="预收款项!A1" display="预收款项!A1" xr:uid="{00000000-0004-0000-0300-000022000000}"/>
    <hyperlink ref="C44" location="应付职工薪酬!A1" display="应付职工薪酬!A1" xr:uid="{00000000-0004-0000-0300-000023000000}"/>
    <hyperlink ref="C45" location="应交税费!A1" display="应交税费" xr:uid="{00000000-0004-0000-0300-000024000000}"/>
    <hyperlink ref="C46" location="应付利息!A1" display="应付利息!A1" xr:uid="{00000000-0004-0000-0300-000025000000}"/>
    <hyperlink ref="C47" location="应付股利!A1" display="应付股利!A1" xr:uid="{00000000-0004-0000-0300-000026000000}"/>
    <hyperlink ref="C48" location="其他应付款!A1" display="其他应付款!A1" xr:uid="{00000000-0004-0000-0300-000027000000}"/>
    <hyperlink ref="C49" location="一年内到期的非流动负债!A1" display="一年内到期的非流动负债!A1" xr:uid="{00000000-0004-0000-0300-000028000000}"/>
    <hyperlink ref="C50" location="其他流动负债!A1" display="其他流动负债!A1" xr:uid="{00000000-0004-0000-0300-000029000000}"/>
    <hyperlink ref="C51" location="长期借款!A1" display="长期借款!A1" xr:uid="{00000000-0004-0000-0300-00002A000000}"/>
    <hyperlink ref="C52" location="应付债券!A1" display="应付债券!A1" xr:uid="{00000000-0004-0000-0300-00002B000000}"/>
    <hyperlink ref="C53" location="长期应付款!A1" display="长期应付款!A1" xr:uid="{00000000-0004-0000-0300-00002C000000}"/>
    <hyperlink ref="C54" location="专项应付款!A1" display="专项应付款!A1" xr:uid="{00000000-0004-0000-0300-00002D000000}"/>
    <hyperlink ref="C55" location="预计负债!A1" display="预计负债!A1" xr:uid="{00000000-0004-0000-0300-00002E000000}"/>
    <hyperlink ref="C56" location="其他非流动负债!A1" display="其他非流动负债!A1" xr:uid="{00000000-0004-0000-0300-00002F000000}"/>
    <hyperlink ref="C57" location="实收资本!A1" display="实收资本!A1" xr:uid="{00000000-0004-0000-0300-000030000000}"/>
    <hyperlink ref="C58" location="资本公积!A1" display="资本公积!A1" xr:uid="{00000000-0004-0000-0300-000031000000}"/>
    <hyperlink ref="C59" location="专项储备!A1" display="专项储备!A1" xr:uid="{00000000-0004-0000-0300-000032000000}"/>
    <hyperlink ref="C60" location="盈余公积!A1" display="盈余公积!A1" xr:uid="{00000000-0004-0000-0300-000033000000}"/>
    <hyperlink ref="C61" location="未分配利润!A1" display="未分配利润!A1" xr:uid="{00000000-0004-0000-0300-000034000000}"/>
    <hyperlink ref="C63" location="主营业务税金及附加!A1" display="主营业务税金及附加!A1" xr:uid="{00000000-0004-0000-0300-000035000000}"/>
    <hyperlink ref="C66" location="财务费用!A1" display="财务费用!A1" xr:uid="{00000000-0004-0000-0300-000036000000}"/>
    <hyperlink ref="C62" location="营业收入营业成本!A1" display="营业收入营业成本!A1" xr:uid="{00000000-0004-0000-0300-000037000000}"/>
    <hyperlink ref="C67" location="资产减值损失!A1" display="资产减值损失!A1" xr:uid="{00000000-0004-0000-0300-000038000000}"/>
    <hyperlink ref="C68" location="公允价值变动收益!A1" display="公允价值变动收益!A1" xr:uid="{00000000-0004-0000-0300-000039000000}"/>
    <hyperlink ref="C69" location="投资收益!A1" display="投资收益!A1" xr:uid="{00000000-0004-0000-0300-00003A000000}"/>
    <hyperlink ref="C70" location="营业外收入!A1" display="营业外收入!A1" xr:uid="{00000000-0004-0000-0300-00003B000000}"/>
    <hyperlink ref="C71" location="营业外支出!A1" display="营业外支出!A1" xr:uid="{00000000-0004-0000-0300-00003C000000}"/>
    <hyperlink ref="C72" location="所得税费用!A1" display="所得税费用!A1" xr:uid="{00000000-0004-0000-0300-00003D000000}"/>
    <hyperlink ref="C73" location="其他综合收益!A1" display="其他综合收益!A1" xr:uid="{00000000-0004-0000-0300-00003E000000}"/>
    <hyperlink ref="C74" location="非货币性资产交换!A1" display="非货币性资产交换!A1" xr:uid="{00000000-0004-0000-0300-00003F000000}"/>
    <hyperlink ref="C75" location="债务重组!A1" display="债务重组!A1" xr:uid="{00000000-0004-0000-0300-000040000000}"/>
    <hyperlink ref="C76" location="借款费用!A1" display="借款费用!A1" xr:uid="{00000000-0004-0000-0300-000041000000}"/>
    <hyperlink ref="C78" location="租赁!A1" display="租赁!A1" xr:uid="{00000000-0004-0000-0300-000042000000}"/>
    <hyperlink ref="C79" location="终止经营!A1" display="终止经营!A1" xr:uid="{00000000-0004-0000-0300-000043000000}"/>
    <hyperlink ref="C80" location="分部报告!A1" display="分部报告!A1" xr:uid="{00000000-0004-0000-0300-000044000000}"/>
    <hyperlink ref="C82" location="现金流量表补充资料!A1" display="现金流量表补充资料!A1" xr:uid="{00000000-0004-0000-0300-000045000000}"/>
    <hyperlink ref="C84" location="关联方交易!A1" display="关联方交易!A1" xr:uid="{00000000-0004-0000-0300-000046000000}"/>
    <hyperlink ref="C85" location="关联方应收应付款项!A1" display="关联方应收应付款项!A1" xr:uid="{00000000-0004-0000-0300-000047000000}"/>
    <hyperlink ref="C87" location="财务专项说明!A1" display="财务专项说明!A1" xr:uid="{00000000-0004-0000-0300-000048000000}"/>
    <hyperlink ref="C91" location="资产分析!A1" display="资产分析" xr:uid="{00000000-0004-0000-0300-000049000000}"/>
    <hyperlink ref="C92" location="负债分析!A1" display="负债分析" xr:uid="{00000000-0004-0000-0300-00004A000000}"/>
    <hyperlink ref="C93" location="利润表分析!A1" display="利润表分析" xr:uid="{00000000-0004-0000-0300-00004B000000}"/>
    <hyperlink ref="C94" location="现金分析!A1" display="现金分析" xr:uid="{00000000-0004-0000-0300-00004C000000}"/>
    <hyperlink ref="C95" location="财务比率分析!A1" display="财务比率分析" xr:uid="{00000000-0004-0000-0300-00004D000000}"/>
    <hyperlink ref="C83" location="关联方关系!A1" display="关联方关系" xr:uid="{00000000-0004-0000-0300-00004E000000}"/>
    <hyperlink ref="C22" location="一年内到期的非流动资产!A1" display="一年内到期的非流动资产" xr:uid="{00000000-0004-0000-0300-00004F000000}"/>
    <hyperlink ref="C77" location="外币折算!A1" display="外币折算" xr:uid="{00000000-0004-0000-0300-000050000000}"/>
    <hyperlink ref="C81" location="现金流量表项目注释!C3" display="现金流量表项目注释" xr:uid="{00000000-0004-0000-0300-000051000000}"/>
    <hyperlink ref="C65" location="管理费用!C3" display="管理费用" xr:uid="{00000000-0004-0000-0300-000052000000}"/>
    <hyperlink ref="C64" location="销售费用!C3" display="销售费用" xr:uid="{00000000-0004-0000-0300-000053000000}"/>
    <hyperlink ref="K7" location="与2012年久其核对!A1" display="与2012年久其核对" xr:uid="{00000000-0004-0000-0300-000054000000}"/>
    <hyperlink ref="K8" location="与2013年久其核对!A1" display="与2013年久其核对" xr:uid="{00000000-0004-0000-0300-000055000000}"/>
    <hyperlink ref="C86" location="往来科目补充资料!A3" display="往来科目补充资料" xr:uid="{00000000-0004-0000-0300-000056000000}"/>
    <hyperlink ref="C88" location="现金流量表项目测试表!B3" display="现金流量表项目测试表" xr:uid="{00000000-0004-0000-0300-000057000000}"/>
    <hyperlink ref="A2" location="使用说明!A1" display="使用说明" xr:uid="{00000000-0004-0000-0300-000058000000}"/>
    <hyperlink ref="A3" location="附注填写封面!B3" display="返回目录" xr:uid="{00000000-0004-0000-0300-000059000000}"/>
    <hyperlink ref="K3" location="附注填写封面!B3" display="返回目录" xr:uid="{00000000-0004-0000-0300-00005A000000}"/>
    <hyperlink ref="N3" location="附注填写封面!B3" display="返回目录" xr:uid="{00000000-0004-0000-0300-00005B000000}"/>
    <hyperlink ref="G3" location="附注填写封面!B3" display="返回目录" xr:uid="{00000000-0004-0000-0300-00005C000000}"/>
    <hyperlink ref="E4" location="'2013年调整系统核对'!A1" display="2013年调整系统核对" xr:uid="{00000000-0004-0000-0300-00005D000000}"/>
    <hyperlink ref="H4" location="'2012年调整系统核对差异'!A1" display="2012年调整系统核对差异" xr:uid="{00000000-0004-0000-0300-00005E000000}"/>
    <hyperlink ref="D7" location="'2012年调整系统核对'!H51" display="审定资产负债表" xr:uid="{00000000-0004-0000-0300-00005F000000}"/>
    <hyperlink ref="D8" location="'2012年调整系统核对'!H175" display="审定利润表" xr:uid="{00000000-0004-0000-0300-000060000000}"/>
    <hyperlink ref="D9" location="'2012年调整系统核对'!H237" display="审定现金流量表" xr:uid="{00000000-0004-0000-0300-000061000000}"/>
    <hyperlink ref="D11" location="'2012年调整系统核对'!H257" display="审定资产减值准备情况表" xr:uid="{00000000-0004-0000-0300-000062000000}"/>
    <hyperlink ref="D13" location="'2012年调整系统核对'!M335" display="货币资金" xr:uid="{00000000-0004-0000-0300-000063000000}"/>
    <hyperlink ref="D87" location="'2012年调整系统核对'!H1293" display="财务专项说明" xr:uid="{00000000-0004-0000-0300-000064000000}"/>
    <hyperlink ref="D38" location="'2012年调整系统核对'!H747" display="所有权或使用权受限制的资产" xr:uid="{00000000-0004-0000-0300-000065000000}"/>
    <hyperlink ref="D36" location="'2012年调整系统核对'!H696" display="递延所得税资产与递延所得税负债" xr:uid="{00000000-0004-0000-0300-000066000000}"/>
    <hyperlink ref="D29" location="'2012年调整系统核对'!H592" display="固定资产" xr:uid="{00000000-0004-0000-0300-000067000000}"/>
    <hyperlink ref="D28" location="'2012年调整系统核对'!H526" display="投资性房地产" xr:uid="{00000000-0004-0000-0300-000068000000}"/>
  </hyperlinks>
  <pageMargins left="0.75" right="0.75" top="1" bottom="1" header="0.5" footer="0.5"/>
  <pageSetup paperSize="9" orientation="portrait" r:id="rId1"/>
  <headerFooter alignWithMargins="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4">
    <tabColor theme="0" tint="-0.249977111117893"/>
  </sheetPr>
  <dimension ref="A1:R1299"/>
  <sheetViews>
    <sheetView workbookViewId="0">
      <pane xSplit="4" ySplit="4" topLeftCell="E20" activePane="bottomRight" state="frozen"/>
      <selection activeCell="E16" sqref="E16"/>
      <selection pane="topRight" activeCell="E16" sqref="E16"/>
      <selection pane="bottomLeft" activeCell="E16" sqref="E16"/>
      <selection pane="bottomRight" activeCell="G11" sqref="G11"/>
    </sheetView>
  </sheetViews>
  <sheetFormatPr defaultColWidth="9" defaultRowHeight="12.75"/>
  <cols>
    <col min="1" max="1" width="9" style="171"/>
    <col min="2" max="2" width="5.375" style="179" customWidth="1"/>
    <col min="3" max="3" width="5.125" style="171" customWidth="1"/>
    <col min="4" max="4" width="29.625" style="171" customWidth="1"/>
    <col min="5" max="5" width="15.625" style="171" bestFit="1" customWidth="1"/>
    <col min="6" max="6" width="15.375" style="171" customWidth="1"/>
    <col min="7" max="7" width="14.125" style="171" customWidth="1"/>
    <col min="8" max="8" width="14.125" style="171" bestFit="1" customWidth="1"/>
    <col min="9" max="9" width="10.625" style="171" customWidth="1"/>
    <col min="10" max="10" width="15" style="171" customWidth="1"/>
    <col min="11" max="11" width="12.625" style="171" customWidth="1"/>
    <col min="12" max="12" width="15.125" style="171" bestFit="1" customWidth="1"/>
    <col min="13" max="13" width="10.125" style="171" bestFit="1" customWidth="1"/>
    <col min="14" max="14" width="10.625" style="171" customWidth="1"/>
    <col min="15" max="16384" width="9" style="171"/>
  </cols>
  <sheetData>
    <row r="1" spans="1:18">
      <c r="B1" s="172"/>
      <c r="D1" s="173" t="s">
        <v>523</v>
      </c>
      <c r="E1" s="174" t="s">
        <v>1412</v>
      </c>
      <c r="F1" s="175"/>
      <c r="G1" s="173" t="s">
        <v>523</v>
      </c>
      <c r="H1" s="176"/>
      <c r="K1" s="172" t="s">
        <v>525</v>
      </c>
      <c r="L1" s="172"/>
      <c r="N1" s="177" t="str">
        <f>HYPERLINK("#C1","置顶")</f>
        <v>置顶</v>
      </c>
      <c r="O1" s="178" t="s">
        <v>526</v>
      </c>
      <c r="P1" s="178" t="s">
        <v>527</v>
      </c>
      <c r="R1" s="172" t="s">
        <v>525</v>
      </c>
    </row>
    <row r="2" spans="1:18">
      <c r="D2" s="173"/>
      <c r="E2" s="175" t="s">
        <v>1413</v>
      </c>
      <c r="F2" s="175"/>
      <c r="G2" s="173"/>
      <c r="K2" s="176">
        <f>ABS(H2-I2)</f>
        <v>0</v>
      </c>
      <c r="L2" s="172"/>
      <c r="N2" s="177"/>
      <c r="O2" s="178">
        <v>0</v>
      </c>
      <c r="P2" s="178">
        <v>0</v>
      </c>
      <c r="R2" s="180">
        <f>ABS(V2-W2)</f>
        <v>0</v>
      </c>
    </row>
    <row r="3" spans="1:18" ht="13.5" thickBot="1">
      <c r="A3" s="173" t="s">
        <v>523</v>
      </c>
      <c r="B3" s="179" t="s">
        <v>528</v>
      </c>
      <c r="D3" s="171">
        <v>1</v>
      </c>
      <c r="E3" s="172">
        <v>2</v>
      </c>
      <c r="F3" s="172">
        <v>3</v>
      </c>
      <c r="G3" s="172">
        <v>4</v>
      </c>
      <c r="H3" s="172">
        <v>5</v>
      </c>
      <c r="I3" s="172">
        <v>6</v>
      </c>
      <c r="J3" s="172">
        <v>7</v>
      </c>
      <c r="K3" s="172"/>
      <c r="L3" s="172"/>
      <c r="M3" s="172">
        <v>9</v>
      </c>
      <c r="N3" s="172">
        <v>10</v>
      </c>
      <c r="O3" s="172">
        <v>11</v>
      </c>
      <c r="P3" s="172">
        <v>12</v>
      </c>
      <c r="Q3" s="172">
        <v>13</v>
      </c>
    </row>
    <row r="4" spans="1:18">
      <c r="A4" s="181"/>
      <c r="B4" s="179">
        <v>1</v>
      </c>
      <c r="C4" s="172"/>
      <c r="D4" s="182" t="s">
        <v>530</v>
      </c>
      <c r="E4" s="178" t="s">
        <v>526</v>
      </c>
      <c r="F4" s="252" t="s">
        <v>1405</v>
      </c>
      <c r="H4" s="172" t="s">
        <v>531</v>
      </c>
    </row>
    <row r="5" spans="1:18">
      <c r="B5" s="179">
        <v>2</v>
      </c>
      <c r="C5" s="172"/>
      <c r="D5" s="183" t="s">
        <v>532</v>
      </c>
      <c r="E5" s="184"/>
      <c r="F5" s="184"/>
      <c r="H5" s="176">
        <f>ABS(E5-F5)</f>
        <v>0</v>
      </c>
    </row>
    <row r="6" spans="1:18">
      <c r="B6" s="179">
        <v>3</v>
      </c>
      <c r="C6" s="172"/>
      <c r="D6" s="185" t="s">
        <v>533</v>
      </c>
      <c r="E6" s="184">
        <f>审定资产负债表!D6</f>
        <v>6270239.29</v>
      </c>
      <c r="F6" s="184">
        <v>11493447.550000001</v>
      </c>
      <c r="H6" s="176">
        <f t="shared" ref="H6:H51" si="0">ABS(E6-F6)</f>
        <v>5223208.2600000007</v>
      </c>
    </row>
    <row r="7" spans="1:18">
      <c r="B7" s="179">
        <v>4</v>
      </c>
      <c r="C7" s="172"/>
      <c r="D7" s="185" t="s">
        <v>534</v>
      </c>
      <c r="E7" s="184">
        <f>审定资产负债表!D7</f>
        <v>0</v>
      </c>
      <c r="F7" s="184">
        <v>0</v>
      </c>
      <c r="H7" s="176">
        <f t="shared" si="0"/>
        <v>0</v>
      </c>
    </row>
    <row r="8" spans="1:18">
      <c r="B8" s="179">
        <v>5</v>
      </c>
      <c r="C8" s="172"/>
      <c r="D8" s="185" t="s">
        <v>535</v>
      </c>
      <c r="E8" s="184">
        <f>审定资产负债表!D8</f>
        <v>0</v>
      </c>
      <c r="F8" s="184">
        <v>0</v>
      </c>
      <c r="H8" s="176">
        <f t="shared" si="0"/>
        <v>0</v>
      </c>
    </row>
    <row r="9" spans="1:18">
      <c r="C9" s="172"/>
      <c r="D9" s="185" t="s">
        <v>1418</v>
      </c>
      <c r="E9" s="184">
        <f>审定资产负债表!D9</f>
        <v>0</v>
      </c>
      <c r="F9" s="184">
        <v>0</v>
      </c>
      <c r="H9" s="176"/>
    </row>
    <row r="10" spans="1:18">
      <c r="B10" s="179">
        <v>6</v>
      </c>
      <c r="C10" s="172"/>
      <c r="D10" s="185" t="s">
        <v>1419</v>
      </c>
      <c r="E10" s="184">
        <f>审定资产负债表!D10</f>
        <v>0</v>
      </c>
      <c r="F10" s="184"/>
      <c r="H10" s="176">
        <f>ABS(E10-F9)</f>
        <v>0</v>
      </c>
    </row>
    <row r="11" spans="1:18">
      <c r="B11" s="179">
        <v>7</v>
      </c>
      <c r="C11" s="172"/>
      <c r="D11" s="185" t="s">
        <v>536</v>
      </c>
      <c r="E11" s="184">
        <f>审定资产负债表!D11</f>
        <v>0</v>
      </c>
      <c r="F11" s="184">
        <v>4339184.84</v>
      </c>
      <c r="H11" s="176">
        <f t="shared" si="0"/>
        <v>4339184.84</v>
      </c>
    </row>
    <row r="12" spans="1:18" ht="13.5">
      <c r="A12" s="186" t="str">
        <f>HYPERLINK("#C1","置顶")</f>
        <v>置顶</v>
      </c>
      <c r="B12" s="179">
        <v>8</v>
      </c>
      <c r="C12" s="172"/>
      <c r="D12" s="185" t="s">
        <v>537</v>
      </c>
      <c r="E12" s="184">
        <f>审定资产负债表!D12</f>
        <v>0</v>
      </c>
      <c r="F12" s="184">
        <v>232812844.66</v>
      </c>
      <c r="H12" s="176">
        <f t="shared" si="0"/>
        <v>232812844.66</v>
      </c>
    </row>
    <row r="13" spans="1:18" ht="13.5">
      <c r="A13" s="187"/>
      <c r="B13" s="179">
        <v>9</v>
      </c>
      <c r="C13" s="172"/>
      <c r="D13" s="185" t="s">
        <v>538</v>
      </c>
      <c r="E13" s="184">
        <f>审定资产负债表!D13</f>
        <v>0</v>
      </c>
      <c r="F13" s="184">
        <v>19961631.390000001</v>
      </c>
      <c r="H13" s="176">
        <f t="shared" si="0"/>
        <v>19961631.390000001</v>
      </c>
    </row>
    <row r="14" spans="1:18" ht="13.5">
      <c r="A14" s="187"/>
      <c r="B14" s="179">
        <v>10</v>
      </c>
      <c r="C14" s="172"/>
      <c r="D14" s="185" t="s">
        <v>539</v>
      </c>
      <c r="E14" s="184">
        <f>审定资产负债表!D14</f>
        <v>0</v>
      </c>
      <c r="F14" s="184">
        <v>0</v>
      </c>
      <c r="H14" s="176">
        <f t="shared" si="0"/>
        <v>0</v>
      </c>
    </row>
    <row r="15" spans="1:18">
      <c r="B15" s="179">
        <v>11</v>
      </c>
      <c r="C15" s="172"/>
      <c r="D15" s="185" t="s">
        <v>540</v>
      </c>
      <c r="E15" s="184">
        <f>审定资产负债表!D15</f>
        <v>0</v>
      </c>
      <c r="F15" s="184">
        <v>0</v>
      </c>
      <c r="H15" s="176">
        <f t="shared" si="0"/>
        <v>0</v>
      </c>
    </row>
    <row r="16" spans="1:18">
      <c r="B16" s="179">
        <v>12</v>
      </c>
      <c r="C16" s="172"/>
      <c r="D16" s="185" t="s">
        <v>1432</v>
      </c>
      <c r="E16" s="184">
        <f>审定资产负债表!D16</f>
        <v>0</v>
      </c>
      <c r="F16" s="184">
        <v>0</v>
      </c>
      <c r="H16" s="176">
        <f t="shared" si="0"/>
        <v>0</v>
      </c>
    </row>
    <row r="17" spans="1:8">
      <c r="B17" s="179">
        <v>13</v>
      </c>
      <c r="C17" s="172"/>
      <c r="D17" s="185" t="s">
        <v>541</v>
      </c>
      <c r="E17" s="184">
        <f>审定资产负债表!D17</f>
        <v>0</v>
      </c>
      <c r="F17" s="184">
        <v>0</v>
      </c>
      <c r="H17" s="176">
        <f t="shared" si="0"/>
        <v>0</v>
      </c>
    </row>
    <row r="18" spans="1:8">
      <c r="B18" s="179">
        <v>14</v>
      </c>
      <c r="C18" s="172"/>
      <c r="D18" s="185" t="s">
        <v>542</v>
      </c>
      <c r="E18" s="184">
        <f>审定资产负债表!D18</f>
        <v>0</v>
      </c>
      <c r="F18" s="184">
        <v>0</v>
      </c>
      <c r="H18" s="176">
        <f t="shared" si="0"/>
        <v>0</v>
      </c>
    </row>
    <row r="19" spans="1:8">
      <c r="A19" s="173" t="s">
        <v>523</v>
      </c>
      <c r="B19" s="179">
        <v>15</v>
      </c>
      <c r="C19" s="172"/>
      <c r="D19" s="185" t="s">
        <v>543</v>
      </c>
      <c r="E19" s="184">
        <f>审定资产负债表!D19</f>
        <v>832948.5</v>
      </c>
      <c r="F19" s="184">
        <v>685784.3</v>
      </c>
      <c r="H19" s="176">
        <f t="shared" si="0"/>
        <v>147164.19999999995</v>
      </c>
    </row>
    <row r="20" spans="1:8">
      <c r="A20" s="181"/>
      <c r="B20" s="179">
        <v>16</v>
      </c>
      <c r="C20" s="172"/>
      <c r="D20" s="185" t="s">
        <v>544</v>
      </c>
      <c r="E20" s="184">
        <f>审定资产负债表!D20</f>
        <v>0</v>
      </c>
      <c r="F20" s="184">
        <v>0</v>
      </c>
      <c r="H20" s="176">
        <f t="shared" si="0"/>
        <v>0</v>
      </c>
    </row>
    <row r="21" spans="1:8">
      <c r="B21" s="179">
        <v>17</v>
      </c>
      <c r="C21" s="172"/>
      <c r="D21" s="185" t="s">
        <v>545</v>
      </c>
      <c r="E21" s="184">
        <f>审定资产负债表!D21</f>
        <v>0</v>
      </c>
      <c r="F21" s="184">
        <v>92624804.219999999</v>
      </c>
      <c r="H21" s="176">
        <f t="shared" si="0"/>
        <v>92624804.219999999</v>
      </c>
    </row>
    <row r="22" spans="1:8">
      <c r="B22" s="179">
        <v>18</v>
      </c>
      <c r="C22" s="172"/>
      <c r="D22" s="185" t="s">
        <v>546</v>
      </c>
      <c r="E22" s="184">
        <f>审定资产负债表!D22</f>
        <v>0</v>
      </c>
      <c r="F22" s="184">
        <v>35966922.450000003</v>
      </c>
      <c r="H22" s="176">
        <f t="shared" si="0"/>
        <v>35966922.450000003</v>
      </c>
    </row>
    <row r="23" spans="1:8">
      <c r="B23" s="179">
        <v>19</v>
      </c>
      <c r="C23" s="172"/>
      <c r="D23" s="185" t="s">
        <v>547</v>
      </c>
      <c r="E23" s="184">
        <f>审定资产负债表!D23</f>
        <v>0</v>
      </c>
      <c r="F23" s="184">
        <v>28684824.190000001</v>
      </c>
      <c r="H23" s="176">
        <f t="shared" si="0"/>
        <v>28684824.190000001</v>
      </c>
    </row>
    <row r="24" spans="1:8">
      <c r="B24" s="179">
        <v>20</v>
      </c>
      <c r="C24" s="172"/>
      <c r="D24" s="185" t="s">
        <v>548</v>
      </c>
      <c r="E24" s="184">
        <f>审定资产负债表!D25</f>
        <v>0</v>
      </c>
      <c r="F24" s="184">
        <v>0</v>
      </c>
      <c r="H24" s="176">
        <f t="shared" si="0"/>
        <v>0</v>
      </c>
    </row>
    <row r="25" spans="1:8">
      <c r="B25" s="179">
        <v>21</v>
      </c>
      <c r="C25" s="172"/>
      <c r="D25" s="185" t="s">
        <v>549</v>
      </c>
      <c r="E25" s="184">
        <f>审定资产负债表!D26</f>
        <v>86363.63</v>
      </c>
      <c r="F25" s="184">
        <v>6264739.25</v>
      </c>
      <c r="H25" s="176">
        <f t="shared" si="0"/>
        <v>6178375.6200000001</v>
      </c>
    </row>
    <row r="26" spans="1:8">
      <c r="B26" s="179">
        <v>22</v>
      </c>
      <c r="C26" s="172"/>
      <c r="D26" s="183" t="s">
        <v>550</v>
      </c>
      <c r="E26" s="184">
        <f>审定资产负债表!D27</f>
        <v>7189551.4199999999</v>
      </c>
      <c r="F26" s="184">
        <v>368182436.20999998</v>
      </c>
      <c r="H26" s="176">
        <f t="shared" si="0"/>
        <v>360992884.78999996</v>
      </c>
    </row>
    <row r="27" spans="1:8" ht="13.5">
      <c r="A27" s="186" t="str">
        <f>HYPERLINK("#C1","置顶")</f>
        <v>置顶</v>
      </c>
      <c r="B27" s="179">
        <v>23</v>
      </c>
      <c r="C27" s="172"/>
      <c r="D27" s="183" t="s">
        <v>551</v>
      </c>
      <c r="E27" s="184">
        <f>审定资产负债表!D28</f>
        <v>0</v>
      </c>
      <c r="F27" s="184">
        <v>0</v>
      </c>
      <c r="H27" s="176">
        <f t="shared" si="0"/>
        <v>0</v>
      </c>
    </row>
    <row r="28" spans="1:8" ht="13.5">
      <c r="A28" s="187"/>
      <c r="B28" s="179">
        <v>24</v>
      </c>
      <c r="C28" s="172"/>
      <c r="D28" s="185" t="s">
        <v>552</v>
      </c>
      <c r="E28" s="184">
        <f>审定资产负债表!D29</f>
        <v>0</v>
      </c>
      <c r="F28" s="184">
        <v>0</v>
      </c>
      <c r="H28" s="176">
        <f t="shared" si="0"/>
        <v>0</v>
      </c>
    </row>
    <row r="29" spans="1:8">
      <c r="B29" s="179">
        <v>25</v>
      </c>
      <c r="C29" s="172"/>
      <c r="D29" s="185" t="s">
        <v>553</v>
      </c>
      <c r="E29" s="184">
        <f>审定资产负债表!D30</f>
        <v>675294</v>
      </c>
      <c r="F29" s="184">
        <v>0</v>
      </c>
      <c r="H29" s="176">
        <f t="shared" si="0"/>
        <v>675294</v>
      </c>
    </row>
    <row r="30" spans="1:8">
      <c r="B30" s="179">
        <v>26</v>
      </c>
      <c r="C30" s="172"/>
      <c r="D30" s="185" t="s">
        <v>554</v>
      </c>
      <c r="E30" s="184">
        <f>审定资产负债表!D31</f>
        <v>0</v>
      </c>
      <c r="F30" s="184">
        <v>0</v>
      </c>
      <c r="H30" s="176">
        <f t="shared" si="0"/>
        <v>0</v>
      </c>
    </row>
    <row r="31" spans="1:8">
      <c r="B31" s="179">
        <v>27</v>
      </c>
      <c r="C31" s="172"/>
      <c r="D31" s="185" t="s">
        <v>555</v>
      </c>
      <c r="E31" s="184">
        <f>审定资产负债表!D32</f>
        <v>0</v>
      </c>
      <c r="F31" s="184">
        <v>0</v>
      </c>
      <c r="H31" s="176">
        <f t="shared" si="0"/>
        <v>0</v>
      </c>
    </row>
    <row r="32" spans="1:8">
      <c r="B32" s="179">
        <v>28</v>
      </c>
      <c r="C32" s="172"/>
      <c r="D32" s="185" t="s">
        <v>556</v>
      </c>
      <c r="E32" s="184">
        <f>审定资产负债表!D33</f>
        <v>0</v>
      </c>
      <c r="F32" s="184">
        <v>498333645.69</v>
      </c>
      <c r="H32" s="176">
        <f t="shared" si="0"/>
        <v>498333645.69</v>
      </c>
    </row>
    <row r="33" spans="1:8">
      <c r="A33" s="173" t="s">
        <v>523</v>
      </c>
      <c r="B33" s="179">
        <v>29</v>
      </c>
      <c r="C33" s="172"/>
      <c r="D33" s="185" t="s">
        <v>557</v>
      </c>
      <c r="E33" s="184">
        <f>审定资产负债表!D34</f>
        <v>0</v>
      </c>
      <c r="F33" s="184">
        <v>28053939.530000001</v>
      </c>
      <c r="H33" s="176">
        <f t="shared" si="0"/>
        <v>28053939.530000001</v>
      </c>
    </row>
    <row r="34" spans="1:8">
      <c r="A34" s="181"/>
      <c r="B34" s="179">
        <v>30</v>
      </c>
      <c r="C34" s="172"/>
      <c r="D34" s="185" t="s">
        <v>558</v>
      </c>
      <c r="E34" s="184">
        <f>审定资产负债表!D35</f>
        <v>429334.24</v>
      </c>
      <c r="F34" s="184">
        <v>267030521.84999999</v>
      </c>
      <c r="H34" s="176">
        <f t="shared" si="0"/>
        <v>266601187.60999998</v>
      </c>
    </row>
    <row r="35" spans="1:8">
      <c r="B35" s="179">
        <v>31</v>
      </c>
      <c r="C35" s="172"/>
      <c r="D35" s="185" t="s">
        <v>559</v>
      </c>
      <c r="E35" s="184">
        <f>审定资产负债表!D36</f>
        <v>277800.52</v>
      </c>
      <c r="F35" s="184">
        <v>63097702.520000003</v>
      </c>
      <c r="H35" s="176">
        <f t="shared" si="0"/>
        <v>62819902</v>
      </c>
    </row>
    <row r="36" spans="1:8">
      <c r="B36" s="179">
        <v>32</v>
      </c>
      <c r="C36" s="172"/>
      <c r="D36" s="185" t="s">
        <v>560</v>
      </c>
      <c r="E36" s="184">
        <f>审定资产负债表!D37</f>
        <v>151533.72</v>
      </c>
      <c r="F36" s="184">
        <v>203932819.33000001</v>
      </c>
      <c r="H36" s="176">
        <f t="shared" si="0"/>
        <v>203781285.61000001</v>
      </c>
    </row>
    <row r="37" spans="1:8">
      <c r="B37" s="179">
        <v>33</v>
      </c>
      <c r="C37" s="172"/>
      <c r="D37" s="185" t="s">
        <v>561</v>
      </c>
      <c r="E37" s="184">
        <f>审定资产负债表!D38</f>
        <v>0</v>
      </c>
      <c r="F37" s="184">
        <v>345126.43</v>
      </c>
      <c r="H37" s="176">
        <f t="shared" si="0"/>
        <v>345126.43</v>
      </c>
    </row>
    <row r="38" spans="1:8">
      <c r="B38" s="179">
        <v>34</v>
      </c>
      <c r="C38" s="172"/>
      <c r="D38" s="185" t="s">
        <v>562</v>
      </c>
      <c r="E38" s="184">
        <f>审定资产负债表!D39</f>
        <v>151533.72</v>
      </c>
      <c r="F38" s="184">
        <v>203587692.90000001</v>
      </c>
      <c r="H38" s="176">
        <f t="shared" si="0"/>
        <v>203436159.18000001</v>
      </c>
    </row>
    <row r="39" spans="1:8">
      <c r="B39" s="179">
        <v>35</v>
      </c>
      <c r="C39" s="172"/>
      <c r="D39" s="185" t="s">
        <v>563</v>
      </c>
      <c r="E39" s="184">
        <f>审定资产负债表!D40</f>
        <v>0</v>
      </c>
      <c r="F39" s="184">
        <v>4444444.4400000004</v>
      </c>
      <c r="H39" s="176">
        <f t="shared" si="0"/>
        <v>4444444.4400000004</v>
      </c>
    </row>
    <row r="40" spans="1:8">
      <c r="B40" s="179">
        <v>36</v>
      </c>
      <c r="C40" s="172"/>
      <c r="D40" s="185" t="s">
        <v>564</v>
      </c>
      <c r="E40" s="184">
        <f>审定资产负债表!D41</f>
        <v>0</v>
      </c>
      <c r="F40" s="184">
        <v>0</v>
      </c>
      <c r="H40" s="176">
        <f t="shared" si="0"/>
        <v>0</v>
      </c>
    </row>
    <row r="41" spans="1:8" ht="13.5">
      <c r="A41" s="186" t="str">
        <f>HYPERLINK("#C1","置顶")</f>
        <v>置顶</v>
      </c>
      <c r="B41" s="179">
        <v>37</v>
      </c>
      <c r="C41" s="172"/>
      <c r="D41" s="185" t="s">
        <v>565</v>
      </c>
      <c r="E41" s="184">
        <f>审定资产负债表!D42</f>
        <v>0</v>
      </c>
      <c r="F41" s="184">
        <v>0</v>
      </c>
      <c r="H41" s="176">
        <f t="shared" si="0"/>
        <v>0</v>
      </c>
    </row>
    <row r="42" spans="1:8" ht="13.5">
      <c r="A42" s="187"/>
      <c r="B42" s="179">
        <v>38</v>
      </c>
      <c r="C42" s="172"/>
      <c r="D42" s="185" t="s">
        <v>566</v>
      </c>
      <c r="E42" s="184">
        <f>审定资产负债表!D43</f>
        <v>0</v>
      </c>
      <c r="F42" s="184">
        <v>0</v>
      </c>
      <c r="H42" s="176">
        <f t="shared" si="0"/>
        <v>0</v>
      </c>
    </row>
    <row r="43" spans="1:8" ht="13.5">
      <c r="A43" s="187"/>
      <c r="B43" s="179">
        <v>39</v>
      </c>
      <c r="C43" s="172"/>
      <c r="D43" s="185" t="s">
        <v>567</v>
      </c>
      <c r="E43" s="184">
        <f>审定资产负债表!D44</f>
        <v>0</v>
      </c>
      <c r="F43" s="184">
        <v>0</v>
      </c>
      <c r="H43" s="176">
        <f t="shared" si="0"/>
        <v>0</v>
      </c>
    </row>
    <row r="44" spans="1:8">
      <c r="B44" s="179">
        <v>40</v>
      </c>
      <c r="C44" s="172"/>
      <c r="D44" s="185" t="s">
        <v>568</v>
      </c>
      <c r="E44" s="184">
        <f>审定资产负债表!D45</f>
        <v>0</v>
      </c>
      <c r="F44" s="184">
        <v>9251933.8300000001</v>
      </c>
      <c r="H44" s="176">
        <f t="shared" si="0"/>
        <v>9251933.8300000001</v>
      </c>
    </row>
    <row r="45" spans="1:8">
      <c r="B45" s="179">
        <v>41</v>
      </c>
      <c r="C45" s="172"/>
      <c r="D45" s="185" t="s">
        <v>569</v>
      </c>
      <c r="E45" s="184">
        <f>审定资产负债表!D46</f>
        <v>0</v>
      </c>
      <c r="F45" s="184">
        <v>0</v>
      </c>
      <c r="H45" s="176">
        <f t="shared" si="0"/>
        <v>0</v>
      </c>
    </row>
    <row r="46" spans="1:8">
      <c r="B46" s="179">
        <v>42</v>
      </c>
      <c r="C46" s="172"/>
      <c r="D46" s="185" t="s">
        <v>570</v>
      </c>
      <c r="E46" s="184">
        <f>审定资产负债表!D47</f>
        <v>0</v>
      </c>
      <c r="F46" s="184">
        <v>0</v>
      </c>
      <c r="H46" s="176">
        <f t="shared" si="0"/>
        <v>0</v>
      </c>
    </row>
    <row r="47" spans="1:8">
      <c r="B47" s="179">
        <v>43</v>
      </c>
      <c r="C47" s="172"/>
      <c r="D47" s="185" t="s">
        <v>571</v>
      </c>
      <c r="E47" s="184">
        <f>审定资产负债表!D48</f>
        <v>4497</v>
      </c>
      <c r="F47" s="184">
        <v>580480.06999999995</v>
      </c>
      <c r="H47" s="176">
        <f t="shared" si="0"/>
        <v>575983.06999999995</v>
      </c>
    </row>
    <row r="48" spans="1:8">
      <c r="A48" s="173" t="s">
        <v>523</v>
      </c>
      <c r="B48" s="179">
        <v>44</v>
      </c>
      <c r="C48" s="172"/>
      <c r="D48" s="185" t="s">
        <v>572</v>
      </c>
      <c r="E48" s="184">
        <f>审定资产负债表!D49</f>
        <v>10959.86</v>
      </c>
      <c r="F48" s="184">
        <v>3900079.38</v>
      </c>
      <c r="H48" s="176">
        <f t="shared" si="0"/>
        <v>3889119.52</v>
      </c>
    </row>
    <row r="49" spans="1:8">
      <c r="B49" s="179">
        <v>45</v>
      </c>
      <c r="C49" s="172"/>
      <c r="D49" s="185" t="s">
        <v>573</v>
      </c>
      <c r="E49" s="184">
        <f>审定资产负债表!D50</f>
        <v>0</v>
      </c>
      <c r="F49" s="184">
        <v>0</v>
      </c>
      <c r="H49" s="176">
        <f t="shared" si="0"/>
        <v>0</v>
      </c>
    </row>
    <row r="50" spans="1:8">
      <c r="B50" s="179">
        <v>46</v>
      </c>
      <c r="C50" s="172"/>
      <c r="D50" s="185" t="s">
        <v>574</v>
      </c>
      <c r="E50" s="184">
        <f>审定资产负债表!D51</f>
        <v>0</v>
      </c>
      <c r="F50" s="184">
        <v>0</v>
      </c>
      <c r="H50" s="176">
        <f t="shared" si="0"/>
        <v>0</v>
      </c>
    </row>
    <row r="51" spans="1:8">
      <c r="B51" s="179">
        <v>47</v>
      </c>
      <c r="C51" s="172"/>
      <c r="D51" s="183" t="s">
        <v>575</v>
      </c>
      <c r="E51" s="184">
        <f>审定资产负债表!D52</f>
        <v>842284.58</v>
      </c>
      <c r="F51" s="184">
        <v>748152215.84000003</v>
      </c>
      <c r="H51" s="176">
        <f t="shared" si="0"/>
        <v>747309931.25999999</v>
      </c>
    </row>
    <row r="52" spans="1:8" ht="13.5" thickBot="1">
      <c r="B52" s="179">
        <v>48</v>
      </c>
      <c r="C52" s="172"/>
      <c r="D52" s="188" t="s">
        <v>576</v>
      </c>
      <c r="E52" s="184">
        <f>审定资产负债表!D53</f>
        <v>8031836</v>
      </c>
      <c r="F52" s="184">
        <v>1116334652.05</v>
      </c>
      <c r="H52" s="176">
        <f>ABS(E52-F52)</f>
        <v>1108302816.05</v>
      </c>
    </row>
    <row r="53" spans="1:8">
      <c r="B53" s="179">
        <v>49</v>
      </c>
      <c r="C53" s="172"/>
      <c r="H53" s="189">
        <f>SUM(H5:H52)</f>
        <v>3924752612.8400002</v>
      </c>
    </row>
    <row r="54" spans="1:8" ht="13.5" thickBot="1">
      <c r="B54" s="179">
        <v>50</v>
      </c>
      <c r="C54" s="172"/>
    </row>
    <row r="55" spans="1:8">
      <c r="B55" s="179">
        <v>51</v>
      </c>
      <c r="C55" s="172"/>
      <c r="D55" s="182" t="s">
        <v>577</v>
      </c>
      <c r="E55" s="178" t="s">
        <v>526</v>
      </c>
      <c r="F55" s="178" t="s">
        <v>527</v>
      </c>
    </row>
    <row r="56" spans="1:8">
      <c r="B56" s="179">
        <v>52</v>
      </c>
      <c r="C56" s="172"/>
      <c r="D56" s="183" t="s">
        <v>578</v>
      </c>
      <c r="E56" s="184">
        <f>审定资产负债表!D59</f>
        <v>0</v>
      </c>
      <c r="F56" s="184">
        <v>0</v>
      </c>
      <c r="H56" s="176">
        <f t="shared" ref="H56:H122" si="1">ABS(E56-F56)</f>
        <v>0</v>
      </c>
    </row>
    <row r="57" spans="1:8">
      <c r="B57" s="179">
        <v>53</v>
      </c>
      <c r="C57" s="172"/>
      <c r="D57" s="185" t="s">
        <v>579</v>
      </c>
      <c r="E57" s="184">
        <f>审定资产负债表!D60</f>
        <v>0</v>
      </c>
      <c r="F57" s="184">
        <v>180000000</v>
      </c>
      <c r="H57" s="176">
        <f t="shared" si="1"/>
        <v>180000000</v>
      </c>
    </row>
    <row r="58" spans="1:8">
      <c r="A58" s="173" t="s">
        <v>523</v>
      </c>
      <c r="B58" s="179">
        <v>54</v>
      </c>
      <c r="C58" s="172"/>
      <c r="D58" s="185" t="s">
        <v>580</v>
      </c>
      <c r="E58" s="184">
        <f>审定资产负债表!D61</f>
        <v>0</v>
      </c>
      <c r="F58" s="184">
        <v>0</v>
      </c>
      <c r="H58" s="176">
        <f t="shared" si="1"/>
        <v>0</v>
      </c>
    </row>
    <row r="59" spans="1:8">
      <c r="A59" s="181"/>
      <c r="B59" s="179">
        <v>55</v>
      </c>
      <c r="C59" s="172"/>
      <c r="D59" s="185" t="s">
        <v>581</v>
      </c>
      <c r="E59" s="184">
        <f>审定资产负债表!D62</f>
        <v>0</v>
      </c>
      <c r="F59" s="184">
        <v>0</v>
      </c>
      <c r="H59" s="176">
        <f t="shared" si="1"/>
        <v>0</v>
      </c>
    </row>
    <row r="60" spans="1:8">
      <c r="B60" s="179">
        <v>56</v>
      </c>
      <c r="C60" s="172"/>
      <c r="D60" s="185" t="s">
        <v>582</v>
      </c>
      <c r="E60" s="184">
        <f>审定资产负债表!D63</f>
        <v>0</v>
      </c>
      <c r="F60" s="184">
        <v>0</v>
      </c>
      <c r="H60" s="176">
        <f t="shared" si="1"/>
        <v>0</v>
      </c>
    </row>
    <row r="61" spans="1:8">
      <c r="B61" s="179">
        <v>57</v>
      </c>
      <c r="C61" s="172"/>
      <c r="D61" s="185" t="s">
        <v>1420</v>
      </c>
      <c r="E61" s="184">
        <f>审定资产负债表!D64</f>
        <v>0</v>
      </c>
      <c r="F61" s="184">
        <v>0</v>
      </c>
      <c r="H61" s="176">
        <f t="shared" si="1"/>
        <v>0</v>
      </c>
    </row>
    <row r="62" spans="1:8">
      <c r="C62" s="172"/>
      <c r="D62" s="185" t="s">
        <v>1421</v>
      </c>
      <c r="E62" s="184">
        <f>审定资产负债表!D65</f>
        <v>0</v>
      </c>
      <c r="F62" s="184"/>
      <c r="H62" s="176"/>
    </row>
    <row r="63" spans="1:8">
      <c r="B63" s="179">
        <v>58</v>
      </c>
      <c r="C63" s="172"/>
      <c r="D63" s="185" t="s">
        <v>583</v>
      </c>
      <c r="E63" s="184">
        <f>审定资产负债表!D66</f>
        <v>0</v>
      </c>
      <c r="F63" s="184">
        <v>0</v>
      </c>
      <c r="H63" s="176">
        <f t="shared" si="1"/>
        <v>0</v>
      </c>
    </row>
    <row r="64" spans="1:8">
      <c r="B64" s="179">
        <v>59</v>
      </c>
      <c r="C64" s="172"/>
      <c r="D64" s="185" t="s">
        <v>584</v>
      </c>
      <c r="E64" s="184">
        <f>审定资产负债表!D67</f>
        <v>0</v>
      </c>
      <c r="F64" s="184">
        <v>244678447.53</v>
      </c>
      <c r="H64" s="176">
        <f t="shared" si="1"/>
        <v>244678447.53</v>
      </c>
    </row>
    <row r="65" spans="1:8">
      <c r="B65" s="179">
        <v>60</v>
      </c>
      <c r="C65" s="172"/>
      <c r="D65" s="185" t="s">
        <v>585</v>
      </c>
      <c r="E65" s="184">
        <f>审定资产负债表!D68</f>
        <v>0</v>
      </c>
      <c r="F65" s="184">
        <v>18912161.620000001</v>
      </c>
      <c r="H65" s="176">
        <f t="shared" si="1"/>
        <v>18912161.620000001</v>
      </c>
    </row>
    <row r="66" spans="1:8">
      <c r="B66" s="179">
        <v>61</v>
      </c>
      <c r="C66" s="172"/>
      <c r="D66" s="185" t="s">
        <v>586</v>
      </c>
      <c r="E66" s="184">
        <f>审定资产负债表!D69</f>
        <v>0</v>
      </c>
      <c r="F66" s="184">
        <v>0</v>
      </c>
      <c r="H66" s="176">
        <f t="shared" si="1"/>
        <v>0</v>
      </c>
    </row>
    <row r="67" spans="1:8" ht="13.5">
      <c r="A67" s="186" t="str">
        <f>HYPERLINK("#C1","置顶")</f>
        <v>置顶</v>
      </c>
      <c r="B67" s="179">
        <v>62</v>
      </c>
      <c r="C67" s="172"/>
      <c r="D67" s="185" t="s">
        <v>587</v>
      </c>
      <c r="E67" s="184">
        <f>审定资产负债表!D70</f>
        <v>0</v>
      </c>
      <c r="F67" s="184">
        <v>0</v>
      </c>
      <c r="H67" s="176">
        <f t="shared" si="1"/>
        <v>0</v>
      </c>
    </row>
    <row r="68" spans="1:8" ht="13.5">
      <c r="A68" s="187"/>
      <c r="B68" s="179">
        <v>63</v>
      </c>
      <c r="C68" s="172"/>
      <c r="D68" s="185" t="s">
        <v>588</v>
      </c>
      <c r="E68" s="184">
        <f>审定资产负债表!D71</f>
        <v>48853.89</v>
      </c>
      <c r="F68" s="184">
        <v>2914966.16</v>
      </c>
      <c r="H68" s="176">
        <f t="shared" si="1"/>
        <v>2866112.27</v>
      </c>
    </row>
    <row r="69" spans="1:8" ht="13.5">
      <c r="A69" s="187"/>
      <c r="B69" s="179">
        <v>64</v>
      </c>
      <c r="C69" s="172"/>
      <c r="D69" s="185" t="s">
        <v>589</v>
      </c>
      <c r="E69" s="184">
        <f>审定资产负债表!D72</f>
        <v>0</v>
      </c>
      <c r="F69" s="184">
        <v>0</v>
      </c>
      <c r="H69" s="176">
        <f t="shared" si="1"/>
        <v>0</v>
      </c>
    </row>
    <row r="70" spans="1:8">
      <c r="B70" s="179">
        <v>65</v>
      </c>
      <c r="C70" s="172"/>
      <c r="D70" s="185" t="s">
        <v>590</v>
      </c>
      <c r="E70" s="184">
        <f>审定资产负债表!D73</f>
        <v>0</v>
      </c>
      <c r="F70" s="184">
        <v>0</v>
      </c>
      <c r="H70" s="176">
        <f t="shared" si="1"/>
        <v>0</v>
      </c>
    </row>
    <row r="71" spans="1:8">
      <c r="B71" s="179">
        <v>66</v>
      </c>
      <c r="C71" s="172"/>
      <c r="D71" s="185" t="s">
        <v>591</v>
      </c>
      <c r="E71" s="184">
        <f>审定资产负债表!D74</f>
        <v>0</v>
      </c>
      <c r="F71" s="184">
        <v>0</v>
      </c>
      <c r="H71" s="176">
        <f t="shared" si="1"/>
        <v>0</v>
      </c>
    </row>
    <row r="72" spans="1:8">
      <c r="B72" s="179">
        <v>67</v>
      </c>
      <c r="C72" s="172"/>
      <c r="D72" s="185" t="s">
        <v>592</v>
      </c>
      <c r="E72" s="184">
        <f>审定资产负债表!D75</f>
        <v>1020469.11</v>
      </c>
      <c r="F72" s="184">
        <v>418289.7</v>
      </c>
      <c r="H72" s="176">
        <f t="shared" si="1"/>
        <v>602179.40999999992</v>
      </c>
    </row>
    <row r="73" spans="1:8">
      <c r="B73" s="179">
        <v>68</v>
      </c>
      <c r="C73" s="172"/>
      <c r="D73" s="185" t="s">
        <v>593</v>
      </c>
      <c r="E73" s="184">
        <f>审定资产负债表!D76</f>
        <v>1020469.11</v>
      </c>
      <c r="F73" s="184">
        <v>415842.07</v>
      </c>
      <c r="H73" s="176">
        <f t="shared" si="1"/>
        <v>604627.04</v>
      </c>
    </row>
    <row r="74" spans="1:8">
      <c r="A74" s="173" t="s">
        <v>523</v>
      </c>
      <c r="B74" s="179">
        <v>69</v>
      </c>
      <c r="C74" s="172"/>
      <c r="D74" s="185" t="s">
        <v>594</v>
      </c>
      <c r="E74" s="184">
        <f>审定资产负债表!D77</f>
        <v>0</v>
      </c>
      <c r="F74" s="184">
        <v>401940</v>
      </c>
      <c r="H74" s="176">
        <f t="shared" si="1"/>
        <v>401940</v>
      </c>
    </row>
    <row r="75" spans="1:8">
      <c r="B75" s="179">
        <v>70</v>
      </c>
      <c r="C75" s="172"/>
      <c r="D75" s="185" t="s">
        <v>595</v>
      </c>
      <c r="E75" s="184">
        <f>审定资产负债表!D78</f>
        <v>0</v>
      </c>
      <c r="F75" s="184">
        <v>0</v>
      </c>
      <c r="H75" s="176">
        <f t="shared" si="1"/>
        <v>0</v>
      </c>
    </row>
    <row r="76" spans="1:8">
      <c r="B76" s="179">
        <v>71</v>
      </c>
      <c r="C76" s="172"/>
      <c r="D76" s="185" t="s">
        <v>596</v>
      </c>
      <c r="E76" s="184">
        <f>审定资产负债表!D79</f>
        <v>40678.199999999997</v>
      </c>
      <c r="F76" s="184">
        <v>13629132.24</v>
      </c>
      <c r="H76" s="176">
        <f t="shared" si="1"/>
        <v>13588454.040000001</v>
      </c>
    </row>
    <row r="77" spans="1:8">
      <c r="B77" s="179">
        <v>72</v>
      </c>
      <c r="C77" s="172"/>
      <c r="D77" s="185" t="s">
        <v>597</v>
      </c>
      <c r="E77" s="184">
        <f>审定资产负债表!D80</f>
        <v>0</v>
      </c>
      <c r="F77" s="184">
        <v>0</v>
      </c>
      <c r="H77" s="176">
        <f t="shared" si="1"/>
        <v>0</v>
      </c>
    </row>
    <row r="78" spans="1:8">
      <c r="A78" s="173" t="s">
        <v>523</v>
      </c>
      <c r="B78" s="179">
        <v>73</v>
      </c>
      <c r="C78" s="172"/>
      <c r="D78" s="185" t="s">
        <v>598</v>
      </c>
      <c r="E78" s="184">
        <f>审定资产负债表!D81</f>
        <v>0</v>
      </c>
      <c r="F78" s="184">
        <v>0</v>
      </c>
      <c r="H78" s="176">
        <f t="shared" si="1"/>
        <v>0</v>
      </c>
    </row>
    <row r="79" spans="1:8">
      <c r="A79" s="181"/>
      <c r="B79" s="179">
        <v>74</v>
      </c>
      <c r="C79" s="172"/>
      <c r="D79" s="185" t="s">
        <v>599</v>
      </c>
      <c r="E79" s="184">
        <f>审定资产负债表!D82</f>
        <v>0</v>
      </c>
      <c r="F79" s="184">
        <v>0</v>
      </c>
      <c r="H79" s="176">
        <f t="shared" si="1"/>
        <v>0</v>
      </c>
    </row>
    <row r="80" spans="1:8">
      <c r="B80" s="179">
        <v>75</v>
      </c>
      <c r="C80" s="172"/>
      <c r="D80" s="185" t="s">
        <v>600</v>
      </c>
      <c r="E80" s="184">
        <f>审定资产负债表!D83</f>
        <v>0</v>
      </c>
      <c r="F80" s="184">
        <v>0</v>
      </c>
      <c r="H80" s="176">
        <f t="shared" si="1"/>
        <v>0</v>
      </c>
    </row>
    <row r="81" spans="1:8">
      <c r="B81" s="179">
        <v>76</v>
      </c>
      <c r="C81" s="172"/>
      <c r="D81" s="185" t="s">
        <v>601</v>
      </c>
      <c r="E81" s="184">
        <f>审定资产负债表!D85</f>
        <v>0</v>
      </c>
      <c r="F81" s="184">
        <v>1000000</v>
      </c>
      <c r="H81" s="176">
        <f t="shared" si="1"/>
        <v>1000000</v>
      </c>
    </row>
    <row r="82" spans="1:8">
      <c r="B82" s="179">
        <v>77</v>
      </c>
      <c r="C82" s="172"/>
      <c r="D82" s="185" t="s">
        <v>602</v>
      </c>
      <c r="E82" s="184">
        <f>审定资产负债表!D86</f>
        <v>0</v>
      </c>
      <c r="F82" s="184">
        <v>0</v>
      </c>
      <c r="H82" s="176">
        <f t="shared" si="1"/>
        <v>0</v>
      </c>
    </row>
    <row r="83" spans="1:8">
      <c r="B83" s="179">
        <v>78</v>
      </c>
      <c r="C83" s="172"/>
      <c r="D83" s="183" t="s">
        <v>603</v>
      </c>
      <c r="E83" s="184">
        <f>审定资产负债表!D87</f>
        <v>1110001.2</v>
      </c>
      <c r="F83" s="184">
        <v>461954937.25</v>
      </c>
      <c r="H83" s="176">
        <f t="shared" si="1"/>
        <v>460844936.05000001</v>
      </c>
    </row>
    <row r="84" spans="1:8">
      <c r="B84" s="179">
        <v>79</v>
      </c>
      <c r="C84" s="172"/>
      <c r="D84" s="183" t="s">
        <v>604</v>
      </c>
      <c r="E84" s="184">
        <f>审定资产负债表!D88</f>
        <v>0</v>
      </c>
      <c r="F84" s="184">
        <v>0</v>
      </c>
      <c r="H84" s="176">
        <f t="shared" si="1"/>
        <v>0</v>
      </c>
    </row>
    <row r="85" spans="1:8">
      <c r="B85" s="179">
        <v>80</v>
      </c>
      <c r="C85" s="172"/>
      <c r="D85" s="185" t="s">
        <v>605</v>
      </c>
      <c r="E85" s="184">
        <f>审定资产负债表!D89</f>
        <v>0</v>
      </c>
      <c r="F85" s="184">
        <v>47000000</v>
      </c>
      <c r="H85" s="176">
        <f t="shared" si="1"/>
        <v>47000000</v>
      </c>
    </row>
    <row r="86" spans="1:8" ht="13.5">
      <c r="A86" s="186" t="str">
        <f>HYPERLINK("#C1","置顶")</f>
        <v>置顶</v>
      </c>
      <c r="B86" s="179">
        <v>81</v>
      </c>
      <c r="C86" s="172"/>
      <c r="D86" s="185" t="s">
        <v>606</v>
      </c>
      <c r="E86" s="184">
        <f>审定资产负债表!D90</f>
        <v>0</v>
      </c>
      <c r="F86" s="184">
        <v>0</v>
      </c>
      <c r="H86" s="176">
        <f t="shared" si="1"/>
        <v>0</v>
      </c>
    </row>
    <row r="87" spans="1:8" ht="13.5">
      <c r="A87" s="187"/>
      <c r="B87" s="179">
        <v>82</v>
      </c>
      <c r="C87" s="172"/>
      <c r="D87" s="185" t="s">
        <v>607</v>
      </c>
      <c r="E87" s="184">
        <f>审定资产负债表!D91</f>
        <v>0</v>
      </c>
      <c r="F87" s="184">
        <v>0</v>
      </c>
      <c r="H87" s="176">
        <f t="shared" si="1"/>
        <v>0</v>
      </c>
    </row>
    <row r="88" spans="1:8" ht="13.5">
      <c r="A88" s="187"/>
      <c r="C88" s="172"/>
      <c r="D88" s="276" t="s">
        <v>1433</v>
      </c>
      <c r="E88" s="184">
        <f>审定资产负债表!D92</f>
        <v>0</v>
      </c>
      <c r="F88" s="184"/>
      <c r="H88" s="176"/>
    </row>
    <row r="89" spans="1:8" ht="13.5">
      <c r="A89" s="187"/>
      <c r="B89" s="179">
        <v>83</v>
      </c>
      <c r="C89" s="172"/>
      <c r="D89" s="185" t="s">
        <v>608</v>
      </c>
      <c r="E89" s="184">
        <f>审定资产负债表!D93</f>
        <v>0</v>
      </c>
      <c r="F89" s="184">
        <v>0</v>
      </c>
      <c r="H89" s="176">
        <f t="shared" si="1"/>
        <v>0</v>
      </c>
    </row>
    <row r="90" spans="1:8">
      <c r="B90" s="179">
        <v>84</v>
      </c>
      <c r="C90" s="172"/>
      <c r="D90" s="185" t="s">
        <v>609</v>
      </c>
      <c r="E90" s="184">
        <f>审定资产负债表!D94</f>
        <v>0</v>
      </c>
      <c r="F90" s="184">
        <v>0</v>
      </c>
      <c r="H90" s="176">
        <f t="shared" si="1"/>
        <v>0</v>
      </c>
    </row>
    <row r="91" spans="1:8">
      <c r="C91" s="172"/>
      <c r="D91" s="185" t="s">
        <v>1434</v>
      </c>
      <c r="E91" s="184">
        <f>审定资产负债表!D95</f>
        <v>0</v>
      </c>
      <c r="F91" s="184">
        <v>0</v>
      </c>
      <c r="H91" s="176">
        <f t="shared" si="1"/>
        <v>0</v>
      </c>
    </row>
    <row r="92" spans="1:8">
      <c r="B92" s="179">
        <v>85</v>
      </c>
      <c r="C92" s="172"/>
      <c r="D92" s="185" t="s">
        <v>610</v>
      </c>
      <c r="E92" s="184">
        <f>审定资产负债表!D96</f>
        <v>0</v>
      </c>
      <c r="F92" s="184">
        <v>0</v>
      </c>
      <c r="H92" s="176">
        <f t="shared" si="1"/>
        <v>0</v>
      </c>
    </row>
    <row r="93" spans="1:8">
      <c r="B93" s="179">
        <v>86</v>
      </c>
      <c r="C93" s="172"/>
      <c r="D93" s="185" t="s">
        <v>611</v>
      </c>
      <c r="E93" s="184">
        <f>审定资产负债表!D97</f>
        <v>0</v>
      </c>
      <c r="F93" s="184">
        <v>0</v>
      </c>
      <c r="H93" s="176">
        <f t="shared" si="1"/>
        <v>0</v>
      </c>
    </row>
    <row r="94" spans="1:8">
      <c r="B94" s="179">
        <v>87</v>
      </c>
      <c r="C94" s="172"/>
      <c r="D94" s="185" t="s">
        <v>612</v>
      </c>
      <c r="E94" s="184">
        <f>审定资产负债表!D98</f>
        <v>0</v>
      </c>
      <c r="F94" s="184">
        <v>0</v>
      </c>
      <c r="H94" s="176">
        <f t="shared" si="1"/>
        <v>0</v>
      </c>
    </row>
    <row r="95" spans="1:8">
      <c r="A95" s="173" t="s">
        <v>523</v>
      </c>
      <c r="B95" s="179">
        <v>88</v>
      </c>
      <c r="C95" s="172"/>
      <c r="D95" s="183" t="s">
        <v>613</v>
      </c>
      <c r="E95" s="184">
        <f>审定资产负债表!D99</f>
        <v>0</v>
      </c>
      <c r="F95" s="184">
        <v>47000000</v>
      </c>
      <c r="H95" s="176">
        <f t="shared" si="1"/>
        <v>47000000</v>
      </c>
    </row>
    <row r="96" spans="1:8">
      <c r="B96" s="179">
        <v>89</v>
      </c>
      <c r="C96" s="172"/>
      <c r="D96" s="183" t="s">
        <v>614</v>
      </c>
      <c r="E96" s="184">
        <f>审定资产负债表!D100</f>
        <v>1110001.2</v>
      </c>
      <c r="F96" s="184">
        <v>508954937.25</v>
      </c>
      <c r="H96" s="176">
        <f t="shared" si="1"/>
        <v>507844936.05000001</v>
      </c>
    </row>
    <row r="97" spans="1:8">
      <c r="B97" s="179">
        <v>90</v>
      </c>
      <c r="C97" s="172"/>
      <c r="D97" s="183" t="s">
        <v>615</v>
      </c>
      <c r="E97" s="184">
        <f>审定资产负债表!D101</f>
        <v>0</v>
      </c>
      <c r="F97" s="184">
        <v>0</v>
      </c>
      <c r="H97" s="176">
        <f t="shared" si="1"/>
        <v>0</v>
      </c>
    </row>
    <row r="98" spans="1:8">
      <c r="B98" s="179">
        <v>91</v>
      </c>
      <c r="C98" s="172"/>
      <c r="D98" s="185" t="s">
        <v>616</v>
      </c>
      <c r="E98" s="184">
        <f>审定资产负债表!D102</f>
        <v>10000</v>
      </c>
      <c r="F98" s="184">
        <v>558480000</v>
      </c>
      <c r="H98" s="176">
        <f t="shared" si="1"/>
        <v>558470000</v>
      </c>
    </row>
    <row r="99" spans="1:8">
      <c r="B99" s="179">
        <v>92</v>
      </c>
      <c r="C99" s="172"/>
      <c r="D99" s="185" t="s">
        <v>617</v>
      </c>
      <c r="E99" s="184">
        <f>审定资产负债表!D103</f>
        <v>0</v>
      </c>
      <c r="F99" s="184">
        <v>558480000</v>
      </c>
      <c r="H99" s="176">
        <f t="shared" si="1"/>
        <v>558480000</v>
      </c>
    </row>
    <row r="100" spans="1:8">
      <c r="B100" s="179">
        <v>93</v>
      </c>
      <c r="C100" s="172"/>
      <c r="D100" s="185" t="s">
        <v>618</v>
      </c>
      <c r="E100" s="184">
        <f>审定资产负债表!D104</f>
        <v>0</v>
      </c>
      <c r="F100" s="184">
        <v>558480000</v>
      </c>
      <c r="H100" s="176">
        <f t="shared" si="1"/>
        <v>558480000</v>
      </c>
    </row>
    <row r="101" spans="1:8">
      <c r="B101" s="179">
        <v>94</v>
      </c>
      <c r="C101" s="172"/>
      <c r="D101" s="185" t="s">
        <v>619</v>
      </c>
      <c r="E101" s="184">
        <f>审定资产负债表!D105</f>
        <v>0</v>
      </c>
      <c r="F101" s="184">
        <v>0</v>
      </c>
      <c r="H101" s="176">
        <f t="shared" si="1"/>
        <v>0</v>
      </c>
    </row>
    <row r="102" spans="1:8">
      <c r="A102" s="173" t="s">
        <v>523</v>
      </c>
      <c r="B102" s="179">
        <v>95</v>
      </c>
      <c r="C102" s="172"/>
      <c r="D102" s="185" t="s">
        <v>620</v>
      </c>
      <c r="E102" s="184">
        <f>审定资产负债表!D106</f>
        <v>10000</v>
      </c>
      <c r="F102" s="184">
        <v>0</v>
      </c>
      <c r="H102" s="176">
        <f t="shared" si="1"/>
        <v>10000</v>
      </c>
    </row>
    <row r="103" spans="1:8">
      <c r="A103" s="181"/>
      <c r="B103" s="179">
        <v>96</v>
      </c>
      <c r="C103" s="172"/>
      <c r="D103" s="185" t="s">
        <v>621</v>
      </c>
      <c r="E103" s="184">
        <f>审定资产负债表!D107</f>
        <v>0</v>
      </c>
      <c r="F103" s="184">
        <v>0</v>
      </c>
      <c r="H103" s="176">
        <f t="shared" si="1"/>
        <v>0</v>
      </c>
    </row>
    <row r="104" spans="1:8">
      <c r="B104" s="179">
        <v>97</v>
      </c>
      <c r="C104" s="172"/>
      <c r="D104" s="185" t="s">
        <v>622</v>
      </c>
      <c r="E104" s="184">
        <f>审定资产负债表!D108</f>
        <v>0</v>
      </c>
      <c r="F104" s="184">
        <v>0</v>
      </c>
      <c r="H104" s="176">
        <f t="shared" si="1"/>
        <v>0</v>
      </c>
    </row>
    <row r="105" spans="1:8">
      <c r="B105" s="179">
        <v>98</v>
      </c>
      <c r="C105" s="172"/>
      <c r="D105" s="185" t="s">
        <v>623</v>
      </c>
      <c r="E105" s="184">
        <f>审定资产负债表!D109</f>
        <v>0</v>
      </c>
      <c r="F105" s="184">
        <v>0</v>
      </c>
      <c r="H105" s="176">
        <f t="shared" si="1"/>
        <v>0</v>
      </c>
    </row>
    <row r="106" spans="1:8">
      <c r="B106" s="179">
        <v>99</v>
      </c>
      <c r="C106" s="172"/>
      <c r="D106" s="185" t="s">
        <v>624</v>
      </c>
      <c r="E106" s="184">
        <f>审定资产负债表!D110</f>
        <v>10000</v>
      </c>
      <c r="F106" s="184">
        <v>558480000</v>
      </c>
      <c r="H106" s="176">
        <f t="shared" si="1"/>
        <v>558470000</v>
      </c>
    </row>
    <row r="107" spans="1:8">
      <c r="B107" s="179">
        <v>100</v>
      </c>
      <c r="C107" s="172"/>
      <c r="D107" s="185" t="s">
        <v>625</v>
      </c>
      <c r="E107" s="184">
        <f>审定资产负债表!D114</f>
        <v>0</v>
      </c>
      <c r="F107" s="184">
        <v>2788303.02</v>
      </c>
      <c r="H107" s="176">
        <f t="shared" si="1"/>
        <v>2788303.02</v>
      </c>
    </row>
    <row r="108" spans="1:8">
      <c r="B108" s="179">
        <v>101</v>
      </c>
      <c r="C108" s="172"/>
      <c r="D108" s="185" t="s">
        <v>626</v>
      </c>
      <c r="E108" s="184">
        <f>审定资产负债表!D115</f>
        <v>0</v>
      </c>
      <c r="F108" s="184">
        <v>0</v>
      </c>
      <c r="H108" s="176">
        <f t="shared" si="1"/>
        <v>0</v>
      </c>
    </row>
    <row r="109" spans="1:8">
      <c r="B109" s="179">
        <v>102</v>
      </c>
      <c r="C109" s="172"/>
      <c r="D109" s="185" t="s">
        <v>627</v>
      </c>
      <c r="E109" s="184">
        <f>审定资产负债表!D118</f>
        <v>0</v>
      </c>
      <c r="F109" s="184">
        <v>0</v>
      </c>
      <c r="H109" s="176">
        <f t="shared" si="1"/>
        <v>0</v>
      </c>
    </row>
    <row r="110" spans="1:8" ht="13.5">
      <c r="A110" s="186" t="str">
        <f>HYPERLINK("#C1","置顶")</f>
        <v>置顶</v>
      </c>
      <c r="B110" s="179">
        <v>103</v>
      </c>
      <c r="C110" s="172"/>
      <c r="D110" s="185" t="s">
        <v>628</v>
      </c>
      <c r="E110" s="184">
        <f>审定资产负债表!D119</f>
        <v>3513183.49</v>
      </c>
      <c r="F110" s="184">
        <v>4999104.76</v>
      </c>
      <c r="H110" s="176">
        <f t="shared" si="1"/>
        <v>1485921.2699999996</v>
      </c>
    </row>
    <row r="111" spans="1:8" ht="13.5">
      <c r="A111" s="187"/>
      <c r="B111" s="179">
        <v>104</v>
      </c>
      <c r="C111" s="172"/>
      <c r="D111" s="185" t="s">
        <v>629</v>
      </c>
      <c r="E111" s="184">
        <f>审定资产负债表!D120</f>
        <v>3513183.49</v>
      </c>
      <c r="F111" s="184">
        <v>4826676.5</v>
      </c>
      <c r="H111" s="176">
        <f t="shared" si="1"/>
        <v>1313493.0099999998</v>
      </c>
    </row>
    <row r="112" spans="1:8" ht="13.5">
      <c r="A112" s="187"/>
      <c r="B112" s="179">
        <v>105</v>
      </c>
      <c r="C112" s="172"/>
      <c r="D112" s="185" t="s">
        <v>630</v>
      </c>
      <c r="E112" s="184">
        <f>审定资产负债表!D121</f>
        <v>0</v>
      </c>
      <c r="F112" s="184">
        <v>172428.26</v>
      </c>
      <c r="H112" s="176">
        <f t="shared" si="1"/>
        <v>172428.26</v>
      </c>
    </row>
    <row r="113" spans="1:8">
      <c r="B113" s="179">
        <v>106</v>
      </c>
      <c r="C113" s="172"/>
      <c r="D113" s="185" t="s">
        <v>631</v>
      </c>
      <c r="E113" s="184">
        <f>审定资产负债表!D122</f>
        <v>0</v>
      </c>
      <c r="F113" s="184">
        <v>0</v>
      </c>
      <c r="H113" s="176">
        <f t="shared" si="1"/>
        <v>0</v>
      </c>
    </row>
    <row r="114" spans="1:8">
      <c r="B114" s="179">
        <v>107</v>
      </c>
      <c r="C114" s="172"/>
      <c r="D114" s="185" t="s">
        <v>632</v>
      </c>
      <c r="E114" s="184">
        <f>审定资产负债表!D123</f>
        <v>0</v>
      </c>
      <c r="F114" s="184">
        <v>0</v>
      </c>
      <c r="H114" s="176">
        <f t="shared" si="1"/>
        <v>0</v>
      </c>
    </row>
    <row r="115" spans="1:8">
      <c r="B115" s="179">
        <v>108</v>
      </c>
      <c r="C115" s="172"/>
      <c r="D115" s="185" t="s">
        <v>633</v>
      </c>
      <c r="E115" s="184">
        <f>审定资产负债表!D124</f>
        <v>0</v>
      </c>
      <c r="F115" s="184">
        <v>0</v>
      </c>
      <c r="H115" s="176">
        <f t="shared" si="1"/>
        <v>0</v>
      </c>
    </row>
    <row r="116" spans="1:8">
      <c r="B116" s="179">
        <v>109</v>
      </c>
      <c r="C116" s="172"/>
      <c r="D116" s="185" t="s">
        <v>634</v>
      </c>
      <c r="E116" s="184">
        <f>审定资产负债表!D125</f>
        <v>0</v>
      </c>
      <c r="F116" s="184">
        <v>0</v>
      </c>
      <c r="H116" s="176">
        <f t="shared" si="1"/>
        <v>0</v>
      </c>
    </row>
    <row r="117" spans="1:8">
      <c r="A117" s="173" t="s">
        <v>523</v>
      </c>
      <c r="B117" s="179">
        <v>110</v>
      </c>
      <c r="C117" s="172"/>
      <c r="D117" s="185" t="s">
        <v>635</v>
      </c>
      <c r="E117" s="184">
        <f>审定资产负债表!D126</f>
        <v>3398651.31</v>
      </c>
      <c r="F117" s="184">
        <v>41112307.020000003</v>
      </c>
      <c r="H117" s="176">
        <f t="shared" si="1"/>
        <v>37713655.710000001</v>
      </c>
    </row>
    <row r="118" spans="1:8">
      <c r="B118" s="179">
        <v>111</v>
      </c>
      <c r="C118" s="172"/>
      <c r="D118" s="185" t="s">
        <v>636</v>
      </c>
      <c r="E118" s="184">
        <f>审定资产负债表!D117</f>
        <v>0</v>
      </c>
      <c r="F118" s="184">
        <v>0</v>
      </c>
      <c r="H118" s="176">
        <f t="shared" si="1"/>
        <v>0</v>
      </c>
    </row>
    <row r="119" spans="1:8">
      <c r="B119" s="179">
        <v>112</v>
      </c>
      <c r="C119" s="172"/>
      <c r="D119" s="183" t="s">
        <v>637</v>
      </c>
      <c r="E119" s="184">
        <f>审定资产负债表!D127</f>
        <v>6921834.7999999998</v>
      </c>
      <c r="F119" s="184">
        <v>607379714.79999995</v>
      </c>
      <c r="H119" s="176">
        <f t="shared" si="1"/>
        <v>600457880</v>
      </c>
    </row>
    <row r="120" spans="1:8">
      <c r="B120" s="179">
        <v>113</v>
      </c>
      <c r="C120" s="172"/>
      <c r="D120" s="185" t="s">
        <v>638</v>
      </c>
      <c r="E120" s="184">
        <f>审定资产负债表!D128</f>
        <v>0</v>
      </c>
      <c r="F120" s="184">
        <v>0</v>
      </c>
      <c r="H120" s="176">
        <f t="shared" si="1"/>
        <v>0</v>
      </c>
    </row>
    <row r="121" spans="1:8">
      <c r="B121" s="179">
        <v>114</v>
      </c>
      <c r="C121" s="172"/>
      <c r="D121" s="183" t="s">
        <v>639</v>
      </c>
      <c r="E121" s="184">
        <f>审定资产负债表!D129</f>
        <v>6921834.7999999998</v>
      </c>
      <c r="F121" s="184">
        <v>607379714.79999995</v>
      </c>
      <c r="H121" s="176">
        <f t="shared" si="1"/>
        <v>600457880</v>
      </c>
    </row>
    <row r="122" spans="1:8" ht="13.5" thickBot="1">
      <c r="A122" s="173" t="s">
        <v>523</v>
      </c>
      <c r="B122" s="179">
        <v>115</v>
      </c>
      <c r="C122" s="172"/>
      <c r="D122" s="188" t="s">
        <v>640</v>
      </c>
      <c r="E122" s="184">
        <f>审定资产负债表!D130</f>
        <v>8031836</v>
      </c>
      <c r="F122" s="184">
        <v>1116334652.05</v>
      </c>
      <c r="H122" s="176">
        <f t="shared" si="1"/>
        <v>1108302816.05</v>
      </c>
    </row>
    <row r="123" spans="1:8">
      <c r="A123" s="181"/>
      <c r="B123" s="179">
        <v>116</v>
      </c>
      <c r="C123" s="172"/>
      <c r="H123" s="175">
        <f>SUM(H56:H122)</f>
        <v>6111946171.3300009</v>
      </c>
    </row>
    <row r="124" spans="1:8" ht="13.5" thickBot="1">
      <c r="B124" s="179">
        <v>117</v>
      </c>
      <c r="C124" s="172"/>
    </row>
    <row r="125" spans="1:8">
      <c r="B125" s="179">
        <v>118</v>
      </c>
      <c r="C125" s="172"/>
      <c r="D125" s="182" t="s">
        <v>641</v>
      </c>
      <c r="E125" s="190" t="s">
        <v>643</v>
      </c>
      <c r="F125" s="273" t="s">
        <v>1411</v>
      </c>
    </row>
    <row r="126" spans="1:8">
      <c r="B126" s="179">
        <v>119</v>
      </c>
      <c r="C126" s="172"/>
      <c r="D126" s="191" t="s">
        <v>644</v>
      </c>
      <c r="E126" s="184">
        <f>审定利润表!D5</f>
        <v>16037735.91</v>
      </c>
      <c r="F126" s="184">
        <v>1557251527.24</v>
      </c>
      <c r="H126" s="176">
        <f t="shared" ref="H126:H179" si="2">ABS(E126-F126)</f>
        <v>1541213791.3299999</v>
      </c>
    </row>
    <row r="127" spans="1:8">
      <c r="B127" s="179">
        <v>120</v>
      </c>
      <c r="C127" s="172"/>
      <c r="D127" s="185" t="s">
        <v>645</v>
      </c>
      <c r="E127" s="184">
        <f>审定利润表!D6</f>
        <v>16037735.91</v>
      </c>
      <c r="F127" s="184">
        <v>1557251527.24</v>
      </c>
      <c r="H127" s="176">
        <f t="shared" si="2"/>
        <v>1541213791.3299999</v>
      </c>
    </row>
    <row r="128" spans="1:8">
      <c r="B128" s="179">
        <v>121</v>
      </c>
      <c r="C128" s="172"/>
      <c r="D128" s="192" t="s">
        <v>646</v>
      </c>
      <c r="E128" s="184">
        <f>审定利润表!D7</f>
        <v>16037735.91</v>
      </c>
      <c r="F128" s="184">
        <v>1540136006.45</v>
      </c>
      <c r="H128" s="176">
        <f t="shared" si="2"/>
        <v>1524098270.54</v>
      </c>
    </row>
    <row r="129" spans="1:8">
      <c r="B129" s="179">
        <v>122</v>
      </c>
      <c r="C129" s="172"/>
      <c r="D129" s="192" t="s">
        <v>647</v>
      </c>
      <c r="E129" s="184">
        <f>审定利润表!D8</f>
        <v>0</v>
      </c>
      <c r="F129" s="184">
        <v>17115520.789999999</v>
      </c>
      <c r="H129" s="176">
        <f t="shared" si="2"/>
        <v>17115520.789999999</v>
      </c>
    </row>
    <row r="130" spans="1:8" ht="13.5">
      <c r="A130" s="186" t="str">
        <f>HYPERLINK("#C1","置顶")</f>
        <v>置顶</v>
      </c>
      <c r="B130" s="179">
        <v>123</v>
      </c>
      <c r="C130" s="172"/>
      <c r="D130" s="185" t="s">
        <v>648</v>
      </c>
      <c r="E130" s="184">
        <f>审定利润表!D9</f>
        <v>0</v>
      </c>
      <c r="F130" s="184">
        <v>0</v>
      </c>
      <c r="H130" s="176">
        <f t="shared" si="2"/>
        <v>0</v>
      </c>
    </row>
    <row r="131" spans="1:8" ht="13.5">
      <c r="A131" s="187"/>
      <c r="B131" s="179">
        <v>124</v>
      </c>
      <c r="C131" s="172"/>
      <c r="D131" s="185" t="s">
        <v>649</v>
      </c>
      <c r="E131" s="184">
        <f>审定利润表!D10</f>
        <v>0</v>
      </c>
      <c r="F131" s="184">
        <v>0</v>
      </c>
      <c r="H131" s="176">
        <f t="shared" si="2"/>
        <v>0</v>
      </c>
    </row>
    <row r="132" spans="1:8" ht="13.5">
      <c r="A132" s="187"/>
      <c r="B132" s="179">
        <v>125</v>
      </c>
      <c r="C132" s="172"/>
      <c r="D132" s="185" t="s">
        <v>650</v>
      </c>
      <c r="E132" s="184">
        <f>审定利润表!D11</f>
        <v>0</v>
      </c>
      <c r="F132" s="184">
        <v>0</v>
      </c>
      <c r="H132" s="176">
        <f t="shared" si="2"/>
        <v>0</v>
      </c>
    </row>
    <row r="133" spans="1:8">
      <c r="B133" s="179">
        <v>126</v>
      </c>
      <c r="C133" s="172"/>
      <c r="D133" s="183" t="s">
        <v>651</v>
      </c>
      <c r="E133" s="184">
        <f>审定利润表!D12</f>
        <v>11496308.529999999</v>
      </c>
      <c r="F133" s="184">
        <v>1564189975.52</v>
      </c>
      <c r="H133" s="176">
        <f t="shared" si="2"/>
        <v>1552693666.99</v>
      </c>
    </row>
    <row r="134" spans="1:8">
      <c r="B134" s="179">
        <v>127</v>
      </c>
      <c r="C134" s="172"/>
      <c r="D134" s="185" t="s">
        <v>652</v>
      </c>
      <c r="E134" s="184">
        <f>审定利润表!D13</f>
        <v>0</v>
      </c>
      <c r="F134" s="184">
        <v>1501389693</v>
      </c>
      <c r="H134" s="176">
        <f t="shared" si="2"/>
        <v>1501389693</v>
      </c>
    </row>
    <row r="135" spans="1:8">
      <c r="B135" s="179">
        <v>128</v>
      </c>
      <c r="C135" s="172"/>
      <c r="D135" s="192" t="s">
        <v>653</v>
      </c>
      <c r="E135" s="184">
        <f>审定利润表!D14</f>
        <v>0</v>
      </c>
      <c r="F135" s="184">
        <v>1485549834.0599999</v>
      </c>
      <c r="H135" s="176">
        <f t="shared" si="2"/>
        <v>1485549834.0599999</v>
      </c>
    </row>
    <row r="136" spans="1:8">
      <c r="B136" s="179">
        <v>129</v>
      </c>
      <c r="C136" s="172"/>
      <c r="D136" s="192" t="s">
        <v>654</v>
      </c>
      <c r="E136" s="184">
        <f>审定利润表!D15</f>
        <v>0</v>
      </c>
      <c r="F136" s="184">
        <v>15839858.939999999</v>
      </c>
      <c r="H136" s="176">
        <f t="shared" si="2"/>
        <v>15839858.939999999</v>
      </c>
    </row>
    <row r="137" spans="1:8">
      <c r="A137" s="173" t="s">
        <v>523</v>
      </c>
      <c r="B137" s="179">
        <v>130</v>
      </c>
      <c r="C137" s="172"/>
      <c r="D137" s="185" t="s">
        <v>655</v>
      </c>
      <c r="E137" s="184">
        <f>审定利润表!D16</f>
        <v>0</v>
      </c>
      <c r="F137" s="184">
        <v>0</v>
      </c>
      <c r="H137" s="176">
        <f t="shared" si="2"/>
        <v>0</v>
      </c>
    </row>
    <row r="138" spans="1:8">
      <c r="B138" s="179">
        <v>131</v>
      </c>
      <c r="C138" s="172"/>
      <c r="D138" s="185" t="s">
        <v>656</v>
      </c>
      <c r="E138" s="184">
        <f>审定利润表!D17</f>
        <v>0</v>
      </c>
      <c r="F138" s="184">
        <v>0</v>
      </c>
      <c r="H138" s="176">
        <f t="shared" si="2"/>
        <v>0</v>
      </c>
    </row>
    <row r="139" spans="1:8">
      <c r="B139" s="179">
        <v>132</v>
      </c>
      <c r="C139" s="172"/>
      <c r="D139" s="185" t="s">
        <v>657</v>
      </c>
      <c r="E139" s="184">
        <f>审定利润表!D18</f>
        <v>0</v>
      </c>
      <c r="F139" s="184">
        <v>0</v>
      </c>
      <c r="H139" s="176">
        <f t="shared" si="2"/>
        <v>0</v>
      </c>
    </row>
    <row r="140" spans="1:8">
      <c r="B140" s="179">
        <v>133</v>
      </c>
      <c r="C140" s="172"/>
      <c r="D140" s="185" t="s">
        <v>658</v>
      </c>
      <c r="E140" s="184">
        <f>审定利润表!D19</f>
        <v>0</v>
      </c>
      <c r="F140" s="184">
        <v>0</v>
      </c>
      <c r="H140" s="176">
        <f t="shared" si="2"/>
        <v>0</v>
      </c>
    </row>
    <row r="141" spans="1:8">
      <c r="B141" s="179">
        <v>134</v>
      </c>
      <c r="C141" s="172"/>
      <c r="D141" s="185" t="s">
        <v>659</v>
      </c>
      <c r="E141" s="184">
        <f>审定利润表!D20</f>
        <v>0</v>
      </c>
      <c r="F141" s="184">
        <v>0</v>
      </c>
      <c r="H141" s="176">
        <f t="shared" si="2"/>
        <v>0</v>
      </c>
    </row>
    <row r="142" spans="1:8">
      <c r="A142" s="173" t="s">
        <v>523</v>
      </c>
      <c r="B142" s="179">
        <v>135</v>
      </c>
      <c r="C142" s="172"/>
      <c r="D142" s="185" t="s">
        <v>660</v>
      </c>
      <c r="E142" s="184">
        <f>审定利润表!D21</f>
        <v>0</v>
      </c>
      <c r="F142" s="184">
        <v>0</v>
      </c>
      <c r="H142" s="176">
        <f t="shared" si="2"/>
        <v>0</v>
      </c>
    </row>
    <row r="143" spans="1:8">
      <c r="A143" s="181"/>
      <c r="B143" s="179">
        <v>136</v>
      </c>
      <c r="C143" s="172"/>
      <c r="D143" s="185" t="s">
        <v>661</v>
      </c>
      <c r="E143" s="184">
        <f>审定利润表!D22</f>
        <v>0</v>
      </c>
      <c r="F143" s="184">
        <v>0</v>
      </c>
      <c r="H143" s="176">
        <f t="shared" si="2"/>
        <v>0</v>
      </c>
    </row>
    <row r="144" spans="1:8">
      <c r="B144" s="179">
        <v>137</v>
      </c>
      <c r="C144" s="172"/>
      <c r="D144" s="185" t="s">
        <v>662</v>
      </c>
      <c r="E144" s="184">
        <f>审定利润表!D23</f>
        <v>137120.76999999999</v>
      </c>
      <c r="F144" s="184">
        <v>2542535.67</v>
      </c>
      <c r="H144" s="176">
        <f t="shared" si="2"/>
        <v>2405414.9</v>
      </c>
    </row>
    <row r="145" spans="1:8">
      <c r="B145" s="179">
        <v>138</v>
      </c>
      <c r="C145" s="172"/>
      <c r="D145" s="185" t="s">
        <v>663</v>
      </c>
      <c r="E145" s="184">
        <f>审定利润表!D24</f>
        <v>0</v>
      </c>
      <c r="F145" s="184">
        <v>25681442.170000002</v>
      </c>
      <c r="H145" s="176">
        <f t="shared" si="2"/>
        <v>25681442.170000002</v>
      </c>
    </row>
    <row r="146" spans="1:8">
      <c r="B146" s="179">
        <v>139</v>
      </c>
      <c r="C146" s="172"/>
      <c r="D146" s="185" t="s">
        <v>664</v>
      </c>
      <c r="E146" s="184">
        <f>审定利润表!D25</f>
        <v>11413792.880000001</v>
      </c>
      <c r="F146" s="184">
        <v>17727556.899999999</v>
      </c>
      <c r="H146" s="176">
        <f t="shared" si="2"/>
        <v>6313764.0199999977</v>
      </c>
    </row>
    <row r="147" spans="1:8">
      <c r="B147" s="179">
        <v>140</v>
      </c>
      <c r="C147" s="172"/>
      <c r="D147" s="185" t="s">
        <v>665</v>
      </c>
      <c r="E147" s="184">
        <f>审定利润表!D26</f>
        <v>0</v>
      </c>
      <c r="F147" s="184">
        <v>0</v>
      </c>
      <c r="H147" s="176">
        <f t="shared" si="2"/>
        <v>0</v>
      </c>
    </row>
    <row r="148" spans="1:8">
      <c r="B148" s="179">
        <v>141</v>
      </c>
      <c r="C148" s="172"/>
      <c r="D148" s="185" t="s">
        <v>666</v>
      </c>
      <c r="E148" s="184">
        <f>审定利润表!D28</f>
        <v>-64818.3</v>
      </c>
      <c r="F148" s="184">
        <v>13818115.5</v>
      </c>
      <c r="H148" s="176">
        <f t="shared" si="2"/>
        <v>13882933.800000001</v>
      </c>
    </row>
    <row r="149" spans="1:8">
      <c r="B149" s="179">
        <v>142</v>
      </c>
      <c r="C149" s="172"/>
      <c r="D149" s="192" t="s">
        <v>667</v>
      </c>
      <c r="E149" s="184">
        <f>审定利润表!D29</f>
        <v>0</v>
      </c>
      <c r="F149" s="184">
        <v>13834659.32</v>
      </c>
      <c r="H149" s="176">
        <f t="shared" si="2"/>
        <v>13834659.32</v>
      </c>
    </row>
    <row r="150" spans="1:8" ht="13.5">
      <c r="A150" s="186" t="str">
        <f>HYPERLINK("#C1","置顶")</f>
        <v>置顶</v>
      </c>
      <c r="B150" s="179">
        <v>143</v>
      </c>
      <c r="C150" s="172"/>
      <c r="D150" s="192" t="s">
        <v>668</v>
      </c>
      <c r="E150" s="184">
        <f>审定利润表!D30</f>
        <v>67742.600000000006</v>
      </c>
      <c r="F150" s="184">
        <v>21517.94</v>
      </c>
      <c r="H150" s="176">
        <f t="shared" si="2"/>
        <v>46224.66</v>
      </c>
    </row>
    <row r="151" spans="1:8" ht="13.5">
      <c r="A151" s="187"/>
      <c r="B151" s="179">
        <v>144</v>
      </c>
      <c r="C151" s="172"/>
      <c r="D151" s="192" t="s">
        <v>669</v>
      </c>
      <c r="E151" s="184">
        <f>审定利润表!D31</f>
        <v>0</v>
      </c>
      <c r="F151" s="184">
        <v>0</v>
      </c>
      <c r="H151" s="176">
        <f t="shared" si="2"/>
        <v>0</v>
      </c>
    </row>
    <row r="152" spans="1:8" ht="13.5">
      <c r="A152" s="187"/>
      <c r="B152" s="179">
        <v>145</v>
      </c>
      <c r="C152" s="172"/>
      <c r="D152" s="185" t="s">
        <v>670</v>
      </c>
      <c r="E152" s="184">
        <f>审定利润表!D32</f>
        <v>10213.18</v>
      </c>
      <c r="F152" s="184">
        <v>3030632.28</v>
      </c>
      <c r="H152" s="176">
        <f t="shared" si="2"/>
        <v>3020419.0999999996</v>
      </c>
    </row>
    <row r="153" spans="1:8">
      <c r="B153" s="179">
        <v>146</v>
      </c>
      <c r="C153" s="172"/>
      <c r="D153" s="185" t="s">
        <v>671</v>
      </c>
      <c r="E153" s="184">
        <f>审定利润表!D33</f>
        <v>0</v>
      </c>
      <c r="F153" s="184">
        <v>0</v>
      </c>
      <c r="H153" s="176">
        <f t="shared" si="2"/>
        <v>0</v>
      </c>
    </row>
    <row r="154" spans="1:8">
      <c r="B154" s="179">
        <v>147</v>
      </c>
      <c r="C154" s="172"/>
      <c r="D154" s="192" t="s">
        <v>672</v>
      </c>
      <c r="E154" s="184">
        <f>审定利润表!D34</f>
        <v>0</v>
      </c>
      <c r="F154" s="184">
        <v>0</v>
      </c>
      <c r="H154" s="176">
        <f t="shared" si="2"/>
        <v>0</v>
      </c>
    </row>
    <row r="155" spans="1:8">
      <c r="B155" s="179">
        <v>148</v>
      </c>
      <c r="C155" s="172"/>
      <c r="D155" s="192" t="s">
        <v>673</v>
      </c>
      <c r="E155" s="184">
        <f>审定利润表!D35</f>
        <v>0</v>
      </c>
      <c r="F155" s="184">
        <v>3866626.35</v>
      </c>
      <c r="H155" s="176">
        <f t="shared" si="2"/>
        <v>3866626.35</v>
      </c>
    </row>
    <row r="156" spans="1:8">
      <c r="B156" s="179">
        <v>149</v>
      </c>
      <c r="C156" s="172"/>
      <c r="D156" s="192" t="s">
        <v>674</v>
      </c>
      <c r="E156" s="184">
        <f>审定利润表!D36</f>
        <v>0</v>
      </c>
      <c r="F156" s="184">
        <v>3598337.29</v>
      </c>
      <c r="H156" s="176">
        <f t="shared" si="2"/>
        <v>3598337.29</v>
      </c>
    </row>
    <row r="157" spans="1:8">
      <c r="A157" s="173" t="s">
        <v>523</v>
      </c>
      <c r="B157" s="179">
        <v>150</v>
      </c>
      <c r="C157" s="172"/>
      <c r="D157" s="185" t="s">
        <v>675</v>
      </c>
      <c r="E157" s="184">
        <f>审定利润表!D39</f>
        <v>0</v>
      </c>
      <c r="F157" s="184">
        <v>0</v>
      </c>
      <c r="H157" s="176">
        <f t="shared" si="2"/>
        <v>0</v>
      </c>
    </row>
    <row r="158" spans="1:8">
      <c r="B158" s="179">
        <v>151</v>
      </c>
      <c r="C158" s="172"/>
      <c r="D158" s="191" t="s">
        <v>676</v>
      </c>
      <c r="E158" s="184">
        <f>审定利润表!D40</f>
        <v>4541427.38</v>
      </c>
      <c r="F158" s="184">
        <v>-3071821.93</v>
      </c>
      <c r="H158" s="176">
        <f t="shared" si="2"/>
        <v>7613249.3100000005</v>
      </c>
    </row>
    <row r="159" spans="1:8">
      <c r="B159" s="179">
        <v>152</v>
      </c>
      <c r="C159" s="172"/>
      <c r="D159" s="192" t="s">
        <v>677</v>
      </c>
      <c r="E159" s="184">
        <f>审定利润表!D41</f>
        <v>511678</v>
      </c>
      <c r="F159" s="184">
        <v>11537068.4</v>
      </c>
      <c r="H159" s="176">
        <f t="shared" si="2"/>
        <v>11025390.4</v>
      </c>
    </row>
    <row r="160" spans="1:8">
      <c r="B160" s="179">
        <v>153</v>
      </c>
      <c r="C160" s="172"/>
      <c r="D160" s="192" t="s">
        <v>678</v>
      </c>
      <c r="E160" s="184">
        <f>审定利润表!D42</f>
        <v>0</v>
      </c>
      <c r="F160" s="184">
        <v>51331.81</v>
      </c>
      <c r="H160" s="176">
        <f t="shared" si="2"/>
        <v>51331.81</v>
      </c>
    </row>
    <row r="161" spans="1:8">
      <c r="B161" s="179">
        <v>154</v>
      </c>
      <c r="C161" s="172"/>
      <c r="D161" s="192" t="s">
        <v>679</v>
      </c>
      <c r="E161" s="184">
        <f>审定利润表!D43</f>
        <v>0</v>
      </c>
      <c r="F161" s="184">
        <v>0</v>
      </c>
      <c r="H161" s="176">
        <f t="shared" si="2"/>
        <v>0</v>
      </c>
    </row>
    <row r="162" spans="1:8">
      <c r="B162" s="179">
        <v>155</v>
      </c>
      <c r="C162" s="172"/>
      <c r="D162" s="185" t="s">
        <v>680</v>
      </c>
      <c r="E162" s="184">
        <f>审定利润表!D44</f>
        <v>511678</v>
      </c>
      <c r="F162" s="184">
        <v>0</v>
      </c>
      <c r="H162" s="176">
        <f t="shared" si="2"/>
        <v>511678</v>
      </c>
    </row>
    <row r="163" spans="1:8">
      <c r="B163" s="179">
        <v>156</v>
      </c>
      <c r="C163" s="172"/>
      <c r="D163" s="185" t="s">
        <v>681</v>
      </c>
      <c r="E163" s="184">
        <f>审定利润表!D45</f>
        <v>0</v>
      </c>
      <c r="F163" s="184">
        <v>0</v>
      </c>
      <c r="H163" s="176">
        <f t="shared" si="2"/>
        <v>0</v>
      </c>
    </row>
    <row r="164" spans="1:8" ht="13.5">
      <c r="A164" s="186" t="str">
        <f>HYPERLINK("#C1","置顶")</f>
        <v>置顶</v>
      </c>
      <c r="B164" s="179">
        <v>157</v>
      </c>
      <c r="C164" s="172"/>
      <c r="D164" s="192" t="s">
        <v>682</v>
      </c>
      <c r="E164" s="184">
        <f>审定利润表!D46</f>
        <v>0</v>
      </c>
      <c r="F164" s="184">
        <v>0</v>
      </c>
      <c r="H164" s="176">
        <f t="shared" si="2"/>
        <v>0</v>
      </c>
    </row>
    <row r="165" spans="1:8" ht="13.5">
      <c r="A165" s="187"/>
      <c r="B165" s="179">
        <v>158</v>
      </c>
      <c r="C165" s="172"/>
      <c r="D165" s="192" t="s">
        <v>683</v>
      </c>
      <c r="E165" s="184">
        <f>审定利润表!D47</f>
        <v>0</v>
      </c>
      <c r="F165" s="184">
        <v>0</v>
      </c>
      <c r="H165" s="176">
        <f t="shared" si="2"/>
        <v>0</v>
      </c>
    </row>
    <row r="166" spans="1:8" ht="13.5">
      <c r="A166" s="187"/>
      <c r="B166" s="179">
        <v>159</v>
      </c>
      <c r="C166" s="172"/>
      <c r="D166" s="185" t="s">
        <v>684</v>
      </c>
      <c r="E166" s="184">
        <f>审定利润表!D48</f>
        <v>0</v>
      </c>
      <c r="F166" s="184">
        <v>0</v>
      </c>
      <c r="H166" s="176">
        <f t="shared" si="2"/>
        <v>0</v>
      </c>
    </row>
    <row r="167" spans="1:8">
      <c r="B167" s="179">
        <v>160</v>
      </c>
      <c r="C167" s="172"/>
      <c r="D167" s="185" t="s">
        <v>685</v>
      </c>
      <c r="E167" s="184">
        <f>审定利润表!D49</f>
        <v>0</v>
      </c>
      <c r="F167" s="184">
        <v>0</v>
      </c>
      <c r="H167" s="176">
        <f t="shared" si="2"/>
        <v>0</v>
      </c>
    </row>
    <row r="168" spans="1:8">
      <c r="B168" s="179">
        <v>161</v>
      </c>
      <c r="C168" s="172"/>
      <c r="D168" s="191" t="s">
        <v>686</v>
      </c>
      <c r="E168" s="184">
        <f>审定利润表!D50</f>
        <v>5053105.38</v>
      </c>
      <c r="F168" s="184">
        <v>8465246.4700000007</v>
      </c>
      <c r="H168" s="176">
        <f t="shared" si="2"/>
        <v>3412141.0900000008</v>
      </c>
    </row>
    <row r="169" spans="1:8">
      <c r="B169" s="179">
        <v>162</v>
      </c>
      <c r="C169" s="172"/>
      <c r="D169" s="192" t="s">
        <v>687</v>
      </c>
      <c r="E169" s="184">
        <f>审定利润表!D51</f>
        <v>1280228.47</v>
      </c>
      <c r="F169" s="184">
        <v>-2496555.21</v>
      </c>
      <c r="H169" s="176">
        <f t="shared" si="2"/>
        <v>3776783.6799999997</v>
      </c>
    </row>
    <row r="170" spans="1:8">
      <c r="B170" s="179">
        <v>163</v>
      </c>
      <c r="C170" s="172"/>
      <c r="D170" s="191" t="s">
        <v>688</v>
      </c>
      <c r="E170" s="184">
        <f>审定利润表!D52</f>
        <v>3772876.91</v>
      </c>
      <c r="F170" s="184">
        <v>10961801.68</v>
      </c>
      <c r="H170" s="176">
        <f t="shared" si="2"/>
        <v>7188924.7699999996</v>
      </c>
    </row>
    <row r="171" spans="1:8">
      <c r="A171" s="173" t="s">
        <v>523</v>
      </c>
      <c r="B171" s="179">
        <v>164</v>
      </c>
      <c r="C171" s="172"/>
      <c r="D171" s="185" t="s">
        <v>689</v>
      </c>
      <c r="E171" s="184">
        <f>审定利润表!D53</f>
        <v>3772876.91</v>
      </c>
      <c r="F171" s="184">
        <v>10961801.68</v>
      </c>
      <c r="H171" s="176">
        <f t="shared" si="2"/>
        <v>7188924.7699999996</v>
      </c>
    </row>
    <row r="172" spans="1:8">
      <c r="A172" s="181"/>
      <c r="B172" s="179">
        <v>165</v>
      </c>
      <c r="C172" s="172"/>
      <c r="D172" s="185" t="s">
        <v>690</v>
      </c>
      <c r="E172" s="184">
        <f>审定利润表!D54</f>
        <v>0</v>
      </c>
      <c r="F172" s="184">
        <v>0</v>
      </c>
      <c r="H172" s="176">
        <f t="shared" si="2"/>
        <v>0</v>
      </c>
    </row>
    <row r="173" spans="1:8">
      <c r="B173" s="179">
        <v>166</v>
      </c>
      <c r="C173" s="172"/>
      <c r="D173" s="191" t="s">
        <v>691</v>
      </c>
      <c r="E173" s="184">
        <f>审定利润表!D72</f>
        <v>0</v>
      </c>
      <c r="F173" s="184">
        <v>0</v>
      </c>
      <c r="H173" s="176">
        <f t="shared" si="2"/>
        <v>0</v>
      </c>
    </row>
    <row r="174" spans="1:8">
      <c r="B174" s="179">
        <v>167</v>
      </c>
      <c r="C174" s="172"/>
      <c r="D174" s="185" t="s">
        <v>692</v>
      </c>
      <c r="E174" s="184">
        <f>审定利润表!D73</f>
        <v>0</v>
      </c>
      <c r="F174" s="184">
        <v>0</v>
      </c>
      <c r="H174" s="176">
        <f t="shared" si="2"/>
        <v>0</v>
      </c>
    </row>
    <row r="175" spans="1:8">
      <c r="B175" s="179">
        <v>168</v>
      </c>
      <c r="C175" s="172"/>
      <c r="D175" s="185" t="s">
        <v>693</v>
      </c>
      <c r="E175" s="184">
        <f>审定利润表!D74</f>
        <v>0</v>
      </c>
      <c r="F175" s="184">
        <v>0</v>
      </c>
      <c r="H175" s="176">
        <f t="shared" si="2"/>
        <v>0</v>
      </c>
    </row>
    <row r="176" spans="1:8">
      <c r="B176" s="179">
        <v>169</v>
      </c>
      <c r="C176" s="172"/>
      <c r="D176" s="191" t="s">
        <v>694</v>
      </c>
      <c r="E176" s="184">
        <f>审定利润表!C57</f>
        <v>0</v>
      </c>
      <c r="F176" s="184">
        <v>0</v>
      </c>
      <c r="H176" s="176">
        <f t="shared" si="2"/>
        <v>0</v>
      </c>
    </row>
    <row r="177" spans="1:8">
      <c r="B177" s="179">
        <v>170</v>
      </c>
      <c r="C177" s="172"/>
      <c r="D177" s="183" t="s">
        <v>695</v>
      </c>
      <c r="E177" s="184">
        <f>审定利润表!D69</f>
        <v>3772876.91</v>
      </c>
      <c r="F177" s="184">
        <v>10961801.68</v>
      </c>
      <c r="H177" s="176">
        <f t="shared" si="2"/>
        <v>7188924.7699999996</v>
      </c>
    </row>
    <row r="178" spans="1:8">
      <c r="B178" s="179">
        <v>171</v>
      </c>
      <c r="C178" s="172"/>
      <c r="D178" s="185" t="s">
        <v>696</v>
      </c>
      <c r="E178" s="184">
        <f>审定利润表!D70</f>
        <v>3772876.91</v>
      </c>
      <c r="F178" s="184">
        <v>10961801.68</v>
      </c>
      <c r="H178" s="176">
        <f t="shared" si="2"/>
        <v>7188924.7699999996</v>
      </c>
    </row>
    <row r="179" spans="1:8" ht="14.25" thickBot="1">
      <c r="A179" s="186" t="str">
        <f>HYPERLINK("#C1","置顶")</f>
        <v>置顶</v>
      </c>
      <c r="B179" s="179">
        <v>172</v>
      </c>
      <c r="C179" s="172"/>
      <c r="D179" s="193" t="s">
        <v>697</v>
      </c>
      <c r="E179" s="184">
        <f>审定利润表!D71</f>
        <v>0</v>
      </c>
      <c r="F179" s="184">
        <v>0</v>
      </c>
      <c r="H179" s="176">
        <f t="shared" si="2"/>
        <v>0</v>
      </c>
    </row>
    <row r="180" spans="1:8" ht="13.5">
      <c r="A180" s="187"/>
      <c r="B180" s="179">
        <v>173</v>
      </c>
      <c r="C180" s="172"/>
      <c r="H180" s="175">
        <f>SUM(H126:H179)</f>
        <v>9306910521.960001</v>
      </c>
    </row>
    <row r="181" spans="1:8" ht="13.5" thickBot="1">
      <c r="B181" s="179">
        <v>174</v>
      </c>
      <c r="C181" s="172"/>
    </row>
    <row r="182" spans="1:8">
      <c r="B182" s="179">
        <v>175</v>
      </c>
      <c r="C182" s="172"/>
      <c r="D182" s="182" t="s">
        <v>529</v>
      </c>
      <c r="E182" s="190" t="s">
        <v>642</v>
      </c>
      <c r="F182" s="273" t="s">
        <v>1411</v>
      </c>
    </row>
    <row r="183" spans="1:8">
      <c r="B183" s="179">
        <v>176</v>
      </c>
      <c r="C183" s="172"/>
      <c r="D183" s="183" t="s">
        <v>698</v>
      </c>
      <c r="E183" s="184">
        <f>审定现金流量表!D5</f>
        <v>0</v>
      </c>
      <c r="F183" s="184">
        <v>0</v>
      </c>
      <c r="H183" s="176">
        <f t="shared" ref="H183:H239" si="3">ABS(E183-F183)</f>
        <v>0</v>
      </c>
    </row>
    <row r="184" spans="1:8">
      <c r="B184" s="179">
        <v>177</v>
      </c>
      <c r="C184" s="172"/>
      <c r="D184" s="185" t="s">
        <v>699</v>
      </c>
      <c r="E184" s="184">
        <f>审定现金流量表!D6</f>
        <v>17000000</v>
      </c>
      <c r="F184" s="184">
        <v>104748312.95999999</v>
      </c>
      <c r="H184" s="176">
        <f t="shared" si="3"/>
        <v>87748312.959999993</v>
      </c>
    </row>
    <row r="185" spans="1:8">
      <c r="A185" s="173" t="s">
        <v>523</v>
      </c>
      <c r="B185" s="179">
        <v>178</v>
      </c>
      <c r="C185" s="172"/>
      <c r="D185" s="185" t="s">
        <v>700</v>
      </c>
      <c r="E185" s="184">
        <f>审定现金流量表!D7</f>
        <v>0</v>
      </c>
      <c r="F185" s="184">
        <v>0</v>
      </c>
      <c r="H185" s="176">
        <f t="shared" si="3"/>
        <v>0</v>
      </c>
    </row>
    <row r="186" spans="1:8">
      <c r="A186" s="181"/>
      <c r="B186" s="179">
        <v>179</v>
      </c>
      <c r="C186" s="172"/>
      <c r="D186" s="185" t="s">
        <v>701</v>
      </c>
      <c r="E186" s="184">
        <f>审定现金流量表!D8</f>
        <v>0</v>
      </c>
      <c r="F186" s="184">
        <v>0</v>
      </c>
      <c r="H186" s="176">
        <f t="shared" si="3"/>
        <v>0</v>
      </c>
    </row>
    <row r="187" spans="1:8">
      <c r="B187" s="179">
        <v>180</v>
      </c>
      <c r="C187" s="172"/>
      <c r="D187" s="185" t="s">
        <v>702</v>
      </c>
      <c r="E187" s="184">
        <f>审定现金流量表!D9</f>
        <v>0</v>
      </c>
      <c r="F187" s="184">
        <v>0</v>
      </c>
      <c r="H187" s="176">
        <f t="shared" si="3"/>
        <v>0</v>
      </c>
    </row>
    <row r="188" spans="1:8">
      <c r="B188" s="179">
        <v>181</v>
      </c>
      <c r="C188" s="172"/>
      <c r="D188" s="185" t="s">
        <v>703</v>
      </c>
      <c r="E188" s="184">
        <f>审定现金流量表!D10</f>
        <v>0</v>
      </c>
      <c r="F188" s="184">
        <v>0</v>
      </c>
      <c r="H188" s="176">
        <f t="shared" si="3"/>
        <v>0</v>
      </c>
    </row>
    <row r="189" spans="1:8">
      <c r="B189" s="179">
        <v>182</v>
      </c>
      <c r="C189" s="172"/>
      <c r="D189" s="185" t="s">
        <v>704</v>
      </c>
      <c r="E189" s="184">
        <f>审定现金流量表!D11</f>
        <v>0</v>
      </c>
      <c r="F189" s="184">
        <v>0</v>
      </c>
      <c r="H189" s="176">
        <f t="shared" si="3"/>
        <v>0</v>
      </c>
    </row>
    <row r="190" spans="1:8">
      <c r="B190" s="179">
        <v>183</v>
      </c>
      <c r="C190" s="172"/>
      <c r="D190" s="185" t="s">
        <v>705</v>
      </c>
      <c r="E190" s="184">
        <f>审定现金流量表!D12</f>
        <v>0</v>
      </c>
      <c r="F190" s="184">
        <v>0</v>
      </c>
      <c r="H190" s="176">
        <f t="shared" si="3"/>
        <v>0</v>
      </c>
    </row>
    <row r="191" spans="1:8">
      <c r="B191" s="179">
        <v>184</v>
      </c>
      <c r="C191" s="172"/>
      <c r="D191" s="185" t="s">
        <v>706</v>
      </c>
      <c r="E191" s="184">
        <f>审定现金流量表!D13</f>
        <v>0</v>
      </c>
      <c r="F191" s="184">
        <v>0</v>
      </c>
      <c r="H191" s="176">
        <f t="shared" si="3"/>
        <v>0</v>
      </c>
    </row>
    <row r="192" spans="1:8">
      <c r="B192" s="179">
        <v>185</v>
      </c>
      <c r="C192" s="172"/>
      <c r="D192" s="185" t="s">
        <v>707</v>
      </c>
      <c r="E192" s="184">
        <f>审定现金流量表!D14</f>
        <v>0</v>
      </c>
      <c r="F192" s="184">
        <v>0</v>
      </c>
      <c r="H192" s="176">
        <f t="shared" si="3"/>
        <v>0</v>
      </c>
    </row>
    <row r="193" spans="1:8" ht="13.5">
      <c r="A193" s="186" t="str">
        <f>HYPERLINK("#C1","置顶")</f>
        <v>置顶</v>
      </c>
      <c r="B193" s="179">
        <v>186</v>
      </c>
      <c r="C193" s="172"/>
      <c r="D193" s="185" t="s">
        <v>708</v>
      </c>
      <c r="E193" s="184">
        <f>审定现金流量表!D15</f>
        <v>0</v>
      </c>
      <c r="F193" s="184">
        <v>0</v>
      </c>
      <c r="H193" s="176">
        <f t="shared" si="3"/>
        <v>0</v>
      </c>
    </row>
    <row r="194" spans="1:8" ht="13.5">
      <c r="A194" s="187"/>
      <c r="B194" s="179">
        <v>187</v>
      </c>
      <c r="C194" s="172"/>
      <c r="D194" s="185" t="s">
        <v>709</v>
      </c>
      <c r="E194" s="184">
        <f>审定现金流量表!D16</f>
        <v>0</v>
      </c>
      <c r="F194" s="184">
        <v>0</v>
      </c>
      <c r="H194" s="176">
        <f t="shared" si="3"/>
        <v>0</v>
      </c>
    </row>
    <row r="195" spans="1:8" ht="13.5">
      <c r="A195" s="187"/>
      <c r="B195" s="179">
        <v>188</v>
      </c>
      <c r="C195" s="172"/>
      <c r="D195" s="185" t="s">
        <v>710</v>
      </c>
      <c r="E195" s="184">
        <f>审定现金流量表!D17</f>
        <v>511678</v>
      </c>
      <c r="F195" s="184">
        <v>0</v>
      </c>
      <c r="H195" s="176">
        <f t="shared" si="3"/>
        <v>511678</v>
      </c>
    </row>
    <row r="196" spans="1:8">
      <c r="B196" s="179">
        <v>189</v>
      </c>
      <c r="C196" s="172"/>
      <c r="D196" s="185" t="s">
        <v>711</v>
      </c>
      <c r="E196" s="184">
        <f>审定现金流量表!D18</f>
        <v>278279.76</v>
      </c>
      <c r="F196" s="184">
        <v>351839900.57999998</v>
      </c>
      <c r="H196" s="176">
        <f t="shared" si="3"/>
        <v>351561620.81999999</v>
      </c>
    </row>
    <row r="197" spans="1:8">
      <c r="B197" s="179">
        <v>190</v>
      </c>
      <c r="C197" s="172"/>
      <c r="D197" s="183" t="s">
        <v>712</v>
      </c>
      <c r="E197" s="184">
        <f>审定现金流量表!D19</f>
        <v>17789957.760000002</v>
      </c>
      <c r="F197" s="184">
        <v>456588213.53999996</v>
      </c>
      <c r="H197" s="176">
        <f t="shared" si="3"/>
        <v>438798255.77999997</v>
      </c>
    </row>
    <row r="198" spans="1:8">
      <c r="B198" s="179">
        <v>191</v>
      </c>
      <c r="C198" s="172"/>
      <c r="D198" s="185" t="s">
        <v>713</v>
      </c>
      <c r="E198" s="184">
        <f>审定现金流量表!D20</f>
        <v>0</v>
      </c>
      <c r="F198" s="184">
        <v>248401558.88999999</v>
      </c>
      <c r="H198" s="176">
        <f t="shared" si="3"/>
        <v>248401558.88999999</v>
      </c>
    </row>
    <row r="199" spans="1:8">
      <c r="B199" s="179">
        <v>192</v>
      </c>
      <c r="C199" s="172"/>
      <c r="D199" s="185" t="s">
        <v>714</v>
      </c>
      <c r="E199" s="184">
        <f>审定现金流量表!D21</f>
        <v>0</v>
      </c>
      <c r="F199" s="184">
        <v>0</v>
      </c>
      <c r="H199" s="176">
        <f t="shared" si="3"/>
        <v>0</v>
      </c>
    </row>
    <row r="200" spans="1:8">
      <c r="A200" s="173" t="s">
        <v>523</v>
      </c>
      <c r="B200" s="179">
        <v>193</v>
      </c>
      <c r="C200" s="172"/>
      <c r="D200" s="185" t="s">
        <v>715</v>
      </c>
      <c r="E200" s="184">
        <f>审定现金流量表!D22</f>
        <v>0</v>
      </c>
      <c r="F200" s="184">
        <v>0</v>
      </c>
      <c r="H200" s="176">
        <f t="shared" si="3"/>
        <v>0</v>
      </c>
    </row>
    <row r="201" spans="1:8">
      <c r="B201" s="179">
        <v>194</v>
      </c>
      <c r="C201" s="172"/>
      <c r="D201" s="185" t="s">
        <v>716</v>
      </c>
      <c r="E201" s="184">
        <f>审定现金流量表!D23</f>
        <v>0</v>
      </c>
      <c r="F201" s="184">
        <v>0</v>
      </c>
      <c r="H201" s="176">
        <f t="shared" si="3"/>
        <v>0</v>
      </c>
    </row>
    <row r="202" spans="1:8">
      <c r="B202" s="179">
        <v>195</v>
      </c>
      <c r="C202" s="172"/>
      <c r="D202" s="185" t="s">
        <v>717</v>
      </c>
      <c r="E202" s="184">
        <f>审定现金流量表!D24</f>
        <v>0</v>
      </c>
      <c r="F202" s="184">
        <v>0</v>
      </c>
      <c r="H202" s="176">
        <f t="shared" si="3"/>
        <v>0</v>
      </c>
    </row>
    <row r="203" spans="1:8">
      <c r="B203" s="179">
        <v>196</v>
      </c>
      <c r="C203" s="172"/>
      <c r="D203" s="185" t="s">
        <v>718</v>
      </c>
      <c r="E203" s="184">
        <f>审定现金流量表!D25</f>
        <v>0</v>
      </c>
      <c r="F203" s="184">
        <v>0</v>
      </c>
      <c r="H203" s="176">
        <f t="shared" si="3"/>
        <v>0</v>
      </c>
    </row>
    <row r="204" spans="1:8">
      <c r="B204" s="179">
        <v>197</v>
      </c>
      <c r="C204" s="172"/>
      <c r="D204" s="185" t="s">
        <v>719</v>
      </c>
      <c r="E204" s="184">
        <f>审定现金流量表!D26</f>
        <v>7355606.5899999999</v>
      </c>
      <c r="F204" s="184">
        <v>57467836.609999999</v>
      </c>
      <c r="H204" s="176">
        <f t="shared" si="3"/>
        <v>50112230.019999996</v>
      </c>
    </row>
    <row r="205" spans="1:8">
      <c r="B205" s="179">
        <v>198</v>
      </c>
      <c r="C205" s="172"/>
      <c r="D205" s="185" t="s">
        <v>720</v>
      </c>
      <c r="E205" s="184">
        <f>审定现金流量表!D27</f>
        <v>6419475.4900000002</v>
      </c>
      <c r="F205" s="184">
        <v>17080710.57</v>
      </c>
      <c r="H205" s="176">
        <f t="shared" si="3"/>
        <v>10661235.08</v>
      </c>
    </row>
    <row r="206" spans="1:8">
      <c r="B206" s="179">
        <v>199</v>
      </c>
      <c r="C206" s="172"/>
      <c r="D206" s="185" t="s">
        <v>721</v>
      </c>
      <c r="E206" s="184">
        <f>审定现金流量表!D28</f>
        <v>4139025.11</v>
      </c>
      <c r="F206" s="184">
        <v>87421478.25</v>
      </c>
      <c r="H206" s="176">
        <f t="shared" si="3"/>
        <v>83282453.140000001</v>
      </c>
    </row>
    <row r="207" spans="1:8">
      <c r="B207" s="179">
        <v>200</v>
      </c>
      <c r="C207" s="172"/>
      <c r="D207" s="183" t="s">
        <v>722</v>
      </c>
      <c r="E207" s="184">
        <f>审定现金流量表!D29</f>
        <v>17914107.190000001</v>
      </c>
      <c r="F207" s="184">
        <v>410371584.31999999</v>
      </c>
      <c r="H207" s="176">
        <f t="shared" si="3"/>
        <v>392457477.13</v>
      </c>
    </row>
    <row r="208" spans="1:8">
      <c r="B208" s="179">
        <v>201</v>
      </c>
      <c r="C208" s="172"/>
      <c r="D208" s="183" t="s">
        <v>723</v>
      </c>
      <c r="E208" s="184">
        <f>审定现金流量表!D30</f>
        <v>-124149.4299999997</v>
      </c>
      <c r="F208" s="184">
        <v>46216629.219999969</v>
      </c>
      <c r="H208" s="176">
        <f t="shared" si="3"/>
        <v>46340778.649999969</v>
      </c>
    </row>
    <row r="209" spans="1:8">
      <c r="B209" s="179">
        <v>202</v>
      </c>
      <c r="C209" s="172"/>
      <c r="D209" s="183" t="s">
        <v>724</v>
      </c>
      <c r="E209" s="184">
        <f>审定现金流量表!D31</f>
        <v>0</v>
      </c>
      <c r="F209" s="184">
        <v>0</v>
      </c>
      <c r="H209" s="176">
        <f t="shared" si="3"/>
        <v>0</v>
      </c>
    </row>
    <row r="210" spans="1:8">
      <c r="A210" s="173" t="s">
        <v>523</v>
      </c>
      <c r="B210" s="179">
        <v>203</v>
      </c>
      <c r="C210" s="172"/>
      <c r="D210" s="185" t="s">
        <v>725</v>
      </c>
      <c r="E210" s="184">
        <f>审定现金流量表!D32</f>
        <v>0</v>
      </c>
      <c r="F210" s="184">
        <v>0</v>
      </c>
      <c r="H210" s="176">
        <f t="shared" si="3"/>
        <v>0</v>
      </c>
    </row>
    <row r="211" spans="1:8">
      <c r="A211" s="181"/>
      <c r="B211" s="179">
        <v>204</v>
      </c>
      <c r="C211" s="172"/>
      <c r="D211" s="185" t="s">
        <v>726</v>
      </c>
      <c r="E211" s="184">
        <f>审定现金流量表!D33</f>
        <v>0</v>
      </c>
      <c r="F211" s="184">
        <v>0</v>
      </c>
      <c r="H211" s="176">
        <f t="shared" si="3"/>
        <v>0</v>
      </c>
    </row>
    <row r="212" spans="1:8">
      <c r="B212" s="179">
        <v>205</v>
      </c>
      <c r="C212" s="172"/>
      <c r="D212" s="185" t="s">
        <v>727</v>
      </c>
      <c r="E212" s="184">
        <f>审定现金流量表!D34</f>
        <v>0</v>
      </c>
      <c r="F212" s="184">
        <v>7313364.04</v>
      </c>
      <c r="H212" s="176">
        <f t="shared" si="3"/>
        <v>7313364.04</v>
      </c>
    </row>
    <row r="213" spans="1:8">
      <c r="B213" s="179">
        <v>206</v>
      </c>
      <c r="C213" s="172"/>
      <c r="D213" s="185" t="s">
        <v>728</v>
      </c>
      <c r="E213" s="184">
        <f>审定现金流量表!D35</f>
        <v>0</v>
      </c>
      <c r="F213" s="184">
        <v>0</v>
      </c>
      <c r="H213" s="176">
        <f t="shared" si="3"/>
        <v>0</v>
      </c>
    </row>
    <row r="214" spans="1:8">
      <c r="B214" s="179">
        <v>207</v>
      </c>
      <c r="C214" s="172"/>
      <c r="D214" s="185" t="s">
        <v>729</v>
      </c>
      <c r="E214" s="184">
        <f>审定现金流量表!D36</f>
        <v>0</v>
      </c>
      <c r="F214" s="184">
        <v>0</v>
      </c>
      <c r="H214" s="176">
        <f t="shared" si="3"/>
        <v>0</v>
      </c>
    </row>
    <row r="215" spans="1:8">
      <c r="B215" s="179">
        <v>208</v>
      </c>
      <c r="C215" s="172"/>
      <c r="D215" s="183" t="s">
        <v>730</v>
      </c>
      <c r="E215" s="184">
        <f>审定现金流量表!D37</f>
        <v>0</v>
      </c>
      <c r="F215" s="184">
        <v>7313364.04</v>
      </c>
      <c r="H215" s="176">
        <f t="shared" si="3"/>
        <v>7313364.04</v>
      </c>
    </row>
    <row r="216" spans="1:8">
      <c r="B216" s="179">
        <v>209</v>
      </c>
      <c r="C216" s="172"/>
      <c r="D216" s="185" t="s">
        <v>731</v>
      </c>
      <c r="E216" s="184">
        <f>审定现金流量表!D38</f>
        <v>721377.37</v>
      </c>
      <c r="F216" s="184">
        <v>1721198.59</v>
      </c>
      <c r="H216" s="176">
        <f t="shared" si="3"/>
        <v>999821.22000000009</v>
      </c>
    </row>
    <row r="217" spans="1:8">
      <c r="B217" s="179">
        <v>210</v>
      </c>
      <c r="C217" s="172"/>
      <c r="D217" s="185" t="s">
        <v>732</v>
      </c>
      <c r="E217" s="184">
        <f>审定现金流量表!D39</f>
        <v>330000</v>
      </c>
      <c r="F217" s="184">
        <v>30000000</v>
      </c>
      <c r="H217" s="176">
        <f t="shared" si="3"/>
        <v>29670000</v>
      </c>
    </row>
    <row r="218" spans="1:8" ht="13.5">
      <c r="A218" s="186" t="str">
        <f>HYPERLINK("#C1","置顶")</f>
        <v>置顶</v>
      </c>
      <c r="B218" s="179">
        <v>211</v>
      </c>
      <c r="C218" s="172"/>
      <c r="D218" s="185" t="s">
        <v>733</v>
      </c>
      <c r="E218" s="184">
        <f>审定现金流量表!D40</f>
        <v>0</v>
      </c>
      <c r="F218" s="184">
        <v>0</v>
      </c>
      <c r="H218" s="176">
        <f t="shared" si="3"/>
        <v>0</v>
      </c>
    </row>
    <row r="219" spans="1:8" ht="13.5">
      <c r="A219" s="187"/>
      <c r="B219" s="179">
        <v>212</v>
      </c>
      <c r="C219" s="172"/>
      <c r="D219" s="185" t="s">
        <v>734</v>
      </c>
      <c r="E219" s="184">
        <f>审定现金流量表!D41</f>
        <v>0</v>
      </c>
      <c r="F219" s="184">
        <v>0</v>
      </c>
      <c r="H219" s="176">
        <f t="shared" si="3"/>
        <v>0</v>
      </c>
    </row>
    <row r="220" spans="1:8" ht="13.5">
      <c r="A220" s="187"/>
      <c r="B220" s="179">
        <v>213</v>
      </c>
      <c r="C220" s="172"/>
      <c r="D220" s="185" t="s">
        <v>735</v>
      </c>
      <c r="E220" s="184">
        <f>审定现金流量表!D42</f>
        <v>0</v>
      </c>
      <c r="F220" s="184">
        <v>0</v>
      </c>
      <c r="H220" s="176">
        <f t="shared" si="3"/>
        <v>0</v>
      </c>
    </row>
    <row r="221" spans="1:8">
      <c r="B221" s="179">
        <v>214</v>
      </c>
      <c r="C221" s="172"/>
      <c r="D221" s="183" t="s">
        <v>736</v>
      </c>
      <c r="E221" s="184">
        <f>审定现金流量表!D43</f>
        <v>1051377.3700000001</v>
      </c>
      <c r="F221" s="184">
        <v>31721198.59</v>
      </c>
      <c r="H221" s="176">
        <f t="shared" si="3"/>
        <v>30669821.219999999</v>
      </c>
    </row>
    <row r="222" spans="1:8">
      <c r="B222" s="179">
        <v>215</v>
      </c>
      <c r="C222" s="172"/>
      <c r="D222" s="183" t="s">
        <v>737</v>
      </c>
      <c r="E222" s="184">
        <f>审定现金流量表!D44</f>
        <v>-1051377.3700000001</v>
      </c>
      <c r="F222" s="184">
        <v>-24407834.550000001</v>
      </c>
      <c r="H222" s="176">
        <f t="shared" si="3"/>
        <v>23356457.18</v>
      </c>
    </row>
    <row r="223" spans="1:8">
      <c r="B223" s="179">
        <v>216</v>
      </c>
      <c r="C223" s="172"/>
      <c r="D223" s="183" t="s">
        <v>738</v>
      </c>
      <c r="E223" s="184">
        <f>审定现金流量表!D45</f>
        <v>0</v>
      </c>
      <c r="F223" s="184">
        <v>0</v>
      </c>
      <c r="H223" s="176">
        <f t="shared" si="3"/>
        <v>0</v>
      </c>
    </row>
    <row r="224" spans="1:8">
      <c r="B224" s="179">
        <v>217</v>
      </c>
      <c r="C224" s="172"/>
      <c r="D224" s="185" t="s">
        <v>739</v>
      </c>
      <c r="E224" s="184">
        <f>审定现金流量表!D46</f>
        <v>0</v>
      </c>
      <c r="F224" s="184">
        <v>0</v>
      </c>
      <c r="H224" s="176">
        <f t="shared" si="3"/>
        <v>0</v>
      </c>
    </row>
    <row r="225" spans="1:8">
      <c r="A225" s="173" t="s">
        <v>523</v>
      </c>
      <c r="B225" s="179">
        <v>218</v>
      </c>
      <c r="C225" s="172"/>
      <c r="D225" s="185" t="s">
        <v>740</v>
      </c>
      <c r="E225" s="184">
        <f>审定现金流量表!D47</f>
        <v>0</v>
      </c>
      <c r="F225" s="184">
        <v>0</v>
      </c>
      <c r="H225" s="176">
        <f t="shared" si="3"/>
        <v>0</v>
      </c>
    </row>
    <row r="226" spans="1:8">
      <c r="B226" s="179">
        <v>219</v>
      </c>
      <c r="C226" s="172"/>
      <c r="D226" s="185" t="s">
        <v>741</v>
      </c>
      <c r="E226" s="184">
        <f>审定现金流量表!D48</f>
        <v>0</v>
      </c>
      <c r="F226" s="184">
        <v>230000000</v>
      </c>
      <c r="H226" s="176">
        <f t="shared" si="3"/>
        <v>230000000</v>
      </c>
    </row>
    <row r="227" spans="1:8">
      <c r="B227" s="179">
        <v>220</v>
      </c>
      <c r="C227" s="172"/>
      <c r="D227" s="185" t="s">
        <v>742</v>
      </c>
      <c r="E227" s="184">
        <f>审定现金流量表!D49</f>
        <v>0</v>
      </c>
      <c r="F227" s="184">
        <v>0</v>
      </c>
      <c r="H227" s="176">
        <f t="shared" si="3"/>
        <v>0</v>
      </c>
    </row>
    <row r="228" spans="1:8">
      <c r="B228" s="179">
        <v>221</v>
      </c>
      <c r="C228" s="172"/>
      <c r="D228" s="185" t="s">
        <v>743</v>
      </c>
      <c r="E228" s="184">
        <f>审定现金流量表!D50</f>
        <v>0</v>
      </c>
      <c r="F228" s="184">
        <v>0</v>
      </c>
      <c r="H228" s="176">
        <f t="shared" si="3"/>
        <v>0</v>
      </c>
    </row>
    <row r="229" spans="1:8">
      <c r="A229" s="173" t="s">
        <v>523</v>
      </c>
      <c r="B229" s="179">
        <v>222</v>
      </c>
      <c r="C229" s="172"/>
      <c r="D229" s="183" t="s">
        <v>744</v>
      </c>
      <c r="E229" s="184">
        <f>审定现金流量表!D51</f>
        <v>0</v>
      </c>
      <c r="F229" s="184">
        <v>230000000</v>
      </c>
      <c r="H229" s="176">
        <f t="shared" si="3"/>
        <v>230000000</v>
      </c>
    </row>
    <row r="230" spans="1:8">
      <c r="A230" s="181"/>
      <c r="B230" s="179">
        <v>223</v>
      </c>
      <c r="C230" s="172"/>
      <c r="D230" s="185" t="s">
        <v>745</v>
      </c>
      <c r="E230" s="184">
        <f>审定现金流量表!D52</f>
        <v>0</v>
      </c>
      <c r="F230" s="184">
        <v>232000000</v>
      </c>
      <c r="H230" s="176">
        <f t="shared" si="3"/>
        <v>232000000</v>
      </c>
    </row>
    <row r="231" spans="1:8">
      <c r="B231" s="179">
        <v>224</v>
      </c>
      <c r="C231" s="172"/>
      <c r="D231" s="185" t="s">
        <v>746</v>
      </c>
      <c r="E231" s="184">
        <f>审定现金流量表!D53</f>
        <v>14900000</v>
      </c>
      <c r="F231" s="184">
        <v>13867712.380000001</v>
      </c>
      <c r="H231" s="176">
        <f t="shared" si="3"/>
        <v>1032287.6199999992</v>
      </c>
    </row>
    <row r="232" spans="1:8">
      <c r="B232" s="179">
        <v>225</v>
      </c>
      <c r="C232" s="172"/>
      <c r="D232" s="185" t="s">
        <v>747</v>
      </c>
      <c r="E232" s="184">
        <f>审定现金流量表!D54</f>
        <v>0</v>
      </c>
      <c r="F232" s="184">
        <v>0</v>
      </c>
      <c r="H232" s="176">
        <f t="shared" si="3"/>
        <v>0</v>
      </c>
    </row>
    <row r="233" spans="1:8">
      <c r="B233" s="179">
        <v>226</v>
      </c>
      <c r="C233" s="172"/>
      <c r="D233" s="185" t="s">
        <v>748</v>
      </c>
      <c r="E233" s="184">
        <f>审定现金流量表!D55</f>
        <v>0</v>
      </c>
      <c r="F233" s="184">
        <v>0</v>
      </c>
      <c r="H233" s="176">
        <f t="shared" si="3"/>
        <v>0</v>
      </c>
    </row>
    <row r="234" spans="1:8">
      <c r="B234" s="179">
        <v>227</v>
      </c>
      <c r="C234" s="172"/>
      <c r="D234" s="183" t="s">
        <v>749</v>
      </c>
      <c r="E234" s="184">
        <f>审定现金流量表!D56</f>
        <v>14900000</v>
      </c>
      <c r="F234" s="184">
        <v>245867712.38</v>
      </c>
      <c r="H234" s="176">
        <f t="shared" si="3"/>
        <v>230967712.38</v>
      </c>
    </row>
    <row r="235" spans="1:8">
      <c r="B235" s="179">
        <v>228</v>
      </c>
      <c r="C235" s="172"/>
      <c r="D235" s="183" t="s">
        <v>750</v>
      </c>
      <c r="E235" s="184">
        <f>审定现金流量表!D57</f>
        <v>-14900000</v>
      </c>
      <c r="F235" s="184">
        <v>-15867712.379999995</v>
      </c>
      <c r="H235" s="176">
        <f t="shared" si="3"/>
        <v>967712.37999999523</v>
      </c>
    </row>
    <row r="236" spans="1:8">
      <c r="B236" s="179">
        <v>229</v>
      </c>
      <c r="C236" s="172"/>
      <c r="D236" s="183" t="s">
        <v>751</v>
      </c>
      <c r="E236" s="184">
        <f>审定现金流量表!D58</f>
        <v>0</v>
      </c>
      <c r="F236" s="184">
        <v>0</v>
      </c>
      <c r="H236" s="176">
        <f t="shared" si="3"/>
        <v>0</v>
      </c>
    </row>
    <row r="237" spans="1:8" ht="13.5">
      <c r="A237" s="186" t="str">
        <f>HYPERLINK("#C1","置顶")</f>
        <v>置顶</v>
      </c>
      <c r="B237" s="179">
        <v>230</v>
      </c>
      <c r="C237" s="172"/>
      <c r="D237" s="183" t="s">
        <v>752</v>
      </c>
      <c r="E237" s="184">
        <f>审定现金流量表!D59</f>
        <v>-16075526.800000001</v>
      </c>
      <c r="F237" s="184">
        <v>5941082.289999973</v>
      </c>
      <c r="H237" s="176">
        <f t="shared" si="3"/>
        <v>22016609.089999974</v>
      </c>
    </row>
    <row r="238" spans="1:8" ht="13.5">
      <c r="A238" s="187"/>
      <c r="B238" s="179">
        <v>231</v>
      </c>
      <c r="C238" s="172"/>
      <c r="D238" s="185" t="s">
        <v>753</v>
      </c>
      <c r="E238" s="184">
        <f>审定现金流量表!D60</f>
        <v>22345766.09</v>
      </c>
      <c r="F238" s="184">
        <v>5552365.2599999998</v>
      </c>
      <c r="H238" s="176">
        <f t="shared" si="3"/>
        <v>16793400.829999998</v>
      </c>
    </row>
    <row r="239" spans="1:8" ht="14.25" thickBot="1">
      <c r="A239" s="187"/>
      <c r="B239" s="179">
        <v>232</v>
      </c>
      <c r="C239" s="172"/>
      <c r="D239" s="188" t="s">
        <v>754</v>
      </c>
      <c r="E239" s="184">
        <f>审定现金流量表!D61</f>
        <v>6270239.2899999991</v>
      </c>
      <c r="F239" s="184">
        <v>11493447.549999973</v>
      </c>
      <c r="H239" s="176">
        <f t="shared" si="3"/>
        <v>5223208.2599999737</v>
      </c>
    </row>
    <row r="240" spans="1:8">
      <c r="B240" s="179">
        <v>233</v>
      </c>
      <c r="C240" s="172"/>
      <c r="H240" s="175">
        <f>SUM(H183:H239)</f>
        <v>2778199358.7299995</v>
      </c>
    </row>
    <row r="241" spans="1:8" ht="13.5" thickBot="1">
      <c r="B241" s="179">
        <v>234</v>
      </c>
      <c r="C241" s="172"/>
    </row>
    <row r="242" spans="1:8">
      <c r="B242" s="179">
        <v>235</v>
      </c>
      <c r="C242" s="172"/>
      <c r="D242" s="1656" t="s">
        <v>755</v>
      </c>
      <c r="E242" s="1658" t="s">
        <v>756</v>
      </c>
      <c r="F242" s="1659" t="s">
        <v>1406</v>
      </c>
    </row>
    <row r="243" spans="1:8">
      <c r="B243" s="179">
        <v>236</v>
      </c>
      <c r="C243" s="172"/>
      <c r="D243" s="1657"/>
      <c r="E243" s="1658"/>
      <c r="F243" s="1658"/>
    </row>
    <row r="244" spans="1:8">
      <c r="A244" s="173" t="s">
        <v>523</v>
      </c>
      <c r="B244" s="179">
        <v>237</v>
      </c>
      <c r="C244" s="172"/>
      <c r="D244" s="185" t="s">
        <v>757</v>
      </c>
      <c r="E244" s="184">
        <f>审定资产减值准备情况表!B6</f>
        <v>0</v>
      </c>
      <c r="F244" s="184">
        <v>18683381.27</v>
      </c>
      <c r="H244" s="176">
        <f t="shared" ref="H244:H259" si="4">ABS(E244-F244)</f>
        <v>18683381.27</v>
      </c>
    </row>
    <row r="245" spans="1:8">
      <c r="B245" s="179">
        <v>238</v>
      </c>
      <c r="C245" s="172"/>
      <c r="D245" s="185" t="s">
        <v>758</v>
      </c>
      <c r="E245" s="184">
        <f>审定资产减值准备情况表!B7</f>
        <v>0</v>
      </c>
      <c r="F245" s="184">
        <v>0</v>
      </c>
      <c r="H245" s="176">
        <f t="shared" si="4"/>
        <v>0</v>
      </c>
    </row>
    <row r="246" spans="1:8">
      <c r="B246" s="179">
        <v>239</v>
      </c>
      <c r="C246" s="172"/>
      <c r="D246" s="185" t="s">
        <v>759</v>
      </c>
      <c r="E246" s="184">
        <f>审定资产减值准备情况表!B9</f>
        <v>0</v>
      </c>
      <c r="F246" s="184">
        <v>0</v>
      </c>
      <c r="H246" s="176">
        <f t="shared" si="4"/>
        <v>0</v>
      </c>
    </row>
    <row r="247" spans="1:8">
      <c r="B247" s="179">
        <v>240</v>
      </c>
      <c r="C247" s="172"/>
      <c r="D247" s="185" t="s">
        <v>760</v>
      </c>
      <c r="E247" s="184">
        <f>审定资产减值准备情况表!B10</f>
        <v>0</v>
      </c>
      <c r="F247" s="184">
        <v>0</v>
      </c>
      <c r="H247" s="176">
        <f t="shared" si="4"/>
        <v>0</v>
      </c>
    </row>
    <row r="248" spans="1:8">
      <c r="B248" s="179">
        <v>241</v>
      </c>
      <c r="C248" s="172"/>
      <c r="D248" s="185" t="s">
        <v>761</v>
      </c>
      <c r="E248" s="184">
        <f>审定资产减值准备情况表!B11</f>
        <v>0</v>
      </c>
      <c r="F248" s="184">
        <v>0</v>
      </c>
      <c r="H248" s="176">
        <f t="shared" si="4"/>
        <v>0</v>
      </c>
    </row>
    <row r="249" spans="1:8">
      <c r="B249" s="179">
        <v>242</v>
      </c>
      <c r="C249" s="172"/>
      <c r="D249" s="185" t="s">
        <v>762</v>
      </c>
      <c r="E249" s="184">
        <f>审定资产减值准备情况表!B12</f>
        <v>0</v>
      </c>
      <c r="F249" s="184">
        <v>0</v>
      </c>
      <c r="H249" s="176">
        <f t="shared" si="4"/>
        <v>0</v>
      </c>
    </row>
    <row r="250" spans="1:8">
      <c r="B250" s="179">
        <v>243</v>
      </c>
      <c r="C250" s="172"/>
      <c r="D250" s="185" t="s">
        <v>763</v>
      </c>
      <c r="E250" s="184">
        <f>审定资产减值准备情况表!B13</f>
        <v>0</v>
      </c>
      <c r="F250" s="184">
        <v>345126.43</v>
      </c>
      <c r="H250" s="176">
        <f t="shared" si="4"/>
        <v>345126.43</v>
      </c>
    </row>
    <row r="251" spans="1:8">
      <c r="A251" s="173" t="s">
        <v>523</v>
      </c>
      <c r="B251" s="179">
        <v>244</v>
      </c>
      <c r="C251" s="172"/>
      <c r="D251" s="185" t="s">
        <v>764</v>
      </c>
      <c r="E251" s="184">
        <f>审定资产减值准备情况表!B14</f>
        <v>0</v>
      </c>
      <c r="F251" s="184">
        <v>0</v>
      </c>
      <c r="H251" s="176">
        <f t="shared" si="4"/>
        <v>0</v>
      </c>
    </row>
    <row r="252" spans="1:8">
      <c r="A252" s="181"/>
      <c r="B252" s="179">
        <v>245</v>
      </c>
      <c r="C252" s="172"/>
      <c r="D252" s="185" t="s">
        <v>765</v>
      </c>
      <c r="E252" s="184">
        <f>审定资产减值准备情况表!B15</f>
        <v>0</v>
      </c>
      <c r="F252" s="184">
        <v>195837.22</v>
      </c>
      <c r="H252" s="176">
        <f t="shared" si="4"/>
        <v>195837.22</v>
      </c>
    </row>
    <row r="253" spans="1:8">
      <c r="B253" s="179">
        <v>246</v>
      </c>
      <c r="C253" s="172"/>
      <c r="D253" s="185" t="s">
        <v>766</v>
      </c>
      <c r="E253" s="184">
        <f>审定资产减值准备情况表!B16</f>
        <v>0</v>
      </c>
      <c r="F253" s="184">
        <v>0</v>
      </c>
      <c r="H253" s="176">
        <f t="shared" si="4"/>
        <v>0</v>
      </c>
    </row>
    <row r="254" spans="1:8">
      <c r="B254" s="179">
        <v>247</v>
      </c>
      <c r="C254" s="172"/>
      <c r="D254" s="185" t="s">
        <v>767</v>
      </c>
      <c r="E254" s="184">
        <f>审定资产减值准备情况表!B17</f>
        <v>0</v>
      </c>
      <c r="F254" s="184">
        <v>0</v>
      </c>
      <c r="H254" s="176">
        <f t="shared" si="4"/>
        <v>0</v>
      </c>
    </row>
    <row r="255" spans="1:8">
      <c r="B255" s="179">
        <v>248</v>
      </c>
      <c r="C255" s="172"/>
      <c r="D255" s="185" t="s">
        <v>768</v>
      </c>
      <c r="E255" s="184">
        <f>审定资产减值准备情况表!B18</f>
        <v>0</v>
      </c>
      <c r="F255" s="184">
        <v>0</v>
      </c>
      <c r="H255" s="176">
        <f t="shared" si="4"/>
        <v>0</v>
      </c>
    </row>
    <row r="256" spans="1:8">
      <c r="B256" s="179">
        <v>249</v>
      </c>
      <c r="C256" s="172"/>
      <c r="D256" s="185" t="s">
        <v>769</v>
      </c>
      <c r="E256" s="184">
        <f>审定资产减值准备情况表!B19</f>
        <v>0</v>
      </c>
      <c r="F256" s="184">
        <v>0</v>
      </c>
      <c r="H256" s="176">
        <f t="shared" si="4"/>
        <v>0</v>
      </c>
    </row>
    <row r="257" spans="1:14">
      <c r="B257" s="179">
        <v>250</v>
      </c>
      <c r="C257" s="172"/>
      <c r="D257" s="185" t="s">
        <v>770</v>
      </c>
      <c r="E257" s="184">
        <f>审定资产减值准备情况表!B20</f>
        <v>0</v>
      </c>
      <c r="F257" s="184">
        <v>0</v>
      </c>
      <c r="H257" s="176">
        <f t="shared" si="4"/>
        <v>0</v>
      </c>
    </row>
    <row r="258" spans="1:14">
      <c r="B258" s="179">
        <v>251</v>
      </c>
      <c r="C258" s="172"/>
      <c r="D258" s="185"/>
      <c r="E258" s="184">
        <f>审定资产减值准备情况表!B21</f>
        <v>0</v>
      </c>
      <c r="F258" s="184">
        <v>0</v>
      </c>
      <c r="H258" s="176">
        <f t="shared" si="4"/>
        <v>0</v>
      </c>
    </row>
    <row r="259" spans="1:14" ht="13.5">
      <c r="A259" s="186" t="str">
        <f>HYPERLINK("#C1","置顶")</f>
        <v>置顶</v>
      </c>
      <c r="B259" s="179">
        <v>252</v>
      </c>
      <c r="C259" s="172"/>
      <c r="D259" s="185"/>
      <c r="E259" s="184">
        <f>审定资产减值准备情况表!B22</f>
        <v>0</v>
      </c>
      <c r="F259" s="184">
        <v>0</v>
      </c>
      <c r="H259" s="176">
        <f t="shared" si="4"/>
        <v>0</v>
      </c>
    </row>
    <row r="260" spans="1:14" ht="14.25" thickBot="1">
      <c r="A260" s="187"/>
      <c r="B260" s="179">
        <v>253</v>
      </c>
      <c r="C260" s="172"/>
      <c r="D260" s="194" t="s">
        <v>771</v>
      </c>
      <c r="E260" s="184">
        <f>审定资产减值准备情况表!B23</f>
        <v>0</v>
      </c>
      <c r="F260" s="184">
        <v>19224344.919999998</v>
      </c>
      <c r="H260" s="176">
        <f>ABS(E260-F260)</f>
        <v>19224344.919999998</v>
      </c>
    </row>
    <row r="261" spans="1:14" ht="13.5">
      <c r="A261" s="187"/>
      <c r="B261" s="179">
        <v>254</v>
      </c>
      <c r="C261" s="172"/>
      <c r="H261" s="175">
        <f>SUM(H244:H260)</f>
        <v>38448689.839999996</v>
      </c>
    </row>
    <row r="262" spans="1:14">
      <c r="B262" s="179">
        <v>255</v>
      </c>
      <c r="C262" s="172"/>
    </row>
    <row r="263" spans="1:14">
      <c r="B263" s="179">
        <v>256</v>
      </c>
      <c r="C263" s="172"/>
      <c r="D263" s="195" t="s">
        <v>772</v>
      </c>
    </row>
    <row r="264" spans="1:14">
      <c r="B264" s="179">
        <v>257</v>
      </c>
      <c r="C264" s="172"/>
      <c r="D264" s="1660" t="s">
        <v>773</v>
      </c>
      <c r="E264" s="1661" t="s">
        <v>774</v>
      </c>
      <c r="F264" s="1661"/>
      <c r="G264" s="1661"/>
      <c r="H264" s="1668" t="s">
        <v>1407</v>
      </c>
      <c r="I264" s="1662"/>
      <c r="J264" s="1662"/>
      <c r="L264" s="1662" t="s">
        <v>775</v>
      </c>
      <c r="M264" s="1662"/>
      <c r="N264" s="1662"/>
    </row>
    <row r="265" spans="1:14">
      <c r="B265" s="179">
        <v>258</v>
      </c>
      <c r="C265" s="172"/>
      <c r="D265" s="1660"/>
      <c r="E265" s="190" t="s">
        <v>776</v>
      </c>
      <c r="F265" s="190" t="s">
        <v>777</v>
      </c>
      <c r="G265" s="190" t="s">
        <v>778</v>
      </c>
      <c r="H265" s="178" t="s">
        <v>776</v>
      </c>
      <c r="I265" s="178" t="s">
        <v>777</v>
      </c>
      <c r="J265" s="178" t="s">
        <v>778</v>
      </c>
      <c r="L265" s="178" t="s">
        <v>776</v>
      </c>
      <c r="M265" s="178" t="s">
        <v>777</v>
      </c>
      <c r="N265" s="178" t="s">
        <v>778</v>
      </c>
    </row>
    <row r="266" spans="1:14">
      <c r="A266" s="173" t="s">
        <v>523</v>
      </c>
      <c r="B266" s="179">
        <v>259</v>
      </c>
      <c r="C266" s="172"/>
      <c r="D266" s="196" t="s">
        <v>779</v>
      </c>
      <c r="E266" s="184">
        <f>货币资金!G4</f>
        <v>29092.44</v>
      </c>
      <c r="F266" s="184">
        <f>货币资金!H4</f>
        <v>0</v>
      </c>
      <c r="G266" s="184">
        <f>货币资金!I4</f>
        <v>29092.44</v>
      </c>
      <c r="H266" s="184">
        <v>0</v>
      </c>
      <c r="I266" s="184">
        <v>0</v>
      </c>
      <c r="J266" s="184">
        <v>0</v>
      </c>
      <c r="L266" s="180">
        <f>ABS(E266-H266)</f>
        <v>29092.44</v>
      </c>
      <c r="M266" s="180">
        <f t="shared" ref="M266:N281" si="5">ABS(F266-I266)</f>
        <v>0</v>
      </c>
      <c r="N266" s="180">
        <f t="shared" si="5"/>
        <v>29092.44</v>
      </c>
    </row>
    <row r="267" spans="1:14">
      <c r="B267" s="179">
        <v>260</v>
      </c>
      <c r="C267" s="172"/>
      <c r="D267" s="196" t="s">
        <v>780</v>
      </c>
      <c r="E267" s="184">
        <f>货币资金!G5</f>
        <v>29092.44</v>
      </c>
      <c r="F267" s="184">
        <f>货币资金!H5</f>
        <v>1</v>
      </c>
      <c r="G267" s="184">
        <f>货币资金!I5</f>
        <v>29092.44</v>
      </c>
      <c r="H267" s="184">
        <v>0</v>
      </c>
      <c r="I267" s="184">
        <v>0</v>
      </c>
      <c r="J267" s="184">
        <v>0</v>
      </c>
      <c r="L267" s="180">
        <f t="shared" ref="L267:M330" si="6">ABS(E267-H267)</f>
        <v>29092.44</v>
      </c>
      <c r="M267" s="180">
        <f t="shared" ref="M267:M289" si="7">IFERROR(ABS(F267-I267),)</f>
        <v>1</v>
      </c>
      <c r="N267" s="180">
        <f t="shared" si="5"/>
        <v>29092.44</v>
      </c>
    </row>
    <row r="268" spans="1:14">
      <c r="B268" s="179">
        <v>261</v>
      </c>
      <c r="C268" s="172"/>
      <c r="D268" s="196" t="s">
        <v>781</v>
      </c>
      <c r="E268" s="184">
        <f>货币资金!G6</f>
        <v>0</v>
      </c>
      <c r="F268" s="184" t="str">
        <f>货币资金!H6</f>
        <v/>
      </c>
      <c r="G268" s="184">
        <f>货币资金!I6</f>
        <v>0</v>
      </c>
      <c r="H268" s="184">
        <v>0</v>
      </c>
      <c r="I268" s="184">
        <v>0</v>
      </c>
      <c r="J268" s="184">
        <v>0</v>
      </c>
      <c r="L268" s="180">
        <f t="shared" si="6"/>
        <v>0</v>
      </c>
      <c r="M268" s="180">
        <f t="shared" si="7"/>
        <v>0</v>
      </c>
      <c r="N268" s="180">
        <f t="shared" si="5"/>
        <v>0</v>
      </c>
    </row>
    <row r="269" spans="1:14">
      <c r="B269" s="179">
        <v>262</v>
      </c>
      <c r="C269" s="172"/>
      <c r="D269" s="196" t="s">
        <v>782</v>
      </c>
      <c r="E269" s="184">
        <f>货币资金!G7</f>
        <v>0</v>
      </c>
      <c r="F269" s="184" t="str">
        <f>货币资金!H7</f>
        <v/>
      </c>
      <c r="G269" s="184">
        <f>货币资金!I7</f>
        <v>0</v>
      </c>
      <c r="H269" s="184">
        <v>0</v>
      </c>
      <c r="I269" s="184">
        <v>0</v>
      </c>
      <c r="J269" s="184">
        <v>0</v>
      </c>
      <c r="L269" s="180">
        <f t="shared" si="6"/>
        <v>0</v>
      </c>
      <c r="M269" s="180">
        <f t="shared" si="7"/>
        <v>0</v>
      </c>
      <c r="N269" s="180">
        <f t="shared" si="5"/>
        <v>0</v>
      </c>
    </row>
    <row r="270" spans="1:14">
      <c r="B270" s="179">
        <v>263</v>
      </c>
      <c r="C270" s="172"/>
      <c r="D270" s="196" t="s">
        <v>783</v>
      </c>
      <c r="E270" s="184">
        <f>货币资金!G8</f>
        <v>0</v>
      </c>
      <c r="F270" s="184" t="str">
        <f>货币资金!H8</f>
        <v/>
      </c>
      <c r="G270" s="184">
        <f>货币资金!I8</f>
        <v>0</v>
      </c>
      <c r="H270" s="184">
        <v>0</v>
      </c>
      <c r="I270" s="184">
        <v>0</v>
      </c>
      <c r="J270" s="184">
        <v>0</v>
      </c>
      <c r="L270" s="180">
        <f t="shared" si="6"/>
        <v>0</v>
      </c>
      <c r="M270" s="180">
        <f t="shared" si="7"/>
        <v>0</v>
      </c>
      <c r="N270" s="180">
        <f t="shared" si="5"/>
        <v>0</v>
      </c>
    </row>
    <row r="271" spans="1:14">
      <c r="A271" s="173" t="s">
        <v>523</v>
      </c>
      <c r="B271" s="179">
        <v>264</v>
      </c>
      <c r="C271" s="172"/>
      <c r="D271" s="196" t="s">
        <v>784</v>
      </c>
      <c r="E271" s="184">
        <f>货币资金!G9</f>
        <v>0</v>
      </c>
      <c r="F271" s="184" t="str">
        <f>货币资金!H9</f>
        <v/>
      </c>
      <c r="G271" s="184">
        <f>货币资金!I9</f>
        <v>0</v>
      </c>
      <c r="H271" s="184">
        <v>0</v>
      </c>
      <c r="I271" s="184">
        <v>0</v>
      </c>
      <c r="J271" s="184">
        <v>0</v>
      </c>
      <c r="L271" s="180">
        <f t="shared" si="6"/>
        <v>0</v>
      </c>
      <c r="M271" s="180">
        <f t="shared" si="7"/>
        <v>0</v>
      </c>
      <c r="N271" s="180">
        <f t="shared" si="5"/>
        <v>0</v>
      </c>
    </row>
    <row r="272" spans="1:14">
      <c r="A272" s="181"/>
      <c r="B272" s="179">
        <v>265</v>
      </c>
      <c r="C272" s="172"/>
      <c r="D272" s="196" t="s">
        <v>785</v>
      </c>
      <c r="E272" s="184">
        <f>货币资金!G10</f>
        <v>0</v>
      </c>
      <c r="F272" s="184" t="str">
        <f>货币资金!H10</f>
        <v/>
      </c>
      <c r="G272" s="184">
        <f>货币资金!I10</f>
        <v>0</v>
      </c>
      <c r="H272" s="184">
        <v>0</v>
      </c>
      <c r="I272" s="184">
        <v>0</v>
      </c>
      <c r="J272" s="184">
        <v>0</v>
      </c>
      <c r="L272" s="180">
        <f t="shared" si="6"/>
        <v>0</v>
      </c>
      <c r="M272" s="180">
        <f t="shared" si="7"/>
        <v>0</v>
      </c>
      <c r="N272" s="180">
        <f t="shared" si="5"/>
        <v>0</v>
      </c>
    </row>
    <row r="273" spans="1:14">
      <c r="B273" s="179">
        <v>266</v>
      </c>
      <c r="C273" s="172"/>
      <c r="D273" s="196" t="s">
        <v>786</v>
      </c>
      <c r="E273" s="184">
        <f>货币资金!G11</f>
        <v>0</v>
      </c>
      <c r="F273" s="184" t="str">
        <f>货币资金!H11</f>
        <v/>
      </c>
      <c r="G273" s="184">
        <f>货币资金!I11</f>
        <v>0</v>
      </c>
      <c r="H273" s="184">
        <v>0</v>
      </c>
      <c r="I273" s="184">
        <v>0</v>
      </c>
      <c r="J273" s="184">
        <v>0</v>
      </c>
      <c r="L273" s="180">
        <f t="shared" si="6"/>
        <v>0</v>
      </c>
      <c r="M273" s="180">
        <f t="shared" si="7"/>
        <v>0</v>
      </c>
      <c r="N273" s="180">
        <f t="shared" si="5"/>
        <v>0</v>
      </c>
    </row>
    <row r="274" spans="1:14">
      <c r="B274" s="179">
        <v>267</v>
      </c>
      <c r="C274" s="172"/>
      <c r="D274" s="196" t="s">
        <v>787</v>
      </c>
      <c r="E274" s="184">
        <f>货币资金!G12</f>
        <v>0</v>
      </c>
      <c r="F274" s="184" t="str">
        <f>货币资金!H12</f>
        <v/>
      </c>
      <c r="G274" s="184">
        <f>货币资金!I12</f>
        <v>0</v>
      </c>
      <c r="H274" s="184">
        <v>0</v>
      </c>
      <c r="I274" s="184">
        <v>0</v>
      </c>
      <c r="J274" s="184">
        <v>0</v>
      </c>
      <c r="L274" s="180">
        <f t="shared" si="6"/>
        <v>0</v>
      </c>
      <c r="M274" s="180">
        <f t="shared" si="7"/>
        <v>0</v>
      </c>
      <c r="N274" s="180">
        <f t="shared" si="5"/>
        <v>0</v>
      </c>
    </row>
    <row r="275" spans="1:14">
      <c r="B275" s="179">
        <v>268</v>
      </c>
      <c r="C275" s="172"/>
      <c r="D275" s="196" t="s">
        <v>788</v>
      </c>
      <c r="E275" s="184">
        <f>货币资金!G13</f>
        <v>0</v>
      </c>
      <c r="F275" s="184" t="str">
        <f>货币资金!H13</f>
        <v/>
      </c>
      <c r="G275" s="184">
        <f>货币资金!I13</f>
        <v>0</v>
      </c>
      <c r="H275" s="184">
        <v>0</v>
      </c>
      <c r="I275" s="184">
        <v>0</v>
      </c>
      <c r="J275" s="184">
        <v>0</v>
      </c>
      <c r="L275" s="180">
        <f t="shared" si="6"/>
        <v>0</v>
      </c>
      <c r="M275" s="180">
        <f t="shared" si="7"/>
        <v>0</v>
      </c>
      <c r="N275" s="180">
        <f t="shared" si="5"/>
        <v>0</v>
      </c>
    </row>
    <row r="276" spans="1:14">
      <c r="B276" s="179">
        <v>269</v>
      </c>
      <c r="C276" s="172"/>
      <c r="D276" s="196" t="s">
        <v>789</v>
      </c>
      <c r="E276" s="184">
        <f>货币资金!G14</f>
        <v>0</v>
      </c>
      <c r="F276" s="184" t="str">
        <f>货币资金!H14</f>
        <v/>
      </c>
      <c r="G276" s="184">
        <f>货币资金!I14</f>
        <v>0</v>
      </c>
      <c r="H276" s="184">
        <v>0</v>
      </c>
      <c r="I276" s="184">
        <v>0</v>
      </c>
      <c r="J276" s="184">
        <v>0</v>
      </c>
      <c r="L276" s="180">
        <f t="shared" si="6"/>
        <v>0</v>
      </c>
      <c r="M276" s="180">
        <f t="shared" si="7"/>
        <v>0</v>
      </c>
      <c r="N276" s="180">
        <f t="shared" si="5"/>
        <v>0</v>
      </c>
    </row>
    <row r="277" spans="1:14">
      <c r="B277" s="179">
        <v>270</v>
      </c>
      <c r="C277" s="172"/>
      <c r="D277" s="196" t="s">
        <v>790</v>
      </c>
      <c r="E277" s="184">
        <f>货币资金!G15</f>
        <v>0</v>
      </c>
      <c r="F277" s="184" t="str">
        <f>货币资金!H15</f>
        <v/>
      </c>
      <c r="G277" s="184">
        <f>货币资金!I15</f>
        <v>0</v>
      </c>
      <c r="H277" s="184">
        <v>0</v>
      </c>
      <c r="I277" s="184">
        <v>0</v>
      </c>
      <c r="J277" s="184">
        <v>0</v>
      </c>
      <c r="L277" s="180">
        <f t="shared" si="6"/>
        <v>0</v>
      </c>
      <c r="M277" s="180">
        <f t="shared" si="7"/>
        <v>0</v>
      </c>
      <c r="N277" s="180">
        <f t="shared" si="5"/>
        <v>0</v>
      </c>
    </row>
    <row r="278" spans="1:14">
      <c r="B278" s="179">
        <v>271</v>
      </c>
      <c r="C278" s="172"/>
      <c r="D278" s="196" t="s">
        <v>791</v>
      </c>
      <c r="E278" s="184">
        <f>货币资金!G16</f>
        <v>0</v>
      </c>
      <c r="F278" s="184" t="str">
        <f>货币资金!H16</f>
        <v/>
      </c>
      <c r="G278" s="184">
        <f>货币资金!I16</f>
        <v>0</v>
      </c>
      <c r="H278" s="184">
        <v>0</v>
      </c>
      <c r="I278" s="184">
        <v>0</v>
      </c>
      <c r="J278" s="184">
        <v>0</v>
      </c>
      <c r="L278" s="180">
        <f t="shared" si="6"/>
        <v>0</v>
      </c>
      <c r="M278" s="180">
        <f t="shared" si="7"/>
        <v>0</v>
      </c>
      <c r="N278" s="180">
        <f t="shared" si="5"/>
        <v>0</v>
      </c>
    </row>
    <row r="279" spans="1:14" ht="13.5">
      <c r="A279" s="186" t="str">
        <f>HYPERLINK("#C1","置顶")</f>
        <v>置顶</v>
      </c>
      <c r="B279" s="179">
        <v>272</v>
      </c>
      <c r="C279" s="172"/>
      <c r="D279" s="196" t="s">
        <v>793</v>
      </c>
      <c r="E279" s="184">
        <f>货币资金!G17</f>
        <v>0</v>
      </c>
      <c r="F279" s="184" t="str">
        <f>货币资金!H17</f>
        <v/>
      </c>
      <c r="G279" s="184">
        <f>货币资金!I17</f>
        <v>0</v>
      </c>
      <c r="H279" s="184">
        <v>0</v>
      </c>
      <c r="I279" s="184">
        <v>0</v>
      </c>
      <c r="J279" s="184">
        <v>0</v>
      </c>
      <c r="L279" s="180">
        <f t="shared" si="6"/>
        <v>0</v>
      </c>
      <c r="M279" s="180">
        <f t="shared" si="7"/>
        <v>0</v>
      </c>
      <c r="N279" s="180">
        <f t="shared" si="5"/>
        <v>0</v>
      </c>
    </row>
    <row r="280" spans="1:14" ht="13.5">
      <c r="A280" s="187"/>
      <c r="B280" s="179">
        <v>273</v>
      </c>
      <c r="C280" s="172"/>
      <c r="D280" s="196" t="s">
        <v>794</v>
      </c>
      <c r="E280" s="184">
        <f>货币资金!G18</f>
        <v>0</v>
      </c>
      <c r="F280" s="184" t="str">
        <f>货币资金!H18</f>
        <v/>
      </c>
      <c r="G280" s="184">
        <f>货币资金!I18</f>
        <v>0</v>
      </c>
      <c r="H280" s="184">
        <v>0</v>
      </c>
      <c r="I280" s="184">
        <v>0</v>
      </c>
      <c r="J280" s="184">
        <v>0</v>
      </c>
      <c r="L280" s="180">
        <f t="shared" si="6"/>
        <v>0</v>
      </c>
      <c r="M280" s="180">
        <f t="shared" si="7"/>
        <v>0</v>
      </c>
      <c r="N280" s="180">
        <f t="shared" si="5"/>
        <v>0</v>
      </c>
    </row>
    <row r="281" spans="1:14" ht="13.5">
      <c r="A281" s="187"/>
      <c r="B281" s="179">
        <v>274</v>
      </c>
      <c r="C281" s="172"/>
      <c r="D281" s="196" t="s">
        <v>795</v>
      </c>
      <c r="E281" s="184">
        <f>货币资金!G19</f>
        <v>0</v>
      </c>
      <c r="F281" s="184" t="str">
        <f>货币资金!H19</f>
        <v/>
      </c>
      <c r="G281" s="184">
        <f>货币资金!I19</f>
        <v>0</v>
      </c>
      <c r="H281" s="184">
        <v>0</v>
      </c>
      <c r="I281" s="184">
        <v>0</v>
      </c>
      <c r="J281" s="184">
        <v>0</v>
      </c>
      <c r="L281" s="180">
        <f t="shared" si="6"/>
        <v>0</v>
      </c>
      <c r="M281" s="180">
        <f t="shared" si="7"/>
        <v>0</v>
      </c>
      <c r="N281" s="180">
        <f t="shared" si="5"/>
        <v>0</v>
      </c>
    </row>
    <row r="282" spans="1:14">
      <c r="B282" s="179">
        <v>275</v>
      </c>
      <c r="C282" s="172"/>
      <c r="D282" s="196" t="s">
        <v>796</v>
      </c>
      <c r="E282" s="184">
        <f>货币资金!G20</f>
        <v>0</v>
      </c>
      <c r="F282" s="184" t="str">
        <f>货币资金!H20</f>
        <v/>
      </c>
      <c r="G282" s="184">
        <f>货币资金!I20</f>
        <v>0</v>
      </c>
      <c r="H282" s="184">
        <v>0</v>
      </c>
      <c r="I282" s="184">
        <v>0</v>
      </c>
      <c r="J282" s="184">
        <v>0</v>
      </c>
      <c r="L282" s="180">
        <f t="shared" si="6"/>
        <v>0</v>
      </c>
      <c r="M282" s="180">
        <f t="shared" si="7"/>
        <v>0</v>
      </c>
      <c r="N282" s="180">
        <f t="shared" ref="N282:N338" si="8">ABS(G282-J282)</f>
        <v>0</v>
      </c>
    </row>
    <row r="283" spans="1:14">
      <c r="B283" s="179">
        <v>276</v>
      </c>
      <c r="C283" s="172"/>
      <c r="D283" s="196" t="s">
        <v>797</v>
      </c>
      <c r="E283" s="184">
        <f>货币资金!G21</f>
        <v>0</v>
      </c>
      <c r="F283" s="184" t="str">
        <f>货币资金!H21</f>
        <v/>
      </c>
      <c r="G283" s="184">
        <f>货币资金!I21</f>
        <v>0</v>
      </c>
      <c r="H283" s="184">
        <v>0</v>
      </c>
      <c r="I283" s="184">
        <v>0</v>
      </c>
      <c r="J283" s="184">
        <v>0</v>
      </c>
      <c r="L283" s="180">
        <f t="shared" si="6"/>
        <v>0</v>
      </c>
      <c r="M283" s="180">
        <f t="shared" si="7"/>
        <v>0</v>
      </c>
      <c r="N283" s="180">
        <f t="shared" si="8"/>
        <v>0</v>
      </c>
    </row>
    <row r="284" spans="1:14">
      <c r="B284" s="179">
        <v>277</v>
      </c>
      <c r="C284" s="172"/>
      <c r="D284" s="196" t="s">
        <v>798</v>
      </c>
      <c r="E284" s="184">
        <f>货币资金!G22</f>
        <v>0</v>
      </c>
      <c r="F284" s="184" t="str">
        <f>货币资金!H22</f>
        <v/>
      </c>
      <c r="G284" s="184">
        <f>货币资金!I22</f>
        <v>0</v>
      </c>
      <c r="H284" s="184">
        <v>0</v>
      </c>
      <c r="I284" s="184">
        <v>0</v>
      </c>
      <c r="J284" s="184">
        <v>0</v>
      </c>
      <c r="L284" s="180">
        <f t="shared" si="6"/>
        <v>0</v>
      </c>
      <c r="M284" s="180">
        <f t="shared" si="7"/>
        <v>0</v>
      </c>
      <c r="N284" s="180">
        <f t="shared" si="8"/>
        <v>0</v>
      </c>
    </row>
    <row r="285" spans="1:14">
      <c r="B285" s="179">
        <v>278</v>
      </c>
      <c r="C285" s="172"/>
      <c r="D285" s="196" t="s">
        <v>799</v>
      </c>
      <c r="E285" s="184">
        <f>货币资金!G23</f>
        <v>0</v>
      </c>
      <c r="F285" s="184" t="str">
        <f>货币资金!H23</f>
        <v/>
      </c>
      <c r="G285" s="184">
        <f>货币资金!I23</f>
        <v>0</v>
      </c>
      <c r="H285" s="184">
        <v>0</v>
      </c>
      <c r="I285" s="184">
        <v>0</v>
      </c>
      <c r="J285" s="184">
        <v>0</v>
      </c>
      <c r="L285" s="180">
        <f t="shared" si="6"/>
        <v>0</v>
      </c>
      <c r="M285" s="180">
        <f t="shared" si="7"/>
        <v>0</v>
      </c>
      <c r="N285" s="180">
        <f t="shared" si="8"/>
        <v>0</v>
      </c>
    </row>
    <row r="286" spans="1:14">
      <c r="A286" s="173" t="s">
        <v>523</v>
      </c>
      <c r="B286" s="179">
        <v>279</v>
      </c>
      <c r="C286" s="172"/>
      <c r="D286" s="196" t="s">
        <v>800</v>
      </c>
      <c r="E286" s="184">
        <f>货币资金!G24</f>
        <v>0</v>
      </c>
      <c r="F286" s="184" t="str">
        <f>货币资金!H24</f>
        <v/>
      </c>
      <c r="G286" s="184">
        <f>货币资金!I24</f>
        <v>0</v>
      </c>
      <c r="H286" s="184">
        <v>0</v>
      </c>
      <c r="I286" s="184">
        <v>0</v>
      </c>
      <c r="J286" s="184">
        <v>0</v>
      </c>
      <c r="L286" s="180">
        <f t="shared" si="6"/>
        <v>0</v>
      </c>
      <c r="M286" s="180">
        <f t="shared" si="7"/>
        <v>0</v>
      </c>
      <c r="N286" s="180">
        <f t="shared" si="8"/>
        <v>0</v>
      </c>
    </row>
    <row r="287" spans="1:14">
      <c r="B287" s="179">
        <v>280</v>
      </c>
      <c r="C287" s="172"/>
      <c r="D287" s="196" t="s">
        <v>801</v>
      </c>
      <c r="E287" s="184">
        <f>货币资金!G25</f>
        <v>0</v>
      </c>
      <c r="F287" s="184" t="str">
        <f>货币资金!H25</f>
        <v/>
      </c>
      <c r="G287" s="184">
        <f>货币资金!I25</f>
        <v>0</v>
      </c>
      <c r="H287" s="184">
        <v>0</v>
      </c>
      <c r="I287" s="184">
        <v>0</v>
      </c>
      <c r="J287" s="184">
        <v>0</v>
      </c>
      <c r="L287" s="180">
        <f t="shared" si="6"/>
        <v>0</v>
      </c>
      <c r="M287" s="180">
        <f t="shared" si="7"/>
        <v>0</v>
      </c>
      <c r="N287" s="180">
        <f t="shared" si="8"/>
        <v>0</v>
      </c>
    </row>
    <row r="288" spans="1:14">
      <c r="B288" s="179">
        <v>281</v>
      </c>
      <c r="C288" s="172"/>
      <c r="D288" s="196" t="s">
        <v>803</v>
      </c>
      <c r="E288" s="184">
        <f>货币资金!G26</f>
        <v>0</v>
      </c>
      <c r="F288" s="184" t="str">
        <f>货币资金!H26</f>
        <v/>
      </c>
      <c r="G288" s="184">
        <f>货币资金!I26</f>
        <v>0</v>
      </c>
      <c r="H288" s="184">
        <v>0</v>
      </c>
      <c r="I288" s="184">
        <v>0</v>
      </c>
      <c r="J288" s="184">
        <v>0</v>
      </c>
      <c r="L288" s="180">
        <f t="shared" si="6"/>
        <v>0</v>
      </c>
      <c r="M288" s="180">
        <f t="shared" si="7"/>
        <v>0</v>
      </c>
      <c r="N288" s="180">
        <f t="shared" si="8"/>
        <v>0</v>
      </c>
    </row>
    <row r="289" spans="1:14">
      <c r="B289" s="179">
        <v>282</v>
      </c>
      <c r="C289" s="172"/>
      <c r="D289" s="196" t="s">
        <v>805</v>
      </c>
      <c r="E289" s="184">
        <f>货币资金!G27</f>
        <v>0</v>
      </c>
      <c r="F289" s="184" t="str">
        <f>货币资金!H27</f>
        <v/>
      </c>
      <c r="G289" s="184">
        <f>货币资金!I27</f>
        <v>0</v>
      </c>
      <c r="H289" s="184">
        <v>0</v>
      </c>
      <c r="I289" s="184">
        <v>0</v>
      </c>
      <c r="J289" s="184">
        <v>0</v>
      </c>
      <c r="L289" s="180">
        <f t="shared" si="6"/>
        <v>0</v>
      </c>
      <c r="M289" s="180">
        <f t="shared" si="7"/>
        <v>0</v>
      </c>
      <c r="N289" s="180">
        <f t="shared" si="8"/>
        <v>0</v>
      </c>
    </row>
    <row r="290" spans="1:14">
      <c r="B290" s="179">
        <v>283</v>
      </c>
      <c r="C290" s="172"/>
      <c r="D290" s="196" t="s">
        <v>806</v>
      </c>
      <c r="E290" s="184">
        <f>货币资金!G28</f>
        <v>6241146.8499999996</v>
      </c>
      <c r="F290" s="184">
        <f>货币资金!H28</f>
        <v>0</v>
      </c>
      <c r="G290" s="184">
        <f>货币资金!I28</f>
        <v>6241146.8499999996</v>
      </c>
      <c r="H290" s="184">
        <v>0</v>
      </c>
      <c r="I290" s="184">
        <v>0</v>
      </c>
      <c r="J290" s="184">
        <v>11493447.550000001</v>
      </c>
      <c r="L290" s="180">
        <f t="shared" si="6"/>
        <v>6241146.8499999996</v>
      </c>
      <c r="M290" s="180">
        <f t="shared" si="6"/>
        <v>0</v>
      </c>
      <c r="N290" s="180">
        <f t="shared" si="8"/>
        <v>5252300.7000000011</v>
      </c>
    </row>
    <row r="291" spans="1:14">
      <c r="B291" s="179">
        <v>284</v>
      </c>
      <c r="C291" s="172"/>
      <c r="D291" s="196" t="s">
        <v>780</v>
      </c>
      <c r="E291" s="184">
        <f>货币资金!G29</f>
        <v>6241146.8499999996</v>
      </c>
      <c r="F291" s="184">
        <f>货币资金!H29</f>
        <v>1</v>
      </c>
      <c r="G291" s="184">
        <f>货币资金!I29</f>
        <v>6241146.8499999996</v>
      </c>
      <c r="H291" s="184">
        <v>0</v>
      </c>
      <c r="I291" s="184">
        <v>0</v>
      </c>
      <c r="J291" s="184">
        <v>11493447.550000001</v>
      </c>
      <c r="L291" s="180">
        <f t="shared" si="6"/>
        <v>6241146.8499999996</v>
      </c>
      <c r="M291" s="180">
        <f t="shared" ref="M291:M313" si="9">IFERROR(ABS(F291-I291),)</f>
        <v>1</v>
      </c>
      <c r="N291" s="180">
        <f t="shared" si="8"/>
        <v>5252300.7000000011</v>
      </c>
    </row>
    <row r="292" spans="1:14" ht="13.5">
      <c r="A292" s="186" t="str">
        <f>HYPERLINK("#C1","置顶")</f>
        <v>置顶</v>
      </c>
      <c r="B292" s="179">
        <v>285</v>
      </c>
      <c r="C292" s="172"/>
      <c r="D292" s="196" t="s">
        <v>781</v>
      </c>
      <c r="E292" s="184">
        <f>货币资金!G30</f>
        <v>0</v>
      </c>
      <c r="F292" s="184" t="str">
        <f>货币资金!H30</f>
        <v/>
      </c>
      <c r="G292" s="184">
        <f>货币资金!I30</f>
        <v>0</v>
      </c>
      <c r="H292" s="184">
        <v>0</v>
      </c>
      <c r="I292" s="184">
        <v>0</v>
      </c>
      <c r="J292" s="184">
        <v>0</v>
      </c>
      <c r="L292" s="180">
        <f t="shared" si="6"/>
        <v>0</v>
      </c>
      <c r="M292" s="180">
        <f t="shared" si="9"/>
        <v>0</v>
      </c>
      <c r="N292" s="180">
        <f t="shared" si="8"/>
        <v>0</v>
      </c>
    </row>
    <row r="293" spans="1:14" ht="13.5">
      <c r="A293" s="187"/>
      <c r="B293" s="179">
        <v>286</v>
      </c>
      <c r="C293" s="172"/>
      <c r="D293" s="196" t="s">
        <v>782</v>
      </c>
      <c r="E293" s="184">
        <f>货币资金!G31</f>
        <v>0</v>
      </c>
      <c r="F293" s="184" t="str">
        <f>货币资金!H31</f>
        <v/>
      </c>
      <c r="G293" s="184">
        <f>货币资金!I31</f>
        <v>0</v>
      </c>
      <c r="H293" s="184">
        <v>0</v>
      </c>
      <c r="I293" s="184">
        <v>0</v>
      </c>
      <c r="J293" s="184">
        <v>0</v>
      </c>
      <c r="L293" s="180">
        <f t="shared" si="6"/>
        <v>0</v>
      </c>
      <c r="M293" s="180">
        <f t="shared" si="9"/>
        <v>0</v>
      </c>
      <c r="N293" s="180">
        <f t="shared" si="8"/>
        <v>0</v>
      </c>
    </row>
    <row r="294" spans="1:14" ht="13.5">
      <c r="A294" s="187"/>
      <c r="B294" s="179">
        <v>287</v>
      </c>
      <c r="C294" s="172"/>
      <c r="D294" s="196" t="s">
        <v>783</v>
      </c>
      <c r="E294" s="184">
        <f>货币资金!G32</f>
        <v>0</v>
      </c>
      <c r="F294" s="184" t="str">
        <f>货币资金!H32</f>
        <v/>
      </c>
      <c r="G294" s="184">
        <f>货币资金!I32</f>
        <v>0</v>
      </c>
      <c r="H294" s="184">
        <v>0</v>
      </c>
      <c r="I294" s="184">
        <v>0</v>
      </c>
      <c r="J294" s="184">
        <v>0</v>
      </c>
      <c r="L294" s="180">
        <f t="shared" si="6"/>
        <v>0</v>
      </c>
      <c r="M294" s="180">
        <f t="shared" si="9"/>
        <v>0</v>
      </c>
      <c r="N294" s="180">
        <f t="shared" si="8"/>
        <v>0</v>
      </c>
    </row>
    <row r="295" spans="1:14">
      <c r="B295" s="179">
        <v>288</v>
      </c>
      <c r="C295" s="172"/>
      <c r="D295" s="196" t="s">
        <v>784</v>
      </c>
      <c r="E295" s="184">
        <f>货币资金!G33</f>
        <v>0</v>
      </c>
      <c r="F295" s="184" t="str">
        <f>货币资金!H33</f>
        <v/>
      </c>
      <c r="G295" s="184">
        <f>货币资金!I33</f>
        <v>0</v>
      </c>
      <c r="H295" s="184">
        <v>0</v>
      </c>
      <c r="I295" s="184">
        <v>0</v>
      </c>
      <c r="J295" s="184">
        <v>0</v>
      </c>
      <c r="L295" s="180">
        <f t="shared" si="6"/>
        <v>0</v>
      </c>
      <c r="M295" s="180">
        <f t="shared" si="9"/>
        <v>0</v>
      </c>
      <c r="N295" s="180">
        <f t="shared" si="8"/>
        <v>0</v>
      </c>
    </row>
    <row r="296" spans="1:14">
      <c r="B296" s="179">
        <v>289</v>
      </c>
      <c r="C296" s="172"/>
      <c r="D296" s="196" t="s">
        <v>785</v>
      </c>
      <c r="E296" s="184">
        <f>货币资金!G34</f>
        <v>0</v>
      </c>
      <c r="F296" s="184" t="str">
        <f>货币资金!H34</f>
        <v/>
      </c>
      <c r="G296" s="184">
        <f>货币资金!I34</f>
        <v>0</v>
      </c>
      <c r="H296" s="184">
        <v>0</v>
      </c>
      <c r="I296" s="184">
        <v>0</v>
      </c>
      <c r="J296" s="184">
        <v>0</v>
      </c>
      <c r="L296" s="180">
        <f t="shared" si="6"/>
        <v>0</v>
      </c>
      <c r="M296" s="180">
        <f t="shared" si="9"/>
        <v>0</v>
      </c>
      <c r="N296" s="180">
        <f t="shared" si="8"/>
        <v>0</v>
      </c>
    </row>
    <row r="297" spans="1:14">
      <c r="B297" s="179">
        <v>290</v>
      </c>
      <c r="C297" s="172"/>
      <c r="D297" s="196" t="s">
        <v>786</v>
      </c>
      <c r="E297" s="184">
        <f>货币资金!G35</f>
        <v>0</v>
      </c>
      <c r="F297" s="184" t="str">
        <f>货币资金!H35</f>
        <v/>
      </c>
      <c r="G297" s="184">
        <f>货币资金!I35</f>
        <v>0</v>
      </c>
      <c r="H297" s="184">
        <v>0</v>
      </c>
      <c r="I297" s="184">
        <v>0</v>
      </c>
      <c r="J297" s="184">
        <v>0</v>
      </c>
      <c r="L297" s="180">
        <f t="shared" si="6"/>
        <v>0</v>
      </c>
      <c r="M297" s="180">
        <f t="shared" si="9"/>
        <v>0</v>
      </c>
      <c r="N297" s="180">
        <f t="shared" si="8"/>
        <v>0</v>
      </c>
    </row>
    <row r="298" spans="1:14">
      <c r="B298" s="179">
        <v>291</v>
      </c>
      <c r="C298" s="172"/>
      <c r="D298" s="196" t="s">
        <v>787</v>
      </c>
      <c r="E298" s="184">
        <f>货币资金!G36</f>
        <v>0</v>
      </c>
      <c r="F298" s="184" t="str">
        <f>货币资金!H36</f>
        <v/>
      </c>
      <c r="G298" s="184">
        <f>货币资金!I36</f>
        <v>0</v>
      </c>
      <c r="H298" s="184">
        <v>0</v>
      </c>
      <c r="I298" s="184">
        <v>0</v>
      </c>
      <c r="J298" s="184">
        <v>0</v>
      </c>
      <c r="L298" s="180">
        <f t="shared" si="6"/>
        <v>0</v>
      </c>
      <c r="M298" s="180">
        <f t="shared" si="9"/>
        <v>0</v>
      </c>
      <c r="N298" s="180">
        <f t="shared" si="8"/>
        <v>0</v>
      </c>
    </row>
    <row r="299" spans="1:14">
      <c r="A299" s="173" t="s">
        <v>523</v>
      </c>
      <c r="B299" s="179">
        <v>292</v>
      </c>
      <c r="C299" s="172"/>
      <c r="D299" s="196" t="s">
        <v>788</v>
      </c>
      <c r="E299" s="184">
        <f>货币资金!G37</f>
        <v>0</v>
      </c>
      <c r="F299" s="184" t="str">
        <f>货币资金!H37</f>
        <v/>
      </c>
      <c r="G299" s="184">
        <f>货币资金!I37</f>
        <v>0</v>
      </c>
      <c r="H299" s="184">
        <v>0</v>
      </c>
      <c r="I299" s="184">
        <v>0</v>
      </c>
      <c r="J299" s="184">
        <v>0</v>
      </c>
      <c r="L299" s="180">
        <f t="shared" si="6"/>
        <v>0</v>
      </c>
      <c r="M299" s="180">
        <f t="shared" si="9"/>
        <v>0</v>
      </c>
      <c r="N299" s="180">
        <f t="shared" si="8"/>
        <v>0</v>
      </c>
    </row>
    <row r="300" spans="1:14">
      <c r="A300" s="181"/>
      <c r="B300" s="179">
        <v>293</v>
      </c>
      <c r="C300" s="172"/>
      <c r="D300" s="196" t="s">
        <v>789</v>
      </c>
      <c r="E300" s="184">
        <f>货币资金!G38</f>
        <v>0</v>
      </c>
      <c r="F300" s="184" t="str">
        <f>货币资金!H38</f>
        <v/>
      </c>
      <c r="G300" s="184">
        <f>货币资金!I38</f>
        <v>0</v>
      </c>
      <c r="H300" s="184">
        <v>0</v>
      </c>
      <c r="I300" s="184">
        <v>0</v>
      </c>
      <c r="J300" s="184">
        <v>0</v>
      </c>
      <c r="L300" s="180">
        <f t="shared" si="6"/>
        <v>0</v>
      </c>
      <c r="M300" s="180">
        <f t="shared" si="9"/>
        <v>0</v>
      </c>
      <c r="N300" s="180">
        <f t="shared" si="8"/>
        <v>0</v>
      </c>
    </row>
    <row r="301" spans="1:14">
      <c r="B301" s="179">
        <v>294</v>
      </c>
      <c r="C301" s="172"/>
      <c r="D301" s="196" t="s">
        <v>790</v>
      </c>
      <c r="E301" s="184">
        <f>货币资金!G39</f>
        <v>0</v>
      </c>
      <c r="F301" s="184" t="str">
        <f>货币资金!H39</f>
        <v/>
      </c>
      <c r="G301" s="184">
        <f>货币资金!I39</f>
        <v>0</v>
      </c>
      <c r="H301" s="184">
        <v>0</v>
      </c>
      <c r="I301" s="184">
        <v>0</v>
      </c>
      <c r="J301" s="184">
        <v>0</v>
      </c>
      <c r="L301" s="180">
        <f t="shared" si="6"/>
        <v>0</v>
      </c>
      <c r="M301" s="180">
        <f t="shared" si="9"/>
        <v>0</v>
      </c>
      <c r="N301" s="180">
        <f t="shared" si="8"/>
        <v>0</v>
      </c>
    </row>
    <row r="302" spans="1:14">
      <c r="B302" s="179">
        <v>295</v>
      </c>
      <c r="C302" s="172"/>
      <c r="D302" s="196" t="s">
        <v>791</v>
      </c>
      <c r="E302" s="184">
        <f>货币资金!G40</f>
        <v>0</v>
      </c>
      <c r="F302" s="184" t="str">
        <f>货币资金!H40</f>
        <v/>
      </c>
      <c r="G302" s="184">
        <f>货币资金!I40</f>
        <v>0</v>
      </c>
      <c r="H302" s="184">
        <v>0</v>
      </c>
      <c r="I302" s="184">
        <v>0</v>
      </c>
      <c r="J302" s="184">
        <v>0</v>
      </c>
      <c r="L302" s="180">
        <f t="shared" si="6"/>
        <v>0</v>
      </c>
      <c r="M302" s="180">
        <f t="shared" si="9"/>
        <v>0</v>
      </c>
      <c r="N302" s="180">
        <f t="shared" si="8"/>
        <v>0</v>
      </c>
    </row>
    <row r="303" spans="1:14">
      <c r="B303" s="179">
        <v>296</v>
      </c>
      <c r="C303" s="172"/>
      <c r="D303" s="196" t="s">
        <v>792</v>
      </c>
      <c r="E303" s="184">
        <f>货币资金!G41</f>
        <v>0</v>
      </c>
      <c r="F303" s="184" t="str">
        <f>货币资金!H41</f>
        <v/>
      </c>
      <c r="G303" s="184">
        <f>货币资金!I41</f>
        <v>0</v>
      </c>
      <c r="H303" s="184">
        <v>0</v>
      </c>
      <c r="I303" s="184">
        <v>0</v>
      </c>
      <c r="J303" s="184">
        <v>0</v>
      </c>
      <c r="L303" s="180">
        <f t="shared" si="6"/>
        <v>0</v>
      </c>
      <c r="M303" s="180">
        <f t="shared" si="9"/>
        <v>0</v>
      </c>
      <c r="N303" s="180">
        <f t="shared" si="8"/>
        <v>0</v>
      </c>
    </row>
    <row r="304" spans="1:14">
      <c r="B304" s="179">
        <v>297</v>
      </c>
      <c r="C304" s="172"/>
      <c r="D304" s="196" t="s">
        <v>794</v>
      </c>
      <c r="E304" s="184">
        <f>货币资金!G42</f>
        <v>0</v>
      </c>
      <c r="F304" s="184" t="str">
        <f>货币资金!H42</f>
        <v/>
      </c>
      <c r="G304" s="184">
        <f>货币资金!I42</f>
        <v>0</v>
      </c>
      <c r="H304" s="184">
        <v>0</v>
      </c>
      <c r="I304" s="184">
        <v>0</v>
      </c>
      <c r="J304" s="184">
        <v>0</v>
      </c>
      <c r="L304" s="180">
        <f t="shared" si="6"/>
        <v>0</v>
      </c>
      <c r="M304" s="180">
        <f t="shared" si="9"/>
        <v>0</v>
      </c>
      <c r="N304" s="180">
        <f t="shared" si="8"/>
        <v>0</v>
      </c>
    </row>
    <row r="305" spans="1:14">
      <c r="B305" s="179">
        <v>298</v>
      </c>
      <c r="C305" s="172"/>
      <c r="D305" s="196" t="s">
        <v>795</v>
      </c>
      <c r="E305" s="184">
        <f>货币资金!G43</f>
        <v>0</v>
      </c>
      <c r="F305" s="184" t="str">
        <f>货币资金!H43</f>
        <v/>
      </c>
      <c r="G305" s="184">
        <f>货币资金!I43</f>
        <v>0</v>
      </c>
      <c r="H305" s="184">
        <v>0</v>
      </c>
      <c r="I305" s="184">
        <v>0</v>
      </c>
      <c r="J305" s="184">
        <v>0</v>
      </c>
      <c r="L305" s="180">
        <f t="shared" si="6"/>
        <v>0</v>
      </c>
      <c r="M305" s="180">
        <f t="shared" si="9"/>
        <v>0</v>
      </c>
      <c r="N305" s="180">
        <f t="shared" si="8"/>
        <v>0</v>
      </c>
    </row>
    <row r="306" spans="1:14">
      <c r="B306" s="179">
        <v>299</v>
      </c>
      <c r="C306" s="172"/>
      <c r="D306" s="196" t="s">
        <v>796</v>
      </c>
      <c r="E306" s="184">
        <f>货币资金!G44</f>
        <v>0</v>
      </c>
      <c r="F306" s="184" t="str">
        <f>货币资金!H44</f>
        <v/>
      </c>
      <c r="G306" s="184">
        <f>货币资金!I44</f>
        <v>0</v>
      </c>
      <c r="H306" s="184">
        <v>0</v>
      </c>
      <c r="I306" s="184">
        <v>0</v>
      </c>
      <c r="J306" s="184">
        <v>0</v>
      </c>
      <c r="L306" s="180">
        <f t="shared" si="6"/>
        <v>0</v>
      </c>
      <c r="M306" s="180">
        <f t="shared" si="9"/>
        <v>0</v>
      </c>
      <c r="N306" s="180">
        <f t="shared" si="8"/>
        <v>0</v>
      </c>
    </row>
    <row r="307" spans="1:14" ht="13.5">
      <c r="A307" s="186" t="str">
        <f>HYPERLINK("#C1","置顶")</f>
        <v>置顶</v>
      </c>
      <c r="B307" s="179">
        <v>300</v>
      </c>
      <c r="C307" s="172"/>
      <c r="D307" s="196" t="s">
        <v>797</v>
      </c>
      <c r="E307" s="184">
        <f>货币资金!G45</f>
        <v>0</v>
      </c>
      <c r="F307" s="184" t="str">
        <f>货币资金!H45</f>
        <v/>
      </c>
      <c r="G307" s="184">
        <f>货币资金!I45</f>
        <v>0</v>
      </c>
      <c r="H307" s="184">
        <v>0</v>
      </c>
      <c r="I307" s="184">
        <v>0</v>
      </c>
      <c r="J307" s="184">
        <v>0</v>
      </c>
      <c r="L307" s="180">
        <f t="shared" si="6"/>
        <v>0</v>
      </c>
      <c r="M307" s="180">
        <f t="shared" si="9"/>
        <v>0</v>
      </c>
      <c r="N307" s="180">
        <f t="shared" si="8"/>
        <v>0</v>
      </c>
    </row>
    <row r="308" spans="1:14" ht="13.5">
      <c r="A308" s="187"/>
      <c r="B308" s="179">
        <v>301</v>
      </c>
      <c r="C308" s="172"/>
      <c r="D308" s="196" t="s">
        <v>798</v>
      </c>
      <c r="E308" s="184">
        <f>货币资金!G46</f>
        <v>0</v>
      </c>
      <c r="F308" s="184" t="str">
        <f>货币资金!H46</f>
        <v/>
      </c>
      <c r="G308" s="184">
        <f>货币资金!I46</f>
        <v>0</v>
      </c>
      <c r="H308" s="184">
        <v>0</v>
      </c>
      <c r="I308" s="184">
        <v>0</v>
      </c>
      <c r="J308" s="184">
        <v>0</v>
      </c>
      <c r="L308" s="180">
        <f t="shared" si="6"/>
        <v>0</v>
      </c>
      <c r="M308" s="180">
        <f t="shared" si="9"/>
        <v>0</v>
      </c>
      <c r="N308" s="180">
        <f t="shared" si="8"/>
        <v>0</v>
      </c>
    </row>
    <row r="309" spans="1:14">
      <c r="B309" s="179">
        <v>302</v>
      </c>
      <c r="C309" s="172"/>
      <c r="D309" s="196" t="s">
        <v>799</v>
      </c>
      <c r="E309" s="184">
        <f>货币资金!G47</f>
        <v>0</v>
      </c>
      <c r="F309" s="184" t="str">
        <f>货币资金!H47</f>
        <v/>
      </c>
      <c r="G309" s="184">
        <f>货币资金!I47</f>
        <v>0</v>
      </c>
      <c r="H309" s="184">
        <v>0</v>
      </c>
      <c r="I309" s="184">
        <v>0</v>
      </c>
      <c r="J309" s="184">
        <v>0</v>
      </c>
      <c r="L309" s="180">
        <f t="shared" si="6"/>
        <v>0</v>
      </c>
      <c r="M309" s="180">
        <f t="shared" si="9"/>
        <v>0</v>
      </c>
      <c r="N309" s="180">
        <f t="shared" si="8"/>
        <v>0</v>
      </c>
    </row>
    <row r="310" spans="1:14">
      <c r="B310" s="179">
        <v>303</v>
      </c>
      <c r="C310" s="172"/>
      <c r="D310" s="196" t="s">
        <v>800</v>
      </c>
      <c r="E310" s="184">
        <f>货币资金!G48</f>
        <v>0</v>
      </c>
      <c r="F310" s="184" t="str">
        <f>货币资金!H48</f>
        <v/>
      </c>
      <c r="G310" s="184">
        <f>货币资金!I48</f>
        <v>0</v>
      </c>
      <c r="H310" s="184">
        <v>0</v>
      </c>
      <c r="I310" s="184">
        <v>0</v>
      </c>
      <c r="J310" s="184">
        <v>0</v>
      </c>
      <c r="L310" s="180">
        <f t="shared" si="6"/>
        <v>0</v>
      </c>
      <c r="M310" s="180">
        <f t="shared" si="9"/>
        <v>0</v>
      </c>
      <c r="N310" s="180">
        <f t="shared" si="8"/>
        <v>0</v>
      </c>
    </row>
    <row r="311" spans="1:14">
      <c r="B311" s="179">
        <v>304</v>
      </c>
      <c r="C311" s="172"/>
      <c r="D311" s="196" t="s">
        <v>801</v>
      </c>
      <c r="E311" s="184">
        <f>货币资金!G49</f>
        <v>0</v>
      </c>
      <c r="F311" s="184" t="str">
        <f>货币资金!H49</f>
        <v/>
      </c>
      <c r="G311" s="184">
        <f>货币资金!I49</f>
        <v>0</v>
      </c>
      <c r="H311" s="184">
        <v>0</v>
      </c>
      <c r="I311" s="184">
        <v>0</v>
      </c>
      <c r="J311" s="184">
        <v>0</v>
      </c>
      <c r="L311" s="180">
        <f t="shared" si="6"/>
        <v>0</v>
      </c>
      <c r="M311" s="180">
        <f t="shared" si="9"/>
        <v>0</v>
      </c>
      <c r="N311" s="180">
        <f t="shared" si="8"/>
        <v>0</v>
      </c>
    </row>
    <row r="312" spans="1:14">
      <c r="B312" s="179">
        <v>305</v>
      </c>
      <c r="C312" s="172"/>
      <c r="D312" s="196" t="s">
        <v>802</v>
      </c>
      <c r="E312" s="184">
        <f>货币资金!G50</f>
        <v>0</v>
      </c>
      <c r="F312" s="184" t="str">
        <f>货币资金!H50</f>
        <v/>
      </c>
      <c r="G312" s="184">
        <f>货币资金!I50</f>
        <v>0</v>
      </c>
      <c r="H312" s="184">
        <v>0</v>
      </c>
      <c r="I312" s="184">
        <v>0</v>
      </c>
      <c r="J312" s="184">
        <v>0</v>
      </c>
      <c r="L312" s="180">
        <f t="shared" si="6"/>
        <v>0</v>
      </c>
      <c r="M312" s="180">
        <f t="shared" si="9"/>
        <v>0</v>
      </c>
      <c r="N312" s="180">
        <f t="shared" si="8"/>
        <v>0</v>
      </c>
    </row>
    <row r="313" spans="1:14">
      <c r="A313" s="173" t="s">
        <v>523</v>
      </c>
      <c r="B313" s="179">
        <v>306</v>
      </c>
      <c r="C313" s="172"/>
      <c r="D313" s="196" t="s">
        <v>804</v>
      </c>
      <c r="E313" s="184">
        <f>货币资金!G51</f>
        <v>0</v>
      </c>
      <c r="F313" s="184" t="str">
        <f>货币资金!H51</f>
        <v/>
      </c>
      <c r="G313" s="184">
        <f>货币资金!I51</f>
        <v>0</v>
      </c>
      <c r="H313" s="184">
        <v>0</v>
      </c>
      <c r="I313" s="184">
        <v>0</v>
      </c>
      <c r="J313" s="184">
        <v>0</v>
      </c>
      <c r="L313" s="180">
        <f t="shared" si="6"/>
        <v>0</v>
      </c>
      <c r="M313" s="180">
        <f t="shared" si="9"/>
        <v>0</v>
      </c>
      <c r="N313" s="180">
        <f t="shared" si="8"/>
        <v>0</v>
      </c>
    </row>
    <row r="314" spans="1:14">
      <c r="A314" s="181"/>
      <c r="B314" s="179">
        <v>307</v>
      </c>
      <c r="C314" s="172"/>
      <c r="D314" s="196" t="s">
        <v>807</v>
      </c>
      <c r="E314" s="184">
        <f>货币资金!G52</f>
        <v>0</v>
      </c>
      <c r="F314" s="184">
        <f>货币资金!H52</f>
        <v>0</v>
      </c>
      <c r="G314" s="184">
        <f>货币资金!I52</f>
        <v>0</v>
      </c>
      <c r="H314" s="184">
        <v>0</v>
      </c>
      <c r="I314" s="184">
        <v>0</v>
      </c>
      <c r="J314" s="184">
        <v>0</v>
      </c>
      <c r="L314" s="180">
        <f t="shared" si="6"/>
        <v>0</v>
      </c>
      <c r="M314" s="180">
        <f t="shared" si="6"/>
        <v>0</v>
      </c>
      <c r="N314" s="180">
        <f t="shared" si="8"/>
        <v>0</v>
      </c>
    </row>
    <row r="315" spans="1:14">
      <c r="B315" s="179">
        <v>308</v>
      </c>
      <c r="C315" s="172"/>
      <c r="D315" s="196" t="s">
        <v>808</v>
      </c>
      <c r="E315" s="184">
        <f>货币资金!G53</f>
        <v>0</v>
      </c>
      <c r="F315" s="184" t="str">
        <f>货币资金!H53</f>
        <v/>
      </c>
      <c r="G315" s="184">
        <f>货币资金!I53</f>
        <v>0</v>
      </c>
      <c r="H315" s="184">
        <v>0</v>
      </c>
      <c r="I315" s="184">
        <v>0</v>
      </c>
      <c r="J315" s="184">
        <v>0</v>
      </c>
      <c r="L315" s="180">
        <f t="shared" si="6"/>
        <v>0</v>
      </c>
      <c r="M315" s="180">
        <f t="shared" ref="M315:M338" si="10">IFERROR(ABS(F315-I315),)</f>
        <v>0</v>
      </c>
      <c r="N315" s="180">
        <f t="shared" si="8"/>
        <v>0</v>
      </c>
    </row>
    <row r="316" spans="1:14">
      <c r="B316" s="179">
        <v>309</v>
      </c>
      <c r="C316" s="172"/>
      <c r="D316" s="196" t="s">
        <v>781</v>
      </c>
      <c r="E316" s="184">
        <f>货币资金!G54</f>
        <v>0</v>
      </c>
      <c r="F316" s="184" t="str">
        <f>货币资金!H54</f>
        <v/>
      </c>
      <c r="G316" s="184">
        <f>货币资金!I54</f>
        <v>0</v>
      </c>
      <c r="H316" s="184">
        <v>0</v>
      </c>
      <c r="I316" s="184">
        <v>0</v>
      </c>
      <c r="J316" s="184">
        <v>0</v>
      </c>
      <c r="L316" s="180">
        <f t="shared" si="6"/>
        <v>0</v>
      </c>
      <c r="M316" s="180">
        <f t="shared" si="10"/>
        <v>0</v>
      </c>
      <c r="N316" s="180">
        <f t="shared" si="8"/>
        <v>0</v>
      </c>
    </row>
    <row r="317" spans="1:14">
      <c r="B317" s="179">
        <v>310</v>
      </c>
      <c r="C317" s="172"/>
      <c r="D317" s="196" t="s">
        <v>782</v>
      </c>
      <c r="E317" s="184">
        <f>货币资金!G55</f>
        <v>0</v>
      </c>
      <c r="F317" s="184" t="str">
        <f>货币资金!H55</f>
        <v/>
      </c>
      <c r="G317" s="184">
        <f>货币资金!I55</f>
        <v>0</v>
      </c>
      <c r="H317" s="184">
        <v>0</v>
      </c>
      <c r="I317" s="184">
        <v>0</v>
      </c>
      <c r="J317" s="184">
        <v>0</v>
      </c>
      <c r="L317" s="180">
        <f t="shared" si="6"/>
        <v>0</v>
      </c>
      <c r="M317" s="180">
        <f t="shared" si="10"/>
        <v>0</v>
      </c>
      <c r="N317" s="180">
        <f t="shared" si="8"/>
        <v>0</v>
      </c>
    </row>
    <row r="318" spans="1:14">
      <c r="B318" s="179">
        <v>311</v>
      </c>
      <c r="C318" s="172"/>
      <c r="D318" s="196" t="s">
        <v>783</v>
      </c>
      <c r="E318" s="184">
        <f>货币资金!G56</f>
        <v>0</v>
      </c>
      <c r="F318" s="184" t="str">
        <f>货币资金!H56</f>
        <v/>
      </c>
      <c r="G318" s="184">
        <f>货币资金!I56</f>
        <v>0</v>
      </c>
      <c r="H318" s="184">
        <v>0</v>
      </c>
      <c r="I318" s="184">
        <v>0</v>
      </c>
      <c r="J318" s="184">
        <v>0</v>
      </c>
      <c r="L318" s="180">
        <f t="shared" si="6"/>
        <v>0</v>
      </c>
      <c r="M318" s="180">
        <f t="shared" si="10"/>
        <v>0</v>
      </c>
      <c r="N318" s="180">
        <f t="shared" si="8"/>
        <v>0</v>
      </c>
    </row>
    <row r="319" spans="1:14">
      <c r="B319" s="179">
        <v>312</v>
      </c>
      <c r="C319" s="172"/>
      <c r="D319" s="196" t="s">
        <v>784</v>
      </c>
      <c r="E319" s="184">
        <f>货币资金!G57</f>
        <v>0</v>
      </c>
      <c r="F319" s="184" t="str">
        <f>货币资金!H57</f>
        <v/>
      </c>
      <c r="G319" s="184">
        <f>货币资金!I57</f>
        <v>0</v>
      </c>
      <c r="H319" s="184">
        <v>0</v>
      </c>
      <c r="I319" s="184">
        <v>0</v>
      </c>
      <c r="J319" s="184">
        <v>0</v>
      </c>
      <c r="L319" s="180">
        <f t="shared" si="6"/>
        <v>0</v>
      </c>
      <c r="M319" s="180">
        <f t="shared" si="10"/>
        <v>0</v>
      </c>
      <c r="N319" s="180">
        <f t="shared" si="8"/>
        <v>0</v>
      </c>
    </row>
    <row r="320" spans="1:14">
      <c r="B320" s="179">
        <v>313</v>
      </c>
      <c r="C320" s="172"/>
      <c r="D320" s="196" t="s">
        <v>785</v>
      </c>
      <c r="E320" s="184">
        <f>货币资金!G58</f>
        <v>0</v>
      </c>
      <c r="F320" s="184" t="str">
        <f>货币资金!H58</f>
        <v/>
      </c>
      <c r="G320" s="184">
        <f>货币资金!I58</f>
        <v>0</v>
      </c>
      <c r="H320" s="184">
        <v>0</v>
      </c>
      <c r="I320" s="184">
        <v>0</v>
      </c>
      <c r="J320" s="184">
        <v>0</v>
      </c>
      <c r="L320" s="180">
        <f t="shared" si="6"/>
        <v>0</v>
      </c>
      <c r="M320" s="180">
        <f t="shared" si="10"/>
        <v>0</v>
      </c>
      <c r="N320" s="180">
        <f t="shared" si="8"/>
        <v>0</v>
      </c>
    </row>
    <row r="321" spans="1:14" ht="13.5">
      <c r="A321" s="186" t="str">
        <f>HYPERLINK("#C1","置顶")</f>
        <v>置顶</v>
      </c>
      <c r="B321" s="179">
        <v>314</v>
      </c>
      <c r="C321" s="172"/>
      <c r="D321" s="196" t="s">
        <v>786</v>
      </c>
      <c r="E321" s="184">
        <f>货币资金!G59</f>
        <v>0</v>
      </c>
      <c r="F321" s="184" t="str">
        <f>货币资金!H59</f>
        <v/>
      </c>
      <c r="G321" s="184">
        <f>货币资金!I59</f>
        <v>0</v>
      </c>
      <c r="H321" s="184">
        <v>0</v>
      </c>
      <c r="I321" s="184">
        <v>0</v>
      </c>
      <c r="J321" s="184">
        <v>0</v>
      </c>
      <c r="L321" s="180">
        <f t="shared" si="6"/>
        <v>0</v>
      </c>
      <c r="M321" s="180">
        <f t="shared" si="10"/>
        <v>0</v>
      </c>
      <c r="N321" s="180">
        <f t="shared" si="8"/>
        <v>0</v>
      </c>
    </row>
    <row r="322" spans="1:14" ht="13.5">
      <c r="A322" s="187"/>
      <c r="B322" s="179">
        <v>315</v>
      </c>
      <c r="C322" s="172"/>
      <c r="D322" s="196" t="s">
        <v>787</v>
      </c>
      <c r="E322" s="184">
        <f>货币资金!G60</f>
        <v>0</v>
      </c>
      <c r="F322" s="184" t="str">
        <f>货币资金!H60</f>
        <v/>
      </c>
      <c r="G322" s="184">
        <f>货币资金!I60</f>
        <v>0</v>
      </c>
      <c r="H322" s="184">
        <v>0</v>
      </c>
      <c r="I322" s="184">
        <v>0</v>
      </c>
      <c r="J322" s="184">
        <v>0</v>
      </c>
      <c r="L322" s="180">
        <f t="shared" si="6"/>
        <v>0</v>
      </c>
      <c r="M322" s="180">
        <f t="shared" si="10"/>
        <v>0</v>
      </c>
      <c r="N322" s="180">
        <f t="shared" si="8"/>
        <v>0</v>
      </c>
    </row>
    <row r="323" spans="1:14" ht="13.5">
      <c r="A323" s="187"/>
      <c r="B323" s="179">
        <v>316</v>
      </c>
      <c r="C323" s="172"/>
      <c r="D323" s="196" t="s">
        <v>788</v>
      </c>
      <c r="E323" s="184">
        <f>货币资金!G61</f>
        <v>0</v>
      </c>
      <c r="F323" s="184" t="str">
        <f>货币资金!H61</f>
        <v/>
      </c>
      <c r="G323" s="184">
        <f>货币资金!I61</f>
        <v>0</v>
      </c>
      <c r="H323" s="184">
        <v>0</v>
      </c>
      <c r="I323" s="184">
        <v>0</v>
      </c>
      <c r="J323" s="184">
        <v>0</v>
      </c>
      <c r="L323" s="180">
        <f t="shared" si="6"/>
        <v>0</v>
      </c>
      <c r="M323" s="180">
        <f t="shared" si="10"/>
        <v>0</v>
      </c>
      <c r="N323" s="180">
        <f t="shared" si="8"/>
        <v>0</v>
      </c>
    </row>
    <row r="324" spans="1:14">
      <c r="B324" s="179">
        <v>317</v>
      </c>
      <c r="C324" s="172"/>
      <c r="D324" s="196" t="s">
        <v>789</v>
      </c>
      <c r="E324" s="184">
        <f>货币资金!G62</f>
        <v>0</v>
      </c>
      <c r="F324" s="184" t="str">
        <f>货币资金!H62</f>
        <v/>
      </c>
      <c r="G324" s="184">
        <f>货币资金!I62</f>
        <v>0</v>
      </c>
      <c r="H324" s="184">
        <v>0</v>
      </c>
      <c r="I324" s="184">
        <v>0</v>
      </c>
      <c r="J324" s="184">
        <v>0</v>
      </c>
      <c r="L324" s="180">
        <f t="shared" si="6"/>
        <v>0</v>
      </c>
      <c r="M324" s="180">
        <f t="shared" si="10"/>
        <v>0</v>
      </c>
      <c r="N324" s="180">
        <f t="shared" si="8"/>
        <v>0</v>
      </c>
    </row>
    <row r="325" spans="1:14">
      <c r="B325" s="179">
        <v>318</v>
      </c>
      <c r="C325" s="172"/>
      <c r="D325" s="196" t="s">
        <v>790</v>
      </c>
      <c r="E325" s="184">
        <f>货币资金!G63</f>
        <v>0</v>
      </c>
      <c r="F325" s="184" t="str">
        <f>货币资金!H63</f>
        <v/>
      </c>
      <c r="G325" s="184">
        <f>货币资金!I63</f>
        <v>0</v>
      </c>
      <c r="H325" s="184">
        <v>0</v>
      </c>
      <c r="I325" s="184">
        <v>0</v>
      </c>
      <c r="J325" s="184">
        <v>0</v>
      </c>
      <c r="L325" s="180">
        <f t="shared" si="6"/>
        <v>0</v>
      </c>
      <c r="M325" s="180">
        <f t="shared" si="10"/>
        <v>0</v>
      </c>
      <c r="N325" s="180">
        <f t="shared" si="8"/>
        <v>0</v>
      </c>
    </row>
    <row r="326" spans="1:14">
      <c r="B326" s="179">
        <v>319</v>
      </c>
      <c r="C326" s="172"/>
      <c r="D326" s="196" t="s">
        <v>791</v>
      </c>
      <c r="E326" s="184">
        <f>货币资金!G64</f>
        <v>0</v>
      </c>
      <c r="F326" s="184" t="str">
        <f>货币资金!H64</f>
        <v/>
      </c>
      <c r="G326" s="184">
        <f>货币资金!I64</f>
        <v>0</v>
      </c>
      <c r="H326" s="184">
        <v>0</v>
      </c>
      <c r="I326" s="184">
        <v>0</v>
      </c>
      <c r="J326" s="184">
        <v>0</v>
      </c>
      <c r="L326" s="180">
        <f t="shared" si="6"/>
        <v>0</v>
      </c>
      <c r="M326" s="180">
        <f t="shared" si="10"/>
        <v>0</v>
      </c>
      <c r="N326" s="180">
        <f t="shared" si="8"/>
        <v>0</v>
      </c>
    </row>
    <row r="327" spans="1:14">
      <c r="B327" s="179">
        <v>320</v>
      </c>
      <c r="C327" s="172"/>
      <c r="D327" s="196" t="s">
        <v>792</v>
      </c>
      <c r="E327" s="184">
        <f>货币资金!G65</f>
        <v>0</v>
      </c>
      <c r="F327" s="184" t="str">
        <f>货币资金!H65</f>
        <v/>
      </c>
      <c r="G327" s="184">
        <f>货币资金!I65</f>
        <v>0</v>
      </c>
      <c r="H327" s="184">
        <v>0</v>
      </c>
      <c r="I327" s="184">
        <v>0</v>
      </c>
      <c r="J327" s="184">
        <v>0</v>
      </c>
      <c r="L327" s="180">
        <f t="shared" si="6"/>
        <v>0</v>
      </c>
      <c r="M327" s="180">
        <f t="shared" si="10"/>
        <v>0</v>
      </c>
      <c r="N327" s="180">
        <f t="shared" si="8"/>
        <v>0</v>
      </c>
    </row>
    <row r="328" spans="1:14">
      <c r="A328" s="173" t="s">
        <v>523</v>
      </c>
      <c r="B328" s="179">
        <v>321</v>
      </c>
      <c r="C328" s="172"/>
      <c r="D328" s="196" t="s">
        <v>794</v>
      </c>
      <c r="E328" s="184">
        <f>货币资金!G66</f>
        <v>0</v>
      </c>
      <c r="F328" s="184" t="str">
        <f>货币资金!H66</f>
        <v/>
      </c>
      <c r="G328" s="184">
        <f>货币资金!I66</f>
        <v>0</v>
      </c>
      <c r="H328" s="184">
        <v>0</v>
      </c>
      <c r="I328" s="184">
        <v>0</v>
      </c>
      <c r="J328" s="184">
        <v>0</v>
      </c>
      <c r="L328" s="180">
        <f t="shared" si="6"/>
        <v>0</v>
      </c>
      <c r="M328" s="180">
        <f t="shared" si="10"/>
        <v>0</v>
      </c>
      <c r="N328" s="180">
        <f t="shared" si="8"/>
        <v>0</v>
      </c>
    </row>
    <row r="329" spans="1:14">
      <c r="B329" s="179">
        <v>322</v>
      </c>
      <c r="C329" s="172"/>
      <c r="D329" s="196" t="s">
        <v>795</v>
      </c>
      <c r="E329" s="184">
        <f>货币资金!G67</f>
        <v>0</v>
      </c>
      <c r="F329" s="184" t="str">
        <f>货币资金!H67</f>
        <v/>
      </c>
      <c r="G329" s="184">
        <f>货币资金!I67</f>
        <v>0</v>
      </c>
      <c r="H329" s="184">
        <v>0</v>
      </c>
      <c r="I329" s="184">
        <v>0</v>
      </c>
      <c r="J329" s="184">
        <v>0</v>
      </c>
      <c r="L329" s="180">
        <f t="shared" si="6"/>
        <v>0</v>
      </c>
      <c r="M329" s="180">
        <f t="shared" si="10"/>
        <v>0</v>
      </c>
      <c r="N329" s="180">
        <f t="shared" si="8"/>
        <v>0</v>
      </c>
    </row>
    <row r="330" spans="1:14">
      <c r="B330" s="179">
        <v>323</v>
      </c>
      <c r="C330" s="172"/>
      <c r="D330" s="196" t="s">
        <v>796</v>
      </c>
      <c r="E330" s="184">
        <f>货币资金!G68</f>
        <v>0</v>
      </c>
      <c r="F330" s="184" t="str">
        <f>货币资金!H68</f>
        <v/>
      </c>
      <c r="G330" s="184">
        <f>货币资金!I68</f>
        <v>0</v>
      </c>
      <c r="H330" s="184">
        <v>0</v>
      </c>
      <c r="I330" s="184">
        <v>0</v>
      </c>
      <c r="J330" s="184">
        <v>0</v>
      </c>
      <c r="L330" s="180">
        <f t="shared" si="6"/>
        <v>0</v>
      </c>
      <c r="M330" s="180">
        <f t="shared" si="10"/>
        <v>0</v>
      </c>
      <c r="N330" s="180">
        <f t="shared" si="8"/>
        <v>0</v>
      </c>
    </row>
    <row r="331" spans="1:14">
      <c r="B331" s="179">
        <v>324</v>
      </c>
      <c r="C331" s="172"/>
      <c r="D331" s="196" t="s">
        <v>797</v>
      </c>
      <c r="E331" s="184">
        <f>货币资金!G69</f>
        <v>0</v>
      </c>
      <c r="F331" s="184" t="str">
        <f>货币资金!H69</f>
        <v/>
      </c>
      <c r="G331" s="184">
        <f>货币资金!I69</f>
        <v>0</v>
      </c>
      <c r="H331" s="184">
        <v>0</v>
      </c>
      <c r="I331" s="184">
        <v>0</v>
      </c>
      <c r="J331" s="184">
        <v>0</v>
      </c>
      <c r="L331" s="180">
        <f t="shared" ref="L331:L338" si="11">ABS(E331-H331)</f>
        <v>0</v>
      </c>
      <c r="M331" s="180">
        <f t="shared" si="10"/>
        <v>0</v>
      </c>
      <c r="N331" s="180">
        <f t="shared" si="8"/>
        <v>0</v>
      </c>
    </row>
    <row r="332" spans="1:14">
      <c r="B332" s="179">
        <v>325</v>
      </c>
      <c r="C332" s="172"/>
      <c r="D332" s="196" t="s">
        <v>798</v>
      </c>
      <c r="E332" s="184">
        <f>货币资金!G70</f>
        <v>0</v>
      </c>
      <c r="F332" s="184" t="str">
        <f>货币资金!H70</f>
        <v/>
      </c>
      <c r="G332" s="184">
        <f>货币资金!I70</f>
        <v>0</v>
      </c>
      <c r="H332" s="184">
        <v>0</v>
      </c>
      <c r="I332" s="184">
        <v>0</v>
      </c>
      <c r="J332" s="184">
        <v>0</v>
      </c>
      <c r="L332" s="180">
        <f t="shared" si="11"/>
        <v>0</v>
      </c>
      <c r="M332" s="180">
        <f t="shared" si="10"/>
        <v>0</v>
      </c>
      <c r="N332" s="180">
        <f t="shared" si="8"/>
        <v>0</v>
      </c>
    </row>
    <row r="333" spans="1:14">
      <c r="B333" s="179">
        <v>326</v>
      </c>
      <c r="C333" s="172"/>
      <c r="D333" s="196" t="s">
        <v>799</v>
      </c>
      <c r="E333" s="184">
        <f>货币资金!G71</f>
        <v>0</v>
      </c>
      <c r="F333" s="184" t="str">
        <f>货币资金!H71</f>
        <v/>
      </c>
      <c r="G333" s="184">
        <f>货币资金!I71</f>
        <v>0</v>
      </c>
      <c r="H333" s="184">
        <v>0</v>
      </c>
      <c r="I333" s="184">
        <v>0</v>
      </c>
      <c r="J333" s="184">
        <v>0</v>
      </c>
      <c r="L333" s="180">
        <f t="shared" si="11"/>
        <v>0</v>
      </c>
      <c r="M333" s="180">
        <f t="shared" si="10"/>
        <v>0</v>
      </c>
      <c r="N333" s="180">
        <f t="shared" si="8"/>
        <v>0</v>
      </c>
    </row>
    <row r="334" spans="1:14">
      <c r="B334" s="179">
        <v>327</v>
      </c>
      <c r="C334" s="172"/>
      <c r="D334" s="196" t="s">
        <v>800</v>
      </c>
      <c r="E334" s="184">
        <f>货币资金!G72</f>
        <v>0</v>
      </c>
      <c r="F334" s="184" t="str">
        <f>货币资金!H72</f>
        <v/>
      </c>
      <c r="G334" s="184">
        <f>货币资金!I72</f>
        <v>0</v>
      </c>
      <c r="H334" s="184">
        <v>0</v>
      </c>
      <c r="I334" s="184">
        <v>0</v>
      </c>
      <c r="J334" s="184">
        <v>0</v>
      </c>
      <c r="L334" s="180">
        <f t="shared" si="11"/>
        <v>0</v>
      </c>
      <c r="M334" s="180">
        <f t="shared" si="10"/>
        <v>0</v>
      </c>
      <c r="N334" s="180">
        <f t="shared" si="8"/>
        <v>0</v>
      </c>
    </row>
    <row r="335" spans="1:14">
      <c r="B335" s="179">
        <v>328</v>
      </c>
      <c r="C335" s="172"/>
      <c r="D335" s="196" t="s">
        <v>801</v>
      </c>
      <c r="E335" s="184">
        <f>货币资金!G73</f>
        <v>0</v>
      </c>
      <c r="F335" s="184" t="str">
        <f>货币资金!H73</f>
        <v/>
      </c>
      <c r="G335" s="184">
        <f>货币资金!I73</f>
        <v>0</v>
      </c>
      <c r="H335" s="184">
        <v>0</v>
      </c>
      <c r="I335" s="184">
        <v>0</v>
      </c>
      <c r="J335" s="184">
        <v>0</v>
      </c>
      <c r="L335" s="180">
        <f t="shared" si="11"/>
        <v>0</v>
      </c>
      <c r="M335" s="180">
        <f t="shared" si="10"/>
        <v>0</v>
      </c>
      <c r="N335" s="180">
        <f t="shared" si="8"/>
        <v>0</v>
      </c>
    </row>
    <row r="336" spans="1:14">
      <c r="B336" s="179">
        <v>329</v>
      </c>
      <c r="C336" s="172"/>
      <c r="D336" s="196" t="s">
        <v>802</v>
      </c>
      <c r="E336" s="184">
        <f>货币资金!G74</f>
        <v>0</v>
      </c>
      <c r="F336" s="184" t="str">
        <f>货币资金!H74</f>
        <v/>
      </c>
      <c r="G336" s="184">
        <f>货币资金!I74</f>
        <v>0</v>
      </c>
      <c r="H336" s="184">
        <v>0</v>
      </c>
      <c r="I336" s="184">
        <v>0</v>
      </c>
      <c r="J336" s="184">
        <v>0</v>
      </c>
      <c r="L336" s="180">
        <f t="shared" si="11"/>
        <v>0</v>
      </c>
      <c r="M336" s="180">
        <f t="shared" si="10"/>
        <v>0</v>
      </c>
      <c r="N336" s="180">
        <f t="shared" si="8"/>
        <v>0</v>
      </c>
    </row>
    <row r="337" spans="1:14">
      <c r="B337" s="179">
        <v>330</v>
      </c>
      <c r="C337" s="172"/>
      <c r="D337" s="196" t="s">
        <v>804</v>
      </c>
      <c r="E337" s="184">
        <f>货币资金!G75</f>
        <v>0</v>
      </c>
      <c r="F337" s="184" t="str">
        <f>货币资金!H75</f>
        <v/>
      </c>
      <c r="G337" s="184">
        <f>货币资金!I75</f>
        <v>0</v>
      </c>
      <c r="H337" s="184">
        <v>0</v>
      </c>
      <c r="I337" s="184">
        <v>0</v>
      </c>
      <c r="J337" s="184">
        <v>0</v>
      </c>
      <c r="L337" s="180">
        <f t="shared" si="11"/>
        <v>0</v>
      </c>
      <c r="M337" s="180">
        <f t="shared" si="10"/>
        <v>0</v>
      </c>
      <c r="N337" s="180">
        <f t="shared" si="8"/>
        <v>0</v>
      </c>
    </row>
    <row r="338" spans="1:14">
      <c r="A338" s="173" t="s">
        <v>523</v>
      </c>
      <c r="B338" s="179">
        <v>331</v>
      </c>
      <c r="C338" s="172"/>
      <c r="D338" s="196" t="s">
        <v>809</v>
      </c>
      <c r="E338" s="184">
        <f>货币资金!G76</f>
        <v>0</v>
      </c>
      <c r="F338" s="184" t="str">
        <f>货币资金!H76</f>
        <v>—</v>
      </c>
      <c r="G338" s="184">
        <f>货币资金!I76</f>
        <v>6270239.29</v>
      </c>
      <c r="H338" s="184">
        <v>0</v>
      </c>
      <c r="I338" s="184" t="s">
        <v>217</v>
      </c>
      <c r="J338" s="184">
        <v>11493447.550000001</v>
      </c>
      <c r="L338" s="180">
        <f t="shared" si="11"/>
        <v>0</v>
      </c>
      <c r="M338" s="180">
        <f t="shared" si="10"/>
        <v>0</v>
      </c>
      <c r="N338" s="180">
        <f t="shared" si="8"/>
        <v>5223208.2600000007</v>
      </c>
    </row>
    <row r="339" spans="1:14">
      <c r="A339" s="181"/>
      <c r="B339" s="179">
        <v>332</v>
      </c>
      <c r="C339" s="172"/>
      <c r="L339" s="175">
        <f>SUM(L266:L338)</f>
        <v>12540478.579999998</v>
      </c>
      <c r="M339" s="175">
        <f>SUM(M266:M338)</f>
        <v>2</v>
      </c>
      <c r="N339" s="175">
        <f>SUM(N266:N338)</f>
        <v>15785994.540000003</v>
      </c>
    </row>
    <row r="340" spans="1:14">
      <c r="B340" s="179">
        <v>333</v>
      </c>
      <c r="C340" s="172"/>
    </row>
    <row r="341" spans="1:14">
      <c r="B341" s="179">
        <v>334</v>
      </c>
      <c r="C341" s="172"/>
      <c r="D341" s="197" t="s">
        <v>810</v>
      </c>
    </row>
    <row r="342" spans="1:14">
      <c r="B342" s="179">
        <v>335</v>
      </c>
      <c r="C342" s="172"/>
      <c r="D342" s="190" t="s">
        <v>811</v>
      </c>
      <c r="E342" s="198" t="s">
        <v>219</v>
      </c>
      <c r="F342" s="271" t="s">
        <v>1408</v>
      </c>
      <c r="H342" s="171" t="s">
        <v>524</v>
      </c>
    </row>
    <row r="343" spans="1:14">
      <c r="B343" s="179">
        <v>336</v>
      </c>
      <c r="C343" s="172"/>
      <c r="D343" s="199" t="s">
        <v>812</v>
      </c>
      <c r="E343" s="184">
        <f>以公允价值计量且其变动计入当期损益的金融资产!E4</f>
        <v>0</v>
      </c>
      <c r="F343" s="184">
        <v>0</v>
      </c>
      <c r="H343" s="176">
        <f>ABS(E343-F343)</f>
        <v>0</v>
      </c>
    </row>
    <row r="344" spans="1:14">
      <c r="B344" s="179">
        <v>337</v>
      </c>
      <c r="C344" s="172"/>
      <c r="D344" s="199" t="s">
        <v>813</v>
      </c>
      <c r="E344" s="184">
        <f>以公允价值计量且其变动计入当期损益的金融资产!E5</f>
        <v>0</v>
      </c>
      <c r="F344" s="184">
        <v>0</v>
      </c>
      <c r="H344" s="176">
        <f t="shared" ref="H344:H349" si="12">ABS(E344-F344)</f>
        <v>0</v>
      </c>
    </row>
    <row r="345" spans="1:14" ht="25.5">
      <c r="B345" s="179">
        <v>338</v>
      </c>
      <c r="C345" s="172"/>
      <c r="D345" s="200" t="s">
        <v>814</v>
      </c>
      <c r="E345" s="184">
        <f>以公允价值计量且其变动计入当期损益的金融资产!E6</f>
        <v>0</v>
      </c>
      <c r="F345" s="184">
        <v>0</v>
      </c>
      <c r="H345" s="176">
        <f t="shared" si="12"/>
        <v>0</v>
      </c>
    </row>
    <row r="346" spans="1:14" ht="13.5">
      <c r="A346" s="186" t="str">
        <f>HYPERLINK("#C1","置顶")</f>
        <v>置顶</v>
      </c>
      <c r="B346" s="179">
        <v>339</v>
      </c>
      <c r="C346" s="172"/>
      <c r="D346" s="199" t="s">
        <v>815</v>
      </c>
      <c r="E346" s="184"/>
      <c r="F346" s="184">
        <v>0</v>
      </c>
      <c r="H346" s="176">
        <f t="shared" si="12"/>
        <v>0</v>
      </c>
    </row>
    <row r="347" spans="1:14" ht="13.5">
      <c r="A347" s="187"/>
      <c r="B347" s="179">
        <v>340</v>
      </c>
      <c r="C347" s="172"/>
      <c r="D347" s="199" t="s">
        <v>816</v>
      </c>
      <c r="E347" s="184"/>
      <c r="F347" s="184">
        <v>0</v>
      </c>
      <c r="H347" s="176">
        <f t="shared" si="12"/>
        <v>0</v>
      </c>
    </row>
    <row r="348" spans="1:14" ht="13.5">
      <c r="A348" s="187"/>
      <c r="B348" s="179">
        <v>341</v>
      </c>
      <c r="C348" s="172"/>
      <c r="D348" s="199" t="s">
        <v>391</v>
      </c>
      <c r="E348" s="184">
        <f>以公允价值计量且其变动计入当期损益的金融资产!E9</f>
        <v>0</v>
      </c>
      <c r="F348" s="184">
        <v>0</v>
      </c>
      <c r="H348" s="176">
        <f t="shared" si="12"/>
        <v>0</v>
      </c>
    </row>
    <row r="349" spans="1:14">
      <c r="B349" s="179">
        <v>342</v>
      </c>
      <c r="C349" s="172"/>
      <c r="D349" s="190" t="s">
        <v>817</v>
      </c>
      <c r="E349" s="184">
        <f>以公允价值计量且其变动计入当期损益的金融资产!E10</f>
        <v>0</v>
      </c>
      <c r="F349" s="184">
        <v>0</v>
      </c>
      <c r="H349" s="176">
        <f t="shared" si="12"/>
        <v>0</v>
      </c>
    </row>
    <row r="350" spans="1:14">
      <c r="B350" s="179">
        <v>343</v>
      </c>
      <c r="C350" s="172"/>
      <c r="D350" s="201"/>
      <c r="H350" s="175">
        <f>SUM(H343:H349)</f>
        <v>0</v>
      </c>
    </row>
    <row r="351" spans="1:14">
      <c r="B351" s="179">
        <v>344</v>
      </c>
      <c r="C351" s="172"/>
    </row>
    <row r="352" spans="1:14">
      <c r="B352" s="179">
        <v>345</v>
      </c>
      <c r="C352" s="172"/>
      <c r="D352" s="197" t="s">
        <v>818</v>
      </c>
    </row>
    <row r="353" spans="1:17">
      <c r="A353" s="173" t="s">
        <v>523</v>
      </c>
      <c r="B353" s="179">
        <v>346</v>
      </c>
      <c r="C353" s="172"/>
      <c r="D353" s="178" t="s">
        <v>819</v>
      </c>
      <c r="E353" s="202" t="s">
        <v>774</v>
      </c>
      <c r="F353" s="272" t="s">
        <v>1407</v>
      </c>
      <c r="H353" s="180" t="s">
        <v>820</v>
      </c>
    </row>
    <row r="354" spans="1:17">
      <c r="B354" s="179">
        <v>347</v>
      </c>
      <c r="C354" s="172"/>
      <c r="D354" s="200" t="s">
        <v>821</v>
      </c>
      <c r="E354" s="184">
        <f>应收票据!E3</f>
        <v>0</v>
      </c>
      <c r="F354" s="184">
        <v>3589999.84</v>
      </c>
      <c r="H354" s="180">
        <f>E354-F354</f>
        <v>-3589999.84</v>
      </c>
    </row>
    <row r="355" spans="1:17">
      <c r="B355" s="179">
        <v>348</v>
      </c>
      <c r="C355" s="172"/>
      <c r="D355" s="200" t="s">
        <v>822</v>
      </c>
      <c r="E355" s="184">
        <f>应收票据!E4</f>
        <v>0</v>
      </c>
      <c r="F355" s="184">
        <v>749185</v>
      </c>
      <c r="H355" s="180">
        <f>E355-F355</f>
        <v>-749185</v>
      </c>
    </row>
    <row r="356" spans="1:17">
      <c r="B356" s="179">
        <v>349</v>
      </c>
      <c r="C356" s="172"/>
      <c r="D356" s="178" t="s">
        <v>823</v>
      </c>
      <c r="E356" s="184">
        <f>应收票据!E5</f>
        <v>0</v>
      </c>
      <c r="F356" s="184">
        <v>4339184.84</v>
      </c>
      <c r="H356" s="180">
        <f>E356-F356</f>
        <v>-4339184.84</v>
      </c>
    </row>
    <row r="357" spans="1:17">
      <c r="A357" s="173" t="s">
        <v>523</v>
      </c>
      <c r="B357" s="179">
        <v>350</v>
      </c>
      <c r="C357" s="172"/>
      <c r="H357" s="175">
        <f>SUM(H354:H356)</f>
        <v>-8678369.6799999997</v>
      </c>
    </row>
    <row r="358" spans="1:17">
      <c r="A358" s="181"/>
      <c r="B358" s="179">
        <v>351</v>
      </c>
      <c r="C358" s="172"/>
    </row>
    <row r="359" spans="1:17">
      <c r="B359" s="179">
        <v>352</v>
      </c>
      <c r="C359" s="172"/>
      <c r="D359" s="171" t="s">
        <v>353</v>
      </c>
    </row>
    <row r="360" spans="1:17">
      <c r="B360" s="179">
        <v>353</v>
      </c>
      <c r="C360" s="172"/>
      <c r="D360" s="1663" t="s">
        <v>819</v>
      </c>
      <c r="E360" s="1666" t="s">
        <v>824</v>
      </c>
      <c r="F360" s="1666"/>
      <c r="G360" s="1666"/>
      <c r="H360" s="1666"/>
      <c r="I360" s="1667" t="s">
        <v>1407</v>
      </c>
      <c r="J360" s="1661"/>
      <c r="K360" s="1661"/>
      <c r="L360" s="1661"/>
      <c r="N360" s="1661" t="s">
        <v>825</v>
      </c>
      <c r="O360" s="1661"/>
      <c r="P360" s="1661"/>
      <c r="Q360" s="1661"/>
    </row>
    <row r="361" spans="1:17">
      <c r="B361" s="179">
        <v>354</v>
      </c>
      <c r="C361" s="172"/>
      <c r="D361" s="1664"/>
      <c r="E361" s="1666" t="s">
        <v>826</v>
      </c>
      <c r="F361" s="1666"/>
      <c r="G361" s="1666" t="s">
        <v>827</v>
      </c>
      <c r="H361" s="1666"/>
      <c r="I361" s="1661" t="s">
        <v>826</v>
      </c>
      <c r="J361" s="1661"/>
      <c r="K361" s="1661" t="s">
        <v>828</v>
      </c>
      <c r="L361" s="1661"/>
      <c r="N361" s="1661" t="s">
        <v>826</v>
      </c>
      <c r="O361" s="1661"/>
      <c r="P361" s="1661" t="s">
        <v>828</v>
      </c>
      <c r="Q361" s="1661"/>
    </row>
    <row r="362" spans="1:17">
      <c r="B362" s="179">
        <v>355</v>
      </c>
      <c r="C362" s="172"/>
      <c r="D362" s="1665"/>
      <c r="E362" s="203" t="s">
        <v>829</v>
      </c>
      <c r="F362" s="203" t="s">
        <v>830</v>
      </c>
      <c r="G362" s="203" t="s">
        <v>829</v>
      </c>
      <c r="H362" s="203" t="s">
        <v>830</v>
      </c>
      <c r="I362" s="190" t="s">
        <v>829</v>
      </c>
      <c r="J362" s="178" t="s">
        <v>830</v>
      </c>
      <c r="K362" s="190" t="s">
        <v>829</v>
      </c>
      <c r="L362" s="178" t="s">
        <v>830</v>
      </c>
      <c r="N362" s="190" t="s">
        <v>829</v>
      </c>
      <c r="O362" s="178" t="s">
        <v>830</v>
      </c>
      <c r="P362" s="190" t="s">
        <v>829</v>
      </c>
      <c r="Q362" s="178" t="s">
        <v>830</v>
      </c>
    </row>
    <row r="363" spans="1:17">
      <c r="B363" s="179">
        <v>356</v>
      </c>
      <c r="C363" s="172"/>
      <c r="D363" s="196" t="s">
        <v>831</v>
      </c>
      <c r="E363" s="196">
        <f>应收账款!D16</f>
        <v>0</v>
      </c>
      <c r="F363" s="196">
        <f>应收账款!E16</f>
        <v>0</v>
      </c>
      <c r="G363" s="196">
        <f>应收账款!F16</f>
        <v>0</v>
      </c>
      <c r="H363" s="196">
        <f>应收账款!G16</f>
        <v>0</v>
      </c>
      <c r="I363" s="184">
        <v>0</v>
      </c>
      <c r="J363" s="184">
        <v>0</v>
      </c>
      <c r="K363" s="184">
        <v>0</v>
      </c>
      <c r="L363" s="184">
        <v>0</v>
      </c>
      <c r="N363" s="180">
        <f t="shared" ref="N363:N368" si="13">ABS(E363-I363)</f>
        <v>0</v>
      </c>
      <c r="O363" s="180">
        <f t="shared" ref="O363:O368" si="14">IFERROR(ABS(F363-J363),)</f>
        <v>0</v>
      </c>
      <c r="P363" s="180">
        <f t="shared" ref="P363:P368" si="15">ABS(G363-K363)</f>
        <v>0</v>
      </c>
      <c r="Q363" s="180">
        <f t="shared" ref="Q363:Q368" si="16">IFERROR(ABS(H363-L363),)</f>
        <v>0</v>
      </c>
    </row>
    <row r="364" spans="1:17">
      <c r="B364" s="179">
        <v>357</v>
      </c>
      <c r="C364" s="172"/>
      <c r="D364" s="196" t="s">
        <v>832</v>
      </c>
      <c r="E364" s="196">
        <f>应收账款!D17</f>
        <v>0</v>
      </c>
      <c r="F364" s="196">
        <f>应收账款!E17</f>
        <v>0</v>
      </c>
      <c r="G364" s="196">
        <f>应收账款!F17</f>
        <v>0</v>
      </c>
      <c r="H364" s="196">
        <f>应收账款!G17</f>
        <v>0</v>
      </c>
      <c r="I364" s="184">
        <v>239882100.55000001</v>
      </c>
      <c r="J364" s="184">
        <v>100</v>
      </c>
      <c r="K364" s="184">
        <v>7069255.8900000006</v>
      </c>
      <c r="L364" s="184">
        <v>2.95</v>
      </c>
      <c r="N364" s="180">
        <f t="shared" si="13"/>
        <v>239882100.55000001</v>
      </c>
      <c r="O364" s="180">
        <f t="shared" si="14"/>
        <v>100</v>
      </c>
      <c r="P364" s="180">
        <f t="shared" si="15"/>
        <v>7069255.8900000006</v>
      </c>
      <c r="Q364" s="180">
        <f t="shared" si="16"/>
        <v>2.95</v>
      </c>
    </row>
    <row r="365" spans="1:17" ht="13.5">
      <c r="A365" s="186" t="str">
        <f>HYPERLINK("#C1","置顶")</f>
        <v>置顶</v>
      </c>
      <c r="B365" s="179">
        <v>358</v>
      </c>
      <c r="C365" s="172"/>
      <c r="D365" s="196" t="s">
        <v>833</v>
      </c>
      <c r="E365" s="196">
        <f>应收账款!D18</f>
        <v>0</v>
      </c>
      <c r="F365" s="196">
        <f>应收账款!E18</f>
        <v>0</v>
      </c>
      <c r="G365" s="196">
        <f>应收账款!F18</f>
        <v>0</v>
      </c>
      <c r="H365" s="196">
        <f>应收账款!G18</f>
        <v>0</v>
      </c>
      <c r="I365" s="184">
        <v>67360227.390000001</v>
      </c>
      <c r="J365" s="184">
        <v>28.08</v>
      </c>
      <c r="K365" s="184">
        <v>7069255.8900000006</v>
      </c>
      <c r="L365" s="184">
        <v>10.49</v>
      </c>
      <c r="N365" s="180">
        <f t="shared" si="13"/>
        <v>67360227.390000001</v>
      </c>
      <c r="O365" s="180">
        <f t="shared" si="14"/>
        <v>28.08</v>
      </c>
      <c r="P365" s="180">
        <f t="shared" si="15"/>
        <v>7069255.8900000006</v>
      </c>
      <c r="Q365" s="180">
        <f t="shared" si="16"/>
        <v>10.49</v>
      </c>
    </row>
    <row r="366" spans="1:17" ht="13.5">
      <c r="A366" s="187"/>
      <c r="B366" s="179">
        <v>359</v>
      </c>
      <c r="C366" s="172"/>
      <c r="D366" s="196" t="s">
        <v>834</v>
      </c>
      <c r="E366" s="196">
        <f>应收账款!D19</f>
        <v>0</v>
      </c>
      <c r="F366" s="196">
        <f>应收账款!E19</f>
        <v>0</v>
      </c>
      <c r="G366" s="196">
        <f>应收账款!F19</f>
        <v>0</v>
      </c>
      <c r="H366" s="196">
        <f>应收账款!G19</f>
        <v>0</v>
      </c>
      <c r="I366" s="184">
        <v>172521873.16</v>
      </c>
      <c r="J366" s="184">
        <v>71.92</v>
      </c>
      <c r="K366" s="184">
        <v>0</v>
      </c>
      <c r="L366" s="184">
        <v>0</v>
      </c>
      <c r="N366" s="180">
        <f t="shared" si="13"/>
        <v>172521873.16</v>
      </c>
      <c r="O366" s="180">
        <f t="shared" si="14"/>
        <v>71.92</v>
      </c>
      <c r="P366" s="180">
        <f t="shared" si="15"/>
        <v>0</v>
      </c>
      <c r="Q366" s="180">
        <f t="shared" si="16"/>
        <v>0</v>
      </c>
    </row>
    <row r="367" spans="1:17" ht="13.5">
      <c r="A367" s="187"/>
      <c r="B367" s="179">
        <v>360</v>
      </c>
      <c r="C367" s="172"/>
      <c r="D367" s="196" t="s">
        <v>835</v>
      </c>
      <c r="E367" s="196">
        <f>应收账款!D20</f>
        <v>0</v>
      </c>
      <c r="F367" s="196">
        <f>应收账款!E20</f>
        <v>0</v>
      </c>
      <c r="G367" s="196">
        <f>应收账款!F20</f>
        <v>0</v>
      </c>
      <c r="H367" s="196">
        <f>应收账款!G20</f>
        <v>0</v>
      </c>
      <c r="I367" s="184">
        <v>0</v>
      </c>
      <c r="J367" s="184">
        <v>0</v>
      </c>
      <c r="K367" s="184">
        <v>0</v>
      </c>
      <c r="L367" s="184">
        <v>0</v>
      </c>
      <c r="N367" s="180">
        <f t="shared" si="13"/>
        <v>0</v>
      </c>
      <c r="O367" s="180">
        <f t="shared" si="14"/>
        <v>0</v>
      </c>
      <c r="P367" s="180">
        <f t="shared" si="15"/>
        <v>0</v>
      </c>
      <c r="Q367" s="180">
        <f t="shared" si="16"/>
        <v>0</v>
      </c>
    </row>
    <row r="368" spans="1:17">
      <c r="B368" s="179">
        <v>361</v>
      </c>
      <c r="C368" s="172"/>
      <c r="D368" s="196" t="s">
        <v>836</v>
      </c>
      <c r="E368" s="196">
        <f>应收账款!D21</f>
        <v>0</v>
      </c>
      <c r="F368" s="196">
        <f>应收账款!E21</f>
        <v>0</v>
      </c>
      <c r="G368" s="196">
        <f>应收账款!F21</f>
        <v>0</v>
      </c>
      <c r="H368" s="196">
        <f>应收账款!G21</f>
        <v>0</v>
      </c>
      <c r="I368" s="184">
        <v>239882100.55000001</v>
      </c>
      <c r="J368" s="184">
        <v>100</v>
      </c>
      <c r="K368" s="184">
        <v>7069255.8900000006</v>
      </c>
      <c r="L368" s="184">
        <v>2.95</v>
      </c>
      <c r="N368" s="180">
        <f t="shared" si="13"/>
        <v>239882100.55000001</v>
      </c>
      <c r="O368" s="180">
        <f t="shared" si="14"/>
        <v>100</v>
      </c>
      <c r="P368" s="180">
        <f t="shared" si="15"/>
        <v>7069255.8900000006</v>
      </c>
      <c r="Q368" s="180">
        <f t="shared" si="16"/>
        <v>2.95</v>
      </c>
    </row>
    <row r="369" spans="1:17">
      <c r="B369" s="179">
        <v>362</v>
      </c>
      <c r="C369" s="172"/>
      <c r="N369" s="175">
        <f>SUM(N363:N368)</f>
        <v>719646301.6500001</v>
      </c>
      <c r="O369" s="175">
        <f>SUM(O363:O368)</f>
        <v>300</v>
      </c>
      <c r="P369" s="175">
        <f>SUM(P363:P368)</f>
        <v>21207767.670000002</v>
      </c>
      <c r="Q369" s="175">
        <f>SUM(Q363:Q368)</f>
        <v>16.39</v>
      </c>
    </row>
    <row r="370" spans="1:17">
      <c r="B370" s="179">
        <v>363</v>
      </c>
      <c r="C370" s="172"/>
    </row>
    <row r="371" spans="1:17">
      <c r="B371" s="179">
        <v>364</v>
      </c>
      <c r="C371" s="172"/>
      <c r="D371" s="204" t="s">
        <v>837</v>
      </c>
      <c r="E371" s="201"/>
      <c r="F371" s="201"/>
      <c r="G371" s="201"/>
      <c r="H371" s="201"/>
      <c r="I371" s="201"/>
      <c r="J371" s="201"/>
    </row>
    <row r="372" spans="1:17">
      <c r="A372" s="173" t="s">
        <v>523</v>
      </c>
      <c r="B372" s="179">
        <v>365</v>
      </c>
      <c r="C372" s="172"/>
      <c r="D372" s="1663" t="s">
        <v>838</v>
      </c>
      <c r="E372" s="1661" t="s">
        <v>824</v>
      </c>
      <c r="F372" s="1661"/>
      <c r="G372" s="1661"/>
      <c r="H372" s="1667" t="s">
        <v>1407</v>
      </c>
      <c r="I372" s="1661"/>
      <c r="J372" s="1661"/>
      <c r="L372" s="1661" t="s">
        <v>825</v>
      </c>
      <c r="M372" s="1661"/>
      <c r="N372" s="1661"/>
    </row>
    <row r="373" spans="1:17">
      <c r="B373" s="179">
        <v>366</v>
      </c>
      <c r="C373" s="172"/>
      <c r="D373" s="1664"/>
      <c r="E373" s="1661" t="s">
        <v>826</v>
      </c>
      <c r="F373" s="1661"/>
      <c r="G373" s="1661" t="s">
        <v>827</v>
      </c>
      <c r="H373" s="1661" t="s">
        <v>826</v>
      </c>
      <c r="I373" s="1661"/>
      <c r="J373" s="1661" t="s">
        <v>827</v>
      </c>
      <c r="L373" s="1661" t="s">
        <v>826</v>
      </c>
      <c r="M373" s="1661"/>
      <c r="N373" s="1661" t="s">
        <v>827</v>
      </c>
    </row>
    <row r="374" spans="1:17">
      <c r="B374" s="179">
        <v>367</v>
      </c>
      <c r="C374" s="172"/>
      <c r="D374" s="1665"/>
      <c r="E374" s="203" t="s">
        <v>829</v>
      </c>
      <c r="F374" s="203" t="s">
        <v>830</v>
      </c>
      <c r="G374" s="1661"/>
      <c r="H374" s="203" t="s">
        <v>829</v>
      </c>
      <c r="I374" s="203" t="s">
        <v>830</v>
      </c>
      <c r="J374" s="1661"/>
      <c r="L374" s="203" t="s">
        <v>829</v>
      </c>
      <c r="M374" s="203" t="s">
        <v>830</v>
      </c>
      <c r="N374" s="1661"/>
    </row>
    <row r="375" spans="1:17">
      <c r="B375" s="179">
        <v>368</v>
      </c>
      <c r="C375" s="172"/>
      <c r="D375" s="196" t="s">
        <v>355</v>
      </c>
      <c r="E375" s="196">
        <f>应收账款!G33</f>
        <v>0</v>
      </c>
      <c r="F375" s="196">
        <f>应收账款!H33</f>
        <v>0</v>
      </c>
      <c r="G375" s="196">
        <f>应收账款!I33</f>
        <v>0</v>
      </c>
      <c r="H375" s="196">
        <v>63464180.529999994</v>
      </c>
      <c r="I375" s="196">
        <v>94.22</v>
      </c>
      <c r="J375" s="196">
        <v>3173209.03</v>
      </c>
      <c r="L375" s="180">
        <f>ABS(E375-H375)</f>
        <v>63464180.529999994</v>
      </c>
      <c r="M375" s="180">
        <f t="shared" ref="M375:N381" si="17">ABS(F375-I375)</f>
        <v>94.22</v>
      </c>
      <c r="N375" s="180">
        <f t="shared" si="17"/>
        <v>3173209.03</v>
      </c>
    </row>
    <row r="376" spans="1:17">
      <c r="B376" s="179">
        <v>369</v>
      </c>
      <c r="C376" s="172"/>
      <c r="D376" s="196" t="s">
        <v>356</v>
      </c>
      <c r="E376" s="196">
        <f>应收账款!G36</f>
        <v>0</v>
      </c>
      <c r="F376" s="196">
        <f>应收账款!H36</f>
        <v>0</v>
      </c>
      <c r="G376" s="196">
        <f>应收账款!I36</f>
        <v>0</v>
      </c>
      <c r="H376" s="196">
        <v>0</v>
      </c>
      <c r="I376" s="196">
        <v>0</v>
      </c>
      <c r="J376" s="196">
        <v>0</v>
      </c>
      <c r="L376" s="180">
        <f t="shared" ref="L376:L381" si="18">ABS(E376-H376)</f>
        <v>0</v>
      </c>
      <c r="M376" s="180">
        <f t="shared" si="17"/>
        <v>0</v>
      </c>
      <c r="N376" s="180">
        <f t="shared" si="17"/>
        <v>0</v>
      </c>
    </row>
    <row r="377" spans="1:17">
      <c r="B377" s="179">
        <v>370</v>
      </c>
      <c r="C377" s="172"/>
      <c r="D377" s="196" t="s">
        <v>357</v>
      </c>
      <c r="E377" s="196">
        <f>应收账款!G37</f>
        <v>0</v>
      </c>
      <c r="F377" s="196">
        <f>应收账款!H37</f>
        <v>0</v>
      </c>
      <c r="G377" s="196">
        <f>应收账款!I37</f>
        <v>0</v>
      </c>
      <c r="H377" s="196">
        <v>0</v>
      </c>
      <c r="I377" s="196">
        <v>0</v>
      </c>
      <c r="J377" s="196">
        <v>0</v>
      </c>
      <c r="L377" s="180">
        <f t="shared" si="18"/>
        <v>0</v>
      </c>
      <c r="M377" s="180">
        <f t="shared" si="17"/>
        <v>0</v>
      </c>
      <c r="N377" s="180">
        <f t="shared" si="17"/>
        <v>0</v>
      </c>
    </row>
    <row r="378" spans="1:17">
      <c r="B378" s="179">
        <v>371</v>
      </c>
      <c r="C378" s="172"/>
      <c r="D378" s="196" t="s">
        <v>358</v>
      </c>
      <c r="E378" s="196">
        <f>应收账款!G38</f>
        <v>0</v>
      </c>
      <c r="F378" s="196">
        <f>应收账款!H38</f>
        <v>0</v>
      </c>
      <c r="G378" s="196">
        <f>应收账款!I38</f>
        <v>0</v>
      </c>
      <c r="H378" s="196">
        <v>0</v>
      </c>
      <c r="I378" s="196">
        <v>0</v>
      </c>
      <c r="J378" s="196">
        <v>0</v>
      </c>
      <c r="L378" s="180">
        <f t="shared" si="18"/>
        <v>0</v>
      </c>
      <c r="M378" s="180">
        <f t="shared" si="17"/>
        <v>0</v>
      </c>
      <c r="N378" s="180">
        <f t="shared" si="17"/>
        <v>0</v>
      </c>
    </row>
    <row r="379" spans="1:17">
      <c r="A379" s="173" t="s">
        <v>523</v>
      </c>
      <c r="B379" s="179">
        <v>372</v>
      </c>
      <c r="C379" s="172"/>
      <c r="D379" s="196" t="s">
        <v>359</v>
      </c>
      <c r="E379" s="196">
        <f>应收账款!G39</f>
        <v>0</v>
      </c>
      <c r="F379" s="196">
        <f>应收账款!H39</f>
        <v>0</v>
      </c>
      <c r="G379" s="196">
        <f>应收账款!I39</f>
        <v>0</v>
      </c>
      <c r="H379" s="196">
        <v>3896046.8600000003</v>
      </c>
      <c r="I379" s="196">
        <v>5.78</v>
      </c>
      <c r="J379" s="196">
        <v>3896046.8600000003</v>
      </c>
      <c r="L379" s="180">
        <f t="shared" si="18"/>
        <v>3896046.8600000003</v>
      </c>
      <c r="M379" s="180">
        <f t="shared" si="17"/>
        <v>5.78</v>
      </c>
      <c r="N379" s="180">
        <f t="shared" si="17"/>
        <v>3896046.8600000003</v>
      </c>
    </row>
    <row r="380" spans="1:17">
      <c r="A380" s="181"/>
      <c r="B380" s="179">
        <v>373</v>
      </c>
      <c r="C380" s="172"/>
      <c r="D380" s="196" t="s">
        <v>352</v>
      </c>
      <c r="E380" s="196">
        <f>应收账款!G40</f>
        <v>0</v>
      </c>
      <c r="F380" s="196">
        <f>应收账款!H40</f>
        <v>0</v>
      </c>
      <c r="G380" s="196">
        <f>应收账款!I40</f>
        <v>0</v>
      </c>
      <c r="H380" s="196">
        <v>0</v>
      </c>
      <c r="I380" s="196">
        <v>0</v>
      </c>
      <c r="J380" s="196">
        <v>0</v>
      </c>
      <c r="L380" s="180">
        <f t="shared" si="18"/>
        <v>0</v>
      </c>
      <c r="M380" s="180">
        <f t="shared" si="17"/>
        <v>0</v>
      </c>
      <c r="N380" s="180">
        <f t="shared" si="17"/>
        <v>0</v>
      </c>
    </row>
    <row r="381" spans="1:17">
      <c r="B381" s="179">
        <v>374</v>
      </c>
      <c r="C381" s="172"/>
      <c r="D381" s="190" t="s">
        <v>839</v>
      </c>
      <c r="E381" s="196">
        <f>应收账款!G41</f>
        <v>0</v>
      </c>
      <c r="F381" s="196">
        <f>应收账款!H41</f>
        <v>0</v>
      </c>
      <c r="G381" s="196">
        <f>应收账款!I41</f>
        <v>0</v>
      </c>
      <c r="H381" s="196">
        <v>67360227.390000001</v>
      </c>
      <c r="I381" s="196">
        <v>100</v>
      </c>
      <c r="J381" s="196">
        <v>7069255.8900000006</v>
      </c>
      <c r="L381" s="180">
        <f t="shared" si="18"/>
        <v>67360227.390000001</v>
      </c>
      <c r="M381" s="180">
        <f t="shared" si="17"/>
        <v>100</v>
      </c>
      <c r="N381" s="180">
        <f>ABS(G381-J381)</f>
        <v>7069255.8900000006</v>
      </c>
    </row>
    <row r="382" spans="1:17">
      <c r="B382" s="179">
        <v>375</v>
      </c>
      <c r="C382" s="172"/>
      <c r="L382" s="175">
        <f>SUM(L375:L381)</f>
        <v>134720454.78</v>
      </c>
      <c r="M382" s="175">
        <f>SUM(M375:M381)</f>
        <v>200</v>
      </c>
      <c r="N382" s="175">
        <f>SUM(N375:N381)</f>
        <v>14138511.780000001</v>
      </c>
    </row>
    <row r="383" spans="1:17">
      <c r="B383" s="179">
        <v>376</v>
      </c>
      <c r="C383" s="172"/>
    </row>
    <row r="384" spans="1:17">
      <c r="B384" s="179">
        <v>377</v>
      </c>
      <c r="C384" s="172"/>
      <c r="D384" s="204" t="s">
        <v>840</v>
      </c>
      <c r="E384" s="201"/>
      <c r="F384" s="201"/>
      <c r="G384" s="201"/>
      <c r="H384" s="201"/>
      <c r="I384" s="201"/>
      <c r="J384" s="201"/>
    </row>
    <row r="385" spans="1:14">
      <c r="B385" s="179">
        <v>378</v>
      </c>
      <c r="C385" s="172"/>
      <c r="D385" s="1661" t="s">
        <v>841</v>
      </c>
      <c r="E385" s="1661" t="s">
        <v>824</v>
      </c>
      <c r="F385" s="1661"/>
      <c r="G385" s="1661"/>
      <c r="H385" s="1667" t="s">
        <v>1407</v>
      </c>
      <c r="I385" s="1661"/>
      <c r="J385" s="1661"/>
      <c r="L385" s="1661" t="s">
        <v>825</v>
      </c>
      <c r="M385" s="1661"/>
      <c r="N385" s="1661"/>
    </row>
    <row r="386" spans="1:14">
      <c r="B386" s="179">
        <v>379</v>
      </c>
      <c r="C386" s="172"/>
      <c r="D386" s="1661"/>
      <c r="E386" s="1666" t="s">
        <v>842</v>
      </c>
      <c r="F386" s="1666"/>
      <c r="G386" s="1661" t="s">
        <v>843</v>
      </c>
      <c r="H386" s="1666" t="s">
        <v>842</v>
      </c>
      <c r="I386" s="1666"/>
      <c r="J386" s="1661" t="s">
        <v>843</v>
      </c>
      <c r="L386" s="1666" t="s">
        <v>842</v>
      </c>
      <c r="M386" s="1666"/>
      <c r="N386" s="1661" t="s">
        <v>843</v>
      </c>
    </row>
    <row r="387" spans="1:14" ht="13.5">
      <c r="A387" s="186" t="str">
        <f>HYPERLINK("#C1","置顶")</f>
        <v>置顶</v>
      </c>
      <c r="B387" s="179">
        <v>380</v>
      </c>
      <c r="C387" s="172"/>
      <c r="D387" s="1661"/>
      <c r="E387" s="203" t="s">
        <v>844</v>
      </c>
      <c r="F387" s="203" t="s">
        <v>845</v>
      </c>
      <c r="G387" s="1661"/>
      <c r="H387" s="203" t="s">
        <v>844</v>
      </c>
      <c r="I387" s="203" t="s">
        <v>845</v>
      </c>
      <c r="J387" s="1661"/>
      <c r="L387" s="203" t="s">
        <v>844</v>
      </c>
      <c r="M387" s="203" t="s">
        <v>845</v>
      </c>
      <c r="N387" s="1661"/>
    </row>
    <row r="388" spans="1:14" ht="13.5">
      <c r="A388" s="187"/>
      <c r="B388" s="179">
        <v>381</v>
      </c>
      <c r="C388" s="172"/>
      <c r="D388" s="205" t="s">
        <v>846</v>
      </c>
      <c r="E388" s="205">
        <f>应收账款!G166</f>
        <v>0</v>
      </c>
      <c r="F388" s="205">
        <f>应收账款!H166</f>
        <v>0</v>
      </c>
      <c r="G388" s="205">
        <f>应收账款!I166</f>
        <v>0</v>
      </c>
      <c r="H388" s="205">
        <v>235986053.69</v>
      </c>
      <c r="I388" s="205">
        <v>98.38</v>
      </c>
      <c r="J388" s="205">
        <v>3173209.03</v>
      </c>
      <c r="L388" s="180">
        <f t="shared" ref="L388:N394" si="19">ABS(E388-H388)</f>
        <v>235986053.69</v>
      </c>
      <c r="M388" s="180">
        <f t="shared" si="19"/>
        <v>98.38</v>
      </c>
      <c r="N388" s="180">
        <f>ABS(G388-J388)</f>
        <v>3173209.03</v>
      </c>
    </row>
    <row r="389" spans="1:14" ht="13.5">
      <c r="A389" s="187"/>
      <c r="B389" s="179">
        <v>382</v>
      </c>
      <c r="C389" s="172"/>
      <c r="D389" s="205" t="s">
        <v>847</v>
      </c>
      <c r="E389" s="205">
        <f>应收账款!G169</f>
        <v>0</v>
      </c>
      <c r="F389" s="205">
        <f>应收账款!H169</f>
        <v>0</v>
      </c>
      <c r="G389" s="205">
        <f>应收账款!I169</f>
        <v>0</v>
      </c>
      <c r="H389" s="205">
        <v>0</v>
      </c>
      <c r="I389" s="205">
        <v>0</v>
      </c>
      <c r="J389" s="205">
        <v>0</v>
      </c>
      <c r="L389" s="180">
        <f t="shared" si="19"/>
        <v>0</v>
      </c>
      <c r="M389" s="180">
        <f t="shared" si="19"/>
        <v>0</v>
      </c>
      <c r="N389" s="180">
        <f t="shared" si="19"/>
        <v>0</v>
      </c>
    </row>
    <row r="390" spans="1:14">
      <c r="B390" s="179">
        <v>383</v>
      </c>
      <c r="C390" s="172"/>
      <c r="D390" s="205" t="s">
        <v>848</v>
      </c>
      <c r="E390" s="205">
        <f>应收账款!G170</f>
        <v>0</v>
      </c>
      <c r="F390" s="205">
        <f>应收账款!H170</f>
        <v>0</v>
      </c>
      <c r="G390" s="205">
        <f>应收账款!I170</f>
        <v>0</v>
      </c>
      <c r="H390" s="205">
        <v>0</v>
      </c>
      <c r="I390" s="205">
        <v>0</v>
      </c>
      <c r="J390" s="205">
        <v>0</v>
      </c>
      <c r="L390" s="180">
        <f t="shared" si="19"/>
        <v>0</v>
      </c>
      <c r="M390" s="180">
        <f t="shared" si="19"/>
        <v>0</v>
      </c>
      <c r="N390" s="180">
        <f t="shared" si="19"/>
        <v>0</v>
      </c>
    </row>
    <row r="391" spans="1:14">
      <c r="B391" s="179">
        <v>384</v>
      </c>
      <c r="C391" s="172"/>
      <c r="D391" s="205" t="s">
        <v>849</v>
      </c>
      <c r="E391" s="205">
        <f>应收账款!G171</f>
        <v>0</v>
      </c>
      <c r="F391" s="205">
        <f>应收账款!H171</f>
        <v>0</v>
      </c>
      <c r="G391" s="205">
        <f>应收账款!I171</f>
        <v>0</v>
      </c>
      <c r="H391" s="205">
        <v>0</v>
      </c>
      <c r="I391" s="205">
        <v>0</v>
      </c>
      <c r="J391" s="205">
        <v>0</v>
      </c>
      <c r="L391" s="180">
        <f t="shared" si="19"/>
        <v>0</v>
      </c>
      <c r="M391" s="180">
        <f t="shared" si="19"/>
        <v>0</v>
      </c>
      <c r="N391" s="180">
        <f t="shared" si="19"/>
        <v>0</v>
      </c>
    </row>
    <row r="392" spans="1:14">
      <c r="B392" s="179">
        <v>385</v>
      </c>
      <c r="C392" s="172"/>
      <c r="D392" s="205" t="s">
        <v>850</v>
      </c>
      <c r="E392" s="205">
        <f>应收账款!G172</f>
        <v>0</v>
      </c>
      <c r="F392" s="205">
        <f>应收账款!H172</f>
        <v>0</v>
      </c>
      <c r="G392" s="205">
        <f>应收账款!I172</f>
        <v>0</v>
      </c>
      <c r="H392" s="205">
        <v>3896046.8600000003</v>
      </c>
      <c r="I392" s="205">
        <v>1.62</v>
      </c>
      <c r="J392" s="205">
        <v>3896046.8600000003</v>
      </c>
      <c r="L392" s="180">
        <f t="shared" si="19"/>
        <v>3896046.8600000003</v>
      </c>
      <c r="M392" s="180">
        <f t="shared" si="19"/>
        <v>1.62</v>
      </c>
      <c r="N392" s="180">
        <f t="shared" si="19"/>
        <v>3896046.8600000003</v>
      </c>
    </row>
    <row r="393" spans="1:14">
      <c r="B393" s="179">
        <v>386</v>
      </c>
      <c r="C393" s="172"/>
      <c r="D393" s="205" t="s">
        <v>851</v>
      </c>
      <c r="E393" s="205">
        <f>应收账款!G173</f>
        <v>0</v>
      </c>
      <c r="F393" s="205">
        <f>应收账款!H173</f>
        <v>0</v>
      </c>
      <c r="G393" s="205">
        <f>应收账款!I173</f>
        <v>0</v>
      </c>
      <c r="H393" s="205">
        <v>0</v>
      </c>
      <c r="I393" s="205">
        <v>0</v>
      </c>
      <c r="J393" s="205">
        <v>0</v>
      </c>
      <c r="L393" s="180">
        <f t="shared" si="19"/>
        <v>0</v>
      </c>
      <c r="M393" s="180">
        <f t="shared" si="19"/>
        <v>0</v>
      </c>
      <c r="N393" s="180">
        <f t="shared" si="19"/>
        <v>0</v>
      </c>
    </row>
    <row r="394" spans="1:14">
      <c r="A394" s="173" t="s">
        <v>523</v>
      </c>
      <c r="B394" s="179">
        <v>387</v>
      </c>
      <c r="C394" s="172"/>
      <c r="D394" s="205" t="s">
        <v>852</v>
      </c>
      <c r="E394" s="205">
        <f>应收账款!G174</f>
        <v>0</v>
      </c>
      <c r="F394" s="205">
        <f>应收账款!H174</f>
        <v>0</v>
      </c>
      <c r="G394" s="205">
        <f>应收账款!I174</f>
        <v>0</v>
      </c>
      <c r="H394" s="205">
        <v>239882100.55000001</v>
      </c>
      <c r="I394" s="205">
        <v>100</v>
      </c>
      <c r="J394" s="205">
        <v>7069255.8900000006</v>
      </c>
      <c r="L394" s="180">
        <f>ABS(E394-H394)</f>
        <v>239882100.55000001</v>
      </c>
      <c r="M394" s="180">
        <f t="shared" si="19"/>
        <v>100</v>
      </c>
      <c r="N394" s="180">
        <f t="shared" si="19"/>
        <v>7069255.8900000006</v>
      </c>
    </row>
    <row r="395" spans="1:14">
      <c r="B395" s="179">
        <v>388</v>
      </c>
      <c r="C395" s="172"/>
      <c r="L395" s="175">
        <f>SUM(L388:L394)</f>
        <v>479764201.10000002</v>
      </c>
      <c r="M395" s="175">
        <f>SUM(M388:M394)</f>
        <v>200</v>
      </c>
      <c r="N395" s="175">
        <f>SUM(N388:N394)</f>
        <v>14138511.780000001</v>
      </c>
    </row>
    <row r="396" spans="1:14">
      <c r="B396" s="179">
        <v>389</v>
      </c>
      <c r="C396" s="172"/>
      <c r="D396" s="197" t="s">
        <v>853</v>
      </c>
    </row>
    <row r="397" spans="1:14">
      <c r="B397" s="179">
        <v>390</v>
      </c>
      <c r="C397" s="172"/>
      <c r="D397" s="1661" t="s">
        <v>854</v>
      </c>
      <c r="E397" s="1661" t="s">
        <v>824</v>
      </c>
      <c r="F397" s="1661"/>
      <c r="G397" s="1661"/>
      <c r="H397" s="1667" t="s">
        <v>1407</v>
      </c>
      <c r="I397" s="1661"/>
      <c r="J397" s="1661"/>
      <c r="L397" s="1661" t="s">
        <v>825</v>
      </c>
      <c r="M397" s="1661"/>
      <c r="N397" s="1661"/>
    </row>
    <row r="398" spans="1:14">
      <c r="B398" s="179">
        <v>391</v>
      </c>
      <c r="C398" s="172"/>
      <c r="D398" s="1661"/>
      <c r="E398" s="1669" t="s">
        <v>855</v>
      </c>
      <c r="F398" s="1669" t="s">
        <v>176</v>
      </c>
      <c r="G398" s="1669" t="s">
        <v>856</v>
      </c>
      <c r="H398" s="1669" t="s">
        <v>855</v>
      </c>
      <c r="I398" s="1669" t="s">
        <v>176</v>
      </c>
      <c r="J398" s="1669" t="s">
        <v>856</v>
      </c>
      <c r="L398" s="1666" t="s">
        <v>842</v>
      </c>
      <c r="M398" s="1666"/>
      <c r="N398" s="1661" t="s">
        <v>843</v>
      </c>
    </row>
    <row r="399" spans="1:14">
      <c r="A399" s="173" t="s">
        <v>523</v>
      </c>
      <c r="B399" s="179">
        <v>392</v>
      </c>
      <c r="C399" s="172"/>
      <c r="D399" s="1661"/>
      <c r="E399" s="190" t="s">
        <v>857</v>
      </c>
      <c r="F399" s="190" t="s">
        <v>830</v>
      </c>
      <c r="G399" s="1669" t="s">
        <v>176</v>
      </c>
      <c r="H399" s="190" t="s">
        <v>857</v>
      </c>
      <c r="I399" s="190" t="s">
        <v>830</v>
      </c>
      <c r="J399" s="1669" t="s">
        <v>176</v>
      </c>
      <c r="L399" s="203" t="s">
        <v>844</v>
      </c>
      <c r="M399" s="203" t="s">
        <v>845</v>
      </c>
      <c r="N399" s="1661"/>
    </row>
    <row r="400" spans="1:14">
      <c r="A400" s="181"/>
      <c r="B400" s="179">
        <v>393</v>
      </c>
      <c r="C400" s="172"/>
      <c r="D400" s="199" t="s">
        <v>355</v>
      </c>
      <c r="E400" s="206">
        <f>预付账款!G5</f>
        <v>0</v>
      </c>
      <c r="F400" s="206">
        <f>预付账款!H5</f>
        <v>0</v>
      </c>
      <c r="G400" s="206">
        <f>预付账款!I5</f>
        <v>0</v>
      </c>
      <c r="H400" s="206">
        <v>19961631.390000001</v>
      </c>
      <c r="I400" s="206">
        <v>100</v>
      </c>
      <c r="J400" s="206">
        <v>0</v>
      </c>
      <c r="L400" s="180">
        <f>ABS(E400-H400)</f>
        <v>19961631.390000001</v>
      </c>
      <c r="M400" s="180">
        <f t="shared" ref="M400:N404" si="20">ABS(F400-I400)</f>
        <v>100</v>
      </c>
      <c r="N400" s="180">
        <f t="shared" si="20"/>
        <v>0</v>
      </c>
    </row>
    <row r="401" spans="1:17">
      <c r="B401" s="179">
        <v>394</v>
      </c>
      <c r="C401" s="172"/>
      <c r="D401" s="199" t="s">
        <v>356</v>
      </c>
      <c r="E401" s="206">
        <f>预付账款!G6</f>
        <v>0</v>
      </c>
      <c r="F401" s="206">
        <f>预付账款!H6</f>
        <v>0</v>
      </c>
      <c r="G401" s="206">
        <f>预付账款!I6</f>
        <v>0</v>
      </c>
      <c r="H401" s="206">
        <v>0</v>
      </c>
      <c r="I401" s="206">
        <v>0</v>
      </c>
      <c r="J401" s="206">
        <v>0</v>
      </c>
      <c r="L401" s="180">
        <f>ABS(E401-H401)</f>
        <v>0</v>
      </c>
      <c r="M401" s="180">
        <f t="shared" si="20"/>
        <v>0</v>
      </c>
      <c r="N401" s="180">
        <f t="shared" si="20"/>
        <v>0</v>
      </c>
    </row>
    <row r="402" spans="1:17">
      <c r="B402" s="179">
        <v>395</v>
      </c>
      <c r="C402" s="172"/>
      <c r="D402" s="199" t="s">
        <v>357</v>
      </c>
      <c r="E402" s="206">
        <f>预付账款!G7</f>
        <v>0</v>
      </c>
      <c r="F402" s="206">
        <f>预付账款!H7</f>
        <v>0</v>
      </c>
      <c r="G402" s="206">
        <f>预付账款!I7</f>
        <v>0</v>
      </c>
      <c r="H402" s="206">
        <v>0</v>
      </c>
      <c r="I402" s="206">
        <v>0</v>
      </c>
      <c r="J402" s="206">
        <v>0</v>
      </c>
      <c r="L402" s="180">
        <f>ABS(E402-H402)</f>
        <v>0</v>
      </c>
      <c r="M402" s="180">
        <f t="shared" si="20"/>
        <v>0</v>
      </c>
      <c r="N402" s="180">
        <f t="shared" si="20"/>
        <v>0</v>
      </c>
    </row>
    <row r="403" spans="1:17">
      <c r="B403" s="179">
        <v>396</v>
      </c>
      <c r="C403" s="172"/>
      <c r="D403" s="199" t="s">
        <v>858</v>
      </c>
      <c r="E403" s="206">
        <f>预付账款!G8</f>
        <v>0</v>
      </c>
      <c r="F403" s="206">
        <f>预付账款!H8</f>
        <v>0</v>
      </c>
      <c r="G403" s="206">
        <f>预付账款!I8</f>
        <v>0</v>
      </c>
      <c r="H403" s="206">
        <v>0</v>
      </c>
      <c r="I403" s="206">
        <v>0</v>
      </c>
      <c r="J403" s="206">
        <v>0</v>
      </c>
      <c r="L403" s="180">
        <f>ABS(E403-H403)</f>
        <v>0</v>
      </c>
      <c r="M403" s="180">
        <f t="shared" si="20"/>
        <v>0</v>
      </c>
      <c r="N403" s="180">
        <f t="shared" si="20"/>
        <v>0</v>
      </c>
    </row>
    <row r="404" spans="1:17">
      <c r="B404" s="179">
        <v>397</v>
      </c>
      <c r="C404" s="172"/>
      <c r="D404" s="190" t="s">
        <v>836</v>
      </c>
      <c r="E404" s="206">
        <f>预付账款!G9</f>
        <v>0</v>
      </c>
      <c r="F404" s="206">
        <f>预付账款!H9</f>
        <v>0</v>
      </c>
      <c r="G404" s="206">
        <f>预付账款!I9</f>
        <v>0</v>
      </c>
      <c r="H404" s="206">
        <v>19961631.390000001</v>
      </c>
      <c r="I404" s="206">
        <v>100</v>
      </c>
      <c r="J404" s="206">
        <v>0</v>
      </c>
      <c r="L404" s="180">
        <f>ABS(E404-H404)</f>
        <v>19961631.390000001</v>
      </c>
      <c r="M404" s="180">
        <f t="shared" si="20"/>
        <v>100</v>
      </c>
      <c r="N404" s="180">
        <f t="shared" si="20"/>
        <v>0</v>
      </c>
    </row>
    <row r="405" spans="1:17">
      <c r="B405" s="179">
        <v>398</v>
      </c>
      <c r="C405" s="172"/>
      <c r="L405" s="175">
        <f>SUM(L400:L404)</f>
        <v>39923262.780000001</v>
      </c>
      <c r="M405" s="175">
        <f>SUM(M400:M404)</f>
        <v>200</v>
      </c>
      <c r="N405" s="175">
        <f>SUM(N400:N404)</f>
        <v>0</v>
      </c>
    </row>
    <row r="406" spans="1:17">
      <c r="B406" s="179">
        <v>399</v>
      </c>
      <c r="C406" s="172"/>
    </row>
    <row r="407" spans="1:17" ht="13.5">
      <c r="A407" s="186" t="str">
        <f>HYPERLINK("#C1","置顶")</f>
        <v>置顶</v>
      </c>
      <c r="B407" s="179">
        <v>400</v>
      </c>
      <c r="C407" s="172"/>
      <c r="D407" s="171" t="s">
        <v>360</v>
      </c>
    </row>
    <row r="408" spans="1:17" ht="13.5">
      <c r="A408" s="187"/>
      <c r="B408" s="179">
        <v>401</v>
      </c>
      <c r="C408" s="172"/>
      <c r="D408" s="1663" t="s">
        <v>819</v>
      </c>
      <c r="E408" s="1666" t="s">
        <v>824</v>
      </c>
      <c r="F408" s="1666"/>
      <c r="G408" s="1666"/>
      <c r="H408" s="1666"/>
      <c r="I408" s="1667" t="s">
        <v>1407</v>
      </c>
      <c r="J408" s="1661"/>
      <c r="K408" s="1661"/>
      <c r="L408" s="1661"/>
      <c r="N408" s="1661" t="s">
        <v>825</v>
      </c>
      <c r="O408" s="1661"/>
      <c r="P408" s="1661"/>
      <c r="Q408" s="1661"/>
    </row>
    <row r="409" spans="1:17" ht="13.5">
      <c r="A409" s="187"/>
      <c r="B409" s="179">
        <v>402</v>
      </c>
      <c r="C409" s="172"/>
      <c r="D409" s="1664"/>
      <c r="E409" s="1666" t="s">
        <v>826</v>
      </c>
      <c r="F409" s="1666"/>
      <c r="G409" s="1666" t="s">
        <v>827</v>
      </c>
      <c r="H409" s="1666"/>
      <c r="I409" s="1661" t="s">
        <v>826</v>
      </c>
      <c r="J409" s="1661"/>
      <c r="K409" s="1661" t="s">
        <v>828</v>
      </c>
      <c r="L409" s="1661"/>
      <c r="N409" s="1661" t="s">
        <v>826</v>
      </c>
      <c r="O409" s="1661"/>
      <c r="P409" s="1661" t="s">
        <v>828</v>
      </c>
      <c r="Q409" s="1661"/>
    </row>
    <row r="410" spans="1:17">
      <c r="B410" s="179">
        <v>403</v>
      </c>
      <c r="C410" s="172"/>
      <c r="D410" s="1665"/>
      <c r="E410" s="203" t="s">
        <v>829</v>
      </c>
      <c r="F410" s="203" t="s">
        <v>830</v>
      </c>
      <c r="G410" s="203" t="s">
        <v>829</v>
      </c>
      <c r="H410" s="203" t="s">
        <v>830</v>
      </c>
      <c r="I410" s="190" t="s">
        <v>829</v>
      </c>
      <c r="J410" s="178" t="s">
        <v>830</v>
      </c>
      <c r="K410" s="190" t="s">
        <v>829</v>
      </c>
      <c r="L410" s="178" t="s">
        <v>830</v>
      </c>
      <c r="N410" s="190" t="s">
        <v>829</v>
      </c>
      <c r="O410" s="178" t="s">
        <v>830</v>
      </c>
      <c r="P410" s="190" t="s">
        <v>829</v>
      </c>
      <c r="Q410" s="178" t="s">
        <v>830</v>
      </c>
    </row>
    <row r="411" spans="1:17">
      <c r="B411" s="179">
        <v>404</v>
      </c>
      <c r="C411" s="172"/>
      <c r="D411" s="196" t="s">
        <v>859</v>
      </c>
      <c r="E411" s="196">
        <f>其他应收款!D16</f>
        <v>0</v>
      </c>
      <c r="F411" s="196">
        <f>其他应收款!E16</f>
        <v>0</v>
      </c>
      <c r="G411" s="196">
        <f>其他应收款!F16</f>
        <v>0</v>
      </c>
      <c r="H411" s="196">
        <f>其他应收款!G16</f>
        <v>0</v>
      </c>
      <c r="I411" s="184">
        <v>0</v>
      </c>
      <c r="J411" s="184">
        <v>0</v>
      </c>
      <c r="K411" s="184">
        <v>0</v>
      </c>
      <c r="L411" s="184">
        <v>0</v>
      </c>
      <c r="N411" s="180">
        <f t="shared" ref="N411:N416" si="21">ABS(E411-I411)</f>
        <v>0</v>
      </c>
      <c r="O411" s="180">
        <f t="shared" ref="O411:Q416" si="22">ABS(F411-J411)</f>
        <v>0</v>
      </c>
      <c r="P411" s="180">
        <f t="shared" si="22"/>
        <v>0</v>
      </c>
      <c r="Q411" s="180">
        <f>IFERROR(ABS(H411-L411),)</f>
        <v>0</v>
      </c>
    </row>
    <row r="412" spans="1:17">
      <c r="B412" s="179">
        <v>405</v>
      </c>
      <c r="C412" s="172"/>
      <c r="D412" s="196" t="s">
        <v>860</v>
      </c>
      <c r="E412" s="196">
        <f>其他应收款!D17</f>
        <v>876787.9</v>
      </c>
      <c r="F412" s="196">
        <f>其他应收款!E17</f>
        <v>100</v>
      </c>
      <c r="G412" s="196">
        <f>其他应收款!F17</f>
        <v>43839.400000000023</v>
      </c>
      <c r="H412" s="196">
        <f>其他应收款!G17</f>
        <v>5</v>
      </c>
      <c r="I412" s="184">
        <v>12299909.68</v>
      </c>
      <c r="J412" s="184">
        <v>100</v>
      </c>
      <c r="K412" s="184">
        <v>11614125.379999999</v>
      </c>
      <c r="L412" s="184">
        <v>94.42</v>
      </c>
      <c r="N412" s="180">
        <f t="shared" si="21"/>
        <v>11423121.779999999</v>
      </c>
      <c r="O412" s="180">
        <f t="shared" si="22"/>
        <v>0</v>
      </c>
      <c r="P412" s="180">
        <f t="shared" si="22"/>
        <v>11570285.979999999</v>
      </c>
      <c r="Q412" s="180">
        <f t="shared" si="22"/>
        <v>89.42</v>
      </c>
    </row>
    <row r="413" spans="1:17">
      <c r="B413" s="179">
        <v>406</v>
      </c>
      <c r="C413" s="172"/>
      <c r="D413" s="196" t="s">
        <v>833</v>
      </c>
      <c r="E413" s="196">
        <f>其他应收款!D18</f>
        <v>875987.9</v>
      </c>
      <c r="F413" s="196">
        <f>其他应收款!E18</f>
        <v>99.91</v>
      </c>
      <c r="G413" s="196">
        <f>其他应收款!F18</f>
        <v>43839.400000000023</v>
      </c>
      <c r="H413" s="196">
        <f>其他应收款!G18</f>
        <v>5</v>
      </c>
      <c r="I413" s="184">
        <v>11839210.85</v>
      </c>
      <c r="J413" s="184">
        <v>96.25</v>
      </c>
      <c r="K413" s="184">
        <v>11614125.379999999</v>
      </c>
      <c r="L413" s="184">
        <v>98.1</v>
      </c>
      <c r="N413" s="180">
        <f t="shared" si="21"/>
        <v>10963222.949999999</v>
      </c>
      <c r="O413" s="180">
        <f t="shared" si="22"/>
        <v>3.6599999999999966</v>
      </c>
      <c r="P413" s="180">
        <f t="shared" si="22"/>
        <v>11570285.979999999</v>
      </c>
      <c r="Q413" s="180">
        <f>IFERROR(ABS(H413-L413),)</f>
        <v>93.1</v>
      </c>
    </row>
    <row r="414" spans="1:17">
      <c r="A414" s="173" t="s">
        <v>523</v>
      </c>
      <c r="B414" s="179">
        <v>407</v>
      </c>
      <c r="C414" s="172"/>
      <c r="D414" s="196" t="s">
        <v>834</v>
      </c>
      <c r="E414" s="196">
        <f>其他应收款!D19</f>
        <v>800</v>
      </c>
      <c r="F414" s="196">
        <f>其他应收款!E19</f>
        <v>0.09</v>
      </c>
      <c r="G414" s="196">
        <f>其他应收款!F19</f>
        <v>0</v>
      </c>
      <c r="H414" s="196">
        <f>其他应收款!G19</f>
        <v>0</v>
      </c>
      <c r="I414" s="184">
        <v>460698.83000000007</v>
      </c>
      <c r="J414" s="184">
        <v>3.75</v>
      </c>
      <c r="K414" s="184">
        <v>0</v>
      </c>
      <c r="L414" s="184">
        <v>0</v>
      </c>
      <c r="N414" s="180">
        <f t="shared" si="21"/>
        <v>459898.83000000007</v>
      </c>
      <c r="O414" s="180">
        <f t="shared" si="22"/>
        <v>3.66</v>
      </c>
      <c r="P414" s="180">
        <f t="shared" si="22"/>
        <v>0</v>
      </c>
      <c r="Q414" s="180">
        <f t="shared" si="22"/>
        <v>0</v>
      </c>
    </row>
    <row r="415" spans="1:17">
      <c r="B415" s="179">
        <v>408</v>
      </c>
      <c r="C415" s="172"/>
      <c r="D415" s="196" t="s">
        <v>861</v>
      </c>
      <c r="E415" s="196">
        <f>其他应收款!D20</f>
        <v>0</v>
      </c>
      <c r="F415" s="196">
        <f>其他应收款!E20</f>
        <v>0</v>
      </c>
      <c r="G415" s="196">
        <f>其他应收款!F20</f>
        <v>0</v>
      </c>
      <c r="H415" s="196">
        <f>其他应收款!G20</f>
        <v>0</v>
      </c>
      <c r="I415" s="184">
        <v>0</v>
      </c>
      <c r="J415" s="184">
        <v>0</v>
      </c>
      <c r="K415" s="184">
        <v>0</v>
      </c>
      <c r="L415" s="184">
        <v>0</v>
      </c>
      <c r="N415" s="180">
        <f t="shared" si="21"/>
        <v>0</v>
      </c>
      <c r="O415" s="180">
        <f t="shared" si="22"/>
        <v>0</v>
      </c>
      <c r="P415" s="180">
        <f t="shared" si="22"/>
        <v>0</v>
      </c>
      <c r="Q415" s="180">
        <f>IFERROR(ABS(H415-L415),)</f>
        <v>0</v>
      </c>
    </row>
    <row r="416" spans="1:17">
      <c r="B416" s="179">
        <v>409</v>
      </c>
      <c r="C416" s="172"/>
      <c r="D416" s="196" t="s">
        <v>836</v>
      </c>
      <c r="E416" s="196">
        <f>其他应收款!D21</f>
        <v>876787.9</v>
      </c>
      <c r="F416" s="196">
        <f>其他应收款!E21</f>
        <v>100</v>
      </c>
      <c r="G416" s="196">
        <f>其他应收款!F21</f>
        <v>43839.400000000023</v>
      </c>
      <c r="H416" s="196">
        <f>其他应收款!G21</f>
        <v>5</v>
      </c>
      <c r="I416" s="184">
        <v>12299909.68</v>
      </c>
      <c r="J416" s="184">
        <v>100</v>
      </c>
      <c r="K416" s="184">
        <v>11614125.379999999</v>
      </c>
      <c r="L416" s="184">
        <v>94.42</v>
      </c>
      <c r="N416" s="180">
        <f t="shared" si="21"/>
        <v>11423121.779999999</v>
      </c>
      <c r="O416" s="180">
        <f t="shared" si="22"/>
        <v>0</v>
      </c>
      <c r="P416" s="180">
        <f t="shared" si="22"/>
        <v>11570285.979999999</v>
      </c>
      <c r="Q416" s="180">
        <f t="shared" si="22"/>
        <v>89.42</v>
      </c>
    </row>
    <row r="417" spans="1:17">
      <c r="B417" s="179">
        <v>410</v>
      </c>
      <c r="C417" s="172"/>
      <c r="N417" s="175">
        <f>SUM(N411:N416)</f>
        <v>34269365.339999996</v>
      </c>
      <c r="O417" s="175">
        <f>SUM(O411:O416)</f>
        <v>7.3199999999999967</v>
      </c>
      <c r="P417" s="175">
        <f>SUM(P411:P416)</f>
        <v>34710857.939999998</v>
      </c>
      <c r="Q417" s="175">
        <f>SUM(Q411:Q416)</f>
        <v>271.94</v>
      </c>
    </row>
    <row r="418" spans="1:17">
      <c r="B418" s="179">
        <v>411</v>
      </c>
      <c r="C418" s="172"/>
    </row>
    <row r="419" spans="1:17">
      <c r="B419" s="179">
        <v>412</v>
      </c>
      <c r="C419" s="172"/>
      <c r="D419" s="204" t="s">
        <v>862</v>
      </c>
      <c r="E419" s="201"/>
      <c r="F419" s="201"/>
      <c r="G419" s="201"/>
      <c r="H419" s="201"/>
      <c r="I419" s="201"/>
      <c r="J419" s="201"/>
    </row>
    <row r="420" spans="1:17">
      <c r="B420" s="179">
        <v>413</v>
      </c>
      <c r="C420" s="172"/>
      <c r="D420" s="1663" t="s">
        <v>838</v>
      </c>
      <c r="E420" s="1661" t="s">
        <v>863</v>
      </c>
      <c r="F420" s="1661"/>
      <c r="G420" s="1661"/>
      <c r="H420" s="1667" t="s">
        <v>1407</v>
      </c>
      <c r="I420" s="1661"/>
      <c r="J420" s="1661"/>
      <c r="L420" s="1661" t="s">
        <v>864</v>
      </c>
      <c r="M420" s="1661"/>
      <c r="N420" s="1661"/>
    </row>
    <row r="421" spans="1:17">
      <c r="B421" s="179">
        <v>414</v>
      </c>
      <c r="C421" s="172"/>
      <c r="D421" s="1664"/>
      <c r="E421" s="1661" t="s">
        <v>826</v>
      </c>
      <c r="F421" s="1661"/>
      <c r="G421" s="1661" t="s">
        <v>827</v>
      </c>
      <c r="H421" s="1661" t="s">
        <v>826</v>
      </c>
      <c r="I421" s="1661"/>
      <c r="J421" s="1661" t="s">
        <v>827</v>
      </c>
      <c r="L421" s="1661" t="s">
        <v>826</v>
      </c>
      <c r="M421" s="1661"/>
      <c r="N421" s="1661" t="s">
        <v>827</v>
      </c>
    </row>
    <row r="422" spans="1:17">
      <c r="B422" s="179">
        <v>415</v>
      </c>
      <c r="C422" s="172"/>
      <c r="D422" s="1665"/>
      <c r="E422" s="203" t="s">
        <v>829</v>
      </c>
      <c r="F422" s="203" t="s">
        <v>830</v>
      </c>
      <c r="G422" s="1661"/>
      <c r="H422" s="203" t="s">
        <v>829</v>
      </c>
      <c r="I422" s="203" t="s">
        <v>830</v>
      </c>
      <c r="J422" s="1661"/>
      <c r="L422" s="203" t="s">
        <v>829</v>
      </c>
      <c r="M422" s="203" t="s">
        <v>830</v>
      </c>
      <c r="N422" s="1661"/>
    </row>
    <row r="423" spans="1:17">
      <c r="B423" s="179">
        <v>416</v>
      </c>
      <c r="C423" s="172"/>
      <c r="D423" s="196" t="s">
        <v>355</v>
      </c>
      <c r="E423" s="196">
        <f>其他应收款!G33</f>
        <v>875187.9</v>
      </c>
      <c r="F423" s="196">
        <f>其他应收款!H33</f>
        <v>99.91</v>
      </c>
      <c r="G423" s="196">
        <f>其他应收款!I33</f>
        <v>43759.4</v>
      </c>
      <c r="H423" s="196">
        <v>236932.07</v>
      </c>
      <c r="I423" s="196">
        <v>2</v>
      </c>
      <c r="J423" s="196">
        <v>11846.6</v>
      </c>
      <c r="L423" s="180">
        <f>ABS(E423-H423)</f>
        <v>638255.83000000007</v>
      </c>
      <c r="M423" s="180">
        <f t="shared" ref="M423:N429" si="23">ABS(F423-I423)</f>
        <v>97.91</v>
      </c>
      <c r="N423" s="180">
        <f t="shared" si="23"/>
        <v>31912.800000000003</v>
      </c>
    </row>
    <row r="424" spans="1:17">
      <c r="B424" s="179">
        <v>417</v>
      </c>
      <c r="C424" s="172"/>
      <c r="D424" s="196" t="s">
        <v>356</v>
      </c>
      <c r="E424" s="196">
        <f>其他应收款!G36</f>
        <v>800</v>
      </c>
      <c r="F424" s="196">
        <f>其他应收款!H36</f>
        <v>0.09</v>
      </c>
      <c r="G424" s="196">
        <f>其他应收款!I36</f>
        <v>80</v>
      </c>
      <c r="H424" s="196">
        <v>0</v>
      </c>
      <c r="I424" s="196">
        <v>0</v>
      </c>
      <c r="J424" s="196">
        <v>0</v>
      </c>
      <c r="L424" s="180">
        <f t="shared" ref="L424:L429" si="24">ABS(E424-H424)</f>
        <v>800</v>
      </c>
      <c r="M424" s="180">
        <f t="shared" si="23"/>
        <v>0.09</v>
      </c>
      <c r="N424" s="180">
        <f t="shared" si="23"/>
        <v>80</v>
      </c>
    </row>
    <row r="425" spans="1:17">
      <c r="B425" s="179">
        <v>418</v>
      </c>
      <c r="C425" s="172"/>
      <c r="D425" s="196" t="s">
        <v>357</v>
      </c>
      <c r="E425" s="196">
        <f>其他应收款!G37</f>
        <v>0</v>
      </c>
      <c r="F425" s="196">
        <f>其他应收款!H37</f>
        <v>0</v>
      </c>
      <c r="G425" s="196">
        <f>其他应收款!I37</f>
        <v>0</v>
      </c>
      <c r="H425" s="196">
        <v>0</v>
      </c>
      <c r="I425" s="196">
        <v>0</v>
      </c>
      <c r="J425" s="196">
        <v>0</v>
      </c>
      <c r="L425" s="180">
        <f t="shared" si="24"/>
        <v>0</v>
      </c>
      <c r="M425" s="180">
        <f t="shared" si="23"/>
        <v>0</v>
      </c>
      <c r="N425" s="180">
        <f t="shared" si="23"/>
        <v>0</v>
      </c>
    </row>
    <row r="426" spans="1:17">
      <c r="B426" s="179">
        <v>419</v>
      </c>
      <c r="C426" s="172"/>
      <c r="D426" s="196" t="s">
        <v>358</v>
      </c>
      <c r="E426" s="196">
        <f>其他应收款!G38</f>
        <v>0</v>
      </c>
      <c r="F426" s="196">
        <f>其他应收款!H38</f>
        <v>0</v>
      </c>
      <c r="G426" s="196">
        <f>其他应收款!I38</f>
        <v>0</v>
      </c>
      <c r="H426" s="196">
        <v>0</v>
      </c>
      <c r="I426" s="196">
        <v>0</v>
      </c>
      <c r="J426" s="196">
        <v>0</v>
      </c>
      <c r="L426" s="180">
        <f t="shared" si="24"/>
        <v>0</v>
      </c>
      <c r="M426" s="180">
        <f t="shared" si="23"/>
        <v>0</v>
      </c>
      <c r="N426" s="180">
        <f t="shared" si="23"/>
        <v>0</v>
      </c>
    </row>
    <row r="427" spans="1:17">
      <c r="B427" s="179">
        <v>420</v>
      </c>
      <c r="C427" s="172"/>
      <c r="D427" s="196" t="s">
        <v>359</v>
      </c>
      <c r="E427" s="196">
        <f>其他应收款!G39</f>
        <v>0</v>
      </c>
      <c r="F427" s="196">
        <f>其他应收款!H39</f>
        <v>0</v>
      </c>
      <c r="G427" s="196">
        <f>其他应收款!I39</f>
        <v>0</v>
      </c>
      <c r="H427" s="196">
        <v>11602278.779999999</v>
      </c>
      <c r="I427" s="196">
        <v>98</v>
      </c>
      <c r="J427" s="196">
        <v>11602278.779999999</v>
      </c>
      <c r="L427" s="180">
        <f t="shared" si="24"/>
        <v>11602278.779999999</v>
      </c>
      <c r="M427" s="180">
        <f t="shared" si="23"/>
        <v>98</v>
      </c>
      <c r="N427" s="180">
        <f t="shared" si="23"/>
        <v>11602278.779999999</v>
      </c>
    </row>
    <row r="428" spans="1:17">
      <c r="B428" s="179">
        <v>421</v>
      </c>
      <c r="C428" s="172"/>
      <c r="D428" s="196" t="s">
        <v>352</v>
      </c>
      <c r="E428" s="196">
        <f>其他应收款!G40</f>
        <v>0</v>
      </c>
      <c r="F428" s="196">
        <f>其他应收款!H40</f>
        <v>0</v>
      </c>
      <c r="G428" s="196">
        <f>其他应收款!I40</f>
        <v>0</v>
      </c>
      <c r="H428" s="196">
        <v>0</v>
      </c>
      <c r="I428" s="196">
        <v>0</v>
      </c>
      <c r="J428" s="196">
        <v>0</v>
      </c>
      <c r="L428" s="180">
        <f t="shared" si="24"/>
        <v>0</v>
      </c>
      <c r="M428" s="180">
        <f t="shared" si="23"/>
        <v>0</v>
      </c>
      <c r="N428" s="180">
        <f t="shared" si="23"/>
        <v>0</v>
      </c>
    </row>
    <row r="429" spans="1:17">
      <c r="A429" s="177" t="str">
        <f>HYPERLINK("#C1","置顶")</f>
        <v>置顶</v>
      </c>
      <c r="B429" s="179">
        <v>422</v>
      </c>
      <c r="C429" s="172"/>
      <c r="D429" s="190" t="s">
        <v>839</v>
      </c>
      <c r="E429" s="196">
        <f>其他应收款!G41</f>
        <v>875987.9</v>
      </c>
      <c r="F429" s="196">
        <f>其他应收款!H41</f>
        <v>100</v>
      </c>
      <c r="G429" s="196">
        <f>其他应收款!I41</f>
        <v>43839.4</v>
      </c>
      <c r="H429" s="196">
        <v>11839210.85</v>
      </c>
      <c r="I429" s="196">
        <v>100</v>
      </c>
      <c r="J429" s="196">
        <v>11614125.379999999</v>
      </c>
      <c r="L429" s="180">
        <f t="shared" si="24"/>
        <v>10963222.949999999</v>
      </c>
      <c r="M429" s="180">
        <f t="shared" si="23"/>
        <v>0</v>
      </c>
      <c r="N429" s="180">
        <f>ABS(G429-J429)</f>
        <v>11570285.979999999</v>
      </c>
    </row>
    <row r="430" spans="1:17">
      <c r="A430" s="181"/>
      <c r="B430" s="179">
        <v>423</v>
      </c>
      <c r="C430" s="172"/>
      <c r="L430" s="175">
        <f>SUM(L423:L429)</f>
        <v>23204557.559999999</v>
      </c>
      <c r="M430" s="175">
        <f>SUM(M423:M429)</f>
        <v>196</v>
      </c>
      <c r="N430" s="175">
        <f>SUM(N423:N429)</f>
        <v>23204557.559999999</v>
      </c>
    </row>
    <row r="431" spans="1:17">
      <c r="A431" s="173" t="s">
        <v>523</v>
      </c>
      <c r="B431" s="179">
        <v>424</v>
      </c>
      <c r="C431" s="172"/>
    </row>
    <row r="432" spans="1:17">
      <c r="A432" s="181"/>
      <c r="B432" s="179">
        <v>425</v>
      </c>
      <c r="C432" s="172"/>
      <c r="D432" s="204" t="s">
        <v>865</v>
      </c>
      <c r="E432" s="201"/>
      <c r="F432" s="201"/>
      <c r="G432" s="201"/>
      <c r="H432" s="201"/>
      <c r="I432" s="201"/>
      <c r="J432" s="201"/>
    </row>
    <row r="433" spans="1:14">
      <c r="B433" s="179">
        <v>426</v>
      </c>
      <c r="C433" s="172"/>
      <c r="D433" s="1661" t="s">
        <v>841</v>
      </c>
      <c r="E433" s="1661" t="s">
        <v>824</v>
      </c>
      <c r="F433" s="1661"/>
      <c r="G433" s="1661"/>
      <c r="H433" s="1667" t="s">
        <v>1407</v>
      </c>
      <c r="I433" s="1661"/>
      <c r="J433" s="1661"/>
      <c r="L433" s="1661" t="s">
        <v>825</v>
      </c>
      <c r="M433" s="1661"/>
      <c r="N433" s="1661"/>
    </row>
    <row r="434" spans="1:14">
      <c r="B434" s="179">
        <v>427</v>
      </c>
      <c r="C434" s="172"/>
      <c r="D434" s="1661"/>
      <c r="E434" s="1666" t="s">
        <v>842</v>
      </c>
      <c r="F434" s="1666"/>
      <c r="G434" s="1661" t="s">
        <v>843</v>
      </c>
      <c r="H434" s="1666" t="s">
        <v>842</v>
      </c>
      <c r="I434" s="1666"/>
      <c r="J434" s="1661" t="s">
        <v>843</v>
      </c>
      <c r="L434" s="1666" t="s">
        <v>842</v>
      </c>
      <c r="M434" s="1666"/>
      <c r="N434" s="1661" t="s">
        <v>843</v>
      </c>
    </row>
    <row r="435" spans="1:14" ht="13.5">
      <c r="A435" s="186" t="str">
        <f>HYPERLINK("#C1","置顶")</f>
        <v>置顶</v>
      </c>
      <c r="B435" s="179">
        <v>428</v>
      </c>
      <c r="C435" s="172"/>
      <c r="D435" s="1661"/>
      <c r="E435" s="203" t="s">
        <v>844</v>
      </c>
      <c r="F435" s="203" t="s">
        <v>845</v>
      </c>
      <c r="G435" s="1661"/>
      <c r="H435" s="203" t="s">
        <v>844</v>
      </c>
      <c r="I435" s="203" t="s">
        <v>845</v>
      </c>
      <c r="J435" s="1661"/>
      <c r="L435" s="203" t="s">
        <v>844</v>
      </c>
      <c r="M435" s="203" t="s">
        <v>845</v>
      </c>
      <c r="N435" s="1661"/>
    </row>
    <row r="436" spans="1:14" ht="13.5">
      <c r="A436" s="187"/>
      <c r="B436" s="179">
        <v>429</v>
      </c>
      <c r="C436" s="172"/>
      <c r="D436" s="205" t="s">
        <v>846</v>
      </c>
      <c r="E436" s="205">
        <f>其他应收款!G166</f>
        <v>875187.9</v>
      </c>
      <c r="F436" s="205">
        <f>其他应收款!H166</f>
        <v>99.82</v>
      </c>
      <c r="G436" s="205">
        <f>其他应收款!I166</f>
        <v>43759.4</v>
      </c>
      <c r="H436" s="205">
        <v>697630.90000000014</v>
      </c>
      <c r="I436" s="205">
        <v>5.67</v>
      </c>
      <c r="J436" s="205">
        <v>11846.6</v>
      </c>
      <c r="L436" s="180">
        <f t="shared" ref="L436:N442" si="25">ABS(E436-H436)</f>
        <v>177556.99999999988</v>
      </c>
      <c r="M436" s="180">
        <f t="shared" si="25"/>
        <v>94.149999999999991</v>
      </c>
      <c r="N436" s="180">
        <f>ABS(G436-J436)</f>
        <v>31912.800000000003</v>
      </c>
    </row>
    <row r="437" spans="1:14" ht="13.5">
      <c r="A437" s="187"/>
      <c r="B437" s="179">
        <v>430</v>
      </c>
      <c r="C437" s="172"/>
      <c r="D437" s="205" t="s">
        <v>847</v>
      </c>
      <c r="E437" s="205">
        <f>其他应收款!G169</f>
        <v>800</v>
      </c>
      <c r="F437" s="205">
        <f>其他应收款!H169</f>
        <v>0.09</v>
      </c>
      <c r="G437" s="205">
        <f>其他应收款!I169</f>
        <v>80</v>
      </c>
      <c r="H437" s="205">
        <v>0</v>
      </c>
      <c r="I437" s="205">
        <v>0</v>
      </c>
      <c r="J437" s="205">
        <v>0</v>
      </c>
      <c r="L437" s="180">
        <f t="shared" si="25"/>
        <v>800</v>
      </c>
      <c r="M437" s="180">
        <f t="shared" si="25"/>
        <v>0.09</v>
      </c>
      <c r="N437" s="180">
        <f t="shared" si="25"/>
        <v>80</v>
      </c>
    </row>
    <row r="438" spans="1:14">
      <c r="B438" s="179">
        <v>431</v>
      </c>
      <c r="C438" s="172"/>
      <c r="D438" s="205" t="s">
        <v>848</v>
      </c>
      <c r="E438" s="205">
        <f>其他应收款!G170</f>
        <v>800</v>
      </c>
      <c r="F438" s="205">
        <f>其他应收款!H170</f>
        <v>0.09</v>
      </c>
      <c r="G438" s="205">
        <f>其他应收款!I170</f>
        <v>0</v>
      </c>
      <c r="H438" s="205">
        <v>0</v>
      </c>
      <c r="I438" s="205">
        <v>0</v>
      </c>
      <c r="J438" s="205">
        <v>0</v>
      </c>
      <c r="L438" s="180">
        <f t="shared" si="25"/>
        <v>800</v>
      </c>
      <c r="M438" s="180">
        <f t="shared" si="25"/>
        <v>0.09</v>
      </c>
      <c r="N438" s="180">
        <f t="shared" si="25"/>
        <v>0</v>
      </c>
    </row>
    <row r="439" spans="1:14">
      <c r="B439" s="179">
        <v>432</v>
      </c>
      <c r="C439" s="172"/>
      <c r="D439" s="205" t="s">
        <v>849</v>
      </c>
      <c r="E439" s="205">
        <f>其他应收款!G171</f>
        <v>0</v>
      </c>
      <c r="F439" s="205">
        <f>其他应收款!H171</f>
        <v>0</v>
      </c>
      <c r="G439" s="205">
        <f>其他应收款!I171</f>
        <v>0</v>
      </c>
      <c r="H439" s="205">
        <v>0</v>
      </c>
      <c r="I439" s="205">
        <v>0</v>
      </c>
      <c r="J439" s="205">
        <v>0</v>
      </c>
      <c r="L439" s="180">
        <f t="shared" si="25"/>
        <v>0</v>
      </c>
      <c r="M439" s="180">
        <f t="shared" si="25"/>
        <v>0</v>
      </c>
      <c r="N439" s="180">
        <f t="shared" si="25"/>
        <v>0</v>
      </c>
    </row>
    <row r="440" spans="1:14">
      <c r="B440" s="179">
        <v>433</v>
      </c>
      <c r="C440" s="172"/>
      <c r="D440" s="205" t="s">
        <v>850</v>
      </c>
      <c r="E440" s="205">
        <f>其他应收款!G172</f>
        <v>0</v>
      </c>
      <c r="F440" s="205">
        <f>其他应收款!H172</f>
        <v>0</v>
      </c>
      <c r="G440" s="205">
        <f>其他应收款!I172</f>
        <v>0</v>
      </c>
      <c r="H440" s="205">
        <v>11602278.779999999</v>
      </c>
      <c r="I440" s="205">
        <v>94.33</v>
      </c>
      <c r="J440" s="205">
        <v>11602278.779999999</v>
      </c>
      <c r="L440" s="180">
        <f t="shared" si="25"/>
        <v>11602278.779999999</v>
      </c>
      <c r="M440" s="180">
        <f t="shared" si="25"/>
        <v>94.33</v>
      </c>
      <c r="N440" s="180">
        <f t="shared" si="25"/>
        <v>11602278.779999999</v>
      </c>
    </row>
    <row r="441" spans="1:14">
      <c r="B441" s="179">
        <v>434</v>
      </c>
      <c r="C441" s="172"/>
      <c r="D441" s="205" t="s">
        <v>851</v>
      </c>
      <c r="E441" s="205">
        <f>其他应收款!G173</f>
        <v>0</v>
      </c>
      <c r="F441" s="205">
        <f>其他应收款!H173</f>
        <v>0</v>
      </c>
      <c r="G441" s="205">
        <f>其他应收款!I173</f>
        <v>0</v>
      </c>
      <c r="H441" s="205">
        <v>0</v>
      </c>
      <c r="I441" s="205">
        <v>0</v>
      </c>
      <c r="J441" s="205">
        <v>0</v>
      </c>
      <c r="L441" s="180">
        <f t="shared" si="25"/>
        <v>0</v>
      </c>
      <c r="M441" s="180">
        <f t="shared" si="25"/>
        <v>0</v>
      </c>
      <c r="N441" s="180">
        <f t="shared" si="25"/>
        <v>0</v>
      </c>
    </row>
    <row r="442" spans="1:14">
      <c r="A442" s="173" t="s">
        <v>523</v>
      </c>
      <c r="B442" s="179">
        <v>435</v>
      </c>
      <c r="C442" s="172"/>
      <c r="D442" s="205" t="s">
        <v>852</v>
      </c>
      <c r="E442" s="205">
        <f>其他应收款!G174</f>
        <v>876787.9</v>
      </c>
      <c r="F442" s="205">
        <f>其他应收款!H174</f>
        <v>100</v>
      </c>
      <c r="G442" s="205">
        <f>其他应收款!I174</f>
        <v>43839.4</v>
      </c>
      <c r="H442" s="205">
        <v>12299909.68</v>
      </c>
      <c r="I442" s="205">
        <v>100</v>
      </c>
      <c r="J442" s="205">
        <v>11614125.379999999</v>
      </c>
      <c r="L442" s="180">
        <f t="shared" si="25"/>
        <v>11423121.779999999</v>
      </c>
      <c r="M442" s="180">
        <f t="shared" si="25"/>
        <v>0</v>
      </c>
      <c r="N442" s="180">
        <f t="shared" si="25"/>
        <v>11570285.979999999</v>
      </c>
    </row>
    <row r="443" spans="1:14">
      <c r="A443" s="181"/>
      <c r="B443" s="179">
        <v>436</v>
      </c>
      <c r="C443" s="172"/>
      <c r="L443" s="175">
        <f>SUM(L436:L442)</f>
        <v>23204557.559999999</v>
      </c>
      <c r="M443" s="175">
        <f>SUM(M436:M442)</f>
        <v>188.66</v>
      </c>
      <c r="N443" s="175">
        <f>SUM(N436:N442)</f>
        <v>23204557.559999999</v>
      </c>
    </row>
    <row r="444" spans="1:14">
      <c r="B444" s="179">
        <v>437</v>
      </c>
      <c r="C444" s="172"/>
    </row>
    <row r="445" spans="1:14">
      <c r="B445" s="179">
        <v>438</v>
      </c>
      <c r="C445" s="172"/>
      <c r="D445" s="197" t="s">
        <v>866</v>
      </c>
      <c r="E445" s="201"/>
      <c r="F445" s="201"/>
      <c r="G445" s="201"/>
    </row>
    <row r="446" spans="1:14">
      <c r="B446" s="179">
        <v>439</v>
      </c>
      <c r="C446" s="172"/>
      <c r="D446" s="207" t="s">
        <v>867</v>
      </c>
      <c r="E446" s="201"/>
      <c r="F446" s="201"/>
      <c r="G446" s="201"/>
    </row>
    <row r="447" spans="1:14">
      <c r="B447" s="179">
        <v>440</v>
      </c>
      <c r="C447" s="172"/>
      <c r="D447" s="1661" t="s">
        <v>811</v>
      </c>
      <c r="E447" s="1661" t="s">
        <v>824</v>
      </c>
      <c r="F447" s="1661"/>
      <c r="G447" s="1661"/>
      <c r="H447" s="1667" t="s">
        <v>1407</v>
      </c>
      <c r="I447" s="1661"/>
      <c r="J447" s="1661"/>
      <c r="L447" s="1661" t="s">
        <v>825</v>
      </c>
      <c r="M447" s="1661"/>
      <c r="N447" s="1661"/>
    </row>
    <row r="448" spans="1:14">
      <c r="B448" s="179">
        <v>441</v>
      </c>
      <c r="C448" s="172"/>
      <c r="D448" s="1661"/>
      <c r="E448" s="190" t="s">
        <v>868</v>
      </c>
      <c r="F448" s="190" t="s">
        <v>869</v>
      </c>
      <c r="G448" s="190" t="s">
        <v>870</v>
      </c>
      <c r="H448" s="190" t="s">
        <v>868</v>
      </c>
      <c r="I448" s="190" t="s">
        <v>869</v>
      </c>
      <c r="J448" s="190" t="s">
        <v>870</v>
      </c>
      <c r="L448" s="190" t="s">
        <v>868</v>
      </c>
      <c r="M448" s="190" t="s">
        <v>869</v>
      </c>
      <c r="N448" s="190" t="s">
        <v>870</v>
      </c>
    </row>
    <row r="449" spans="1:14">
      <c r="B449" s="179">
        <v>442</v>
      </c>
      <c r="C449" s="172"/>
      <c r="D449" s="199" t="s">
        <v>871</v>
      </c>
      <c r="E449" s="206">
        <f>存货!D16</f>
        <v>0</v>
      </c>
      <c r="F449" s="206">
        <f>存货!E16</f>
        <v>0</v>
      </c>
      <c r="G449" s="206">
        <f>存货!F16</f>
        <v>0</v>
      </c>
      <c r="H449" s="184">
        <v>35966922.450000003</v>
      </c>
      <c r="I449" s="184">
        <v>0</v>
      </c>
      <c r="J449" s="184">
        <v>35966922.450000003</v>
      </c>
      <c r="L449" s="180">
        <f t="shared" ref="L449:N456" si="26">ABS(E449-H449)</f>
        <v>35966922.450000003</v>
      </c>
      <c r="M449" s="180">
        <f t="shared" si="26"/>
        <v>0</v>
      </c>
      <c r="N449" s="180">
        <f t="shared" si="26"/>
        <v>35966922.450000003</v>
      </c>
    </row>
    <row r="450" spans="1:14" ht="13.5">
      <c r="A450" s="186" t="str">
        <f>HYPERLINK("#C1","置顶")</f>
        <v>置顶</v>
      </c>
      <c r="B450" s="179">
        <v>443</v>
      </c>
      <c r="C450" s="172"/>
      <c r="D450" s="199" t="s">
        <v>872</v>
      </c>
      <c r="E450" s="206">
        <f>存货!D17</f>
        <v>0</v>
      </c>
      <c r="F450" s="206">
        <f>存货!E17</f>
        <v>0</v>
      </c>
      <c r="G450" s="206">
        <f>存货!F17</f>
        <v>0</v>
      </c>
      <c r="H450" s="184">
        <v>27973057.579999998</v>
      </c>
      <c r="I450" s="184">
        <v>0</v>
      </c>
      <c r="J450" s="184">
        <v>27973057.579999998</v>
      </c>
      <c r="L450" s="180">
        <f t="shared" si="26"/>
        <v>27973057.579999998</v>
      </c>
      <c r="M450" s="180">
        <f t="shared" si="26"/>
        <v>0</v>
      </c>
      <c r="N450" s="180">
        <f t="shared" si="26"/>
        <v>27973057.579999998</v>
      </c>
    </row>
    <row r="451" spans="1:14" ht="13.5">
      <c r="A451" s="187"/>
      <c r="B451" s="179">
        <v>444</v>
      </c>
      <c r="C451" s="172"/>
      <c r="D451" s="199" t="s">
        <v>873</v>
      </c>
      <c r="E451" s="206">
        <f>存货!D18</f>
        <v>0</v>
      </c>
      <c r="F451" s="206">
        <f>存货!E18</f>
        <v>0</v>
      </c>
      <c r="G451" s="206">
        <f>存货!F18</f>
        <v>0</v>
      </c>
      <c r="H451" s="184">
        <v>28684824.190000001</v>
      </c>
      <c r="I451" s="184">
        <v>0</v>
      </c>
      <c r="J451" s="184">
        <v>28684824.190000001</v>
      </c>
      <c r="L451" s="180">
        <f t="shared" si="26"/>
        <v>28684824.190000001</v>
      </c>
      <c r="M451" s="180">
        <f t="shared" si="26"/>
        <v>0</v>
      </c>
      <c r="N451" s="180">
        <f t="shared" si="26"/>
        <v>28684824.190000001</v>
      </c>
    </row>
    <row r="452" spans="1:14">
      <c r="B452" s="179">
        <v>445</v>
      </c>
      <c r="C452" s="172"/>
      <c r="D452" s="199" t="s">
        <v>874</v>
      </c>
      <c r="E452" s="206">
        <f>存货!D19</f>
        <v>0</v>
      </c>
      <c r="F452" s="206">
        <f>存货!E19</f>
        <v>0</v>
      </c>
      <c r="G452" s="206">
        <f>存货!F19</f>
        <v>0</v>
      </c>
      <c r="H452" s="184">
        <v>0</v>
      </c>
      <c r="I452" s="184">
        <v>0</v>
      </c>
      <c r="J452" s="184">
        <v>0</v>
      </c>
      <c r="L452" s="180">
        <f t="shared" si="26"/>
        <v>0</v>
      </c>
      <c r="M452" s="180">
        <f t="shared" si="26"/>
        <v>0</v>
      </c>
      <c r="N452" s="180">
        <f t="shared" si="26"/>
        <v>0</v>
      </c>
    </row>
    <row r="453" spans="1:14">
      <c r="B453" s="179">
        <v>446</v>
      </c>
      <c r="C453" s="172"/>
      <c r="D453" s="199" t="s">
        <v>875</v>
      </c>
      <c r="E453" s="206">
        <f>存货!D20</f>
        <v>0</v>
      </c>
      <c r="F453" s="206">
        <f>存货!E20</f>
        <v>0</v>
      </c>
      <c r="G453" s="206">
        <f>存货!F20</f>
        <v>0</v>
      </c>
      <c r="H453" s="184">
        <v>0</v>
      </c>
      <c r="I453" s="184">
        <v>0</v>
      </c>
      <c r="J453" s="184">
        <v>0</v>
      </c>
      <c r="L453" s="180">
        <f t="shared" si="26"/>
        <v>0</v>
      </c>
      <c r="M453" s="180">
        <f t="shared" si="26"/>
        <v>0</v>
      </c>
      <c r="N453" s="180">
        <f t="shared" si="26"/>
        <v>0</v>
      </c>
    </row>
    <row r="454" spans="1:14">
      <c r="B454" s="179">
        <v>447</v>
      </c>
      <c r="C454" s="172"/>
      <c r="D454" s="199" t="s">
        <v>876</v>
      </c>
      <c r="E454" s="206">
        <f>存货!D21</f>
        <v>0</v>
      </c>
      <c r="F454" s="206">
        <f>存货!E21</f>
        <v>0</v>
      </c>
      <c r="G454" s="206">
        <f>存货!F21</f>
        <v>0</v>
      </c>
      <c r="H454" s="184">
        <v>0</v>
      </c>
      <c r="I454" s="184">
        <v>0</v>
      </c>
      <c r="J454" s="184">
        <v>0</v>
      </c>
      <c r="L454" s="180">
        <f t="shared" si="26"/>
        <v>0</v>
      </c>
      <c r="M454" s="180">
        <f t="shared" si="26"/>
        <v>0</v>
      </c>
      <c r="N454" s="180">
        <f t="shared" si="26"/>
        <v>0</v>
      </c>
    </row>
    <row r="455" spans="1:14">
      <c r="B455" s="179">
        <v>448</v>
      </c>
      <c r="C455" s="172"/>
      <c r="D455" s="199" t="s">
        <v>391</v>
      </c>
      <c r="E455" s="206">
        <f>存货!D22</f>
        <v>0</v>
      </c>
      <c r="F455" s="206">
        <f>存货!E22</f>
        <v>0</v>
      </c>
      <c r="G455" s="206">
        <f>存货!F22</f>
        <v>0</v>
      </c>
      <c r="H455" s="184">
        <v>0</v>
      </c>
      <c r="I455" s="184">
        <v>0</v>
      </c>
      <c r="J455" s="184">
        <v>0</v>
      </c>
      <c r="L455" s="180">
        <f t="shared" si="26"/>
        <v>0</v>
      </c>
      <c r="M455" s="180">
        <f t="shared" si="26"/>
        <v>0</v>
      </c>
      <c r="N455" s="180">
        <f t="shared" si="26"/>
        <v>0</v>
      </c>
    </row>
    <row r="456" spans="1:14">
      <c r="A456" s="173" t="s">
        <v>523</v>
      </c>
      <c r="B456" s="179">
        <v>449</v>
      </c>
      <c r="C456" s="172"/>
      <c r="D456" s="190" t="s">
        <v>877</v>
      </c>
      <c r="E456" s="206">
        <f>存货!D23</f>
        <v>0</v>
      </c>
      <c r="F456" s="206">
        <f>存货!E23</f>
        <v>0</v>
      </c>
      <c r="G456" s="206">
        <f>存货!F23</f>
        <v>0</v>
      </c>
      <c r="H456" s="184">
        <v>92624804.219999999</v>
      </c>
      <c r="I456" s="184">
        <v>0</v>
      </c>
      <c r="J456" s="184">
        <v>92624804.219999999</v>
      </c>
      <c r="L456" s="180">
        <f t="shared" si="26"/>
        <v>92624804.219999999</v>
      </c>
      <c r="M456" s="180">
        <f t="shared" si="26"/>
        <v>0</v>
      </c>
      <c r="N456" s="180">
        <f>ABS(G456-J456)</f>
        <v>92624804.219999999</v>
      </c>
    </row>
    <row r="457" spans="1:14">
      <c r="A457" s="181"/>
      <c r="B457" s="179">
        <v>450</v>
      </c>
      <c r="C457" s="172"/>
      <c r="L457" s="175">
        <f>SUM(L449:L456)</f>
        <v>185249608.44</v>
      </c>
      <c r="M457" s="175">
        <f>SUM(M449:M456)</f>
        <v>0</v>
      </c>
      <c r="N457" s="175">
        <f>SUM(N449:N456)</f>
        <v>185249608.44</v>
      </c>
    </row>
    <row r="458" spans="1:14">
      <c r="B458" s="179">
        <v>451</v>
      </c>
      <c r="C458" s="172"/>
    </row>
    <row r="459" spans="1:14">
      <c r="B459" s="179">
        <v>452</v>
      </c>
      <c r="C459" s="172"/>
      <c r="D459" s="197" t="s">
        <v>878</v>
      </c>
      <c r="E459" s="201"/>
      <c r="F459" s="201"/>
    </row>
    <row r="460" spans="1:14">
      <c r="B460" s="179">
        <v>453</v>
      </c>
      <c r="C460" s="172"/>
      <c r="D460" s="190" t="s">
        <v>879</v>
      </c>
      <c r="E460" s="190" t="s">
        <v>880</v>
      </c>
      <c r="F460" s="273" t="s">
        <v>1408</v>
      </c>
      <c r="H460" s="172" t="s">
        <v>524</v>
      </c>
    </row>
    <row r="461" spans="1:14">
      <c r="B461" s="179">
        <v>454</v>
      </c>
      <c r="C461" s="172"/>
      <c r="D461" s="199" t="s">
        <v>881</v>
      </c>
      <c r="E461" s="206" t="str">
        <f>可供出售金融资产!E3</f>
        <v>减值准备</v>
      </c>
      <c r="F461" s="206">
        <v>0</v>
      </c>
      <c r="H461" s="176" t="e">
        <f>ABS(E461-F461)</f>
        <v>#VALUE!</v>
      </c>
    </row>
    <row r="462" spans="1:14">
      <c r="B462" s="179">
        <v>455</v>
      </c>
      <c r="C462" s="172"/>
      <c r="D462" s="199" t="s">
        <v>882</v>
      </c>
      <c r="E462" s="206">
        <f>可供出售金融资产!E4</f>
        <v>0</v>
      </c>
      <c r="F462" s="206">
        <v>0</v>
      </c>
      <c r="H462" s="176">
        <f>ABS(E462-F462)</f>
        <v>0</v>
      </c>
    </row>
    <row r="463" spans="1:14">
      <c r="B463" s="179">
        <v>456</v>
      </c>
      <c r="C463" s="172"/>
      <c r="D463" s="199" t="s">
        <v>883</v>
      </c>
      <c r="E463" s="206">
        <f>可供出售金融资产!E5</f>
        <v>0</v>
      </c>
      <c r="F463" s="206">
        <v>0</v>
      </c>
      <c r="H463" s="176">
        <f>ABS(E463-F463)</f>
        <v>0</v>
      </c>
    </row>
    <row r="464" spans="1:14" ht="13.5">
      <c r="A464" s="186" t="str">
        <f>HYPERLINK("#C1","置顶")</f>
        <v>置顶</v>
      </c>
      <c r="B464" s="179">
        <v>457</v>
      </c>
      <c r="C464" s="172"/>
      <c r="D464" s="190" t="s">
        <v>884</v>
      </c>
      <c r="E464" s="206">
        <f>可供出售金融资产!E6</f>
        <v>0</v>
      </c>
      <c r="F464" s="206">
        <v>0</v>
      </c>
      <c r="H464" s="176">
        <f>ABS(E464-F464)</f>
        <v>0</v>
      </c>
    </row>
    <row r="465" spans="1:8" ht="13.5">
      <c r="A465" s="187"/>
      <c r="B465" s="179">
        <v>458</v>
      </c>
      <c r="C465" s="172"/>
      <c r="H465" s="175">
        <f>SUM(I457:I464)</f>
        <v>0</v>
      </c>
    </row>
    <row r="466" spans="1:8" ht="13.5">
      <c r="A466" s="187"/>
      <c r="B466" s="179">
        <v>459</v>
      </c>
      <c r="C466" s="172"/>
    </row>
    <row r="467" spans="1:8">
      <c r="B467" s="179">
        <v>460</v>
      </c>
      <c r="C467" s="172"/>
      <c r="D467" s="197" t="s">
        <v>885</v>
      </c>
      <c r="E467" s="201"/>
    </row>
    <row r="468" spans="1:8">
      <c r="B468" s="179">
        <v>461</v>
      </c>
      <c r="C468" s="172"/>
      <c r="D468" s="190" t="s">
        <v>879</v>
      </c>
      <c r="E468" s="273" t="s">
        <v>1409</v>
      </c>
      <c r="F468" s="271" t="s">
        <v>1410</v>
      </c>
      <c r="H468" s="172" t="s">
        <v>524</v>
      </c>
    </row>
    <row r="469" spans="1:8">
      <c r="B469" s="179">
        <v>462</v>
      </c>
      <c r="C469" s="172"/>
      <c r="D469" s="199" t="s">
        <v>886</v>
      </c>
      <c r="E469" s="206" t="str">
        <f>持有至到期投资!E3</f>
        <v>减值准备</v>
      </c>
      <c r="F469" s="184">
        <v>0</v>
      </c>
      <c r="H469" s="176" t="e">
        <f>ABS(E469-F469)</f>
        <v>#VALUE!</v>
      </c>
    </row>
    <row r="470" spans="1:8">
      <c r="B470" s="179">
        <v>463</v>
      </c>
      <c r="C470" s="172"/>
      <c r="D470" s="199" t="s">
        <v>887</v>
      </c>
      <c r="E470" s="206">
        <f>持有至到期投资!E4</f>
        <v>0</v>
      </c>
      <c r="F470" s="184">
        <v>0</v>
      </c>
      <c r="H470" s="176">
        <f t="shared" ref="H470:H479" si="27">ABS(E470-F470)</f>
        <v>0</v>
      </c>
    </row>
    <row r="471" spans="1:8">
      <c r="A471" s="173" t="s">
        <v>523</v>
      </c>
      <c r="B471" s="179">
        <v>464</v>
      </c>
      <c r="C471" s="172"/>
      <c r="D471" s="199" t="s">
        <v>261</v>
      </c>
      <c r="E471" s="206">
        <f>持有至到期投资!E5</f>
        <v>0</v>
      </c>
      <c r="F471" s="184">
        <v>0</v>
      </c>
      <c r="H471" s="176">
        <f t="shared" si="27"/>
        <v>0</v>
      </c>
    </row>
    <row r="472" spans="1:8">
      <c r="B472" s="179">
        <v>465</v>
      </c>
      <c r="C472" s="172"/>
      <c r="D472" s="199" t="s">
        <v>261</v>
      </c>
      <c r="E472" s="206">
        <f>持有至到期投资!E6</f>
        <v>0</v>
      </c>
      <c r="F472" s="184">
        <v>0</v>
      </c>
      <c r="H472" s="176">
        <f t="shared" si="27"/>
        <v>0</v>
      </c>
    </row>
    <row r="473" spans="1:8">
      <c r="B473" s="179">
        <v>466</v>
      </c>
      <c r="C473" s="172"/>
      <c r="D473" s="199" t="s">
        <v>261</v>
      </c>
      <c r="E473" s="206">
        <f>持有至到期投资!E15</f>
        <v>0</v>
      </c>
      <c r="F473" s="184">
        <v>0</v>
      </c>
      <c r="H473" s="176">
        <f t="shared" si="27"/>
        <v>0</v>
      </c>
    </row>
    <row r="474" spans="1:8">
      <c r="B474" s="179">
        <v>467</v>
      </c>
      <c r="C474" s="172"/>
      <c r="D474" s="199"/>
      <c r="E474" s="206">
        <f>持有至到期投资!E18</f>
        <v>0</v>
      </c>
      <c r="F474" s="184">
        <v>0</v>
      </c>
      <c r="H474" s="176">
        <f t="shared" si="27"/>
        <v>0</v>
      </c>
    </row>
    <row r="475" spans="1:8">
      <c r="B475" s="179">
        <v>468</v>
      </c>
      <c r="C475" s="172"/>
      <c r="D475" s="199"/>
      <c r="E475" s="206">
        <f>持有至到期投资!E19</f>
        <v>0</v>
      </c>
      <c r="F475" s="184">
        <v>0</v>
      </c>
      <c r="H475" s="176">
        <f t="shared" si="27"/>
        <v>0</v>
      </c>
    </row>
    <row r="476" spans="1:8">
      <c r="B476" s="179">
        <v>469</v>
      </c>
      <c r="C476" s="172"/>
      <c r="D476" s="199"/>
      <c r="E476" s="206" t="e">
        <f>持有至到期投资!#REF!</f>
        <v>#REF!</v>
      </c>
      <c r="F476" s="184">
        <v>0</v>
      </c>
      <c r="H476" s="176" t="e">
        <f t="shared" si="27"/>
        <v>#REF!</v>
      </c>
    </row>
    <row r="477" spans="1:8">
      <c r="B477" s="179">
        <v>470</v>
      </c>
      <c r="C477" s="172"/>
      <c r="D477" s="199"/>
      <c r="E477" s="206" t="e">
        <f>持有至到期投资!#REF!</f>
        <v>#REF!</v>
      </c>
      <c r="F477" s="184">
        <v>0</v>
      </c>
      <c r="H477" s="176" t="e">
        <f t="shared" si="27"/>
        <v>#REF!</v>
      </c>
    </row>
    <row r="478" spans="1:8">
      <c r="B478" s="179">
        <v>471</v>
      </c>
      <c r="C478" s="172"/>
      <c r="D478" s="199"/>
      <c r="E478" s="206" t="e">
        <f>持有至到期投资!#REF!</f>
        <v>#REF!</v>
      </c>
      <c r="F478" s="184">
        <v>0</v>
      </c>
      <c r="H478" s="176" t="e">
        <f t="shared" si="27"/>
        <v>#REF!</v>
      </c>
    </row>
    <row r="479" spans="1:8">
      <c r="B479" s="179">
        <v>472</v>
      </c>
      <c r="C479" s="172"/>
      <c r="D479" s="208" t="s">
        <v>888</v>
      </c>
      <c r="E479" s="206" t="e">
        <f>持有至到期投资!#REF!</f>
        <v>#REF!</v>
      </c>
      <c r="F479" s="184">
        <v>0</v>
      </c>
      <c r="H479" s="176" t="e">
        <f t="shared" si="27"/>
        <v>#REF!</v>
      </c>
    </row>
    <row r="480" spans="1:8">
      <c r="B480" s="179">
        <v>473</v>
      </c>
      <c r="C480" s="172"/>
      <c r="D480" s="190" t="s">
        <v>884</v>
      </c>
      <c r="E480" s="206" t="e">
        <f>持有至到期投资!#REF!</f>
        <v>#REF!</v>
      </c>
      <c r="F480" s="184">
        <v>0</v>
      </c>
      <c r="H480" s="176" t="e">
        <f>ABS(E480-F480)</f>
        <v>#REF!</v>
      </c>
    </row>
    <row r="481" spans="1:8">
      <c r="A481" s="173" t="s">
        <v>523</v>
      </c>
      <c r="B481" s="179">
        <v>474</v>
      </c>
      <c r="C481" s="172"/>
      <c r="H481" s="175" t="e">
        <f>SUM(H469:H480)</f>
        <v>#VALUE!</v>
      </c>
    </row>
    <row r="482" spans="1:8">
      <c r="A482" s="181"/>
      <c r="B482" s="179">
        <v>475</v>
      </c>
      <c r="C482" s="172"/>
    </row>
    <row r="483" spans="1:8">
      <c r="B483" s="179">
        <v>476</v>
      </c>
      <c r="C483" s="172"/>
      <c r="D483" s="197" t="s">
        <v>889</v>
      </c>
      <c r="E483" s="201"/>
      <c r="F483" s="201"/>
    </row>
    <row r="484" spans="1:8">
      <c r="B484" s="179">
        <v>477</v>
      </c>
      <c r="C484" s="172"/>
      <c r="D484" s="178" t="s">
        <v>890</v>
      </c>
      <c r="E484" s="178" t="s">
        <v>526</v>
      </c>
      <c r="F484" s="274" t="s">
        <v>1410</v>
      </c>
      <c r="H484" s="172" t="s">
        <v>524</v>
      </c>
    </row>
    <row r="485" spans="1:8">
      <c r="B485" s="179">
        <v>478</v>
      </c>
      <c r="C485" s="172"/>
      <c r="D485" s="209" t="s">
        <v>891</v>
      </c>
      <c r="E485" s="206">
        <f>长期应收款!J4</f>
        <v>0</v>
      </c>
      <c r="F485" s="206">
        <v>0</v>
      </c>
      <c r="H485" s="176">
        <f t="shared" ref="H485:H490" si="28">ABS(E485-F485)</f>
        <v>0</v>
      </c>
    </row>
    <row r="486" spans="1:8">
      <c r="B486" s="179">
        <v>479</v>
      </c>
      <c r="C486" s="172"/>
      <c r="D486" s="210" t="s">
        <v>892</v>
      </c>
      <c r="E486" s="206">
        <f>长期应收款!J5</f>
        <v>0</v>
      </c>
      <c r="F486" s="206">
        <v>0</v>
      </c>
      <c r="H486" s="176">
        <f t="shared" si="28"/>
        <v>0</v>
      </c>
    </row>
    <row r="487" spans="1:8">
      <c r="B487" s="179">
        <v>480</v>
      </c>
      <c r="C487" s="172"/>
      <c r="D487" s="199" t="s">
        <v>893</v>
      </c>
      <c r="E487" s="206">
        <f>长期应收款!J6</f>
        <v>0</v>
      </c>
      <c r="F487" s="206">
        <v>0</v>
      </c>
      <c r="H487" s="176">
        <f t="shared" si="28"/>
        <v>0</v>
      </c>
    </row>
    <row r="488" spans="1:8">
      <c r="B488" s="179">
        <v>481</v>
      </c>
      <c r="C488" s="172"/>
      <c r="D488" s="199" t="s">
        <v>894</v>
      </c>
      <c r="E488" s="206">
        <f>长期应收款!J7</f>
        <v>0</v>
      </c>
      <c r="F488" s="206">
        <v>0</v>
      </c>
      <c r="H488" s="176">
        <f t="shared" si="28"/>
        <v>0</v>
      </c>
    </row>
    <row r="489" spans="1:8" ht="13.5">
      <c r="A489" s="186" t="str">
        <f>HYPERLINK("#C1","置顶")</f>
        <v>置顶</v>
      </c>
      <c r="B489" s="179">
        <v>482</v>
      </c>
      <c r="C489" s="172"/>
      <c r="D489" s="199" t="s">
        <v>391</v>
      </c>
      <c r="E489" s="206">
        <f>长期应收款!J8</f>
        <v>0</v>
      </c>
      <c r="F489" s="206">
        <v>0</v>
      </c>
      <c r="H489" s="176">
        <f t="shared" si="28"/>
        <v>0</v>
      </c>
    </row>
    <row r="490" spans="1:8" ht="13.5">
      <c r="A490" s="187"/>
      <c r="B490" s="179">
        <v>483</v>
      </c>
      <c r="C490" s="172"/>
      <c r="D490" s="178" t="s">
        <v>839</v>
      </c>
      <c r="E490" s="206">
        <f>长期应收款!J9</f>
        <v>0</v>
      </c>
      <c r="F490" s="206">
        <v>0</v>
      </c>
      <c r="H490" s="176">
        <f t="shared" si="28"/>
        <v>0</v>
      </c>
    </row>
    <row r="491" spans="1:8" ht="13.5">
      <c r="A491" s="187"/>
      <c r="B491" s="179">
        <v>484</v>
      </c>
      <c r="C491" s="172"/>
      <c r="H491" s="175">
        <f>SUM(H485:H490)</f>
        <v>0</v>
      </c>
    </row>
    <row r="492" spans="1:8">
      <c r="B492" s="179">
        <v>485</v>
      </c>
      <c r="C492" s="172"/>
    </row>
    <row r="493" spans="1:8">
      <c r="B493" s="179">
        <v>486</v>
      </c>
      <c r="C493" s="172"/>
      <c r="D493" s="197" t="s">
        <v>895</v>
      </c>
      <c r="E493" s="201"/>
    </row>
    <row r="494" spans="1:8">
      <c r="B494" s="179">
        <v>487</v>
      </c>
      <c r="C494" s="172"/>
      <c r="D494" s="211" t="s">
        <v>896</v>
      </c>
      <c r="E494" s="201"/>
    </row>
    <row r="495" spans="1:8">
      <c r="B495" s="179">
        <v>488</v>
      </c>
      <c r="C495" s="172"/>
      <c r="D495" s="190" t="s">
        <v>897</v>
      </c>
      <c r="E495" s="178" t="s">
        <v>526</v>
      </c>
      <c r="F495" s="252" t="s">
        <v>1410</v>
      </c>
      <c r="H495" s="172" t="s">
        <v>524</v>
      </c>
    </row>
    <row r="496" spans="1:8">
      <c r="A496" s="173" t="s">
        <v>523</v>
      </c>
      <c r="B496" s="179">
        <v>489</v>
      </c>
      <c r="C496" s="172"/>
      <c r="D496" s="199" t="s">
        <v>898</v>
      </c>
      <c r="E496" s="212">
        <f>长期股权投资!D4</f>
        <v>0</v>
      </c>
      <c r="F496" s="184">
        <v>467485049.38</v>
      </c>
      <c r="H496" s="176">
        <f t="shared" ref="H496:H502" si="29">ABS(E496-F496)</f>
        <v>467485049.38</v>
      </c>
    </row>
    <row r="497" spans="1:8">
      <c r="B497" s="179">
        <v>490</v>
      </c>
      <c r="C497" s="172"/>
      <c r="D497" s="199" t="s">
        <v>899</v>
      </c>
      <c r="E497" s="212">
        <f>长期股权投资!D5</f>
        <v>0</v>
      </c>
      <c r="F497" s="184">
        <v>0</v>
      </c>
      <c r="H497" s="176">
        <f t="shared" si="29"/>
        <v>0</v>
      </c>
    </row>
    <row r="498" spans="1:8">
      <c r="B498" s="179">
        <v>491</v>
      </c>
      <c r="C498" s="172"/>
      <c r="D498" s="199" t="s">
        <v>900</v>
      </c>
      <c r="E498" s="212">
        <f>长期股权投资!D6</f>
        <v>0</v>
      </c>
      <c r="F498" s="184">
        <v>30848596.309999995</v>
      </c>
      <c r="H498" s="176">
        <f t="shared" si="29"/>
        <v>30848596.309999995</v>
      </c>
    </row>
    <row r="499" spans="1:8">
      <c r="B499" s="179">
        <v>492</v>
      </c>
      <c r="C499" s="172"/>
      <c r="D499" s="200" t="s">
        <v>901</v>
      </c>
      <c r="E499" s="212"/>
      <c r="F499" s="184">
        <v>0</v>
      </c>
      <c r="H499" s="176">
        <f t="shared" si="29"/>
        <v>0</v>
      </c>
    </row>
    <row r="500" spans="1:8">
      <c r="A500" s="173" t="s">
        <v>523</v>
      </c>
      <c r="B500" s="179">
        <v>493</v>
      </c>
      <c r="C500" s="172"/>
      <c r="D500" s="178" t="s">
        <v>902</v>
      </c>
      <c r="E500" s="212">
        <f>长期股权投资!D7</f>
        <v>0</v>
      </c>
      <c r="F500" s="184">
        <v>498333645.69</v>
      </c>
      <c r="H500" s="176">
        <f t="shared" si="29"/>
        <v>498333645.69</v>
      </c>
    </row>
    <row r="501" spans="1:8">
      <c r="A501" s="181"/>
      <c r="B501" s="179">
        <v>494</v>
      </c>
      <c r="C501" s="172"/>
      <c r="D501" s="200" t="s">
        <v>903</v>
      </c>
      <c r="E501" s="212">
        <f>长期股权投资!D8</f>
        <v>0</v>
      </c>
      <c r="F501" s="184">
        <v>0</v>
      </c>
      <c r="H501" s="176">
        <f t="shared" si="29"/>
        <v>0</v>
      </c>
    </row>
    <row r="502" spans="1:8">
      <c r="B502" s="179">
        <v>495</v>
      </c>
      <c r="C502" s="172"/>
      <c r="D502" s="190" t="s">
        <v>904</v>
      </c>
      <c r="E502" s="212">
        <f>长期股权投资!D9</f>
        <v>0</v>
      </c>
      <c r="F502" s="184">
        <v>498333645.69</v>
      </c>
      <c r="H502" s="176">
        <f t="shared" si="29"/>
        <v>498333645.69</v>
      </c>
    </row>
    <row r="503" spans="1:8">
      <c r="B503" s="179">
        <v>496</v>
      </c>
      <c r="C503" s="172"/>
      <c r="H503" s="175">
        <f>SUM(H496:H502)</f>
        <v>1495000937.0699999</v>
      </c>
    </row>
    <row r="504" spans="1:8">
      <c r="B504" s="179">
        <v>497</v>
      </c>
      <c r="C504" s="172"/>
    </row>
    <row r="505" spans="1:8">
      <c r="B505" s="179">
        <v>498</v>
      </c>
      <c r="C505" s="172"/>
      <c r="D505" s="197" t="s">
        <v>905</v>
      </c>
      <c r="E505" s="201"/>
    </row>
    <row r="506" spans="1:8">
      <c r="B506" s="179">
        <v>499</v>
      </c>
      <c r="C506" s="172"/>
      <c r="D506" s="204" t="s">
        <v>906</v>
      </c>
      <c r="E506" s="201"/>
    </row>
    <row r="507" spans="1:8">
      <c r="B507" s="179">
        <v>500</v>
      </c>
      <c r="C507" s="172"/>
      <c r="D507" s="190" t="s">
        <v>890</v>
      </c>
      <c r="E507" s="178" t="s">
        <v>526</v>
      </c>
      <c r="F507" s="252" t="s">
        <v>1410</v>
      </c>
      <c r="H507" s="172" t="s">
        <v>524</v>
      </c>
    </row>
    <row r="508" spans="1:8" ht="13.5">
      <c r="A508" s="186" t="str">
        <f>HYPERLINK("#C1","置顶")</f>
        <v>置顶</v>
      </c>
      <c r="B508" s="179">
        <v>501</v>
      </c>
      <c r="C508" s="172"/>
      <c r="D508" s="213" t="s">
        <v>907</v>
      </c>
      <c r="E508" s="212">
        <f>投资性房地产!D4</f>
        <v>0</v>
      </c>
      <c r="F508" s="184">
        <v>31600000</v>
      </c>
      <c r="H508" s="176">
        <f t="shared" ref="H508:H522" si="30">ABS(E508-F508)</f>
        <v>31600000</v>
      </c>
    </row>
    <row r="509" spans="1:8" ht="13.5">
      <c r="A509" s="187"/>
      <c r="B509" s="179">
        <v>502</v>
      </c>
      <c r="C509" s="172"/>
      <c r="D509" s="199" t="s">
        <v>908</v>
      </c>
      <c r="E509" s="212">
        <f>投资性房地产!D5</f>
        <v>0</v>
      </c>
      <c r="F509" s="184">
        <v>12850000</v>
      </c>
      <c r="H509" s="176">
        <f t="shared" si="30"/>
        <v>12850000</v>
      </c>
    </row>
    <row r="510" spans="1:8" ht="13.5">
      <c r="A510" s="187"/>
      <c r="B510" s="179">
        <v>503</v>
      </c>
      <c r="C510" s="172"/>
      <c r="D510" s="199" t="s">
        <v>909</v>
      </c>
      <c r="E510" s="212">
        <f>投资性房地产!D6</f>
        <v>0</v>
      </c>
      <c r="F510" s="184">
        <v>18750000</v>
      </c>
      <c r="H510" s="176">
        <f t="shared" si="30"/>
        <v>18750000</v>
      </c>
    </row>
    <row r="511" spans="1:8">
      <c r="B511" s="179">
        <v>504</v>
      </c>
      <c r="C511" s="172"/>
      <c r="D511" s="213" t="s">
        <v>910</v>
      </c>
      <c r="E511" s="212">
        <f>投资性房地产!D7</f>
        <v>0</v>
      </c>
      <c r="F511" s="184">
        <v>3546060.4699999997</v>
      </c>
      <c r="H511" s="176">
        <f t="shared" si="30"/>
        <v>3546060.4699999997</v>
      </c>
    </row>
    <row r="512" spans="1:8">
      <c r="B512" s="179">
        <v>505</v>
      </c>
      <c r="C512" s="172"/>
      <c r="D512" s="199" t="s">
        <v>908</v>
      </c>
      <c r="E512" s="212">
        <f>投资性房地产!D8</f>
        <v>0</v>
      </c>
      <c r="F512" s="184">
        <v>1319497.97</v>
      </c>
      <c r="H512" s="176">
        <f t="shared" si="30"/>
        <v>1319497.97</v>
      </c>
    </row>
    <row r="513" spans="1:8">
      <c r="B513" s="179">
        <v>506</v>
      </c>
      <c r="C513" s="172"/>
      <c r="D513" s="199" t="s">
        <v>909</v>
      </c>
      <c r="E513" s="212">
        <f>投资性房地产!D9</f>
        <v>0</v>
      </c>
      <c r="F513" s="184">
        <v>2226562.5</v>
      </c>
      <c r="H513" s="176">
        <f t="shared" si="30"/>
        <v>2226562.5</v>
      </c>
    </row>
    <row r="514" spans="1:8">
      <c r="B514" s="179">
        <v>507</v>
      </c>
      <c r="C514" s="172"/>
      <c r="D514" s="213" t="s">
        <v>911</v>
      </c>
      <c r="E514" s="212">
        <f>投资性房地产!D10</f>
        <v>0</v>
      </c>
      <c r="F514" s="184">
        <v>0</v>
      </c>
      <c r="H514" s="176">
        <f t="shared" si="30"/>
        <v>0</v>
      </c>
    </row>
    <row r="515" spans="1:8">
      <c r="A515" s="173" t="s">
        <v>523</v>
      </c>
      <c r="B515" s="179">
        <v>508</v>
      </c>
      <c r="C515" s="172"/>
      <c r="D515" s="199" t="s">
        <v>908</v>
      </c>
      <c r="E515" s="212">
        <f>投资性房地产!D11</f>
        <v>0</v>
      </c>
      <c r="F515" s="184">
        <v>0</v>
      </c>
      <c r="H515" s="176">
        <f t="shared" si="30"/>
        <v>0</v>
      </c>
    </row>
    <row r="516" spans="1:8">
      <c r="B516" s="179">
        <v>509</v>
      </c>
      <c r="C516" s="172"/>
      <c r="D516" s="199" t="s">
        <v>909</v>
      </c>
      <c r="E516" s="212">
        <f>投资性房地产!D12</f>
        <v>0</v>
      </c>
      <c r="F516" s="184">
        <v>0</v>
      </c>
      <c r="H516" s="176">
        <f t="shared" si="30"/>
        <v>0</v>
      </c>
    </row>
    <row r="517" spans="1:8">
      <c r="B517" s="179">
        <v>510</v>
      </c>
      <c r="C517" s="172"/>
      <c r="D517" s="213" t="s">
        <v>912</v>
      </c>
      <c r="E517" s="212">
        <f>投资性房地产!D13</f>
        <v>0</v>
      </c>
      <c r="F517" s="184">
        <v>0</v>
      </c>
      <c r="H517" s="176">
        <f t="shared" si="30"/>
        <v>0</v>
      </c>
    </row>
    <row r="518" spans="1:8">
      <c r="B518" s="179">
        <v>511</v>
      </c>
      <c r="C518" s="172"/>
      <c r="D518" s="199" t="s">
        <v>908</v>
      </c>
      <c r="E518" s="212">
        <f>投资性房地产!D14</f>
        <v>0</v>
      </c>
      <c r="F518" s="184">
        <v>0</v>
      </c>
      <c r="H518" s="176">
        <f t="shared" si="30"/>
        <v>0</v>
      </c>
    </row>
    <row r="519" spans="1:8">
      <c r="B519" s="179">
        <v>512</v>
      </c>
      <c r="C519" s="172"/>
      <c r="D519" s="199" t="s">
        <v>909</v>
      </c>
      <c r="E519" s="212">
        <f>投资性房地产!D15</f>
        <v>0</v>
      </c>
      <c r="F519" s="184">
        <v>0</v>
      </c>
      <c r="H519" s="176">
        <f t="shared" si="30"/>
        <v>0</v>
      </c>
    </row>
    <row r="520" spans="1:8">
      <c r="B520" s="179">
        <v>513</v>
      </c>
      <c r="C520" s="172"/>
      <c r="D520" s="213" t="s">
        <v>913</v>
      </c>
      <c r="E520" s="212">
        <f>投资性房地产!D16</f>
        <v>0</v>
      </c>
      <c r="F520" s="184">
        <v>28053939.530000001</v>
      </c>
      <c r="H520" s="176">
        <f t="shared" si="30"/>
        <v>28053939.530000001</v>
      </c>
    </row>
    <row r="521" spans="1:8">
      <c r="B521" s="179">
        <v>514</v>
      </c>
      <c r="C521" s="172"/>
      <c r="D521" s="199" t="s">
        <v>908</v>
      </c>
      <c r="E521" s="212">
        <f>投资性房地产!D17</f>
        <v>0</v>
      </c>
      <c r="F521" s="184">
        <v>11530502.029999999</v>
      </c>
      <c r="H521" s="176">
        <f t="shared" si="30"/>
        <v>11530502.029999999</v>
      </c>
    </row>
    <row r="522" spans="1:8">
      <c r="A522" s="173" t="s">
        <v>523</v>
      </c>
      <c r="B522" s="179">
        <v>515</v>
      </c>
      <c r="C522" s="172"/>
      <c r="D522" s="199" t="s">
        <v>909</v>
      </c>
      <c r="E522" s="212">
        <f>投资性房地产!D18</f>
        <v>0</v>
      </c>
      <c r="F522" s="184">
        <v>16523437.5</v>
      </c>
      <c r="H522" s="176">
        <f t="shared" si="30"/>
        <v>16523437.5</v>
      </c>
    </row>
    <row r="523" spans="1:8">
      <c r="A523" s="181"/>
      <c r="B523" s="179">
        <v>516</v>
      </c>
      <c r="C523" s="172"/>
      <c r="H523" s="175">
        <f>SUM(H508:H522)</f>
        <v>126400000</v>
      </c>
    </row>
    <row r="524" spans="1:8">
      <c r="B524" s="179">
        <v>517</v>
      </c>
      <c r="C524" s="172"/>
    </row>
    <row r="525" spans="1:8">
      <c r="B525" s="179">
        <v>518</v>
      </c>
      <c r="C525" s="172"/>
      <c r="D525" s="204" t="s">
        <v>914</v>
      </c>
      <c r="E525" s="201"/>
      <c r="F525" s="201"/>
    </row>
    <row r="526" spans="1:8">
      <c r="B526" s="179">
        <v>519</v>
      </c>
      <c r="C526" s="172"/>
      <c r="D526" s="196"/>
      <c r="E526" s="190" t="s">
        <v>642</v>
      </c>
      <c r="F526" s="273" t="s">
        <v>1411</v>
      </c>
      <c r="H526" s="172" t="s">
        <v>524</v>
      </c>
    </row>
    <row r="527" spans="1:8">
      <c r="B527" s="179">
        <v>520</v>
      </c>
      <c r="C527" s="172"/>
      <c r="D527" s="214" t="s">
        <v>915</v>
      </c>
      <c r="E527" s="176">
        <f>投资性房地产!E35</f>
        <v>0</v>
      </c>
      <c r="F527" s="176">
        <v>0</v>
      </c>
      <c r="H527" s="176">
        <f>ABS(E527-F527)</f>
        <v>0</v>
      </c>
    </row>
    <row r="528" spans="1:8">
      <c r="B528" s="179">
        <v>521</v>
      </c>
      <c r="C528" s="172"/>
      <c r="D528" s="199" t="s">
        <v>908</v>
      </c>
      <c r="E528" s="176">
        <f>投资性房地产!E36</f>
        <v>0</v>
      </c>
      <c r="F528" s="176">
        <v>0</v>
      </c>
    </row>
    <row r="529" spans="1:8">
      <c r="B529" s="179">
        <v>522</v>
      </c>
      <c r="C529" s="172"/>
      <c r="D529" s="199" t="s">
        <v>909</v>
      </c>
      <c r="E529" s="176">
        <f>投资性房地产!E37</f>
        <v>0</v>
      </c>
      <c r="F529" s="176">
        <v>0</v>
      </c>
    </row>
    <row r="530" spans="1:8" ht="13.5">
      <c r="A530" s="186" t="str">
        <f>HYPERLINK("#C1","置顶")</f>
        <v>置顶</v>
      </c>
      <c r="B530" s="179">
        <v>523</v>
      </c>
      <c r="C530" s="172"/>
      <c r="H530" s="175">
        <f>SUM(H527:H529)</f>
        <v>0</v>
      </c>
    </row>
    <row r="531" spans="1:8" ht="13.5">
      <c r="A531" s="187"/>
      <c r="B531" s="179">
        <v>524</v>
      </c>
      <c r="C531" s="172"/>
    </row>
    <row r="532" spans="1:8" ht="13.5">
      <c r="A532" s="187"/>
      <c r="B532" s="179">
        <v>525</v>
      </c>
      <c r="C532" s="172"/>
      <c r="D532" s="197" t="s">
        <v>916</v>
      </c>
      <c r="E532" s="201"/>
    </row>
    <row r="533" spans="1:8">
      <c r="B533" s="179">
        <v>526</v>
      </c>
      <c r="C533" s="172"/>
      <c r="D533" s="207" t="s">
        <v>917</v>
      </c>
      <c r="E533" s="201"/>
    </row>
    <row r="534" spans="1:8">
      <c r="B534" s="179">
        <v>527</v>
      </c>
      <c r="C534" s="172"/>
      <c r="D534" s="190" t="s">
        <v>890</v>
      </c>
      <c r="E534" s="178" t="s">
        <v>526</v>
      </c>
      <c r="F534" s="252" t="s">
        <v>1410</v>
      </c>
      <c r="H534" s="172" t="s">
        <v>524</v>
      </c>
    </row>
    <row r="535" spans="1:8">
      <c r="B535" s="179">
        <v>528</v>
      </c>
      <c r="C535" s="172"/>
      <c r="D535" s="213" t="s">
        <v>918</v>
      </c>
      <c r="E535" s="206">
        <f>固定资产!D4</f>
        <v>429334.24</v>
      </c>
      <c r="F535" s="184">
        <v>267030521.84999999</v>
      </c>
      <c r="H535" s="176">
        <f t="shared" ref="H535:H578" si="31">ABS(E535-F535)</f>
        <v>266601187.60999998</v>
      </c>
    </row>
    <row r="536" spans="1:8">
      <c r="B536" s="179">
        <v>529</v>
      </c>
      <c r="C536" s="172"/>
      <c r="D536" s="199" t="s">
        <v>919</v>
      </c>
      <c r="E536" s="206">
        <f>固定资产!D5</f>
        <v>0</v>
      </c>
      <c r="F536" s="184">
        <v>0</v>
      </c>
      <c r="H536" s="176">
        <f t="shared" si="31"/>
        <v>0</v>
      </c>
    </row>
    <row r="537" spans="1:8">
      <c r="A537" s="173" t="s">
        <v>523</v>
      </c>
      <c r="B537" s="179">
        <v>530</v>
      </c>
      <c r="C537" s="172"/>
      <c r="D537" s="208" t="s">
        <v>920</v>
      </c>
      <c r="E537" s="206">
        <f>固定资产!D6</f>
        <v>0</v>
      </c>
      <c r="F537" s="184">
        <v>106228248.69</v>
      </c>
      <c r="H537" s="176">
        <f t="shared" si="31"/>
        <v>106228248.69</v>
      </c>
    </row>
    <row r="538" spans="1:8">
      <c r="B538" s="179">
        <v>531</v>
      </c>
      <c r="C538" s="172"/>
      <c r="D538" s="208" t="s">
        <v>921</v>
      </c>
      <c r="E538" s="206">
        <f>固定资产!D7</f>
        <v>0</v>
      </c>
      <c r="F538" s="184">
        <v>156637004.68000001</v>
      </c>
      <c r="H538" s="176">
        <f t="shared" si="31"/>
        <v>156637004.68000001</v>
      </c>
    </row>
    <row r="539" spans="1:8">
      <c r="B539" s="179">
        <v>532</v>
      </c>
      <c r="C539" s="172"/>
      <c r="D539" s="208" t="s">
        <v>922</v>
      </c>
      <c r="E539" s="206">
        <f>固定资产!D8</f>
        <v>0</v>
      </c>
      <c r="F539" s="184">
        <v>173458</v>
      </c>
      <c r="H539" s="176">
        <f t="shared" si="31"/>
        <v>173458</v>
      </c>
    </row>
    <row r="540" spans="1:8">
      <c r="B540" s="179">
        <v>533</v>
      </c>
      <c r="C540" s="172"/>
      <c r="D540" s="208" t="s">
        <v>923</v>
      </c>
      <c r="E540" s="206">
        <f>固定资产!D9</f>
        <v>0</v>
      </c>
      <c r="F540" s="184">
        <v>0</v>
      </c>
      <c r="H540" s="176">
        <f t="shared" si="31"/>
        <v>0</v>
      </c>
    </row>
    <row r="541" spans="1:8">
      <c r="B541" s="179">
        <v>534</v>
      </c>
      <c r="C541" s="172"/>
      <c r="D541" s="208" t="s">
        <v>924</v>
      </c>
      <c r="E541" s="206">
        <f>固定资产!D10</f>
        <v>250389.13</v>
      </c>
      <c r="F541" s="184">
        <v>0</v>
      </c>
      <c r="H541" s="176">
        <f t="shared" si="31"/>
        <v>250389.13</v>
      </c>
    </row>
    <row r="542" spans="1:8">
      <c r="A542" s="173" t="s">
        <v>523</v>
      </c>
      <c r="B542" s="179">
        <v>535</v>
      </c>
      <c r="C542" s="172"/>
      <c r="D542" s="208" t="s">
        <v>925</v>
      </c>
      <c r="E542" s="206">
        <f>固定资产!D11</f>
        <v>178945.11</v>
      </c>
      <c r="F542" s="184">
        <v>0</v>
      </c>
      <c r="H542" s="176">
        <f t="shared" si="31"/>
        <v>178945.11</v>
      </c>
    </row>
    <row r="543" spans="1:8">
      <c r="A543" s="181"/>
      <c r="B543" s="179">
        <v>536</v>
      </c>
      <c r="C543" s="172"/>
      <c r="D543" s="208" t="s">
        <v>926</v>
      </c>
      <c r="E543" s="206">
        <f>固定资产!D12</f>
        <v>0</v>
      </c>
      <c r="F543" s="184">
        <v>3991810.48</v>
      </c>
      <c r="H543" s="176">
        <f t="shared" si="31"/>
        <v>3991810.48</v>
      </c>
    </row>
    <row r="544" spans="1:8">
      <c r="B544" s="179">
        <v>537</v>
      </c>
      <c r="C544" s="172"/>
      <c r="D544" s="213" t="s">
        <v>927</v>
      </c>
      <c r="E544" s="206">
        <f>固定资产!D13</f>
        <v>277800.52</v>
      </c>
      <c r="F544" s="184">
        <v>63097702.519999996</v>
      </c>
      <c r="H544" s="176">
        <f t="shared" si="31"/>
        <v>62819901.999999993</v>
      </c>
    </row>
    <row r="545" spans="1:8">
      <c r="B545" s="179">
        <v>538</v>
      </c>
      <c r="C545" s="172"/>
      <c r="D545" s="199" t="s">
        <v>919</v>
      </c>
      <c r="E545" s="206">
        <f>固定资产!D14</f>
        <v>0</v>
      </c>
      <c r="F545" s="184">
        <v>0</v>
      </c>
      <c r="H545" s="176">
        <f t="shared" si="31"/>
        <v>0</v>
      </c>
    </row>
    <row r="546" spans="1:8">
      <c r="B546" s="179">
        <v>539</v>
      </c>
      <c r="C546" s="172"/>
      <c r="D546" s="208" t="s">
        <v>920</v>
      </c>
      <c r="E546" s="206">
        <f>固定资产!D15</f>
        <v>0</v>
      </c>
      <c r="F546" s="184">
        <v>10165264.110000001</v>
      </c>
      <c r="H546" s="176">
        <f t="shared" si="31"/>
        <v>10165264.110000001</v>
      </c>
    </row>
    <row r="547" spans="1:8">
      <c r="B547" s="179">
        <v>540</v>
      </c>
      <c r="C547" s="172"/>
      <c r="D547" s="208" t="s">
        <v>921</v>
      </c>
      <c r="E547" s="206">
        <f>固定资产!D16</f>
        <v>0</v>
      </c>
      <c r="F547" s="184">
        <v>51925699.939999998</v>
      </c>
      <c r="H547" s="176">
        <f t="shared" si="31"/>
        <v>51925699.939999998</v>
      </c>
    </row>
    <row r="548" spans="1:8">
      <c r="B548" s="179">
        <v>541</v>
      </c>
      <c r="C548" s="172"/>
      <c r="D548" s="208" t="s">
        <v>922</v>
      </c>
      <c r="E548" s="206">
        <f>固定资产!D17</f>
        <v>0</v>
      </c>
      <c r="F548" s="184">
        <v>12015.57</v>
      </c>
      <c r="H548" s="176">
        <f t="shared" si="31"/>
        <v>12015.57</v>
      </c>
    </row>
    <row r="549" spans="1:8">
      <c r="B549" s="179">
        <v>542</v>
      </c>
      <c r="C549" s="172"/>
      <c r="D549" s="208" t="s">
        <v>923</v>
      </c>
      <c r="E549" s="206">
        <f>固定资产!D18</f>
        <v>0</v>
      </c>
      <c r="F549" s="184">
        <v>0</v>
      </c>
      <c r="H549" s="176">
        <f t="shared" si="31"/>
        <v>0</v>
      </c>
    </row>
    <row r="550" spans="1:8" ht="13.5">
      <c r="A550" s="186" t="str">
        <f>HYPERLINK("#C1","置顶")</f>
        <v>置顶</v>
      </c>
      <c r="B550" s="179">
        <v>543</v>
      </c>
      <c r="C550" s="172"/>
      <c r="D550" s="208" t="s">
        <v>924</v>
      </c>
      <c r="E550" s="206">
        <f>固定资产!D19</f>
        <v>132134.94</v>
      </c>
      <c r="F550" s="184">
        <v>0</v>
      </c>
      <c r="H550" s="176">
        <f t="shared" si="31"/>
        <v>132134.94</v>
      </c>
    </row>
    <row r="551" spans="1:8" ht="13.5">
      <c r="A551" s="187"/>
      <c r="B551" s="179">
        <v>544</v>
      </c>
      <c r="C551" s="172"/>
      <c r="D551" s="208" t="s">
        <v>925</v>
      </c>
      <c r="E551" s="206">
        <f>固定资产!D20</f>
        <v>145665.57999999999</v>
      </c>
      <c r="F551" s="184">
        <v>0</v>
      </c>
      <c r="H551" s="176">
        <f t="shared" si="31"/>
        <v>145665.57999999999</v>
      </c>
    </row>
    <row r="552" spans="1:8" ht="13.5">
      <c r="A552" s="187"/>
      <c r="B552" s="179">
        <v>545</v>
      </c>
      <c r="C552" s="172"/>
      <c r="D552" s="208" t="s">
        <v>926</v>
      </c>
      <c r="E552" s="206">
        <f>固定资产!D21</f>
        <v>0</v>
      </c>
      <c r="F552" s="184">
        <v>994722.89999999991</v>
      </c>
      <c r="H552" s="176">
        <f t="shared" si="31"/>
        <v>994722.89999999991</v>
      </c>
    </row>
    <row r="553" spans="1:8">
      <c r="B553" s="179">
        <v>546</v>
      </c>
      <c r="C553" s="172"/>
      <c r="D553" s="213" t="s">
        <v>928</v>
      </c>
      <c r="E553" s="206">
        <f>固定资产!D22</f>
        <v>151533.72</v>
      </c>
      <c r="F553" s="184">
        <v>203932819.33000001</v>
      </c>
      <c r="H553" s="176">
        <f t="shared" si="31"/>
        <v>203781285.61000001</v>
      </c>
    </row>
    <row r="554" spans="1:8">
      <c r="B554" s="179">
        <v>547</v>
      </c>
      <c r="C554" s="172"/>
      <c r="D554" s="199" t="s">
        <v>919</v>
      </c>
      <c r="E554" s="206">
        <f>固定资产!D23</f>
        <v>0</v>
      </c>
      <c r="F554" s="184">
        <v>0</v>
      </c>
      <c r="H554" s="176">
        <f t="shared" si="31"/>
        <v>0</v>
      </c>
    </row>
    <row r="555" spans="1:8">
      <c r="B555" s="179">
        <v>548</v>
      </c>
      <c r="C555" s="172"/>
      <c r="D555" s="208" t="s">
        <v>920</v>
      </c>
      <c r="E555" s="206">
        <f>固定资产!D24</f>
        <v>0</v>
      </c>
      <c r="F555" s="184">
        <v>96062984.579999998</v>
      </c>
      <c r="H555" s="176">
        <f t="shared" si="31"/>
        <v>96062984.579999998</v>
      </c>
    </row>
    <row r="556" spans="1:8">
      <c r="B556" s="179">
        <v>549</v>
      </c>
      <c r="C556" s="172"/>
      <c r="D556" s="208" t="s">
        <v>921</v>
      </c>
      <c r="E556" s="206">
        <f>固定资产!D25</f>
        <v>0</v>
      </c>
      <c r="F556" s="184">
        <v>104711304.74000001</v>
      </c>
      <c r="H556" s="176">
        <f t="shared" si="31"/>
        <v>104711304.74000001</v>
      </c>
    </row>
    <row r="557" spans="1:8">
      <c r="A557" s="173" t="s">
        <v>523</v>
      </c>
      <c r="B557" s="179">
        <v>550</v>
      </c>
      <c r="C557" s="172"/>
      <c r="D557" s="208" t="s">
        <v>929</v>
      </c>
      <c r="E557" s="206">
        <f>固定资产!D26</f>
        <v>0</v>
      </c>
      <c r="F557" s="184">
        <v>161442.43</v>
      </c>
      <c r="H557" s="176">
        <f t="shared" si="31"/>
        <v>161442.43</v>
      </c>
    </row>
    <row r="558" spans="1:8">
      <c r="B558" s="179">
        <v>551</v>
      </c>
      <c r="C558" s="172"/>
      <c r="D558" s="208" t="s">
        <v>930</v>
      </c>
      <c r="E558" s="206">
        <f>固定资产!D27</f>
        <v>0</v>
      </c>
      <c r="F558" s="184">
        <v>0</v>
      </c>
      <c r="H558" s="176">
        <f t="shared" si="31"/>
        <v>0</v>
      </c>
    </row>
    <row r="559" spans="1:8">
      <c r="B559" s="179">
        <v>552</v>
      </c>
      <c r="C559" s="172"/>
      <c r="D559" s="208" t="s">
        <v>931</v>
      </c>
      <c r="E559" s="206">
        <f>固定资产!D28</f>
        <v>118254.19</v>
      </c>
      <c r="F559" s="184">
        <v>0</v>
      </c>
      <c r="H559" s="176">
        <f t="shared" si="31"/>
        <v>118254.19</v>
      </c>
    </row>
    <row r="560" spans="1:8">
      <c r="B560" s="179">
        <v>553</v>
      </c>
      <c r="C560" s="172"/>
      <c r="D560" s="208" t="s">
        <v>932</v>
      </c>
      <c r="E560" s="206">
        <f>固定资产!D29</f>
        <v>33279.53</v>
      </c>
      <c r="F560" s="184">
        <v>0</v>
      </c>
      <c r="H560" s="176">
        <f t="shared" si="31"/>
        <v>33279.53</v>
      </c>
    </row>
    <row r="561" spans="1:8">
      <c r="B561" s="179">
        <v>554</v>
      </c>
      <c r="C561" s="172"/>
      <c r="D561" s="208" t="s">
        <v>926</v>
      </c>
      <c r="E561" s="206">
        <f>固定资产!D30</f>
        <v>0</v>
      </c>
      <c r="F561" s="184">
        <v>2997087.58</v>
      </c>
      <c r="H561" s="176">
        <f t="shared" si="31"/>
        <v>2997087.58</v>
      </c>
    </row>
    <row r="562" spans="1:8">
      <c r="A562" s="173" t="s">
        <v>523</v>
      </c>
      <c r="B562" s="179">
        <v>555</v>
      </c>
      <c r="C562" s="172"/>
      <c r="D562" s="209" t="s">
        <v>933</v>
      </c>
      <c r="E562" s="206">
        <f>固定资产!D31</f>
        <v>0</v>
      </c>
      <c r="F562" s="184">
        <v>345126.43000000005</v>
      </c>
      <c r="H562" s="176">
        <f t="shared" si="31"/>
        <v>345126.43000000005</v>
      </c>
    </row>
    <row r="563" spans="1:8">
      <c r="A563" s="181"/>
      <c r="B563" s="179">
        <v>556</v>
      </c>
      <c r="C563" s="172"/>
      <c r="D563" s="199" t="s">
        <v>919</v>
      </c>
      <c r="E563" s="206">
        <f>固定资产!D32</f>
        <v>0</v>
      </c>
      <c r="F563" s="184">
        <v>0</v>
      </c>
      <c r="H563" s="176">
        <f t="shared" si="31"/>
        <v>0</v>
      </c>
    </row>
    <row r="564" spans="1:8">
      <c r="B564" s="179">
        <v>557</v>
      </c>
      <c r="C564" s="172"/>
      <c r="D564" s="208" t="s">
        <v>920</v>
      </c>
      <c r="E564" s="206">
        <f>固定资产!D33</f>
        <v>0</v>
      </c>
      <c r="F564" s="184">
        <v>38442.28</v>
      </c>
      <c r="H564" s="176">
        <f t="shared" si="31"/>
        <v>38442.28</v>
      </c>
    </row>
    <row r="565" spans="1:8">
      <c r="B565" s="179">
        <v>558</v>
      </c>
      <c r="C565" s="172"/>
      <c r="D565" s="208" t="s">
        <v>921</v>
      </c>
      <c r="E565" s="206">
        <f>固定资产!D34</f>
        <v>0</v>
      </c>
      <c r="F565" s="184">
        <v>306684.15000000002</v>
      </c>
      <c r="H565" s="176">
        <f t="shared" si="31"/>
        <v>306684.15000000002</v>
      </c>
    </row>
    <row r="566" spans="1:8">
      <c r="B566" s="179">
        <v>559</v>
      </c>
      <c r="C566" s="172"/>
      <c r="D566" s="208" t="s">
        <v>922</v>
      </c>
      <c r="E566" s="206">
        <f>固定资产!D35</f>
        <v>0</v>
      </c>
      <c r="F566" s="184">
        <v>0</v>
      </c>
      <c r="H566" s="176">
        <f t="shared" si="31"/>
        <v>0</v>
      </c>
    </row>
    <row r="567" spans="1:8">
      <c r="B567" s="179">
        <v>560</v>
      </c>
      <c r="C567" s="172"/>
      <c r="D567" s="208" t="s">
        <v>923</v>
      </c>
      <c r="E567" s="206">
        <f>固定资产!D36</f>
        <v>0</v>
      </c>
      <c r="F567" s="184">
        <v>0</v>
      </c>
      <c r="H567" s="176">
        <f t="shared" si="31"/>
        <v>0</v>
      </c>
    </row>
    <row r="568" spans="1:8">
      <c r="B568" s="179">
        <v>561</v>
      </c>
      <c r="C568" s="172"/>
      <c r="D568" s="208" t="s">
        <v>924</v>
      </c>
      <c r="E568" s="206">
        <f>固定资产!D37</f>
        <v>0</v>
      </c>
      <c r="F568" s="184">
        <v>0</v>
      </c>
      <c r="H568" s="176">
        <f t="shared" si="31"/>
        <v>0</v>
      </c>
    </row>
    <row r="569" spans="1:8">
      <c r="B569" s="179">
        <v>562</v>
      </c>
      <c r="C569" s="172"/>
      <c r="D569" s="208" t="s">
        <v>925</v>
      </c>
      <c r="E569" s="206">
        <f>固定资产!D38</f>
        <v>0</v>
      </c>
      <c r="F569" s="184">
        <v>0</v>
      </c>
      <c r="H569" s="176">
        <f t="shared" si="31"/>
        <v>0</v>
      </c>
    </row>
    <row r="570" spans="1:8" ht="13.5">
      <c r="A570" s="186" t="str">
        <f>HYPERLINK("#C1","置顶")</f>
        <v>置顶</v>
      </c>
      <c r="B570" s="179">
        <v>563</v>
      </c>
      <c r="C570" s="172"/>
      <c r="D570" s="208" t="s">
        <v>926</v>
      </c>
      <c r="E570" s="206">
        <f>固定资产!D39</f>
        <v>0</v>
      </c>
      <c r="F570" s="184">
        <v>0</v>
      </c>
      <c r="H570" s="176">
        <f t="shared" si="31"/>
        <v>0</v>
      </c>
    </row>
    <row r="571" spans="1:8" ht="13.5">
      <c r="A571" s="187"/>
      <c r="B571" s="179">
        <v>564</v>
      </c>
      <c r="C571" s="172"/>
      <c r="D571" s="209" t="s">
        <v>934</v>
      </c>
      <c r="E571" s="206">
        <f>固定资产!D40</f>
        <v>151533.72</v>
      </c>
      <c r="F571" s="184">
        <v>203587692.90000001</v>
      </c>
      <c r="H571" s="176">
        <f t="shared" si="31"/>
        <v>203436159.18000001</v>
      </c>
    </row>
    <row r="572" spans="1:8" ht="13.5">
      <c r="A572" s="187"/>
      <c r="B572" s="179">
        <v>565</v>
      </c>
      <c r="C572" s="172"/>
      <c r="D572" s="199" t="s">
        <v>919</v>
      </c>
      <c r="E572" s="206">
        <f>固定资产!D41</f>
        <v>0</v>
      </c>
      <c r="F572" s="184">
        <v>0</v>
      </c>
      <c r="H572" s="176">
        <f t="shared" si="31"/>
        <v>0</v>
      </c>
    </row>
    <row r="573" spans="1:8">
      <c r="B573" s="179">
        <v>566</v>
      </c>
      <c r="C573" s="172"/>
      <c r="D573" s="208" t="s">
        <v>920</v>
      </c>
      <c r="E573" s="206">
        <f>固定资产!D42</f>
        <v>0</v>
      </c>
      <c r="F573" s="184">
        <v>96024542.299999997</v>
      </c>
      <c r="H573" s="176">
        <f t="shared" si="31"/>
        <v>96024542.299999997</v>
      </c>
    </row>
    <row r="574" spans="1:8">
      <c r="B574" s="179">
        <v>567</v>
      </c>
      <c r="C574" s="172"/>
      <c r="D574" s="208" t="s">
        <v>921</v>
      </c>
      <c r="E574" s="206">
        <f>固定资产!D43</f>
        <v>0</v>
      </c>
      <c r="F574" s="184">
        <v>104404620.59</v>
      </c>
      <c r="H574" s="176">
        <f t="shared" si="31"/>
        <v>104404620.59</v>
      </c>
    </row>
    <row r="575" spans="1:8">
      <c r="B575" s="179">
        <v>568</v>
      </c>
      <c r="C575" s="172"/>
      <c r="D575" s="208" t="s">
        <v>922</v>
      </c>
      <c r="E575" s="206">
        <f>固定资产!D44</f>
        <v>0</v>
      </c>
      <c r="F575" s="184">
        <v>161442.43</v>
      </c>
      <c r="H575" s="176">
        <f t="shared" si="31"/>
        <v>161442.43</v>
      </c>
    </row>
    <row r="576" spans="1:8">
      <c r="B576" s="179">
        <v>569</v>
      </c>
      <c r="C576" s="172"/>
      <c r="D576" s="208" t="s">
        <v>923</v>
      </c>
      <c r="E576" s="206">
        <f>固定资产!D45</f>
        <v>0</v>
      </c>
      <c r="F576" s="184">
        <v>0</v>
      </c>
      <c r="H576" s="176">
        <f t="shared" si="31"/>
        <v>0</v>
      </c>
    </row>
    <row r="577" spans="1:9">
      <c r="A577" s="173" t="s">
        <v>523</v>
      </c>
      <c r="B577" s="179">
        <v>570</v>
      </c>
      <c r="C577" s="172"/>
      <c r="D577" s="208" t="s">
        <v>924</v>
      </c>
      <c r="E577" s="206">
        <f>固定资产!D46</f>
        <v>118254.19</v>
      </c>
      <c r="F577" s="184">
        <v>0</v>
      </c>
      <c r="H577" s="176">
        <f t="shared" si="31"/>
        <v>118254.19</v>
      </c>
    </row>
    <row r="578" spans="1:9">
      <c r="B578" s="179">
        <v>571</v>
      </c>
      <c r="C578" s="172"/>
      <c r="D578" s="208" t="s">
        <v>925</v>
      </c>
      <c r="E578" s="206">
        <f>固定资产!D47</f>
        <v>33279.53</v>
      </c>
      <c r="F578" s="184">
        <v>0</v>
      </c>
      <c r="H578" s="176">
        <f t="shared" si="31"/>
        <v>33279.53</v>
      </c>
    </row>
    <row r="579" spans="1:9">
      <c r="B579" s="179">
        <v>572</v>
      </c>
      <c r="C579" s="172"/>
      <c r="D579" s="208" t="s">
        <v>926</v>
      </c>
      <c r="E579" s="206">
        <f>固定资产!D48</f>
        <v>0</v>
      </c>
      <c r="F579" s="184">
        <v>2997087.58</v>
      </c>
      <c r="H579" s="176">
        <f>ABS(E579-F579)</f>
        <v>2997087.58</v>
      </c>
    </row>
    <row r="580" spans="1:9">
      <c r="B580" s="179">
        <v>573</v>
      </c>
      <c r="C580" s="172"/>
      <c r="D580" s="201"/>
      <c r="E580" s="201"/>
      <c r="H580" s="175">
        <f>SUM(H535:H579)</f>
        <v>1475987726.0599999</v>
      </c>
    </row>
    <row r="581" spans="1:9" ht="25.5">
      <c r="B581" s="179">
        <v>574</v>
      </c>
      <c r="C581" s="172"/>
      <c r="D581" s="207" t="s">
        <v>935</v>
      </c>
      <c r="E581" s="201"/>
    </row>
    <row r="582" spans="1:9">
      <c r="B582" s="179">
        <v>575</v>
      </c>
      <c r="C582" s="172"/>
      <c r="D582" s="190" t="s">
        <v>890</v>
      </c>
      <c r="E582" s="178" t="s">
        <v>526</v>
      </c>
      <c r="F582" s="252" t="s">
        <v>1410</v>
      </c>
      <c r="H582" s="172" t="s">
        <v>524</v>
      </c>
    </row>
    <row r="583" spans="1:9">
      <c r="B583" s="179">
        <v>576</v>
      </c>
      <c r="C583" s="172"/>
      <c r="D583" s="190" t="s">
        <v>839</v>
      </c>
      <c r="E583" s="206">
        <f>固定资产!E63</f>
        <v>0</v>
      </c>
      <c r="F583" s="206">
        <v>278627.14</v>
      </c>
      <c r="H583" s="176">
        <f>ABS(E583-F583)</f>
        <v>278627.14</v>
      </c>
    </row>
    <row r="584" spans="1:9" ht="13.5">
      <c r="A584" s="186" t="str">
        <f>HYPERLINK("#C1","置顶")</f>
        <v>置顶</v>
      </c>
      <c r="B584" s="179">
        <v>577</v>
      </c>
      <c r="C584" s="172"/>
      <c r="D584" s="199" t="s">
        <v>936</v>
      </c>
      <c r="E584" s="206">
        <f>固定资产!E64</f>
        <v>0</v>
      </c>
      <c r="F584" s="206">
        <v>48558.69</v>
      </c>
      <c r="H584" s="176">
        <f t="shared" ref="H584:H590" si="32">ABS(E584-F584)</f>
        <v>48558.69</v>
      </c>
    </row>
    <row r="585" spans="1:9" ht="13.5">
      <c r="A585" s="187"/>
      <c r="B585" s="179">
        <v>578</v>
      </c>
      <c r="C585" s="172"/>
      <c r="D585" s="208" t="s">
        <v>921</v>
      </c>
      <c r="E585" s="206">
        <f>固定资产!E65</f>
        <v>0</v>
      </c>
      <c r="F585" s="206">
        <v>120909.5</v>
      </c>
      <c r="H585" s="176">
        <f t="shared" si="32"/>
        <v>120909.5</v>
      </c>
    </row>
    <row r="586" spans="1:9" ht="13.5">
      <c r="A586" s="187"/>
      <c r="B586" s="179">
        <v>579</v>
      </c>
      <c r="C586" s="172"/>
      <c r="D586" s="208" t="s">
        <v>922</v>
      </c>
      <c r="E586" s="206">
        <f>固定资产!E66</f>
        <v>0</v>
      </c>
      <c r="F586" s="206">
        <v>0</v>
      </c>
      <c r="H586" s="176">
        <f t="shared" si="32"/>
        <v>0</v>
      </c>
    </row>
    <row r="587" spans="1:9">
      <c r="B587" s="179">
        <v>580</v>
      </c>
      <c r="C587" s="172"/>
      <c r="D587" s="208" t="s">
        <v>923</v>
      </c>
      <c r="E587" s="206">
        <f>固定资产!E67</f>
        <v>0</v>
      </c>
      <c r="F587" s="206">
        <v>0</v>
      </c>
      <c r="H587" s="176">
        <f t="shared" si="32"/>
        <v>0</v>
      </c>
      <c r="I587" s="171" t="s">
        <v>937</v>
      </c>
    </row>
    <row r="588" spans="1:9">
      <c r="B588" s="179">
        <v>581</v>
      </c>
      <c r="C588" s="172"/>
      <c r="D588" s="208" t="s">
        <v>938</v>
      </c>
      <c r="E588" s="206">
        <f>固定资产!E68</f>
        <v>0</v>
      </c>
      <c r="F588" s="206">
        <v>0</v>
      </c>
      <c r="H588" s="176">
        <f t="shared" si="32"/>
        <v>0</v>
      </c>
    </row>
    <row r="589" spans="1:9">
      <c r="B589" s="179">
        <v>582</v>
      </c>
      <c r="C589" s="172"/>
      <c r="D589" s="208" t="s">
        <v>939</v>
      </c>
      <c r="E589" s="206">
        <f>固定资产!E69</f>
        <v>0</v>
      </c>
      <c r="F589" s="206">
        <v>0</v>
      </c>
      <c r="H589" s="176">
        <f t="shared" si="32"/>
        <v>0</v>
      </c>
    </row>
    <row r="590" spans="1:9">
      <c r="B590" s="179">
        <v>583</v>
      </c>
      <c r="C590" s="172"/>
      <c r="D590" s="208" t="s">
        <v>926</v>
      </c>
      <c r="E590" s="206">
        <f>固定资产!E70</f>
        <v>0</v>
      </c>
      <c r="F590" s="206">
        <v>109158.95</v>
      </c>
      <c r="H590" s="176">
        <f t="shared" si="32"/>
        <v>109158.95</v>
      </c>
    </row>
    <row r="591" spans="1:9">
      <c r="A591" s="173" t="s">
        <v>523</v>
      </c>
      <c r="B591" s="179">
        <v>584</v>
      </c>
      <c r="C591" s="172"/>
      <c r="H591" s="175">
        <f>SUM(H583:H590)</f>
        <v>557254.28</v>
      </c>
    </row>
    <row r="592" spans="1:9">
      <c r="A592" s="181"/>
      <c r="B592" s="179">
        <v>585</v>
      </c>
      <c r="C592" s="172"/>
    </row>
    <row r="593" spans="1:8">
      <c r="B593" s="179">
        <v>586</v>
      </c>
      <c r="C593" s="172"/>
      <c r="D593" s="204" t="s">
        <v>940</v>
      </c>
      <c r="E593" s="201"/>
      <c r="F593" s="201"/>
    </row>
    <row r="594" spans="1:8">
      <c r="B594" s="179">
        <v>587</v>
      </c>
      <c r="C594" s="172"/>
      <c r="D594" s="196"/>
      <c r="E594" s="190" t="s">
        <v>266</v>
      </c>
      <c r="F594" s="273" t="s">
        <v>1411</v>
      </c>
      <c r="H594" s="172" t="s">
        <v>524</v>
      </c>
    </row>
    <row r="595" spans="1:8">
      <c r="B595" s="179">
        <v>588</v>
      </c>
      <c r="C595" s="172"/>
      <c r="D595" s="216" t="s">
        <v>941</v>
      </c>
      <c r="E595" s="215">
        <f>固定资产!E75</f>
        <v>89376.7</v>
      </c>
      <c r="F595" s="196">
        <v>13620115.74</v>
      </c>
      <c r="H595" s="176">
        <f>ABS(E595-F595)</f>
        <v>13530739.040000001</v>
      </c>
    </row>
    <row r="596" spans="1:8">
      <c r="B596" s="179">
        <v>589</v>
      </c>
      <c r="C596" s="172"/>
      <c r="H596" s="175">
        <f>SUM(H595)</f>
        <v>13530739.040000001</v>
      </c>
    </row>
    <row r="597" spans="1:8">
      <c r="B597" s="179">
        <v>590</v>
      </c>
      <c r="C597" s="172"/>
    </row>
    <row r="598" spans="1:8">
      <c r="B598" s="179">
        <v>591</v>
      </c>
      <c r="C598" s="172"/>
      <c r="D598" s="197" t="s">
        <v>942</v>
      </c>
      <c r="E598" s="201"/>
      <c r="F598" s="201"/>
    </row>
    <row r="599" spans="1:8" ht="13.5">
      <c r="A599" s="186" t="str">
        <f>HYPERLINK("#C1","置顶")</f>
        <v>置顶</v>
      </c>
      <c r="B599" s="179">
        <v>592</v>
      </c>
      <c r="C599" s="172"/>
      <c r="D599" s="178" t="s">
        <v>943</v>
      </c>
      <c r="E599" s="178" t="s">
        <v>526</v>
      </c>
      <c r="F599" s="252" t="s">
        <v>1410</v>
      </c>
      <c r="H599" s="172" t="s">
        <v>524</v>
      </c>
    </row>
    <row r="600" spans="1:8" ht="13.5">
      <c r="A600" s="187"/>
      <c r="B600" s="179">
        <v>593</v>
      </c>
      <c r="C600" s="172"/>
      <c r="D600" s="200" t="s">
        <v>944</v>
      </c>
      <c r="E600" s="212">
        <f>工程物资!D3</f>
        <v>0</v>
      </c>
      <c r="F600" s="212">
        <v>0</v>
      </c>
      <c r="H600" s="176">
        <f t="shared" ref="H600:H610" si="33">ABS(E600-F600)</f>
        <v>0</v>
      </c>
    </row>
    <row r="601" spans="1:8">
      <c r="B601" s="179">
        <v>594</v>
      </c>
      <c r="C601" s="172"/>
      <c r="D601" s="200" t="s">
        <v>945</v>
      </c>
      <c r="E601" s="212">
        <f>工程物资!D4</f>
        <v>0</v>
      </c>
      <c r="F601" s="212">
        <v>0</v>
      </c>
      <c r="H601" s="176">
        <f t="shared" si="33"/>
        <v>0</v>
      </c>
    </row>
    <row r="602" spans="1:8">
      <c r="B602" s="179">
        <v>595</v>
      </c>
      <c r="C602" s="172"/>
      <c r="D602" s="200" t="s">
        <v>946</v>
      </c>
      <c r="E602" s="212">
        <f>工程物资!D5</f>
        <v>0</v>
      </c>
      <c r="F602" s="212">
        <v>0</v>
      </c>
      <c r="H602" s="176">
        <f t="shared" si="33"/>
        <v>0</v>
      </c>
    </row>
    <row r="603" spans="1:8">
      <c r="B603" s="179">
        <v>596</v>
      </c>
      <c r="C603" s="172"/>
      <c r="D603" s="200" t="s">
        <v>802</v>
      </c>
      <c r="E603" s="212">
        <f>工程物资!D6</f>
        <v>0</v>
      </c>
      <c r="F603" s="212">
        <v>0</v>
      </c>
      <c r="H603" s="176">
        <f t="shared" si="33"/>
        <v>0</v>
      </c>
    </row>
    <row r="604" spans="1:8">
      <c r="B604" s="179">
        <v>597</v>
      </c>
      <c r="C604" s="172"/>
      <c r="D604" s="200" t="s">
        <v>804</v>
      </c>
      <c r="E604" s="212">
        <f>工程物资!D7</f>
        <v>0</v>
      </c>
      <c r="F604" s="212">
        <v>0</v>
      </c>
      <c r="H604" s="176">
        <f t="shared" si="33"/>
        <v>0</v>
      </c>
    </row>
    <row r="605" spans="1:8">
      <c r="A605" s="173" t="s">
        <v>523</v>
      </c>
      <c r="B605" s="179">
        <v>598</v>
      </c>
      <c r="C605" s="172"/>
      <c r="D605" s="200" t="s">
        <v>947</v>
      </c>
      <c r="E605" s="212">
        <f>工程物资!D8</f>
        <v>0</v>
      </c>
      <c r="F605" s="212">
        <v>0</v>
      </c>
      <c r="H605" s="176">
        <f t="shared" si="33"/>
        <v>0</v>
      </c>
    </row>
    <row r="606" spans="1:8">
      <c r="A606" s="181"/>
      <c r="B606" s="179">
        <v>599</v>
      </c>
      <c r="C606" s="172"/>
      <c r="D606" s="200" t="s">
        <v>948</v>
      </c>
      <c r="E606" s="212">
        <f>工程物资!D9</f>
        <v>0</v>
      </c>
      <c r="F606" s="212">
        <v>0</v>
      </c>
      <c r="H606" s="176">
        <f t="shared" si="33"/>
        <v>0</v>
      </c>
    </row>
    <row r="607" spans="1:8">
      <c r="B607" s="179">
        <v>600</v>
      </c>
      <c r="C607" s="172"/>
      <c r="D607" s="200" t="s">
        <v>949</v>
      </c>
      <c r="E607" s="212">
        <f>工程物资!D10</f>
        <v>0</v>
      </c>
      <c r="F607" s="212">
        <v>0</v>
      </c>
      <c r="H607" s="176">
        <f t="shared" si="33"/>
        <v>0</v>
      </c>
    </row>
    <row r="608" spans="1:8">
      <c r="B608" s="179">
        <v>601</v>
      </c>
      <c r="C608" s="172"/>
      <c r="D608" s="200" t="s">
        <v>950</v>
      </c>
      <c r="E608" s="212">
        <f>工程物资!D11</f>
        <v>0</v>
      </c>
      <c r="F608" s="212">
        <v>0</v>
      </c>
      <c r="H608" s="176">
        <f t="shared" si="33"/>
        <v>0</v>
      </c>
    </row>
    <row r="609" spans="1:8">
      <c r="B609" s="179">
        <v>602</v>
      </c>
      <c r="C609" s="172"/>
      <c r="D609" s="200" t="s">
        <v>951</v>
      </c>
      <c r="E609" s="212">
        <f>工程物资!D12</f>
        <v>0</v>
      </c>
      <c r="F609" s="212">
        <v>0</v>
      </c>
      <c r="H609" s="176">
        <f t="shared" si="33"/>
        <v>0</v>
      </c>
    </row>
    <row r="610" spans="1:8">
      <c r="B610" s="179">
        <v>603</v>
      </c>
      <c r="C610" s="172"/>
      <c r="D610" s="178" t="s">
        <v>952</v>
      </c>
      <c r="E610" s="212">
        <f>工程物资!D13</f>
        <v>0</v>
      </c>
      <c r="F610" s="212">
        <v>0</v>
      </c>
      <c r="H610" s="176">
        <f t="shared" si="33"/>
        <v>0</v>
      </c>
    </row>
    <row r="611" spans="1:8">
      <c r="B611" s="179">
        <v>604</v>
      </c>
      <c r="C611" s="172"/>
      <c r="H611" s="175">
        <f>SUM(H600:H610)</f>
        <v>0</v>
      </c>
    </row>
    <row r="612" spans="1:8">
      <c r="B612" s="179">
        <v>605</v>
      </c>
      <c r="C612" s="172"/>
    </row>
    <row r="613" spans="1:8" ht="13.5">
      <c r="A613" s="186" t="str">
        <f>HYPERLINK("#C1","置顶")</f>
        <v>置顶</v>
      </c>
      <c r="B613" s="179">
        <v>606</v>
      </c>
      <c r="C613" s="172"/>
      <c r="D613" s="197" t="s">
        <v>953</v>
      </c>
      <c r="E613" s="201"/>
      <c r="F613" s="201"/>
    </row>
    <row r="614" spans="1:8" ht="13.5">
      <c r="A614" s="187"/>
      <c r="B614" s="179">
        <v>607</v>
      </c>
      <c r="C614" s="172"/>
      <c r="D614" s="217" t="s">
        <v>954</v>
      </c>
      <c r="E614" s="201"/>
      <c r="F614" s="201"/>
    </row>
    <row r="615" spans="1:8" ht="13.5">
      <c r="A615" s="187"/>
      <c r="B615" s="179">
        <v>608</v>
      </c>
      <c r="C615" s="172"/>
      <c r="D615" s="178" t="s">
        <v>890</v>
      </c>
      <c r="E615" s="178" t="s">
        <v>526</v>
      </c>
      <c r="F615" s="252" t="s">
        <v>1410</v>
      </c>
      <c r="H615" s="172" t="s">
        <v>524</v>
      </c>
    </row>
    <row r="616" spans="1:8">
      <c r="B616" s="179">
        <v>609</v>
      </c>
      <c r="C616" s="172"/>
      <c r="D616" s="209" t="s">
        <v>955</v>
      </c>
      <c r="E616" s="178">
        <f>无形资产!D4</f>
        <v>0</v>
      </c>
      <c r="F616" s="178">
        <v>11813293.149999999</v>
      </c>
      <c r="H616" s="176">
        <f t="shared" ref="H616:H655" si="34">ABS(E616-F616)</f>
        <v>11813293.149999999</v>
      </c>
    </row>
    <row r="617" spans="1:8">
      <c r="B617" s="179">
        <v>610</v>
      </c>
      <c r="C617" s="172"/>
      <c r="D617" s="209" t="s">
        <v>956</v>
      </c>
      <c r="E617" s="178">
        <f>无形资产!D5</f>
        <v>0</v>
      </c>
      <c r="F617" s="178">
        <v>18000</v>
      </c>
      <c r="H617" s="176">
        <f t="shared" si="34"/>
        <v>18000</v>
      </c>
    </row>
    <row r="618" spans="1:8">
      <c r="B618" s="179">
        <v>611</v>
      </c>
      <c r="C618" s="172"/>
      <c r="D618" s="210" t="s">
        <v>957</v>
      </c>
      <c r="E618" s="178">
        <f>无形资产!D6</f>
        <v>0</v>
      </c>
      <c r="F618" s="178">
        <v>11795293.149999999</v>
      </c>
      <c r="H618" s="176">
        <f t="shared" si="34"/>
        <v>11795293.149999999</v>
      </c>
    </row>
    <row r="619" spans="1:8">
      <c r="B619" s="179">
        <v>612</v>
      </c>
      <c r="C619" s="172"/>
      <c r="D619" s="210" t="s">
        <v>958</v>
      </c>
      <c r="E619" s="178">
        <f>无形资产!D7</f>
        <v>0</v>
      </c>
      <c r="F619" s="178">
        <v>0</v>
      </c>
      <c r="H619" s="176">
        <f t="shared" si="34"/>
        <v>0</v>
      </c>
    </row>
    <row r="620" spans="1:8">
      <c r="A620" s="173" t="s">
        <v>523</v>
      </c>
      <c r="B620" s="179">
        <v>613</v>
      </c>
      <c r="C620" s="172"/>
      <c r="D620" s="210" t="s">
        <v>959</v>
      </c>
      <c r="E620" s="178">
        <f>无形资产!D8</f>
        <v>0</v>
      </c>
      <c r="F620" s="178">
        <v>0</v>
      </c>
      <c r="H620" s="176">
        <f t="shared" si="34"/>
        <v>0</v>
      </c>
    </row>
    <row r="621" spans="1:8">
      <c r="B621" s="179">
        <v>614</v>
      </c>
      <c r="C621" s="172"/>
      <c r="D621" s="210" t="s">
        <v>960</v>
      </c>
      <c r="E621" s="178">
        <f>无形资产!D9</f>
        <v>0</v>
      </c>
      <c r="F621" s="178">
        <v>0</v>
      </c>
      <c r="H621" s="176">
        <f t="shared" si="34"/>
        <v>0</v>
      </c>
    </row>
    <row r="622" spans="1:8">
      <c r="B622" s="179">
        <v>615</v>
      </c>
      <c r="C622" s="172"/>
      <c r="D622" s="210" t="s">
        <v>961</v>
      </c>
      <c r="E622" s="178">
        <f>无形资产!D10</f>
        <v>0</v>
      </c>
      <c r="F622" s="178">
        <v>0</v>
      </c>
      <c r="H622" s="176">
        <f t="shared" si="34"/>
        <v>0</v>
      </c>
    </row>
    <row r="623" spans="1:8">
      <c r="B623" s="179">
        <v>616</v>
      </c>
      <c r="C623" s="172"/>
      <c r="D623" s="210" t="s">
        <v>962</v>
      </c>
      <c r="E623" s="178">
        <f>无形资产!D11</f>
        <v>0</v>
      </c>
      <c r="F623" s="178">
        <v>0</v>
      </c>
      <c r="H623" s="176">
        <f t="shared" si="34"/>
        <v>0</v>
      </c>
    </row>
    <row r="624" spans="1:8">
      <c r="B624" s="179">
        <v>617</v>
      </c>
      <c r="C624" s="172"/>
      <c r="D624" s="210" t="s">
        <v>963</v>
      </c>
      <c r="E624" s="178">
        <f>无形资产!D12</f>
        <v>0</v>
      </c>
      <c r="F624" s="178">
        <v>0</v>
      </c>
      <c r="H624" s="176">
        <f t="shared" si="34"/>
        <v>0</v>
      </c>
    </row>
    <row r="625" spans="1:8">
      <c r="B625" s="179">
        <v>618</v>
      </c>
      <c r="C625" s="172"/>
      <c r="D625" s="210" t="s">
        <v>964</v>
      </c>
      <c r="E625" s="178">
        <f>无形资产!D13</f>
        <v>0</v>
      </c>
      <c r="F625" s="178">
        <v>0</v>
      </c>
      <c r="H625" s="176">
        <f t="shared" si="34"/>
        <v>0</v>
      </c>
    </row>
    <row r="626" spans="1:8">
      <c r="B626" s="179">
        <v>619</v>
      </c>
      <c r="C626" s="172"/>
      <c r="D626" s="209" t="s">
        <v>965</v>
      </c>
      <c r="E626" s="178">
        <f>无形资产!D14</f>
        <v>0</v>
      </c>
      <c r="F626" s="178">
        <v>2561359.3200000003</v>
      </c>
      <c r="H626" s="176">
        <f t="shared" si="34"/>
        <v>2561359.3200000003</v>
      </c>
    </row>
    <row r="627" spans="1:8">
      <c r="B627" s="179">
        <v>620</v>
      </c>
      <c r="C627" s="172"/>
      <c r="D627" s="209" t="s">
        <v>956</v>
      </c>
      <c r="E627" s="178">
        <f>无形资产!D15</f>
        <v>0</v>
      </c>
      <c r="F627" s="178">
        <v>18000</v>
      </c>
      <c r="H627" s="176">
        <f t="shared" si="34"/>
        <v>18000</v>
      </c>
    </row>
    <row r="628" spans="1:8">
      <c r="B628" s="179">
        <v>621</v>
      </c>
      <c r="C628" s="172"/>
      <c r="D628" s="210" t="s">
        <v>957</v>
      </c>
      <c r="E628" s="178">
        <f>无形资产!D16</f>
        <v>0</v>
      </c>
      <c r="F628" s="178">
        <v>2543359.3200000003</v>
      </c>
      <c r="H628" s="176">
        <f t="shared" si="34"/>
        <v>2543359.3200000003</v>
      </c>
    </row>
    <row r="629" spans="1:8">
      <c r="B629" s="179">
        <v>622</v>
      </c>
      <c r="C629" s="172"/>
      <c r="D629" s="210" t="s">
        <v>958</v>
      </c>
      <c r="E629" s="178">
        <f>无形资产!D17</f>
        <v>0</v>
      </c>
      <c r="F629" s="178">
        <v>0</v>
      </c>
      <c r="H629" s="176">
        <f t="shared" si="34"/>
        <v>0</v>
      </c>
    </row>
    <row r="630" spans="1:8">
      <c r="A630" s="173" t="s">
        <v>523</v>
      </c>
      <c r="B630" s="179">
        <v>623</v>
      </c>
      <c r="C630" s="172"/>
      <c r="D630" s="210" t="s">
        <v>959</v>
      </c>
      <c r="E630" s="178">
        <f>无形资产!D18</f>
        <v>0</v>
      </c>
      <c r="F630" s="178">
        <v>0</v>
      </c>
      <c r="H630" s="176">
        <f t="shared" si="34"/>
        <v>0</v>
      </c>
    </row>
    <row r="631" spans="1:8">
      <c r="A631" s="181"/>
      <c r="B631" s="179">
        <v>624</v>
      </c>
      <c r="C631" s="172"/>
      <c r="D631" s="210" t="s">
        <v>960</v>
      </c>
      <c r="E631" s="178">
        <f>无形资产!D19</f>
        <v>0</v>
      </c>
      <c r="F631" s="178">
        <v>0</v>
      </c>
      <c r="H631" s="176">
        <f t="shared" si="34"/>
        <v>0</v>
      </c>
    </row>
    <row r="632" spans="1:8">
      <c r="B632" s="179">
        <v>625</v>
      </c>
      <c r="C632" s="172"/>
      <c r="D632" s="210" t="s">
        <v>961</v>
      </c>
      <c r="E632" s="178">
        <f>无形资产!D20</f>
        <v>0</v>
      </c>
      <c r="F632" s="178">
        <v>0</v>
      </c>
      <c r="H632" s="176">
        <f t="shared" si="34"/>
        <v>0</v>
      </c>
    </row>
    <row r="633" spans="1:8">
      <c r="B633" s="179">
        <v>626</v>
      </c>
      <c r="C633" s="172"/>
      <c r="D633" s="210" t="s">
        <v>962</v>
      </c>
      <c r="E633" s="178">
        <f>无形资产!D21</f>
        <v>0</v>
      </c>
      <c r="F633" s="178">
        <v>0</v>
      </c>
      <c r="H633" s="176">
        <f t="shared" si="34"/>
        <v>0</v>
      </c>
    </row>
    <row r="634" spans="1:8">
      <c r="B634" s="179">
        <v>627</v>
      </c>
      <c r="C634" s="172"/>
      <c r="D634" s="210" t="s">
        <v>963</v>
      </c>
      <c r="E634" s="178">
        <f>无形资产!D22</f>
        <v>0</v>
      </c>
      <c r="F634" s="178">
        <v>0</v>
      </c>
      <c r="H634" s="176">
        <f t="shared" si="34"/>
        <v>0</v>
      </c>
    </row>
    <row r="635" spans="1:8">
      <c r="B635" s="179">
        <v>628</v>
      </c>
      <c r="C635" s="172"/>
      <c r="D635" s="210" t="s">
        <v>964</v>
      </c>
      <c r="E635" s="178">
        <f>无形资产!D23</f>
        <v>0</v>
      </c>
      <c r="F635" s="178">
        <v>0</v>
      </c>
      <c r="H635" s="176">
        <f t="shared" si="34"/>
        <v>0</v>
      </c>
    </row>
    <row r="636" spans="1:8">
      <c r="B636" s="179">
        <v>629</v>
      </c>
      <c r="C636" s="172"/>
      <c r="D636" s="209" t="s">
        <v>966</v>
      </c>
      <c r="E636" s="178">
        <f>无形资产!D24</f>
        <v>0</v>
      </c>
      <c r="F636" s="178">
        <v>0</v>
      </c>
      <c r="H636" s="176">
        <f t="shared" si="34"/>
        <v>0</v>
      </c>
    </row>
    <row r="637" spans="1:8">
      <c r="B637" s="179">
        <v>630</v>
      </c>
      <c r="C637" s="172"/>
      <c r="D637" s="209" t="s">
        <v>956</v>
      </c>
      <c r="E637" s="178">
        <f>无形资产!D25</f>
        <v>0</v>
      </c>
      <c r="F637" s="178">
        <v>0</v>
      </c>
      <c r="H637" s="176">
        <f t="shared" si="34"/>
        <v>0</v>
      </c>
    </row>
    <row r="638" spans="1:8" ht="13.5">
      <c r="A638" s="186" t="str">
        <f>HYPERLINK("#C1","置顶")</f>
        <v>置顶</v>
      </c>
      <c r="B638" s="179">
        <v>631</v>
      </c>
      <c r="C638" s="172"/>
      <c r="D638" s="210" t="s">
        <v>957</v>
      </c>
      <c r="E638" s="178">
        <f>无形资产!D26</f>
        <v>0</v>
      </c>
      <c r="F638" s="178">
        <v>0</v>
      </c>
      <c r="H638" s="176">
        <f t="shared" si="34"/>
        <v>0</v>
      </c>
    </row>
    <row r="639" spans="1:8" ht="13.5">
      <c r="A639" s="187"/>
      <c r="B639" s="179">
        <v>632</v>
      </c>
      <c r="C639" s="172"/>
      <c r="D639" s="210" t="s">
        <v>958</v>
      </c>
      <c r="E639" s="178">
        <f>无形资产!D27</f>
        <v>0</v>
      </c>
      <c r="F639" s="178">
        <v>0</v>
      </c>
      <c r="H639" s="176">
        <f t="shared" si="34"/>
        <v>0</v>
      </c>
    </row>
    <row r="640" spans="1:8" ht="13.5">
      <c r="A640" s="187"/>
      <c r="B640" s="179">
        <v>633</v>
      </c>
      <c r="C640" s="172"/>
      <c r="D640" s="210" t="s">
        <v>967</v>
      </c>
      <c r="E640" s="178">
        <f>无形资产!D28</f>
        <v>0</v>
      </c>
      <c r="F640" s="178">
        <v>0</v>
      </c>
      <c r="H640" s="176">
        <f t="shared" si="34"/>
        <v>0</v>
      </c>
    </row>
    <row r="641" spans="1:8">
      <c r="B641" s="179">
        <v>634</v>
      </c>
      <c r="C641" s="172"/>
      <c r="D641" s="210" t="s">
        <v>968</v>
      </c>
      <c r="E641" s="178">
        <f>无形资产!D29</f>
        <v>0</v>
      </c>
      <c r="F641" s="178">
        <v>0</v>
      </c>
      <c r="H641" s="176">
        <f t="shared" si="34"/>
        <v>0</v>
      </c>
    </row>
    <row r="642" spans="1:8">
      <c r="B642" s="179">
        <v>635</v>
      </c>
      <c r="C642" s="172"/>
      <c r="D642" s="210" t="s">
        <v>969</v>
      </c>
      <c r="E642" s="178">
        <f>无形资产!D30</f>
        <v>0</v>
      </c>
      <c r="F642" s="178">
        <v>0</v>
      </c>
      <c r="H642" s="176">
        <f t="shared" si="34"/>
        <v>0</v>
      </c>
    </row>
    <row r="643" spans="1:8">
      <c r="B643" s="179">
        <v>636</v>
      </c>
      <c r="C643" s="172"/>
      <c r="D643" s="210" t="s">
        <v>970</v>
      </c>
      <c r="E643" s="178">
        <f>无形资产!D31</f>
        <v>0</v>
      </c>
      <c r="F643" s="178">
        <v>0</v>
      </c>
      <c r="H643" s="176">
        <f t="shared" si="34"/>
        <v>0</v>
      </c>
    </row>
    <row r="644" spans="1:8">
      <c r="B644" s="179">
        <v>637</v>
      </c>
      <c r="C644" s="172"/>
      <c r="D644" s="210" t="s">
        <v>971</v>
      </c>
      <c r="E644" s="178">
        <f>无形资产!D32</f>
        <v>0</v>
      </c>
      <c r="F644" s="178">
        <v>0</v>
      </c>
      <c r="H644" s="176">
        <f t="shared" si="34"/>
        <v>0</v>
      </c>
    </row>
    <row r="645" spans="1:8">
      <c r="A645" s="173" t="s">
        <v>523</v>
      </c>
      <c r="B645" s="179">
        <v>638</v>
      </c>
      <c r="C645" s="172"/>
      <c r="D645" s="210" t="s">
        <v>964</v>
      </c>
      <c r="E645" s="178">
        <f>无形资产!D33</f>
        <v>0</v>
      </c>
      <c r="F645" s="178">
        <v>0</v>
      </c>
      <c r="H645" s="176">
        <f t="shared" si="34"/>
        <v>0</v>
      </c>
    </row>
    <row r="646" spans="1:8">
      <c r="B646" s="179">
        <v>639</v>
      </c>
      <c r="C646" s="172"/>
      <c r="D646" s="209" t="s">
        <v>972</v>
      </c>
      <c r="E646" s="178">
        <f>无形资产!D34</f>
        <v>0</v>
      </c>
      <c r="F646" s="178">
        <v>9251933.8299999982</v>
      </c>
      <c r="H646" s="176">
        <f t="shared" si="34"/>
        <v>9251933.8299999982</v>
      </c>
    </row>
    <row r="647" spans="1:8">
      <c r="B647" s="179">
        <v>640</v>
      </c>
      <c r="C647" s="172"/>
      <c r="D647" s="209" t="s">
        <v>956</v>
      </c>
      <c r="E647" s="178">
        <f>无形资产!D35</f>
        <v>0</v>
      </c>
      <c r="F647" s="178">
        <v>0</v>
      </c>
      <c r="H647" s="176">
        <f t="shared" si="34"/>
        <v>0</v>
      </c>
    </row>
    <row r="648" spans="1:8">
      <c r="B648" s="179">
        <v>641</v>
      </c>
      <c r="C648" s="172"/>
      <c r="D648" s="210" t="s">
        <v>957</v>
      </c>
      <c r="E648" s="178">
        <f>无形资产!D36</f>
        <v>0</v>
      </c>
      <c r="F648" s="178">
        <v>9251933.8299999982</v>
      </c>
      <c r="H648" s="176">
        <f t="shared" si="34"/>
        <v>9251933.8299999982</v>
      </c>
    </row>
    <row r="649" spans="1:8">
      <c r="A649" s="173" t="s">
        <v>523</v>
      </c>
      <c r="B649" s="179">
        <v>642</v>
      </c>
      <c r="C649" s="172"/>
      <c r="D649" s="210" t="s">
        <v>958</v>
      </c>
      <c r="E649" s="178">
        <f>无形资产!D37</f>
        <v>0</v>
      </c>
      <c r="F649" s="178">
        <v>0</v>
      </c>
      <c r="H649" s="176">
        <f t="shared" si="34"/>
        <v>0</v>
      </c>
    </row>
    <row r="650" spans="1:8">
      <c r="A650" s="181"/>
      <c r="B650" s="179">
        <v>643</v>
      </c>
      <c r="C650" s="172"/>
      <c r="D650" s="210" t="s">
        <v>959</v>
      </c>
      <c r="E650" s="178">
        <f>无形资产!D38</f>
        <v>0</v>
      </c>
      <c r="F650" s="178">
        <v>0</v>
      </c>
      <c r="H650" s="176">
        <f t="shared" si="34"/>
        <v>0</v>
      </c>
    </row>
    <row r="651" spans="1:8">
      <c r="B651" s="179">
        <v>644</v>
      </c>
      <c r="C651" s="172"/>
      <c r="D651" s="210" t="s">
        <v>960</v>
      </c>
      <c r="E651" s="178">
        <f>无形资产!D39</f>
        <v>0</v>
      </c>
      <c r="F651" s="178">
        <v>0</v>
      </c>
      <c r="H651" s="176">
        <f t="shared" si="34"/>
        <v>0</v>
      </c>
    </row>
    <row r="652" spans="1:8">
      <c r="B652" s="179">
        <v>645</v>
      </c>
      <c r="C652" s="172"/>
      <c r="D652" s="210" t="s">
        <v>961</v>
      </c>
      <c r="E652" s="178">
        <f>无形资产!D40</f>
        <v>0</v>
      </c>
      <c r="F652" s="178">
        <v>0</v>
      </c>
      <c r="H652" s="176">
        <f t="shared" si="34"/>
        <v>0</v>
      </c>
    </row>
    <row r="653" spans="1:8">
      <c r="B653" s="179">
        <v>646</v>
      </c>
      <c r="C653" s="172"/>
      <c r="D653" s="210" t="s">
        <v>962</v>
      </c>
      <c r="E653" s="178">
        <f>无形资产!D41</f>
        <v>0</v>
      </c>
      <c r="F653" s="178">
        <v>0</v>
      </c>
      <c r="H653" s="176">
        <f t="shared" si="34"/>
        <v>0</v>
      </c>
    </row>
    <row r="654" spans="1:8">
      <c r="B654" s="179">
        <v>647</v>
      </c>
      <c r="C654" s="172"/>
      <c r="D654" s="210" t="s">
        <v>963</v>
      </c>
      <c r="E654" s="178">
        <f>无形资产!D42</f>
        <v>0</v>
      </c>
      <c r="F654" s="178">
        <v>0</v>
      </c>
      <c r="H654" s="176">
        <f t="shared" si="34"/>
        <v>0</v>
      </c>
    </row>
    <row r="655" spans="1:8">
      <c r="B655" s="179">
        <v>648</v>
      </c>
      <c r="C655" s="172"/>
      <c r="D655" s="210" t="s">
        <v>964</v>
      </c>
      <c r="E655" s="178">
        <f>无形资产!D43</f>
        <v>0</v>
      </c>
      <c r="F655" s="178">
        <v>0</v>
      </c>
      <c r="H655" s="176">
        <f t="shared" si="34"/>
        <v>0</v>
      </c>
    </row>
    <row r="656" spans="1:8">
      <c r="B656" s="179">
        <v>649</v>
      </c>
      <c r="C656" s="172"/>
      <c r="H656" s="175">
        <f>SUM(H616:H655)</f>
        <v>47253172.599999994</v>
      </c>
    </row>
    <row r="657" spans="1:11" ht="13.5">
      <c r="A657" s="186" t="str">
        <f>HYPERLINK("#C1","置顶")</f>
        <v>置顶</v>
      </c>
      <c r="B657" s="179">
        <v>650</v>
      </c>
      <c r="C657" s="172"/>
    </row>
    <row r="658" spans="1:11" ht="13.5">
      <c r="A658" s="187"/>
      <c r="B658" s="179">
        <v>651</v>
      </c>
      <c r="C658" s="172"/>
      <c r="D658" s="204" t="s">
        <v>973</v>
      </c>
      <c r="E658" s="201"/>
      <c r="F658" s="201"/>
    </row>
    <row r="659" spans="1:11" ht="13.5">
      <c r="A659" s="187"/>
      <c r="B659" s="179">
        <v>652</v>
      </c>
      <c r="C659" s="172"/>
      <c r="D659" s="196"/>
      <c r="E659" s="190" t="s">
        <v>642</v>
      </c>
      <c r="F659" s="273" t="s">
        <v>1411</v>
      </c>
      <c r="H659" s="172" t="s">
        <v>524</v>
      </c>
    </row>
    <row r="660" spans="1:11">
      <c r="B660" s="179">
        <v>653</v>
      </c>
      <c r="C660" s="172"/>
      <c r="D660" s="216" t="s">
        <v>974</v>
      </c>
      <c r="E660" s="215">
        <f>无形资产!E48</f>
        <v>0</v>
      </c>
      <c r="F660" s="196">
        <v>763632.24</v>
      </c>
      <c r="H660" s="176">
        <f>ABS(E660-F660)</f>
        <v>763632.24</v>
      </c>
    </row>
    <row r="661" spans="1:11">
      <c r="B661" s="179">
        <v>654</v>
      </c>
      <c r="C661" s="172"/>
      <c r="H661" s="175">
        <f>SUM(H660)</f>
        <v>763632.24</v>
      </c>
    </row>
    <row r="662" spans="1:11">
      <c r="B662" s="179">
        <v>655</v>
      </c>
      <c r="C662" s="172"/>
      <c r="H662" s="175"/>
    </row>
    <row r="663" spans="1:11">
      <c r="B663" s="179">
        <v>656</v>
      </c>
      <c r="C663" s="172"/>
      <c r="D663" s="197" t="s">
        <v>975</v>
      </c>
      <c r="H663" s="175"/>
    </row>
    <row r="664" spans="1:11">
      <c r="A664" s="173" t="s">
        <v>523</v>
      </c>
      <c r="B664" s="179">
        <v>657</v>
      </c>
      <c r="C664" s="172"/>
      <c r="D664" s="211" t="s">
        <v>976</v>
      </c>
      <c r="H664" s="175"/>
    </row>
    <row r="665" spans="1:11">
      <c r="B665" s="179">
        <v>658</v>
      </c>
      <c r="C665" s="172"/>
      <c r="D665" s="211" t="s">
        <v>977</v>
      </c>
    </row>
    <row r="666" spans="1:11">
      <c r="B666" s="179">
        <v>659</v>
      </c>
      <c r="C666" s="172"/>
      <c r="D666" s="1670" t="s">
        <v>366</v>
      </c>
      <c r="E666" s="1662" t="s">
        <v>978</v>
      </c>
      <c r="F666" s="1662"/>
      <c r="G666" s="1672" t="s">
        <v>1410</v>
      </c>
      <c r="H666" s="1673"/>
      <c r="J666" s="1674" t="s">
        <v>524</v>
      </c>
      <c r="K666" s="1674"/>
    </row>
    <row r="667" spans="1:11" ht="25.5">
      <c r="B667" s="179">
        <v>660</v>
      </c>
      <c r="C667" s="172"/>
      <c r="D667" s="1671"/>
      <c r="E667" s="178" t="s">
        <v>979</v>
      </c>
      <c r="F667" s="178" t="s">
        <v>980</v>
      </c>
      <c r="G667" s="178" t="s">
        <v>981</v>
      </c>
      <c r="H667" s="178" t="s">
        <v>980</v>
      </c>
      <c r="J667" s="180" t="s">
        <v>982</v>
      </c>
      <c r="K667" s="180" t="s">
        <v>983</v>
      </c>
    </row>
    <row r="668" spans="1:11">
      <c r="B668" s="179">
        <v>661</v>
      </c>
      <c r="C668" s="172"/>
      <c r="D668" s="209" t="s">
        <v>984</v>
      </c>
      <c r="E668" s="184">
        <f>递延所得税资产与递延所得税负债!F5</f>
        <v>0</v>
      </c>
      <c r="F668" s="184">
        <f>递延所得税资产与递延所得税负债!G5</f>
        <v>0</v>
      </c>
      <c r="G668" s="184">
        <v>0</v>
      </c>
      <c r="H668" s="184">
        <v>0</v>
      </c>
      <c r="J668" s="180">
        <f>ABS(E668-G668)</f>
        <v>0</v>
      </c>
      <c r="K668" s="180">
        <f>ABS(F668-H668)</f>
        <v>0</v>
      </c>
    </row>
    <row r="669" spans="1:11">
      <c r="B669" s="179">
        <v>662</v>
      </c>
      <c r="C669" s="172"/>
      <c r="D669" s="210" t="s">
        <v>985</v>
      </c>
      <c r="E669" s="184">
        <f>递延所得税资产与递延所得税负债!F6</f>
        <v>10959.86</v>
      </c>
      <c r="F669" s="184">
        <f>递延所得税资产与递延所得税负债!G6</f>
        <v>43839.4</v>
      </c>
      <c r="G669" s="184">
        <v>2011613.61</v>
      </c>
      <c r="H669" s="184">
        <v>8046454.4099999992</v>
      </c>
      <c r="J669" s="180">
        <f t="shared" ref="J669:K699" si="35">ABS(E669-G669)</f>
        <v>2000653.75</v>
      </c>
      <c r="K669" s="180">
        <f t="shared" si="35"/>
        <v>8002615.0099999988</v>
      </c>
    </row>
    <row r="670" spans="1:11">
      <c r="B670" s="179">
        <v>663</v>
      </c>
      <c r="C670" s="172"/>
      <c r="D670" s="210" t="s">
        <v>986</v>
      </c>
      <c r="E670" s="184">
        <f>递延所得税资产与递延所得税负债!F7</f>
        <v>0</v>
      </c>
      <c r="F670" s="184">
        <f>递延所得税资产与递延所得税负债!G7</f>
        <v>0</v>
      </c>
      <c r="G670" s="184">
        <v>0</v>
      </c>
      <c r="H670" s="184">
        <v>0</v>
      </c>
      <c r="J670" s="180">
        <f t="shared" si="35"/>
        <v>0</v>
      </c>
      <c r="K670" s="180">
        <f t="shared" si="35"/>
        <v>0</v>
      </c>
    </row>
    <row r="671" spans="1:11">
      <c r="A671" s="173" t="s">
        <v>523</v>
      </c>
      <c r="B671" s="179">
        <v>664</v>
      </c>
      <c r="C671" s="172"/>
      <c r="D671" s="210" t="s">
        <v>987</v>
      </c>
      <c r="E671" s="184">
        <f>递延所得税资产与递延所得税负债!F8</f>
        <v>0</v>
      </c>
      <c r="F671" s="184">
        <f>递延所得税资产与递延所得税负债!G8</f>
        <v>0</v>
      </c>
      <c r="G671" s="184">
        <v>0</v>
      </c>
      <c r="H671" s="184">
        <v>0</v>
      </c>
      <c r="J671" s="180">
        <f t="shared" si="35"/>
        <v>0</v>
      </c>
      <c r="K671" s="180">
        <f t="shared" si="35"/>
        <v>0</v>
      </c>
    </row>
    <row r="672" spans="1:11">
      <c r="A672" s="181"/>
      <c r="B672" s="179">
        <v>665</v>
      </c>
      <c r="C672" s="172"/>
      <c r="D672" s="210" t="s">
        <v>988</v>
      </c>
      <c r="E672" s="184">
        <f>递延所得税资产与递延所得税负债!F9</f>
        <v>0</v>
      </c>
      <c r="F672" s="184">
        <f>递延所得税资产与递延所得税负债!G9</f>
        <v>0</v>
      </c>
      <c r="G672" s="184">
        <v>0</v>
      </c>
      <c r="H672" s="184">
        <v>0</v>
      </c>
      <c r="J672" s="180">
        <f t="shared" si="35"/>
        <v>0</v>
      </c>
      <c r="K672" s="180">
        <f t="shared" si="35"/>
        <v>0</v>
      </c>
    </row>
    <row r="673" spans="1:12">
      <c r="B673" s="179">
        <v>666</v>
      </c>
      <c r="C673" s="172"/>
      <c r="D673" s="210" t="s">
        <v>989</v>
      </c>
      <c r="E673" s="184">
        <f>递延所得税资产与递延所得税负债!F10</f>
        <v>0</v>
      </c>
      <c r="F673" s="184">
        <f>递延所得税资产与递延所得税负债!G10</f>
        <v>0</v>
      </c>
      <c r="G673" s="184">
        <v>0</v>
      </c>
      <c r="H673" s="184">
        <v>0</v>
      </c>
      <c r="J673" s="180">
        <f t="shared" si="35"/>
        <v>0</v>
      </c>
      <c r="K673" s="180">
        <f t="shared" si="35"/>
        <v>0</v>
      </c>
    </row>
    <row r="674" spans="1:12" ht="25.5">
      <c r="B674" s="179">
        <v>667</v>
      </c>
      <c r="C674" s="172"/>
      <c r="D674" s="210" t="s">
        <v>990</v>
      </c>
      <c r="E674" s="184">
        <f>递延所得税资产与递延所得税负债!F11</f>
        <v>0</v>
      </c>
      <c r="F674" s="184">
        <f>递延所得税资产与递延所得税负债!G11</f>
        <v>0</v>
      </c>
      <c r="G674" s="184">
        <v>0</v>
      </c>
      <c r="H674" s="184">
        <v>0</v>
      </c>
      <c r="J674" s="180">
        <f t="shared" si="35"/>
        <v>0</v>
      </c>
      <c r="K674" s="180">
        <f t="shared" si="35"/>
        <v>0</v>
      </c>
    </row>
    <row r="675" spans="1:12">
      <c r="B675" s="179">
        <v>668</v>
      </c>
      <c r="C675" s="172"/>
      <c r="D675" s="210" t="s">
        <v>450</v>
      </c>
      <c r="E675" s="184">
        <f>递延所得税资产与递延所得税负债!F12</f>
        <v>0</v>
      </c>
      <c r="F675" s="184">
        <f>递延所得税资产与递延所得税负债!G12</f>
        <v>0</v>
      </c>
      <c r="G675" s="184">
        <v>0</v>
      </c>
      <c r="H675" s="184">
        <v>0</v>
      </c>
      <c r="J675" s="180">
        <f t="shared" si="35"/>
        <v>0</v>
      </c>
      <c r="K675" s="180">
        <f t="shared" si="35"/>
        <v>0</v>
      </c>
    </row>
    <row r="676" spans="1:12">
      <c r="B676" s="179">
        <v>669</v>
      </c>
      <c r="C676" s="172"/>
      <c r="D676" s="210" t="s">
        <v>991</v>
      </c>
      <c r="E676" s="184">
        <f>递延所得税资产与递延所得税负债!F13</f>
        <v>0</v>
      </c>
      <c r="F676" s="184">
        <f>递延所得税资产与递延所得税负债!G13</f>
        <v>0</v>
      </c>
      <c r="G676" s="184">
        <v>1790466.55</v>
      </c>
      <c r="H676" s="184">
        <v>7161866.1500000004</v>
      </c>
      <c r="J676" s="180">
        <f t="shared" si="35"/>
        <v>1790466.55</v>
      </c>
      <c r="K676" s="180">
        <f t="shared" si="35"/>
        <v>7161866.1500000004</v>
      </c>
    </row>
    <row r="677" spans="1:12">
      <c r="B677" s="179">
        <v>670</v>
      </c>
      <c r="C677" s="172"/>
      <c r="D677" s="210" t="s">
        <v>992</v>
      </c>
      <c r="E677" s="184">
        <f>递延所得税资产与递延所得税负债!F14</f>
        <v>0</v>
      </c>
      <c r="F677" s="184">
        <f>递延所得税资产与递延所得税负债!G14</f>
        <v>0</v>
      </c>
      <c r="G677" s="184">
        <v>0</v>
      </c>
      <c r="H677" s="184">
        <v>0</v>
      </c>
      <c r="J677" s="180">
        <f t="shared" si="35"/>
        <v>0</v>
      </c>
      <c r="K677" s="180">
        <f t="shared" si="35"/>
        <v>0</v>
      </c>
    </row>
    <row r="678" spans="1:12">
      <c r="B678" s="179">
        <v>671</v>
      </c>
      <c r="C678" s="172"/>
      <c r="D678" s="210" t="s">
        <v>993</v>
      </c>
      <c r="E678" s="184">
        <f>递延所得税资产与递延所得税负债!F15</f>
        <v>0</v>
      </c>
      <c r="F678" s="184">
        <f>递延所得税资产与递延所得税负债!G15</f>
        <v>0</v>
      </c>
      <c r="G678" s="184">
        <v>97999.22</v>
      </c>
      <c r="H678" s="184">
        <v>391996.89</v>
      </c>
      <c r="J678" s="180">
        <f t="shared" si="35"/>
        <v>97999.22</v>
      </c>
      <c r="K678" s="180">
        <f t="shared" si="35"/>
        <v>391996.89</v>
      </c>
    </row>
    <row r="679" spans="1:12" ht="13.5">
      <c r="A679" s="186" t="str">
        <f>HYPERLINK("#C1","置顶")</f>
        <v>置顶</v>
      </c>
      <c r="B679" s="179">
        <v>672</v>
      </c>
      <c r="C679" s="172"/>
      <c r="D679" s="210" t="s">
        <v>994</v>
      </c>
      <c r="E679" s="184">
        <f>递延所得税资产与递延所得税负债!F16</f>
        <v>0</v>
      </c>
      <c r="F679" s="184">
        <f>递延所得税资产与递延所得税负债!G16</f>
        <v>0</v>
      </c>
      <c r="G679" s="184">
        <v>0</v>
      </c>
      <c r="H679" s="184">
        <v>0</v>
      </c>
      <c r="J679" s="180">
        <f t="shared" si="35"/>
        <v>0</v>
      </c>
      <c r="K679" s="180">
        <f t="shared" si="35"/>
        <v>0</v>
      </c>
      <c r="L679" s="171" t="s">
        <v>995</v>
      </c>
    </row>
    <row r="680" spans="1:12" ht="13.5">
      <c r="A680" s="187"/>
      <c r="B680" s="179">
        <v>673</v>
      </c>
      <c r="C680" s="172"/>
      <c r="D680" s="210" t="s">
        <v>996</v>
      </c>
      <c r="E680" s="184">
        <f>递延所得税资产与递延所得税负债!F17</f>
        <v>0</v>
      </c>
      <c r="F680" s="184">
        <f>递延所得税资产与递延所得税负债!G17</f>
        <v>0</v>
      </c>
      <c r="G680" s="184">
        <v>0</v>
      </c>
      <c r="H680" s="184">
        <v>0</v>
      </c>
      <c r="J680" s="180">
        <f t="shared" si="35"/>
        <v>0</v>
      </c>
      <c r="K680" s="180">
        <f t="shared" si="35"/>
        <v>0</v>
      </c>
    </row>
    <row r="681" spans="1:12" ht="13.5">
      <c r="A681" s="187"/>
      <c r="B681" s="179">
        <v>674</v>
      </c>
      <c r="C681" s="172"/>
      <c r="D681" s="210" t="s">
        <v>997</v>
      </c>
      <c r="E681" s="184">
        <f>递延所得税资产与递延所得税负债!F18</f>
        <v>0</v>
      </c>
      <c r="F681" s="184">
        <f>递延所得税资产与递延所得税负债!G18</f>
        <v>0</v>
      </c>
      <c r="G681" s="184">
        <v>0</v>
      </c>
      <c r="H681" s="184">
        <v>0</v>
      </c>
      <c r="J681" s="180">
        <f t="shared" si="35"/>
        <v>0</v>
      </c>
      <c r="K681" s="180">
        <f t="shared" si="35"/>
        <v>0</v>
      </c>
    </row>
    <row r="682" spans="1:12">
      <c r="B682" s="179">
        <v>675</v>
      </c>
      <c r="C682" s="172"/>
      <c r="D682" s="210" t="s">
        <v>998</v>
      </c>
      <c r="E682" s="184">
        <f>递延所得税资产与递延所得税负债!F19</f>
        <v>0</v>
      </c>
      <c r="F682" s="184">
        <f>递延所得税资产与递延所得税负债!G19</f>
        <v>0</v>
      </c>
      <c r="G682" s="184">
        <v>0</v>
      </c>
      <c r="H682" s="184">
        <v>0</v>
      </c>
      <c r="J682" s="180">
        <f t="shared" si="35"/>
        <v>0</v>
      </c>
      <c r="K682" s="180">
        <f t="shared" si="35"/>
        <v>0</v>
      </c>
    </row>
    <row r="683" spans="1:12">
      <c r="B683" s="179">
        <v>676</v>
      </c>
      <c r="C683" s="172"/>
      <c r="D683" s="210" t="s">
        <v>999</v>
      </c>
      <c r="E683" s="184">
        <f>递延所得税资产与递延所得税负债!F20</f>
        <v>0</v>
      </c>
      <c r="F683" s="184">
        <f>递延所得税资产与递延所得税负债!G20</f>
        <v>0</v>
      </c>
      <c r="G683" s="184">
        <v>0</v>
      </c>
      <c r="H683" s="184">
        <v>0</v>
      </c>
      <c r="J683" s="180">
        <f t="shared" si="35"/>
        <v>0</v>
      </c>
      <c r="K683" s="180">
        <f t="shared" si="35"/>
        <v>0</v>
      </c>
    </row>
    <row r="684" spans="1:12">
      <c r="B684" s="179">
        <v>677</v>
      </c>
      <c r="C684" s="172"/>
      <c r="D684" s="210" t="s">
        <v>1000</v>
      </c>
      <c r="E684" s="184">
        <f>递延所得税资产与递延所得税负债!F21</f>
        <v>0</v>
      </c>
      <c r="F684" s="184">
        <f>递延所得税资产与递延所得税负债!G21</f>
        <v>0</v>
      </c>
      <c r="G684" s="184">
        <v>0</v>
      </c>
      <c r="H684" s="184">
        <v>0</v>
      </c>
      <c r="J684" s="180">
        <f t="shared" si="35"/>
        <v>0</v>
      </c>
      <c r="K684" s="180">
        <f t="shared" si="35"/>
        <v>0</v>
      </c>
    </row>
    <row r="685" spans="1:12">
      <c r="B685" s="179">
        <v>678</v>
      </c>
      <c r="C685" s="172"/>
      <c r="D685" s="210" t="s">
        <v>1001</v>
      </c>
      <c r="E685" s="184">
        <f>递延所得税资产与递延所得税负债!F22</f>
        <v>0</v>
      </c>
      <c r="F685" s="184">
        <f>递延所得税资产与递延所得税负债!G22</f>
        <v>0</v>
      </c>
      <c r="G685" s="184">
        <v>0</v>
      </c>
      <c r="H685" s="184">
        <v>0</v>
      </c>
      <c r="J685" s="180">
        <f t="shared" si="35"/>
        <v>0</v>
      </c>
      <c r="K685" s="180">
        <f>ABS(F685-H685)</f>
        <v>0</v>
      </c>
    </row>
    <row r="686" spans="1:12">
      <c r="A686" s="173" t="s">
        <v>523</v>
      </c>
      <c r="B686" s="179">
        <v>679</v>
      </c>
      <c r="C686" s="172"/>
      <c r="D686" s="210" t="s">
        <v>1002</v>
      </c>
      <c r="E686" s="184">
        <f>递延所得税资产与递延所得税负债!F23</f>
        <v>0</v>
      </c>
      <c r="F686" s="184">
        <f>递延所得税资产与递延所得税负债!G23</f>
        <v>0</v>
      </c>
      <c r="G686" s="184">
        <v>0</v>
      </c>
      <c r="H686" s="184">
        <v>0</v>
      </c>
      <c r="J686" s="180">
        <f t="shared" si="35"/>
        <v>0</v>
      </c>
      <c r="K686" s="180">
        <f t="shared" si="35"/>
        <v>0</v>
      </c>
    </row>
    <row r="687" spans="1:12">
      <c r="B687" s="179">
        <v>680</v>
      </c>
      <c r="C687" s="172"/>
      <c r="D687" s="210" t="s">
        <v>1003</v>
      </c>
      <c r="E687" s="184">
        <f>递延所得税资产与递延所得税负债!F24</f>
        <v>0</v>
      </c>
      <c r="F687" s="184">
        <f>递延所得税资产与递延所得税负债!G24</f>
        <v>0</v>
      </c>
      <c r="G687" s="184">
        <v>0</v>
      </c>
      <c r="H687" s="184">
        <v>0</v>
      </c>
      <c r="J687" s="180">
        <f t="shared" si="35"/>
        <v>0</v>
      </c>
      <c r="K687" s="180">
        <f t="shared" si="35"/>
        <v>0</v>
      </c>
    </row>
    <row r="688" spans="1:12">
      <c r="B688" s="179">
        <v>681</v>
      </c>
      <c r="C688" s="172"/>
      <c r="D688" s="210" t="s">
        <v>1004</v>
      </c>
      <c r="E688" s="184">
        <f>递延所得税资产与递延所得税负债!F25</f>
        <v>0</v>
      </c>
      <c r="F688" s="184">
        <f>递延所得税资产与递延所得税负债!G25</f>
        <v>0</v>
      </c>
      <c r="G688" s="184">
        <v>0</v>
      </c>
      <c r="H688" s="184">
        <v>0</v>
      </c>
      <c r="J688" s="180">
        <f t="shared" si="35"/>
        <v>0</v>
      </c>
      <c r="K688" s="180">
        <f t="shared" si="35"/>
        <v>0</v>
      </c>
      <c r="L688" s="171" t="s">
        <v>995</v>
      </c>
    </row>
    <row r="689" spans="1:11">
      <c r="B689" s="179">
        <v>682</v>
      </c>
      <c r="C689" s="172"/>
      <c r="D689" s="178" t="s">
        <v>1005</v>
      </c>
      <c r="E689" s="184">
        <f>递延所得税资产与递延所得税负债!F26</f>
        <v>10959.86</v>
      </c>
      <c r="F689" s="184">
        <f>递延所得税资产与递延所得税负债!G26</f>
        <v>43839.4</v>
      </c>
      <c r="G689" s="184">
        <v>3900079.3800000004</v>
      </c>
      <c r="H689" s="184">
        <v>15600317.449999999</v>
      </c>
      <c r="J689" s="180">
        <f t="shared" si="35"/>
        <v>3889119.5200000005</v>
      </c>
      <c r="K689" s="180">
        <f t="shared" si="35"/>
        <v>15556478.049999999</v>
      </c>
    </row>
    <row r="690" spans="1:11">
      <c r="B690" s="179">
        <v>683</v>
      </c>
      <c r="C690" s="172"/>
      <c r="D690" s="209" t="s">
        <v>1006</v>
      </c>
      <c r="E690" s="184">
        <f>递延所得税资产与递延所得税负债!F27</f>
        <v>0</v>
      </c>
      <c r="F690" s="184">
        <f>递延所得税资产与递延所得税负债!G27</f>
        <v>0</v>
      </c>
      <c r="G690" s="184">
        <v>0</v>
      </c>
      <c r="H690" s="184">
        <v>0</v>
      </c>
      <c r="J690" s="180">
        <f t="shared" si="35"/>
        <v>0</v>
      </c>
      <c r="K690" s="180">
        <f t="shared" si="35"/>
        <v>0</v>
      </c>
    </row>
    <row r="691" spans="1:11">
      <c r="A691" s="173" t="s">
        <v>523</v>
      </c>
      <c r="B691" s="179">
        <v>684</v>
      </c>
      <c r="C691" s="172"/>
      <c r="D691" s="210" t="s">
        <v>1007</v>
      </c>
      <c r="E691" s="184">
        <f>递延所得税资产与递延所得税负债!F28</f>
        <v>0</v>
      </c>
      <c r="F691" s="184">
        <f>递延所得税资产与递延所得税负债!G28</f>
        <v>0</v>
      </c>
      <c r="G691" s="184">
        <v>0</v>
      </c>
      <c r="H691" s="184">
        <v>0</v>
      </c>
      <c r="J691" s="180">
        <f t="shared" si="35"/>
        <v>0</v>
      </c>
      <c r="K691" s="180">
        <f t="shared" si="35"/>
        <v>0</v>
      </c>
    </row>
    <row r="692" spans="1:11" ht="25.5">
      <c r="A692" s="181"/>
      <c r="B692" s="179">
        <v>685</v>
      </c>
      <c r="C692" s="172"/>
      <c r="D692" s="210" t="s">
        <v>1008</v>
      </c>
      <c r="E692" s="184">
        <f>递延所得税资产与递延所得税负债!F29</f>
        <v>0</v>
      </c>
      <c r="F692" s="184">
        <f>递延所得税资产与递延所得税负债!G29</f>
        <v>0</v>
      </c>
      <c r="G692" s="184">
        <v>0</v>
      </c>
      <c r="H692" s="184">
        <v>0</v>
      </c>
      <c r="J692" s="180">
        <f t="shared" si="35"/>
        <v>0</v>
      </c>
      <c r="K692" s="180">
        <f t="shared" si="35"/>
        <v>0</v>
      </c>
    </row>
    <row r="693" spans="1:11" ht="25.5">
      <c r="B693" s="179">
        <v>686</v>
      </c>
      <c r="C693" s="172"/>
      <c r="D693" s="210" t="s">
        <v>1009</v>
      </c>
      <c r="E693" s="184">
        <f>递延所得税资产与递延所得税负债!F30</f>
        <v>0</v>
      </c>
      <c r="F693" s="184">
        <f>递延所得税资产与递延所得税负债!G30</f>
        <v>0</v>
      </c>
      <c r="G693" s="184">
        <v>0</v>
      </c>
      <c r="H693" s="184">
        <v>0</v>
      </c>
      <c r="J693" s="180">
        <f t="shared" si="35"/>
        <v>0</v>
      </c>
      <c r="K693" s="180">
        <f t="shared" si="35"/>
        <v>0</v>
      </c>
    </row>
    <row r="694" spans="1:11" ht="25.5">
      <c r="B694" s="179">
        <v>687</v>
      </c>
      <c r="C694" s="172"/>
      <c r="D694" s="210" t="s">
        <v>1010</v>
      </c>
      <c r="E694" s="184">
        <f>递延所得税资产与递延所得税负债!F31</f>
        <v>0</v>
      </c>
      <c r="F694" s="184">
        <f>递延所得税资产与递延所得税负债!G31</f>
        <v>0</v>
      </c>
      <c r="G694" s="184">
        <v>0</v>
      </c>
      <c r="H694" s="184">
        <v>0</v>
      </c>
      <c r="J694" s="180">
        <f t="shared" si="35"/>
        <v>0</v>
      </c>
      <c r="K694" s="180">
        <f t="shared" si="35"/>
        <v>0</v>
      </c>
    </row>
    <row r="695" spans="1:11">
      <c r="B695" s="179">
        <v>688</v>
      </c>
      <c r="C695" s="172"/>
      <c r="D695" s="210" t="s">
        <v>1011</v>
      </c>
      <c r="E695" s="184">
        <f>递延所得税资产与递延所得税负债!F32</f>
        <v>0</v>
      </c>
      <c r="F695" s="184">
        <f>递延所得税资产与递延所得税负债!G32</f>
        <v>0</v>
      </c>
      <c r="G695" s="184">
        <v>0</v>
      </c>
      <c r="H695" s="184">
        <v>0</v>
      </c>
      <c r="J695" s="180">
        <f t="shared" si="35"/>
        <v>0</v>
      </c>
      <c r="K695" s="180">
        <f t="shared" si="35"/>
        <v>0</v>
      </c>
    </row>
    <row r="696" spans="1:11">
      <c r="B696" s="179">
        <v>689</v>
      </c>
      <c r="C696" s="172"/>
      <c r="D696" s="210" t="s">
        <v>1002</v>
      </c>
      <c r="E696" s="184">
        <f>递延所得税资产与递延所得税负债!F33</f>
        <v>0</v>
      </c>
      <c r="F696" s="184">
        <f>递延所得税资产与递延所得税负债!G33</f>
        <v>0</v>
      </c>
      <c r="G696" s="184">
        <v>0</v>
      </c>
      <c r="H696" s="184">
        <v>0</v>
      </c>
      <c r="J696" s="180">
        <f t="shared" si="35"/>
        <v>0</v>
      </c>
      <c r="K696" s="180">
        <f t="shared" si="35"/>
        <v>0</v>
      </c>
    </row>
    <row r="697" spans="1:11">
      <c r="B697" s="179">
        <v>690</v>
      </c>
      <c r="C697" s="172"/>
      <c r="D697" s="210" t="s">
        <v>1003</v>
      </c>
      <c r="E697" s="184">
        <f>递延所得税资产与递延所得税负债!F34</f>
        <v>0</v>
      </c>
      <c r="F697" s="184">
        <f>递延所得税资产与递延所得税负债!G34</f>
        <v>0</v>
      </c>
      <c r="G697" s="184">
        <v>0</v>
      </c>
      <c r="H697" s="184">
        <v>0</v>
      </c>
      <c r="J697" s="180">
        <f t="shared" si="35"/>
        <v>0</v>
      </c>
      <c r="K697" s="180">
        <f t="shared" si="35"/>
        <v>0</v>
      </c>
    </row>
    <row r="698" spans="1:11">
      <c r="B698" s="179">
        <v>691</v>
      </c>
      <c r="C698" s="172"/>
      <c r="D698" s="210" t="s">
        <v>1004</v>
      </c>
      <c r="E698" s="184">
        <f>递延所得税资产与递延所得税负债!F35</f>
        <v>0</v>
      </c>
      <c r="F698" s="184">
        <f>递延所得税资产与递延所得税负债!G35</f>
        <v>0</v>
      </c>
      <c r="G698" s="184">
        <v>0</v>
      </c>
      <c r="H698" s="184">
        <v>0</v>
      </c>
      <c r="J698" s="180">
        <f t="shared" si="35"/>
        <v>0</v>
      </c>
      <c r="K698" s="180">
        <f t="shared" si="35"/>
        <v>0</v>
      </c>
    </row>
    <row r="699" spans="1:11" ht="13.5">
      <c r="A699" s="186" t="str">
        <f>HYPERLINK("#C1","置顶")</f>
        <v>置顶</v>
      </c>
      <c r="B699" s="179">
        <v>692</v>
      </c>
      <c r="C699" s="172"/>
      <c r="D699" s="178" t="s">
        <v>1005</v>
      </c>
      <c r="E699" s="184">
        <f>递延所得税资产与递延所得税负债!F36</f>
        <v>0</v>
      </c>
      <c r="F699" s="184">
        <f>递延所得税资产与递延所得税负债!G36</f>
        <v>0</v>
      </c>
      <c r="G699" s="184">
        <v>0</v>
      </c>
      <c r="H699" s="184">
        <v>0</v>
      </c>
      <c r="J699" s="180">
        <f t="shared" si="35"/>
        <v>0</v>
      </c>
      <c r="K699" s="180">
        <f t="shared" si="35"/>
        <v>0</v>
      </c>
    </row>
    <row r="700" spans="1:11" ht="13.5">
      <c r="A700" s="187"/>
      <c r="B700" s="179">
        <v>693</v>
      </c>
      <c r="C700" s="172"/>
      <c r="D700" s="218"/>
      <c r="J700" s="175">
        <f>SUM(J668:J699)</f>
        <v>7778239.040000001</v>
      </c>
      <c r="K700" s="175">
        <f>SUM(K668:K699)</f>
        <v>31112956.100000001</v>
      </c>
    </row>
    <row r="701" spans="1:11" ht="13.5">
      <c r="A701" s="187"/>
      <c r="B701" s="179">
        <v>694</v>
      </c>
      <c r="C701" s="172"/>
      <c r="D701" s="217" t="s">
        <v>1012</v>
      </c>
    </row>
    <row r="702" spans="1:11">
      <c r="B702" s="179">
        <v>695</v>
      </c>
      <c r="C702" s="172"/>
      <c r="D702" s="178" t="s">
        <v>1013</v>
      </c>
      <c r="E702" s="190" t="s">
        <v>642</v>
      </c>
      <c r="F702" s="273" t="s">
        <v>1411</v>
      </c>
      <c r="H702" s="172" t="s">
        <v>524</v>
      </c>
    </row>
    <row r="703" spans="1:11">
      <c r="B703" s="179">
        <v>696</v>
      </c>
      <c r="C703" s="172"/>
      <c r="D703" s="210" t="s">
        <v>1014</v>
      </c>
      <c r="E703" s="178">
        <f>递延所得税资产与递延所得税负债!E92</f>
        <v>0</v>
      </c>
      <c r="F703" s="178">
        <v>11177890.51</v>
      </c>
      <c r="H703" s="176">
        <f>ABS(E703-F703)</f>
        <v>11177890.51</v>
      </c>
      <c r="I703" s="171" t="s">
        <v>1015</v>
      </c>
    </row>
    <row r="704" spans="1:11">
      <c r="B704" s="179">
        <v>697</v>
      </c>
      <c r="C704" s="172"/>
      <c r="D704" s="210" t="s">
        <v>991</v>
      </c>
      <c r="E704" s="178">
        <f>递延所得税资产与递延所得税负债!E93</f>
        <v>0</v>
      </c>
      <c r="F704" s="178">
        <v>0</v>
      </c>
      <c r="H704" s="176">
        <f t="shared" ref="H704:H713" si="36">ABS(E704-F704)</f>
        <v>0</v>
      </c>
    </row>
    <row r="705" spans="1:8">
      <c r="B705" s="179">
        <v>698</v>
      </c>
      <c r="C705" s="172"/>
      <c r="D705" s="210" t="s">
        <v>1001</v>
      </c>
      <c r="E705" s="178">
        <f>递延所得税资产与递延所得税负债!E94</f>
        <v>0</v>
      </c>
      <c r="F705" s="178">
        <v>0</v>
      </c>
      <c r="H705" s="176">
        <f t="shared" si="36"/>
        <v>0</v>
      </c>
    </row>
    <row r="706" spans="1:8">
      <c r="A706" s="173" t="s">
        <v>523</v>
      </c>
      <c r="B706" s="179">
        <v>699</v>
      </c>
      <c r="C706" s="172"/>
      <c r="D706" s="210" t="s">
        <v>1002</v>
      </c>
      <c r="E706" s="178">
        <f>递延所得税资产与递延所得税负债!E95</f>
        <v>0</v>
      </c>
      <c r="F706" s="178">
        <v>0</v>
      </c>
      <c r="H706" s="176">
        <f t="shared" si="36"/>
        <v>0</v>
      </c>
    </row>
    <row r="707" spans="1:8">
      <c r="B707" s="179">
        <v>700</v>
      </c>
      <c r="C707" s="172"/>
      <c r="D707" s="210" t="s">
        <v>1003</v>
      </c>
      <c r="E707" s="178">
        <f>递延所得税资产与递延所得税负债!E96</f>
        <v>0</v>
      </c>
      <c r="F707" s="178">
        <v>0</v>
      </c>
      <c r="H707" s="176">
        <f t="shared" si="36"/>
        <v>0</v>
      </c>
    </row>
    <row r="708" spans="1:8">
      <c r="B708" s="179">
        <v>701</v>
      </c>
      <c r="C708" s="172"/>
      <c r="D708" s="210" t="s">
        <v>1016</v>
      </c>
      <c r="E708" s="178">
        <f>递延所得税资产与递延所得税负债!E97</f>
        <v>0</v>
      </c>
      <c r="F708" s="178">
        <v>0</v>
      </c>
      <c r="H708" s="176">
        <f t="shared" si="36"/>
        <v>0</v>
      </c>
    </row>
    <row r="709" spans="1:8">
      <c r="B709" s="179">
        <v>702</v>
      </c>
      <c r="C709" s="172"/>
      <c r="D709" s="210" t="s">
        <v>1017</v>
      </c>
      <c r="E709" s="178">
        <f>递延所得税资产与递延所得税负债!E98</f>
        <v>0</v>
      </c>
      <c r="F709" s="178">
        <v>0</v>
      </c>
      <c r="H709" s="176">
        <f t="shared" si="36"/>
        <v>0</v>
      </c>
    </row>
    <row r="710" spans="1:8">
      <c r="B710" s="179">
        <v>703</v>
      </c>
      <c r="C710" s="172"/>
      <c r="D710" s="210" t="s">
        <v>1018</v>
      </c>
      <c r="E710" s="178">
        <f>递延所得税资产与递延所得税负债!E99</f>
        <v>0</v>
      </c>
      <c r="F710" s="178">
        <v>0</v>
      </c>
      <c r="H710" s="176">
        <f t="shared" si="36"/>
        <v>0</v>
      </c>
    </row>
    <row r="711" spans="1:8">
      <c r="B711" s="179">
        <v>704</v>
      </c>
      <c r="C711" s="172"/>
      <c r="D711" s="210" t="s">
        <v>1019</v>
      </c>
      <c r="E711" s="178">
        <f>递延所得税资产与递延所得税负债!E100</f>
        <v>0</v>
      </c>
      <c r="F711" s="178">
        <v>0</v>
      </c>
      <c r="H711" s="176">
        <f t="shared" si="36"/>
        <v>0</v>
      </c>
    </row>
    <row r="712" spans="1:8" ht="13.5">
      <c r="A712" s="186" t="str">
        <f>HYPERLINK("#C1","置顶")</f>
        <v>置顶</v>
      </c>
      <c r="B712" s="179">
        <v>705</v>
      </c>
      <c r="C712" s="172"/>
      <c r="D712" s="210" t="s">
        <v>1020</v>
      </c>
      <c r="E712" s="178">
        <f>递延所得税资产与递延所得税负债!E101</f>
        <v>0</v>
      </c>
      <c r="F712" s="178">
        <v>0</v>
      </c>
      <c r="H712" s="176">
        <f t="shared" si="36"/>
        <v>0</v>
      </c>
    </row>
    <row r="713" spans="1:8" ht="13.5">
      <c r="A713" s="187"/>
      <c r="B713" s="179">
        <v>706</v>
      </c>
      <c r="C713" s="172"/>
      <c r="D713" s="178" t="s">
        <v>823</v>
      </c>
      <c r="E713" s="178">
        <f>递延所得税资产与递延所得税负债!E102</f>
        <v>0</v>
      </c>
      <c r="F713" s="178">
        <v>11177890.51</v>
      </c>
      <c r="H713" s="176">
        <f t="shared" si="36"/>
        <v>11177890.51</v>
      </c>
    </row>
    <row r="714" spans="1:8" ht="13.5">
      <c r="A714" s="187"/>
      <c r="B714" s="179">
        <v>707</v>
      </c>
      <c r="C714" s="172"/>
      <c r="H714" s="175">
        <f>SUM(H703:H713)</f>
        <v>22355781.02</v>
      </c>
    </row>
    <row r="715" spans="1:8">
      <c r="B715" s="179">
        <v>708</v>
      </c>
      <c r="C715" s="172"/>
    </row>
    <row r="716" spans="1:8">
      <c r="B716" s="179">
        <v>709</v>
      </c>
      <c r="C716" s="172"/>
      <c r="D716" s="197" t="s">
        <v>1021</v>
      </c>
      <c r="E716" s="201"/>
      <c r="F716" s="201"/>
    </row>
    <row r="717" spans="1:8">
      <c r="B717" s="179">
        <v>710</v>
      </c>
      <c r="C717" s="172"/>
      <c r="D717" s="178" t="s">
        <v>1022</v>
      </c>
      <c r="E717" s="178" t="s">
        <v>526</v>
      </c>
      <c r="F717" s="252" t="s">
        <v>1410</v>
      </c>
      <c r="H717" s="172" t="s">
        <v>524</v>
      </c>
    </row>
    <row r="718" spans="1:8">
      <c r="B718" s="179">
        <v>711</v>
      </c>
      <c r="C718" s="172"/>
      <c r="D718" s="209" t="s">
        <v>1023</v>
      </c>
      <c r="E718" s="178" t="e">
        <f>所有权和使用权受限制的资产!#REF!</f>
        <v>#REF!</v>
      </c>
      <c r="F718" s="178">
        <v>0</v>
      </c>
      <c r="H718" s="176" t="e">
        <f t="shared" ref="H718:H750" si="37">ABS(E718-F718)</f>
        <v>#REF!</v>
      </c>
    </row>
    <row r="719" spans="1:8">
      <c r="A719" s="173" t="s">
        <v>523</v>
      </c>
      <c r="B719" s="179">
        <v>712</v>
      </c>
      <c r="C719" s="172"/>
      <c r="D719" s="200" t="s">
        <v>1024</v>
      </c>
      <c r="E719" s="178" t="e">
        <f>所有权和使用权受限制的资产!#REF!</f>
        <v>#REF!</v>
      </c>
      <c r="F719" s="178">
        <v>0</v>
      </c>
      <c r="H719" s="176" t="e">
        <f t="shared" si="37"/>
        <v>#REF!</v>
      </c>
    </row>
    <row r="720" spans="1:8">
      <c r="A720" s="181"/>
      <c r="B720" s="179">
        <v>713</v>
      </c>
      <c r="C720" s="172"/>
      <c r="D720" s="200" t="s">
        <v>1025</v>
      </c>
      <c r="E720" s="178" t="e">
        <f>所有权和使用权受限制的资产!#REF!</f>
        <v>#REF!</v>
      </c>
      <c r="F720" s="178">
        <v>0</v>
      </c>
      <c r="H720" s="176" t="e">
        <f t="shared" si="37"/>
        <v>#REF!</v>
      </c>
    </row>
    <row r="721" spans="1:8">
      <c r="B721" s="179">
        <v>714</v>
      </c>
      <c r="C721" s="172"/>
      <c r="D721" s="200" t="s">
        <v>1026</v>
      </c>
      <c r="E721" s="178" t="e">
        <f>所有权和使用权受限制的资产!#REF!</f>
        <v>#REF!</v>
      </c>
      <c r="F721" s="178">
        <v>0</v>
      </c>
      <c r="H721" s="176" t="e">
        <f t="shared" si="37"/>
        <v>#REF!</v>
      </c>
    </row>
    <row r="722" spans="1:8">
      <c r="B722" s="179">
        <v>715</v>
      </c>
      <c r="C722" s="172"/>
      <c r="D722" s="200" t="s">
        <v>1027</v>
      </c>
      <c r="E722" s="178" t="e">
        <f>所有权和使用权受限制的资产!#REF!</f>
        <v>#REF!</v>
      </c>
      <c r="F722" s="178">
        <v>0</v>
      </c>
      <c r="H722" s="176" t="e">
        <f t="shared" si="37"/>
        <v>#REF!</v>
      </c>
    </row>
    <row r="723" spans="1:8">
      <c r="B723" s="179">
        <v>716</v>
      </c>
      <c r="C723" s="172"/>
      <c r="D723" s="210" t="s">
        <v>1028</v>
      </c>
      <c r="E723" s="178" t="e">
        <f>所有权和使用权受限制的资产!#REF!</f>
        <v>#REF!</v>
      </c>
      <c r="F723" s="178">
        <v>0</v>
      </c>
      <c r="H723" s="176" t="e">
        <f t="shared" si="37"/>
        <v>#REF!</v>
      </c>
    </row>
    <row r="724" spans="1:8">
      <c r="B724" s="179">
        <v>717</v>
      </c>
      <c r="C724" s="172"/>
      <c r="D724" s="210" t="s">
        <v>1029</v>
      </c>
      <c r="E724" s="178" t="e">
        <f>所有权和使用权受限制的资产!#REF!</f>
        <v>#REF!</v>
      </c>
      <c r="F724" s="178">
        <v>0</v>
      </c>
      <c r="H724" s="176" t="e">
        <f t="shared" si="37"/>
        <v>#REF!</v>
      </c>
    </row>
    <row r="725" spans="1:8">
      <c r="B725" s="179">
        <v>718</v>
      </c>
      <c r="C725" s="172"/>
      <c r="D725" s="210" t="s">
        <v>1030</v>
      </c>
      <c r="E725" s="178" t="e">
        <f>所有权和使用权受限制的资产!#REF!</f>
        <v>#REF!</v>
      </c>
      <c r="F725" s="178">
        <v>0</v>
      </c>
      <c r="H725" s="176" t="e">
        <f t="shared" si="37"/>
        <v>#REF!</v>
      </c>
    </row>
    <row r="726" spans="1:8">
      <c r="B726" s="179">
        <v>719</v>
      </c>
      <c r="C726" s="172"/>
      <c r="D726" s="210" t="s">
        <v>1031</v>
      </c>
      <c r="E726" s="178" t="e">
        <f>所有权和使用权受限制的资产!#REF!</f>
        <v>#REF!</v>
      </c>
      <c r="F726" s="178">
        <v>0</v>
      </c>
      <c r="H726" s="176" t="e">
        <f t="shared" si="37"/>
        <v>#REF!</v>
      </c>
    </row>
    <row r="727" spans="1:8" ht="13.5">
      <c r="A727" s="186" t="str">
        <f>HYPERLINK("#C1","置顶")</f>
        <v>置顶</v>
      </c>
      <c r="B727" s="179">
        <v>720</v>
      </c>
      <c r="C727" s="172"/>
      <c r="D727" s="210" t="s">
        <v>1032</v>
      </c>
      <c r="E727" s="178" t="e">
        <f>所有权和使用权受限制的资产!#REF!</f>
        <v>#REF!</v>
      </c>
      <c r="F727" s="178">
        <v>0</v>
      </c>
      <c r="H727" s="176" t="e">
        <f t="shared" si="37"/>
        <v>#REF!</v>
      </c>
    </row>
    <row r="728" spans="1:8" ht="13.5">
      <c r="A728" s="187"/>
      <c r="B728" s="179">
        <v>721</v>
      </c>
      <c r="C728" s="172"/>
      <c r="D728" s="210" t="s">
        <v>1001</v>
      </c>
      <c r="E728" s="178" t="e">
        <f>所有权和使用权受限制的资产!#REF!</f>
        <v>#REF!</v>
      </c>
      <c r="F728" s="178">
        <v>0</v>
      </c>
      <c r="H728" s="176" t="e">
        <f t="shared" si="37"/>
        <v>#REF!</v>
      </c>
    </row>
    <row r="729" spans="1:8">
      <c r="B729" s="179">
        <v>722</v>
      </c>
      <c r="C729" s="172"/>
      <c r="D729" s="210" t="s">
        <v>1002</v>
      </c>
      <c r="E729" s="178" t="e">
        <f>所有权和使用权受限制的资产!#REF!</f>
        <v>#REF!</v>
      </c>
      <c r="F729" s="178">
        <v>0</v>
      </c>
      <c r="H729" s="176" t="e">
        <f t="shared" si="37"/>
        <v>#REF!</v>
      </c>
    </row>
    <row r="730" spans="1:8">
      <c r="B730" s="179">
        <v>723</v>
      </c>
      <c r="C730" s="172"/>
      <c r="D730" s="210" t="s">
        <v>1003</v>
      </c>
      <c r="E730" s="178" t="e">
        <f>所有权和使用权受限制的资产!#REF!</f>
        <v>#REF!</v>
      </c>
      <c r="F730" s="178">
        <v>0</v>
      </c>
      <c r="H730" s="176" t="e">
        <f t="shared" si="37"/>
        <v>#REF!</v>
      </c>
    </row>
    <row r="731" spans="1:8">
      <c r="B731" s="179">
        <v>724</v>
      </c>
      <c r="C731" s="172"/>
      <c r="D731" s="210" t="s">
        <v>1016</v>
      </c>
      <c r="E731" s="178" t="e">
        <f>所有权和使用权受限制的资产!#REF!</f>
        <v>#REF!</v>
      </c>
      <c r="F731" s="178">
        <v>0</v>
      </c>
      <c r="H731" s="176" t="e">
        <f t="shared" si="37"/>
        <v>#REF!</v>
      </c>
    </row>
    <row r="732" spans="1:8">
      <c r="B732" s="179">
        <v>725</v>
      </c>
      <c r="C732" s="172"/>
      <c r="D732" s="210" t="s">
        <v>1017</v>
      </c>
      <c r="E732" s="178" t="e">
        <f>所有权和使用权受限制的资产!#REF!</f>
        <v>#REF!</v>
      </c>
      <c r="F732" s="178">
        <v>0</v>
      </c>
      <c r="H732" s="176" t="e">
        <f t="shared" si="37"/>
        <v>#REF!</v>
      </c>
    </row>
    <row r="733" spans="1:8">
      <c r="A733" s="173" t="s">
        <v>523</v>
      </c>
      <c r="B733" s="179">
        <v>726</v>
      </c>
      <c r="C733" s="172"/>
      <c r="D733" s="210" t="s">
        <v>1018</v>
      </c>
      <c r="E733" s="178" t="e">
        <f>所有权和使用权受限制的资产!#REF!</f>
        <v>#REF!</v>
      </c>
      <c r="F733" s="178">
        <v>0</v>
      </c>
      <c r="H733" s="176" t="e">
        <f t="shared" si="37"/>
        <v>#REF!</v>
      </c>
    </row>
    <row r="734" spans="1:8" ht="25.5">
      <c r="A734" s="181"/>
      <c r="B734" s="179">
        <v>727</v>
      </c>
      <c r="C734" s="172"/>
      <c r="D734" s="209" t="s">
        <v>1033</v>
      </c>
      <c r="E734" s="178" t="e">
        <f>所有权和使用权受限制的资产!#REF!</f>
        <v>#REF!</v>
      </c>
      <c r="F734" s="178">
        <v>0</v>
      </c>
      <c r="H734" s="176" t="e">
        <f t="shared" si="37"/>
        <v>#REF!</v>
      </c>
    </row>
    <row r="735" spans="1:8">
      <c r="B735" s="179">
        <v>728</v>
      </c>
      <c r="C735" s="172"/>
      <c r="D735" s="200" t="s">
        <v>1024</v>
      </c>
      <c r="E735" s="178" t="e">
        <f>所有权和使用权受限制的资产!#REF!</f>
        <v>#REF!</v>
      </c>
      <c r="F735" s="178">
        <v>0</v>
      </c>
      <c r="H735" s="176" t="e">
        <f t="shared" si="37"/>
        <v>#REF!</v>
      </c>
    </row>
    <row r="736" spans="1:8">
      <c r="B736" s="179">
        <v>729</v>
      </c>
      <c r="C736" s="172"/>
      <c r="D736" s="200" t="s">
        <v>1025</v>
      </c>
      <c r="E736" s="178" t="e">
        <f>所有权和使用权受限制的资产!#REF!</f>
        <v>#REF!</v>
      </c>
      <c r="F736" s="178">
        <v>0</v>
      </c>
      <c r="H736" s="176" t="e">
        <f t="shared" si="37"/>
        <v>#REF!</v>
      </c>
    </row>
    <row r="737" spans="1:8">
      <c r="B737" s="179">
        <v>730</v>
      </c>
      <c r="C737" s="172"/>
      <c r="D737" s="200" t="s">
        <v>1026</v>
      </c>
      <c r="E737" s="178" t="e">
        <f>所有权和使用权受限制的资产!#REF!</f>
        <v>#REF!</v>
      </c>
      <c r="F737" s="178">
        <v>0</v>
      </c>
      <c r="H737" s="176" t="e">
        <f t="shared" si="37"/>
        <v>#REF!</v>
      </c>
    </row>
    <row r="738" spans="1:8">
      <c r="B738" s="179">
        <v>731</v>
      </c>
      <c r="C738" s="172"/>
      <c r="D738" s="200" t="s">
        <v>1027</v>
      </c>
      <c r="E738" s="178" t="e">
        <f>所有权和使用权受限制的资产!#REF!</f>
        <v>#REF!</v>
      </c>
      <c r="F738" s="178">
        <v>0</v>
      </c>
      <c r="H738" s="176" t="e">
        <f t="shared" si="37"/>
        <v>#REF!</v>
      </c>
    </row>
    <row r="739" spans="1:8">
      <c r="B739" s="179">
        <v>732</v>
      </c>
      <c r="C739" s="172"/>
      <c r="D739" s="210" t="s">
        <v>1028</v>
      </c>
      <c r="E739" s="178" t="e">
        <f>所有权和使用权受限制的资产!#REF!</f>
        <v>#REF!</v>
      </c>
      <c r="F739" s="178">
        <v>0</v>
      </c>
      <c r="H739" s="176" t="e">
        <f t="shared" si="37"/>
        <v>#REF!</v>
      </c>
    </row>
    <row r="740" spans="1:8">
      <c r="B740" s="179">
        <v>733</v>
      </c>
      <c r="C740" s="172"/>
      <c r="D740" s="210" t="s">
        <v>1029</v>
      </c>
      <c r="E740" s="178" t="e">
        <f>所有权和使用权受限制的资产!#REF!</f>
        <v>#REF!</v>
      </c>
      <c r="F740" s="178">
        <v>0</v>
      </c>
      <c r="H740" s="176" t="e">
        <f t="shared" si="37"/>
        <v>#REF!</v>
      </c>
    </row>
    <row r="741" spans="1:8" ht="13.5">
      <c r="A741" s="186" t="str">
        <f>HYPERLINK("#C1","置顶")</f>
        <v>置顶</v>
      </c>
      <c r="B741" s="179">
        <v>734</v>
      </c>
      <c r="C741" s="172"/>
      <c r="D741" s="210" t="s">
        <v>1030</v>
      </c>
      <c r="E741" s="178" t="e">
        <f>所有权和使用权受限制的资产!#REF!</f>
        <v>#REF!</v>
      </c>
      <c r="F741" s="178">
        <v>0</v>
      </c>
      <c r="H741" s="176" t="e">
        <f t="shared" si="37"/>
        <v>#REF!</v>
      </c>
    </row>
    <row r="742" spans="1:8" ht="13.5">
      <c r="A742" s="187"/>
      <c r="B742" s="179">
        <v>735</v>
      </c>
      <c r="C742" s="172"/>
      <c r="D742" s="210" t="s">
        <v>1031</v>
      </c>
      <c r="E742" s="178" t="e">
        <f>所有权和使用权受限制的资产!#REF!</f>
        <v>#REF!</v>
      </c>
      <c r="F742" s="178">
        <v>0</v>
      </c>
      <c r="H742" s="176" t="e">
        <f t="shared" si="37"/>
        <v>#REF!</v>
      </c>
    </row>
    <row r="743" spans="1:8" ht="13.5">
      <c r="A743" s="187"/>
      <c r="B743" s="179">
        <v>736</v>
      </c>
      <c r="C743" s="172"/>
      <c r="D743" s="210" t="s">
        <v>1032</v>
      </c>
      <c r="E743" s="178" t="e">
        <f>所有权和使用权受限制的资产!#REF!</f>
        <v>#REF!</v>
      </c>
      <c r="F743" s="178">
        <v>0</v>
      </c>
      <c r="H743" s="176" t="e">
        <f t="shared" si="37"/>
        <v>#REF!</v>
      </c>
    </row>
    <row r="744" spans="1:8">
      <c r="B744" s="179">
        <v>737</v>
      </c>
      <c r="C744" s="172"/>
      <c r="D744" s="210" t="s">
        <v>1001</v>
      </c>
      <c r="E744" s="178" t="e">
        <f>所有权和使用权受限制的资产!#REF!</f>
        <v>#REF!</v>
      </c>
      <c r="F744" s="178">
        <v>0</v>
      </c>
      <c r="H744" s="176" t="e">
        <f t="shared" si="37"/>
        <v>#REF!</v>
      </c>
    </row>
    <row r="745" spans="1:8">
      <c r="B745" s="179">
        <v>738</v>
      </c>
      <c r="C745" s="172"/>
      <c r="D745" s="210" t="s">
        <v>1002</v>
      </c>
      <c r="E745" s="178" t="e">
        <f>所有权和使用权受限制的资产!#REF!</f>
        <v>#REF!</v>
      </c>
      <c r="F745" s="178">
        <v>0</v>
      </c>
      <c r="H745" s="176" t="e">
        <f t="shared" si="37"/>
        <v>#REF!</v>
      </c>
    </row>
    <row r="746" spans="1:8">
      <c r="B746" s="179">
        <v>739</v>
      </c>
      <c r="C746" s="172"/>
      <c r="D746" s="210" t="s">
        <v>1003</v>
      </c>
      <c r="E746" s="178" t="e">
        <f>所有权和使用权受限制的资产!#REF!</f>
        <v>#REF!</v>
      </c>
      <c r="F746" s="178">
        <v>0</v>
      </c>
      <c r="H746" s="176" t="e">
        <f t="shared" si="37"/>
        <v>#REF!</v>
      </c>
    </row>
    <row r="747" spans="1:8">
      <c r="B747" s="179">
        <v>740</v>
      </c>
      <c r="C747" s="172"/>
      <c r="D747" s="210" t="s">
        <v>1016</v>
      </c>
      <c r="E747" s="178" t="e">
        <f>所有权和使用权受限制的资产!#REF!</f>
        <v>#REF!</v>
      </c>
      <c r="F747" s="178">
        <v>0</v>
      </c>
      <c r="H747" s="176" t="e">
        <f t="shared" si="37"/>
        <v>#REF!</v>
      </c>
    </row>
    <row r="748" spans="1:8">
      <c r="A748" s="173" t="s">
        <v>523</v>
      </c>
      <c r="B748" s="179">
        <v>741</v>
      </c>
      <c r="C748" s="172"/>
      <c r="D748" s="210" t="s">
        <v>1017</v>
      </c>
      <c r="E748" s="178" t="e">
        <f>所有权和使用权受限制的资产!#REF!</f>
        <v>#REF!</v>
      </c>
      <c r="F748" s="178">
        <v>0</v>
      </c>
      <c r="H748" s="176" t="e">
        <f t="shared" si="37"/>
        <v>#REF!</v>
      </c>
    </row>
    <row r="749" spans="1:8">
      <c r="B749" s="179">
        <v>742</v>
      </c>
      <c r="C749" s="172"/>
      <c r="D749" s="210" t="s">
        <v>1018</v>
      </c>
      <c r="E749" s="178" t="e">
        <f>所有权和使用权受限制的资产!#REF!</f>
        <v>#REF!</v>
      </c>
      <c r="F749" s="178">
        <v>0</v>
      </c>
      <c r="H749" s="176" t="e">
        <f t="shared" si="37"/>
        <v>#REF!</v>
      </c>
    </row>
    <row r="750" spans="1:8">
      <c r="B750" s="179">
        <v>743</v>
      </c>
      <c r="C750" s="172"/>
      <c r="D750" s="178" t="s">
        <v>1005</v>
      </c>
      <c r="E750" s="178" t="e">
        <f>所有权和使用权受限制的资产!#REF!</f>
        <v>#REF!</v>
      </c>
      <c r="F750" s="178">
        <v>0</v>
      </c>
      <c r="H750" s="176" t="e">
        <f t="shared" si="37"/>
        <v>#REF!</v>
      </c>
    </row>
    <row r="751" spans="1:8">
      <c r="B751" s="179">
        <v>744</v>
      </c>
      <c r="C751" s="172"/>
      <c r="H751" s="175" t="e">
        <f>SUM(H718:H750)</f>
        <v>#REF!</v>
      </c>
    </row>
    <row r="752" spans="1:8">
      <c r="B752" s="179">
        <v>745</v>
      </c>
      <c r="C752" s="172"/>
    </row>
    <row r="753" spans="1:8">
      <c r="B753" s="179">
        <v>746</v>
      </c>
      <c r="C753" s="172"/>
    </row>
    <row r="754" spans="1:8">
      <c r="B754" s="179">
        <v>747</v>
      </c>
      <c r="C754" s="172"/>
      <c r="D754" s="197" t="s">
        <v>1034</v>
      </c>
      <c r="E754" s="201"/>
      <c r="F754" s="201"/>
    </row>
    <row r="755" spans="1:8">
      <c r="B755" s="179">
        <v>748</v>
      </c>
      <c r="C755" s="172"/>
      <c r="D755" s="217" t="s">
        <v>1035</v>
      </c>
      <c r="E755" s="201"/>
      <c r="F755" s="201"/>
    </row>
    <row r="756" spans="1:8">
      <c r="B756" s="179">
        <v>749</v>
      </c>
      <c r="C756" s="172"/>
      <c r="D756" s="178" t="s">
        <v>1036</v>
      </c>
      <c r="E756" s="178" t="s">
        <v>526</v>
      </c>
      <c r="F756" s="252" t="s">
        <v>1410</v>
      </c>
      <c r="H756" s="172" t="s">
        <v>524</v>
      </c>
    </row>
    <row r="757" spans="1:8">
      <c r="B757" s="179">
        <v>750</v>
      </c>
      <c r="C757" s="172"/>
      <c r="D757" s="200" t="s">
        <v>1037</v>
      </c>
      <c r="E757" s="178">
        <f>短期借款!E4</f>
        <v>0</v>
      </c>
      <c r="F757" s="178">
        <v>0</v>
      </c>
      <c r="H757" s="176">
        <f>ABS(E757-F757)</f>
        <v>0</v>
      </c>
    </row>
    <row r="758" spans="1:8">
      <c r="A758" s="173" t="s">
        <v>523</v>
      </c>
      <c r="B758" s="179">
        <v>751</v>
      </c>
      <c r="C758" s="172"/>
      <c r="D758" s="200" t="s">
        <v>1038</v>
      </c>
      <c r="E758" s="178">
        <f>短期借款!E5</f>
        <v>0</v>
      </c>
      <c r="F758" s="178">
        <v>0</v>
      </c>
      <c r="H758" s="176">
        <f>ABS(E758-F758)</f>
        <v>0</v>
      </c>
    </row>
    <row r="759" spans="1:8">
      <c r="A759" s="181"/>
      <c r="B759" s="179">
        <v>752</v>
      </c>
      <c r="C759" s="172"/>
      <c r="D759" s="200" t="s">
        <v>1039</v>
      </c>
      <c r="E759" s="178">
        <f>短期借款!E6</f>
        <v>0</v>
      </c>
      <c r="F759" s="178">
        <v>0</v>
      </c>
      <c r="H759" s="176">
        <f>ABS(E759-F759)</f>
        <v>0</v>
      </c>
    </row>
    <row r="760" spans="1:8">
      <c r="B760" s="179">
        <v>753</v>
      </c>
      <c r="C760" s="172"/>
      <c r="D760" s="219" t="s">
        <v>1040</v>
      </c>
      <c r="E760" s="178">
        <f>短期借款!E7</f>
        <v>0</v>
      </c>
      <c r="F760" s="178">
        <v>180000000</v>
      </c>
      <c r="H760" s="176">
        <f>ABS(E760-F760)</f>
        <v>180000000</v>
      </c>
    </row>
    <row r="761" spans="1:8">
      <c r="B761" s="179">
        <v>754</v>
      </c>
      <c r="C761" s="172"/>
      <c r="D761" s="202" t="s">
        <v>1005</v>
      </c>
      <c r="E761" s="178">
        <f>短期借款!E8</f>
        <v>0</v>
      </c>
      <c r="F761" s="178">
        <v>180000000</v>
      </c>
      <c r="H761" s="176">
        <f>ABS(E761-F761)</f>
        <v>180000000</v>
      </c>
    </row>
    <row r="762" spans="1:8">
      <c r="B762" s="179">
        <v>755</v>
      </c>
      <c r="C762" s="172"/>
      <c r="H762" s="175">
        <f>SUM(H757:H761)</f>
        <v>360000000</v>
      </c>
    </row>
    <row r="763" spans="1:8">
      <c r="B763" s="179">
        <v>756</v>
      </c>
      <c r="C763" s="172"/>
    </row>
    <row r="764" spans="1:8">
      <c r="B764" s="179">
        <v>757</v>
      </c>
      <c r="C764" s="172"/>
      <c r="D764" s="197" t="s">
        <v>1041</v>
      </c>
      <c r="E764" s="201"/>
      <c r="F764" s="201"/>
    </row>
    <row r="765" spans="1:8">
      <c r="B765" s="179">
        <v>758</v>
      </c>
      <c r="C765" s="172"/>
      <c r="D765" s="178" t="s">
        <v>811</v>
      </c>
      <c r="E765" s="178" t="s">
        <v>526</v>
      </c>
      <c r="F765" s="252" t="s">
        <v>1410</v>
      </c>
      <c r="H765" s="172" t="s">
        <v>524</v>
      </c>
    </row>
    <row r="766" spans="1:8" ht="13.5">
      <c r="A766" s="186" t="str">
        <f>HYPERLINK("#C1","置顶")</f>
        <v>置顶</v>
      </c>
      <c r="B766" s="179">
        <v>759</v>
      </c>
      <c r="C766" s="172"/>
      <c r="D766" s="200" t="s">
        <v>1042</v>
      </c>
      <c r="E766" s="178">
        <f>以公允价值计量且其变动计入当期损益的金融负债!E3</f>
        <v>0</v>
      </c>
      <c r="F766" s="178">
        <v>0</v>
      </c>
      <c r="H766" s="176">
        <f>ABS(E766-F766)</f>
        <v>0</v>
      </c>
    </row>
    <row r="767" spans="1:8" ht="25.5">
      <c r="A767" s="187"/>
      <c r="B767" s="179">
        <v>760</v>
      </c>
      <c r="C767" s="172"/>
      <c r="D767" s="200" t="s">
        <v>1043</v>
      </c>
      <c r="E767" s="178">
        <f>以公允价值计量且其变动计入当期损益的金融负债!E5</f>
        <v>0</v>
      </c>
      <c r="F767" s="178">
        <v>0</v>
      </c>
      <c r="H767" s="176">
        <f>ABS(E767-F767)</f>
        <v>0</v>
      </c>
    </row>
    <row r="768" spans="1:8" ht="13.5">
      <c r="A768" s="187"/>
      <c r="B768" s="179">
        <v>761</v>
      </c>
      <c r="C768" s="172"/>
      <c r="D768" s="200" t="s">
        <v>1044</v>
      </c>
      <c r="E768" s="178">
        <f>审定资产负债表!D65</f>
        <v>0</v>
      </c>
      <c r="F768" s="178">
        <v>0</v>
      </c>
      <c r="H768" s="176">
        <f>ABS(E768-F768)</f>
        <v>0</v>
      </c>
    </row>
    <row r="769" spans="1:8">
      <c r="B769" s="179">
        <v>762</v>
      </c>
      <c r="C769" s="172"/>
      <c r="D769" s="200" t="s">
        <v>1045</v>
      </c>
      <c r="E769" s="178">
        <f>以公允价值计量且其变动计入当期损益的金融负债!E6</f>
        <v>0</v>
      </c>
      <c r="F769" s="178">
        <v>0</v>
      </c>
      <c r="H769" s="176">
        <f>ABS(E769-F769)</f>
        <v>0</v>
      </c>
    </row>
    <row r="770" spans="1:8">
      <c r="B770" s="179">
        <v>763</v>
      </c>
      <c r="C770" s="172"/>
      <c r="D770" s="178" t="s">
        <v>817</v>
      </c>
      <c r="E770" s="178">
        <f>以公允价值计量且其变动计入当期损益的金融负债!E7</f>
        <v>0</v>
      </c>
      <c r="F770" s="178">
        <v>0</v>
      </c>
      <c r="H770" s="176">
        <f>ABS(E770-F770)</f>
        <v>0</v>
      </c>
    </row>
    <row r="771" spans="1:8">
      <c r="B771" s="179">
        <v>764</v>
      </c>
      <c r="C771" s="172"/>
      <c r="H771" s="175">
        <f>SUM(H766:H770)</f>
        <v>0</v>
      </c>
    </row>
    <row r="772" spans="1:8">
      <c r="B772" s="179">
        <v>765</v>
      </c>
      <c r="C772" s="172"/>
    </row>
    <row r="773" spans="1:8">
      <c r="A773" s="173" t="s">
        <v>523</v>
      </c>
      <c r="B773" s="179">
        <v>766</v>
      </c>
      <c r="C773" s="172"/>
      <c r="D773" s="197" t="s">
        <v>1046</v>
      </c>
      <c r="E773" s="201"/>
      <c r="F773" s="201"/>
    </row>
    <row r="774" spans="1:8">
      <c r="B774" s="179">
        <v>767</v>
      </c>
      <c r="C774" s="172"/>
      <c r="D774" s="178" t="s">
        <v>819</v>
      </c>
      <c r="E774" s="178" t="s">
        <v>526</v>
      </c>
      <c r="F774" s="252" t="s">
        <v>1410</v>
      </c>
      <c r="H774" s="172" t="s">
        <v>524</v>
      </c>
    </row>
    <row r="775" spans="1:8">
      <c r="B775" s="179">
        <v>768</v>
      </c>
      <c r="C775" s="172"/>
      <c r="D775" s="200" t="s">
        <v>822</v>
      </c>
      <c r="E775" s="178">
        <f>应付票据!E3</f>
        <v>0</v>
      </c>
      <c r="F775" s="178">
        <v>0</v>
      </c>
      <c r="H775" s="176">
        <f>ABS(E775-F775)</f>
        <v>0</v>
      </c>
    </row>
    <row r="776" spans="1:8">
      <c r="B776" s="179">
        <v>769</v>
      </c>
      <c r="C776" s="172"/>
      <c r="D776" s="200" t="s">
        <v>821</v>
      </c>
      <c r="E776" s="178">
        <f>应付票据!E4</f>
        <v>0</v>
      </c>
      <c r="F776" s="178">
        <v>0</v>
      </c>
      <c r="H776" s="176">
        <f>ABS(E776-F776)</f>
        <v>0</v>
      </c>
    </row>
    <row r="777" spans="1:8">
      <c r="A777" s="173" t="s">
        <v>523</v>
      </c>
      <c r="B777" s="179">
        <v>770</v>
      </c>
      <c r="C777" s="172"/>
      <c r="D777" s="178" t="s">
        <v>823</v>
      </c>
      <c r="E777" s="178">
        <f>应付票据!E5</f>
        <v>0</v>
      </c>
      <c r="F777" s="178">
        <v>0</v>
      </c>
      <c r="H777" s="176">
        <f>ABS(E777-F777)</f>
        <v>0</v>
      </c>
    </row>
    <row r="778" spans="1:8">
      <c r="A778" s="181"/>
      <c r="B778" s="179">
        <v>771</v>
      </c>
      <c r="C778" s="172"/>
      <c r="H778" s="175">
        <f>SUM(H775:H777)</f>
        <v>0</v>
      </c>
    </row>
    <row r="779" spans="1:8">
      <c r="B779" s="179">
        <v>772</v>
      </c>
      <c r="C779" s="172"/>
    </row>
    <row r="780" spans="1:8">
      <c r="B780" s="179">
        <v>773</v>
      </c>
      <c r="C780" s="172"/>
      <c r="D780" s="197" t="s">
        <v>1047</v>
      </c>
      <c r="E780" s="201"/>
      <c r="F780" s="201"/>
    </row>
    <row r="781" spans="1:8">
      <c r="B781" s="179">
        <v>774</v>
      </c>
      <c r="C781" s="172"/>
      <c r="D781" s="204" t="s">
        <v>1048</v>
      </c>
      <c r="E781" s="201"/>
      <c r="F781" s="201"/>
    </row>
    <row r="782" spans="1:8">
      <c r="B782" s="179">
        <v>775</v>
      </c>
      <c r="C782" s="172"/>
      <c r="D782" s="178" t="s">
        <v>1049</v>
      </c>
      <c r="E782" s="178" t="s">
        <v>526</v>
      </c>
      <c r="F782" s="252" t="s">
        <v>1410</v>
      </c>
      <c r="H782" s="172" t="s">
        <v>1050</v>
      </c>
    </row>
    <row r="783" spans="1:8">
      <c r="B783" s="179">
        <v>776</v>
      </c>
      <c r="C783" s="172"/>
      <c r="D783" s="209" t="s">
        <v>355</v>
      </c>
      <c r="E783" s="178">
        <f>应付账款!E4</f>
        <v>0</v>
      </c>
      <c r="F783" s="178">
        <v>236668544.89000002</v>
      </c>
      <c r="H783" s="176">
        <f>ABS(E783-F783)</f>
        <v>236668544.89000002</v>
      </c>
    </row>
    <row r="784" spans="1:8">
      <c r="B784" s="179">
        <v>777</v>
      </c>
      <c r="C784" s="172"/>
      <c r="D784" s="209" t="s">
        <v>1051</v>
      </c>
      <c r="E784" s="178">
        <f>应付账款!E5</f>
        <v>0</v>
      </c>
      <c r="F784" s="178">
        <v>6637371.5899999999</v>
      </c>
      <c r="H784" s="176">
        <f>ABS(E784-F784)</f>
        <v>6637371.5899999999</v>
      </c>
    </row>
    <row r="785" spans="1:8" ht="13.5">
      <c r="A785" s="186" t="str">
        <f>HYPERLINK("#C1","置顶")</f>
        <v>置顶</v>
      </c>
      <c r="B785" s="179">
        <v>778</v>
      </c>
      <c r="C785" s="172"/>
      <c r="D785" s="209" t="s">
        <v>1052</v>
      </c>
      <c r="E785" s="178">
        <f>应付账款!E6</f>
        <v>0</v>
      </c>
      <c r="F785" s="178">
        <v>45220</v>
      </c>
      <c r="H785" s="176">
        <f>ABS(E785-F785)</f>
        <v>45220</v>
      </c>
    </row>
    <row r="786" spans="1:8" ht="13.5">
      <c r="A786" s="187"/>
      <c r="B786" s="179">
        <v>779</v>
      </c>
      <c r="C786" s="172"/>
      <c r="D786" s="209" t="s">
        <v>1053</v>
      </c>
      <c r="E786" s="178">
        <f>应付账款!E7</f>
        <v>0</v>
      </c>
      <c r="F786" s="178">
        <v>1327311.05</v>
      </c>
      <c r="H786" s="176">
        <f>ABS(E786-F786)</f>
        <v>1327311.05</v>
      </c>
    </row>
    <row r="787" spans="1:8" ht="13.5">
      <c r="A787" s="187"/>
      <c r="B787" s="179">
        <v>780</v>
      </c>
      <c r="C787" s="172"/>
      <c r="D787" s="178" t="s">
        <v>839</v>
      </c>
      <c r="E787" s="178">
        <f>应付账款!E8</f>
        <v>0</v>
      </c>
      <c r="F787" s="178">
        <v>244678447.53000003</v>
      </c>
      <c r="H787" s="176">
        <f>ABS(E787-F787)</f>
        <v>244678447.53000003</v>
      </c>
    </row>
    <row r="788" spans="1:8">
      <c r="B788" s="179">
        <v>781</v>
      </c>
      <c r="C788" s="172"/>
      <c r="H788" s="175">
        <f>SUM(H783:H787)</f>
        <v>489356895.06000006</v>
      </c>
    </row>
    <row r="789" spans="1:8">
      <c r="B789" s="179">
        <v>782</v>
      </c>
      <c r="C789" s="172"/>
    </row>
    <row r="790" spans="1:8">
      <c r="B790" s="179">
        <v>783</v>
      </c>
      <c r="C790" s="172"/>
      <c r="D790" s="197" t="s">
        <v>1054</v>
      </c>
      <c r="E790" s="201"/>
      <c r="F790" s="201"/>
    </row>
    <row r="791" spans="1:8">
      <c r="B791" s="179">
        <v>784</v>
      </c>
      <c r="C791" s="172"/>
      <c r="D791" s="217" t="s">
        <v>1055</v>
      </c>
      <c r="E791" s="201"/>
      <c r="F791" s="201"/>
    </row>
    <row r="792" spans="1:8">
      <c r="A792" s="173" t="s">
        <v>523</v>
      </c>
      <c r="B792" s="179">
        <v>785</v>
      </c>
      <c r="C792" s="172"/>
      <c r="D792" s="178" t="s">
        <v>838</v>
      </c>
      <c r="E792" s="178" t="s">
        <v>526</v>
      </c>
      <c r="F792" s="252" t="s">
        <v>1410</v>
      </c>
      <c r="H792" s="172" t="s">
        <v>524</v>
      </c>
    </row>
    <row r="793" spans="1:8">
      <c r="B793" s="179">
        <v>786</v>
      </c>
      <c r="C793" s="172"/>
      <c r="D793" s="209" t="s">
        <v>355</v>
      </c>
      <c r="E793" s="178">
        <f>预收款项!E4</f>
        <v>0</v>
      </c>
      <c r="F793" s="178">
        <v>18912161.619999975</v>
      </c>
      <c r="H793" s="176">
        <f>ABS(E793-F793)</f>
        <v>18912161.619999975</v>
      </c>
    </row>
    <row r="794" spans="1:8">
      <c r="B794" s="179">
        <v>787</v>
      </c>
      <c r="C794" s="172"/>
      <c r="D794" s="209" t="s">
        <v>1051</v>
      </c>
      <c r="E794" s="178">
        <f>预收款项!E5</f>
        <v>0</v>
      </c>
      <c r="F794" s="178">
        <v>0</v>
      </c>
      <c r="H794" s="176">
        <f>ABS(E794-F794)</f>
        <v>0</v>
      </c>
    </row>
    <row r="795" spans="1:8">
      <c r="B795" s="179">
        <v>788</v>
      </c>
      <c r="C795" s="172"/>
      <c r="D795" s="209" t="s">
        <v>1052</v>
      </c>
      <c r="E795" s="178">
        <f>预收款项!E6</f>
        <v>0</v>
      </c>
      <c r="F795" s="178">
        <v>0</v>
      </c>
      <c r="H795" s="176">
        <f>ABS(E795-F795)</f>
        <v>0</v>
      </c>
    </row>
    <row r="796" spans="1:8">
      <c r="B796" s="179">
        <v>789</v>
      </c>
      <c r="C796" s="172"/>
      <c r="D796" s="209" t="s">
        <v>1053</v>
      </c>
      <c r="E796" s="178">
        <f>预收款项!E7</f>
        <v>0</v>
      </c>
      <c r="F796" s="178">
        <v>0</v>
      </c>
      <c r="H796" s="176">
        <f>ABS(E796-F796)</f>
        <v>0</v>
      </c>
    </row>
    <row r="797" spans="1:8">
      <c r="B797" s="179">
        <v>790</v>
      </c>
      <c r="C797" s="172"/>
      <c r="D797" s="178" t="s">
        <v>839</v>
      </c>
      <c r="E797" s="178">
        <f>预收款项!E8</f>
        <v>0</v>
      </c>
      <c r="F797" s="178">
        <v>18912161.619999975</v>
      </c>
      <c r="H797" s="176">
        <f>ABS(E797-F797)</f>
        <v>18912161.619999975</v>
      </c>
    </row>
    <row r="798" spans="1:8">
      <c r="B798" s="179">
        <v>791</v>
      </c>
      <c r="C798" s="172"/>
      <c r="H798" s="175">
        <f>SUM(H793:H797)</f>
        <v>37824323.23999995</v>
      </c>
    </row>
    <row r="799" spans="1:8">
      <c r="A799" s="173" t="s">
        <v>523</v>
      </c>
      <c r="B799" s="179">
        <v>792</v>
      </c>
      <c r="C799" s="172"/>
    </row>
    <row r="800" spans="1:8">
      <c r="A800" s="181"/>
      <c r="B800" s="179">
        <v>793</v>
      </c>
      <c r="C800" s="172"/>
      <c r="D800" s="197" t="s">
        <v>1056</v>
      </c>
      <c r="E800" s="201"/>
      <c r="F800" s="201"/>
      <c r="G800" s="201"/>
    </row>
    <row r="801" spans="1:10">
      <c r="B801" s="179">
        <v>794</v>
      </c>
      <c r="C801" s="172"/>
      <c r="D801" s="196" t="s">
        <v>366</v>
      </c>
      <c r="E801" s="196" t="s">
        <v>526</v>
      </c>
      <c r="F801" s="196" t="s">
        <v>366</v>
      </c>
      <c r="G801" s="258" t="s">
        <v>1410</v>
      </c>
      <c r="I801" s="196" t="s">
        <v>366</v>
      </c>
      <c r="J801" s="198" t="s">
        <v>524</v>
      </c>
    </row>
    <row r="802" spans="1:10">
      <c r="B802" s="179">
        <v>795</v>
      </c>
      <c r="C802" s="172"/>
      <c r="D802" s="196" t="s">
        <v>1057</v>
      </c>
      <c r="E802" s="196">
        <f>应付职工薪酬!D4</f>
        <v>17727.689999999999</v>
      </c>
      <c r="F802" s="196" t="s">
        <v>1057</v>
      </c>
      <c r="G802" s="196">
        <v>0</v>
      </c>
      <c r="I802" s="196" t="s">
        <v>1057</v>
      </c>
      <c r="J802" s="180">
        <f>ABS(E802-G802)</f>
        <v>17727.689999999999</v>
      </c>
    </row>
    <row r="803" spans="1:10">
      <c r="B803" s="179">
        <v>796</v>
      </c>
      <c r="C803" s="172"/>
      <c r="D803" s="196" t="s">
        <v>1058</v>
      </c>
      <c r="E803" s="196">
        <f>应付职工薪酬!D5</f>
        <v>31126.2</v>
      </c>
      <c r="F803" s="196" t="s">
        <v>1058</v>
      </c>
      <c r="G803" s="196">
        <v>0</v>
      </c>
      <c r="I803" s="196" t="s">
        <v>1058</v>
      </c>
      <c r="J803" s="180">
        <f>ABS(E803-G803-G814)</f>
        <v>2883839.9599999995</v>
      </c>
    </row>
    <row r="804" spans="1:10">
      <c r="B804" s="179">
        <v>797</v>
      </c>
      <c r="C804" s="172"/>
      <c r="D804" s="220" t="s">
        <v>1059</v>
      </c>
      <c r="E804" s="196">
        <f>应付职工薪酬!D6</f>
        <v>0</v>
      </c>
      <c r="F804" s="196" t="s">
        <v>1060</v>
      </c>
      <c r="G804" s="196">
        <v>0</v>
      </c>
      <c r="I804" s="220" t="s">
        <v>1059</v>
      </c>
      <c r="J804" s="180">
        <f>ABS(E804-G814)</f>
        <v>2914966.1599999997</v>
      </c>
    </row>
    <row r="805" spans="1:10">
      <c r="B805" s="179">
        <v>798</v>
      </c>
      <c r="C805" s="172"/>
      <c r="D805" s="196" t="s">
        <v>1060</v>
      </c>
      <c r="E805" s="196">
        <f>应付职工薪酬!D7</f>
        <v>0</v>
      </c>
      <c r="F805" s="196" t="s">
        <v>1061</v>
      </c>
      <c r="G805" s="196">
        <v>0</v>
      </c>
      <c r="I805" s="196" t="s">
        <v>1060</v>
      </c>
      <c r="J805" s="180">
        <f>ABS(E805-G804)</f>
        <v>0</v>
      </c>
    </row>
    <row r="806" spans="1:10">
      <c r="B806" s="179">
        <v>799</v>
      </c>
      <c r="C806" s="172"/>
      <c r="D806" s="196" t="s">
        <v>1061</v>
      </c>
      <c r="E806" s="196">
        <f>应付职工薪酬!D9</f>
        <v>48853.89</v>
      </c>
      <c r="F806" s="196" t="s">
        <v>1062</v>
      </c>
      <c r="G806" s="196">
        <v>0</v>
      </c>
      <c r="I806" s="196" t="s">
        <v>1061</v>
      </c>
      <c r="J806" s="180">
        <f t="shared" ref="J806:J813" si="38">ABS(E806-G805)</f>
        <v>48853.89</v>
      </c>
    </row>
    <row r="807" spans="1:10" ht="13.5">
      <c r="A807" s="186" t="str">
        <f>HYPERLINK("#C1","置顶")</f>
        <v>置顶</v>
      </c>
      <c r="B807" s="179">
        <v>800</v>
      </c>
      <c r="C807" s="172"/>
      <c r="D807" s="196" t="s">
        <v>1062</v>
      </c>
      <c r="E807" s="196">
        <f>应付职工薪酬!D13</f>
        <v>0</v>
      </c>
      <c r="F807" s="196" t="s">
        <v>1063</v>
      </c>
      <c r="G807" s="196">
        <v>0</v>
      </c>
      <c r="I807" s="196" t="s">
        <v>1062</v>
      </c>
      <c r="J807" s="180">
        <f t="shared" si="38"/>
        <v>0</v>
      </c>
    </row>
    <row r="808" spans="1:10" ht="13.5">
      <c r="A808" s="187"/>
      <c r="B808" s="179">
        <v>801</v>
      </c>
      <c r="C808" s="172"/>
      <c r="D808" s="196" t="s">
        <v>1063</v>
      </c>
      <c r="E808" s="196">
        <f>应付职工薪酬!D14</f>
        <v>17727.689999999999</v>
      </c>
      <c r="F808" s="196" t="s">
        <v>1064</v>
      </c>
      <c r="G808" s="196">
        <v>0</v>
      </c>
      <c r="I808" s="196" t="s">
        <v>1063</v>
      </c>
      <c r="J808" s="180">
        <f t="shared" si="38"/>
        <v>17727.689999999999</v>
      </c>
    </row>
    <row r="809" spans="1:10" ht="13.5">
      <c r="A809" s="187"/>
      <c r="B809" s="179">
        <v>802</v>
      </c>
      <c r="C809" s="172"/>
      <c r="D809" s="196" t="s">
        <v>1064</v>
      </c>
      <c r="E809" s="196">
        <f>应付职工薪酬!D15</f>
        <v>15828.3</v>
      </c>
      <c r="F809" s="196" t="s">
        <v>1065</v>
      </c>
      <c r="G809" s="196">
        <v>0</v>
      </c>
      <c r="I809" s="196" t="s">
        <v>1064</v>
      </c>
      <c r="J809" s="180">
        <f t="shared" si="38"/>
        <v>15828.3</v>
      </c>
    </row>
    <row r="810" spans="1:10">
      <c r="B810" s="179">
        <v>803</v>
      </c>
      <c r="C810" s="172"/>
      <c r="D810" s="196" t="s">
        <v>1065</v>
      </c>
      <c r="E810" s="196">
        <f>应付职工薪酬!D16</f>
        <v>633.12</v>
      </c>
      <c r="F810" s="196" t="s">
        <v>1066</v>
      </c>
      <c r="G810" s="196">
        <v>0</v>
      </c>
      <c r="I810" s="196" t="s">
        <v>1065</v>
      </c>
      <c r="J810" s="180">
        <f t="shared" si="38"/>
        <v>633.12</v>
      </c>
    </row>
    <row r="811" spans="1:10">
      <c r="B811" s="179">
        <v>804</v>
      </c>
      <c r="C811" s="172"/>
      <c r="D811" s="196" t="s">
        <v>1066</v>
      </c>
      <c r="E811" s="196">
        <f>应付职工薪酬!D17</f>
        <v>1266.27</v>
      </c>
      <c r="F811" s="196" t="s">
        <v>1067</v>
      </c>
      <c r="G811" s="196">
        <v>0</v>
      </c>
      <c r="I811" s="196" t="s">
        <v>1066</v>
      </c>
      <c r="J811" s="180">
        <f t="shared" si="38"/>
        <v>1266.27</v>
      </c>
    </row>
    <row r="812" spans="1:10">
      <c r="B812" s="179">
        <v>805</v>
      </c>
      <c r="C812" s="172"/>
      <c r="D812" s="196" t="s">
        <v>1067</v>
      </c>
      <c r="E812" s="196">
        <f>应付职工薪酬!D18</f>
        <v>0</v>
      </c>
      <c r="F812" s="196" t="s">
        <v>1068</v>
      </c>
      <c r="G812" s="196">
        <v>0</v>
      </c>
      <c r="I812" s="196" t="s">
        <v>1067</v>
      </c>
      <c r="J812" s="180">
        <f t="shared" si="38"/>
        <v>0</v>
      </c>
    </row>
    <row r="813" spans="1:10">
      <c r="B813" s="179">
        <v>806</v>
      </c>
      <c r="C813" s="172"/>
      <c r="D813" s="196" t="s">
        <v>1068</v>
      </c>
      <c r="E813" s="196">
        <f>应付职工薪酬!D19</f>
        <v>0</v>
      </c>
      <c r="F813" s="220" t="s">
        <v>1069</v>
      </c>
      <c r="G813" s="196">
        <v>0</v>
      </c>
      <c r="I813" s="196" t="s">
        <v>1068</v>
      </c>
      <c r="J813" s="180">
        <f t="shared" si="38"/>
        <v>0</v>
      </c>
    </row>
    <row r="814" spans="1:10">
      <c r="A814" s="173" t="s">
        <v>523</v>
      </c>
      <c r="B814" s="179">
        <v>807</v>
      </c>
      <c r="C814" s="172"/>
      <c r="D814" s="220" t="s">
        <v>1069</v>
      </c>
      <c r="E814" s="196">
        <f>应付职工薪酬!D20</f>
        <v>0</v>
      </c>
      <c r="F814" s="220" t="s">
        <v>1070</v>
      </c>
      <c r="G814" s="196">
        <v>2914966.1599999997</v>
      </c>
      <c r="I814" s="220" t="s">
        <v>1069</v>
      </c>
      <c r="J814" s="180">
        <f>ABS(E814-G813)</f>
        <v>0</v>
      </c>
    </row>
    <row r="815" spans="1:10">
      <c r="B815" s="179">
        <v>808</v>
      </c>
      <c r="C815" s="172"/>
      <c r="D815" s="196" t="s">
        <v>1071</v>
      </c>
      <c r="E815" s="196">
        <f>应付职工薪酬!D21</f>
        <v>0</v>
      </c>
      <c r="F815" s="196" t="s">
        <v>1072</v>
      </c>
      <c r="G815" s="196">
        <v>0</v>
      </c>
      <c r="I815" s="196" t="s">
        <v>1071</v>
      </c>
      <c r="J815" s="180">
        <f t="shared" ref="J815:J820" si="39">ABS(E815-G815)</f>
        <v>0</v>
      </c>
    </row>
    <row r="816" spans="1:10">
      <c r="B816" s="179">
        <v>809</v>
      </c>
      <c r="C816" s="172"/>
      <c r="D816" s="196" t="s">
        <v>1073</v>
      </c>
      <c r="E816" s="196">
        <f>应付职工薪酬!D22</f>
        <v>0</v>
      </c>
      <c r="F816" s="196" t="s">
        <v>1073</v>
      </c>
      <c r="G816" s="196">
        <v>0</v>
      </c>
      <c r="I816" s="196" t="s">
        <v>1073</v>
      </c>
      <c r="J816" s="180">
        <f t="shared" si="39"/>
        <v>0</v>
      </c>
    </row>
    <row r="817" spans="1:10">
      <c r="B817" s="179">
        <v>810</v>
      </c>
      <c r="C817" s="172"/>
      <c r="D817" s="196" t="s">
        <v>1074</v>
      </c>
      <c r="E817" s="196">
        <f>应付职工薪酬!D23</f>
        <v>0</v>
      </c>
      <c r="F817" s="196" t="s">
        <v>1074</v>
      </c>
      <c r="G817" s="196">
        <v>0</v>
      </c>
      <c r="I817" s="196" t="s">
        <v>1074</v>
      </c>
      <c r="J817" s="180">
        <f t="shared" si="39"/>
        <v>0</v>
      </c>
    </row>
    <row r="818" spans="1:10">
      <c r="B818" s="179">
        <v>811</v>
      </c>
      <c r="C818" s="172"/>
      <c r="D818" s="196" t="s">
        <v>1075</v>
      </c>
      <c r="E818" s="196">
        <f>应付职工薪酬!D24</f>
        <v>17727.689999999999</v>
      </c>
      <c r="F818" s="196" t="s">
        <v>1076</v>
      </c>
      <c r="G818" s="196">
        <v>0</v>
      </c>
      <c r="I818" s="196" t="s">
        <v>1075</v>
      </c>
      <c r="J818" s="180">
        <f t="shared" si="39"/>
        <v>17727.689999999999</v>
      </c>
    </row>
    <row r="819" spans="1:10">
      <c r="A819" s="173" t="s">
        <v>523</v>
      </c>
      <c r="B819" s="179">
        <v>812</v>
      </c>
      <c r="C819" s="172"/>
      <c r="D819" s="196" t="s">
        <v>1077</v>
      </c>
      <c r="E819" s="196">
        <f>应付职工薪酬!D30</f>
        <v>31126.2</v>
      </c>
      <c r="F819" s="196" t="s">
        <v>1077</v>
      </c>
      <c r="G819" s="196">
        <v>0</v>
      </c>
      <c r="I819" s="196" t="s">
        <v>1077</v>
      </c>
      <c r="J819" s="180">
        <f t="shared" si="39"/>
        <v>31126.2</v>
      </c>
    </row>
    <row r="820" spans="1:10">
      <c r="A820" s="181"/>
      <c r="B820" s="179">
        <v>813</v>
      </c>
      <c r="C820" s="172"/>
      <c r="D820" s="196" t="s">
        <v>839</v>
      </c>
      <c r="E820" s="196" t="e">
        <f>应付职工薪酬!#REF!</f>
        <v>#REF!</v>
      </c>
      <c r="F820" s="196" t="s">
        <v>839</v>
      </c>
      <c r="G820" s="196">
        <v>2914966.1599999997</v>
      </c>
      <c r="I820" s="196" t="s">
        <v>839</v>
      </c>
      <c r="J820" s="180" t="e">
        <f t="shared" si="39"/>
        <v>#REF!</v>
      </c>
    </row>
    <row r="821" spans="1:10">
      <c r="B821" s="179">
        <v>814</v>
      </c>
      <c r="C821" s="172"/>
      <c r="J821" s="175" t="e">
        <f>SUM(J802:J820)</f>
        <v>#REF!</v>
      </c>
    </row>
    <row r="822" spans="1:10">
      <c r="B822" s="179">
        <v>815</v>
      </c>
      <c r="C822" s="172"/>
    </row>
    <row r="823" spans="1:10">
      <c r="B823" s="179">
        <v>816</v>
      </c>
      <c r="C823" s="172"/>
      <c r="D823" s="197" t="s">
        <v>1078</v>
      </c>
      <c r="E823" s="201"/>
      <c r="F823" s="201"/>
    </row>
    <row r="824" spans="1:10">
      <c r="B824" s="179">
        <v>817</v>
      </c>
      <c r="C824" s="172"/>
      <c r="D824" s="178" t="s">
        <v>1013</v>
      </c>
      <c r="E824" s="178" t="s">
        <v>526</v>
      </c>
      <c r="F824" s="252" t="s">
        <v>1410</v>
      </c>
      <c r="H824" s="172" t="s">
        <v>524</v>
      </c>
    </row>
    <row r="825" spans="1:10">
      <c r="B825" s="179">
        <v>818</v>
      </c>
      <c r="C825" s="172"/>
      <c r="D825" s="221" t="s">
        <v>386</v>
      </c>
      <c r="E825" s="178">
        <f>应交税费!D3</f>
        <v>0</v>
      </c>
      <c r="F825" s="178">
        <v>0</v>
      </c>
      <c r="H825" s="176">
        <f>ABS(E825-F825)</f>
        <v>0</v>
      </c>
    </row>
    <row r="826" spans="1:10">
      <c r="B826" s="179">
        <v>819</v>
      </c>
      <c r="C826" s="172"/>
      <c r="D826" s="221" t="s">
        <v>389</v>
      </c>
      <c r="E826" s="178">
        <f>应交税费!D4</f>
        <v>0</v>
      </c>
      <c r="F826" s="178">
        <v>0</v>
      </c>
      <c r="H826" s="176">
        <f t="shared" ref="H826:H835" si="40">ABS(E826-F826)</f>
        <v>0</v>
      </c>
    </row>
    <row r="827" spans="1:10" ht="13.5">
      <c r="A827" s="186" t="str">
        <f>HYPERLINK("#C1","置顶")</f>
        <v>置顶</v>
      </c>
      <c r="B827" s="179">
        <v>820</v>
      </c>
      <c r="C827" s="172"/>
      <c r="D827" s="221" t="s">
        <v>387</v>
      </c>
      <c r="E827" s="178">
        <f>应交税费!D5</f>
        <v>0</v>
      </c>
      <c r="F827" s="178">
        <v>39206.969999999972</v>
      </c>
      <c r="H827" s="176">
        <f t="shared" si="40"/>
        <v>39206.969999999972</v>
      </c>
    </row>
    <row r="828" spans="1:10" ht="13.5">
      <c r="A828" s="187"/>
      <c r="B828" s="179">
        <v>821</v>
      </c>
      <c r="C828" s="172"/>
      <c r="D828" s="221" t="s">
        <v>1079</v>
      </c>
      <c r="E828" s="178">
        <f>应交税费!D6</f>
        <v>0</v>
      </c>
      <c r="F828" s="178">
        <v>0</v>
      </c>
      <c r="H828" s="176">
        <f t="shared" si="40"/>
        <v>0</v>
      </c>
    </row>
    <row r="829" spans="1:10" ht="13.5">
      <c r="A829" s="187"/>
      <c r="B829" s="179">
        <v>822</v>
      </c>
      <c r="C829" s="172"/>
      <c r="D829" s="221" t="s">
        <v>1080</v>
      </c>
      <c r="E829" s="178">
        <f>应交税费!D7</f>
        <v>941433.12</v>
      </c>
      <c r="F829" s="178">
        <v>0</v>
      </c>
      <c r="H829" s="176">
        <f t="shared" si="40"/>
        <v>941433.12</v>
      </c>
    </row>
    <row r="830" spans="1:10">
      <c r="B830" s="179">
        <v>823</v>
      </c>
      <c r="C830" s="172"/>
      <c r="D830" s="221" t="s">
        <v>1081</v>
      </c>
      <c r="E830" s="178">
        <f>应交税费!D8</f>
        <v>0</v>
      </c>
      <c r="F830" s="178">
        <v>2744.4899999999907</v>
      </c>
      <c r="H830" s="176">
        <f t="shared" si="40"/>
        <v>2744.4899999999907</v>
      </c>
    </row>
    <row r="831" spans="1:10">
      <c r="B831" s="179">
        <v>824</v>
      </c>
      <c r="C831" s="172"/>
      <c r="D831" s="221" t="s">
        <v>1082</v>
      </c>
      <c r="E831" s="178">
        <f>应交税费!D9</f>
        <v>0</v>
      </c>
      <c r="F831" s="178">
        <v>0</v>
      </c>
      <c r="H831" s="176">
        <f t="shared" si="40"/>
        <v>0</v>
      </c>
    </row>
    <row r="832" spans="1:10">
      <c r="B832" s="179">
        <v>825</v>
      </c>
      <c r="C832" s="172"/>
      <c r="D832" s="221" t="s">
        <v>1083</v>
      </c>
      <c r="E832" s="178">
        <f>应交税费!D10</f>
        <v>0</v>
      </c>
      <c r="F832" s="178">
        <v>0</v>
      </c>
      <c r="H832" s="176">
        <f t="shared" si="40"/>
        <v>0</v>
      </c>
    </row>
    <row r="833" spans="1:8">
      <c r="B833" s="179">
        <v>826</v>
      </c>
      <c r="C833" s="172"/>
      <c r="D833" s="221" t="s">
        <v>1084</v>
      </c>
      <c r="E833" s="178">
        <f>应交税费!D11</f>
        <v>79035.990000000005</v>
      </c>
      <c r="F833" s="178">
        <v>357777.99</v>
      </c>
      <c r="H833" s="176">
        <f t="shared" si="40"/>
        <v>278742</v>
      </c>
    </row>
    <row r="834" spans="1:8">
      <c r="A834" s="173" t="s">
        <v>523</v>
      </c>
      <c r="B834" s="179">
        <v>827</v>
      </c>
      <c r="C834" s="172"/>
      <c r="D834" s="221" t="s">
        <v>1085</v>
      </c>
      <c r="E834" s="178">
        <f>应交税费!D12</f>
        <v>0</v>
      </c>
      <c r="F834" s="178">
        <v>2447.6300000001211</v>
      </c>
      <c r="H834" s="176">
        <f t="shared" si="40"/>
        <v>2447.6300000001211</v>
      </c>
    </row>
    <row r="835" spans="1:8">
      <c r="B835" s="179">
        <v>828</v>
      </c>
      <c r="C835" s="172"/>
      <c r="D835" s="221" t="s">
        <v>1086</v>
      </c>
      <c r="E835" s="178">
        <f>应交税费!D13</f>
        <v>0</v>
      </c>
      <c r="F835" s="178">
        <v>16112.619999999995</v>
      </c>
      <c r="H835" s="176">
        <f t="shared" si="40"/>
        <v>16112.619999999995</v>
      </c>
    </row>
    <row r="836" spans="1:8">
      <c r="B836" s="179">
        <v>829</v>
      </c>
      <c r="C836" s="172"/>
      <c r="D836" s="178" t="s">
        <v>823</v>
      </c>
      <c r="E836" s="178">
        <f>应交税费!D14</f>
        <v>1020469.11</v>
      </c>
      <c r="F836" s="178">
        <v>418289.70000000007</v>
      </c>
      <c r="H836" s="176">
        <f>ABS(E836-F836)</f>
        <v>602179.40999999992</v>
      </c>
    </row>
    <row r="837" spans="1:8">
      <c r="B837" s="179">
        <v>830</v>
      </c>
      <c r="C837" s="172"/>
      <c r="H837" s="175">
        <f>SUM(H825:H836)</f>
        <v>1882866.24</v>
      </c>
    </row>
    <row r="838" spans="1:8">
      <c r="B838" s="179">
        <v>831</v>
      </c>
      <c r="C838" s="172"/>
    </row>
    <row r="839" spans="1:8">
      <c r="B839" s="179">
        <v>832</v>
      </c>
      <c r="C839" s="172"/>
      <c r="D839" s="197" t="s">
        <v>1087</v>
      </c>
      <c r="E839" s="201"/>
      <c r="F839" s="201"/>
    </row>
    <row r="840" spans="1:8">
      <c r="B840" s="179">
        <v>833</v>
      </c>
      <c r="C840" s="172"/>
      <c r="D840" s="190" t="s">
        <v>811</v>
      </c>
      <c r="E840" s="178" t="s">
        <v>526</v>
      </c>
      <c r="F840" s="252" t="s">
        <v>1410</v>
      </c>
      <c r="H840" s="172" t="s">
        <v>524</v>
      </c>
    </row>
    <row r="841" spans="1:8">
      <c r="B841" s="179">
        <v>834</v>
      </c>
      <c r="C841" s="172"/>
      <c r="D841" s="213" t="s">
        <v>1088</v>
      </c>
      <c r="E841" s="178">
        <f>应付利息!E3</f>
        <v>0</v>
      </c>
      <c r="F841" s="178">
        <v>85690</v>
      </c>
      <c r="H841" s="176">
        <f>ABS(E841-F841)</f>
        <v>85690</v>
      </c>
    </row>
    <row r="842" spans="1:8">
      <c r="B842" s="179">
        <v>835</v>
      </c>
      <c r="C842" s="172"/>
      <c r="D842" s="213" t="s">
        <v>1089</v>
      </c>
      <c r="E842" s="178">
        <f>应付利息!E4</f>
        <v>0</v>
      </c>
      <c r="F842" s="178">
        <v>0</v>
      </c>
      <c r="H842" s="176">
        <f t="shared" ref="H842:H849" si="41">ABS(E842-F842)</f>
        <v>0</v>
      </c>
    </row>
    <row r="843" spans="1:8">
      <c r="B843" s="179">
        <v>836</v>
      </c>
      <c r="C843" s="172"/>
      <c r="D843" s="213" t="s">
        <v>1090</v>
      </c>
      <c r="E843" s="178">
        <f>应付利息!E5</f>
        <v>0</v>
      </c>
      <c r="F843" s="178">
        <v>316250</v>
      </c>
      <c r="H843" s="176">
        <f t="shared" si="41"/>
        <v>316250</v>
      </c>
    </row>
    <row r="844" spans="1:8">
      <c r="B844" s="179">
        <v>837</v>
      </c>
      <c r="C844" s="172"/>
      <c r="D844" s="213" t="s">
        <v>1091</v>
      </c>
      <c r="E844" s="178">
        <f>应付利息!E6</f>
        <v>0</v>
      </c>
      <c r="F844" s="178">
        <v>0</v>
      </c>
      <c r="H844" s="176">
        <f t="shared" si="41"/>
        <v>0</v>
      </c>
    </row>
    <row r="845" spans="1:8">
      <c r="B845" s="179">
        <v>838</v>
      </c>
      <c r="C845" s="172"/>
      <c r="D845" s="213" t="s">
        <v>1092</v>
      </c>
      <c r="E845" s="178">
        <f>应付利息!E7</f>
        <v>0</v>
      </c>
      <c r="F845" s="178">
        <v>0</v>
      </c>
      <c r="H845" s="176">
        <f t="shared" si="41"/>
        <v>0</v>
      </c>
    </row>
    <row r="846" spans="1:8">
      <c r="B846" s="179">
        <v>839</v>
      </c>
      <c r="C846" s="172"/>
      <c r="D846" s="213" t="s">
        <v>1093</v>
      </c>
      <c r="E846" s="178">
        <f>应付利息!E8</f>
        <v>0</v>
      </c>
      <c r="F846" s="178">
        <v>0</v>
      </c>
      <c r="H846" s="176">
        <f t="shared" si="41"/>
        <v>0</v>
      </c>
    </row>
    <row r="847" spans="1:8">
      <c r="B847" s="179">
        <v>840</v>
      </c>
      <c r="C847" s="172"/>
      <c r="D847" s="213" t="s">
        <v>1094</v>
      </c>
      <c r="E847" s="178">
        <f>应付利息!E9</f>
        <v>0</v>
      </c>
      <c r="F847" s="178">
        <v>0</v>
      </c>
      <c r="H847" s="176">
        <f t="shared" si="41"/>
        <v>0</v>
      </c>
    </row>
    <row r="848" spans="1:8">
      <c r="B848" s="179">
        <v>841</v>
      </c>
      <c r="C848" s="172"/>
      <c r="D848" s="213" t="s">
        <v>1095</v>
      </c>
      <c r="E848" s="178">
        <f>应付利息!E10</f>
        <v>0</v>
      </c>
      <c r="F848" s="178">
        <v>0</v>
      </c>
      <c r="H848" s="176">
        <f t="shared" si="41"/>
        <v>0</v>
      </c>
    </row>
    <row r="849" spans="1:8">
      <c r="A849" s="177" t="str">
        <f>HYPERLINK("#C1","置顶")</f>
        <v>置顶</v>
      </c>
      <c r="B849" s="179">
        <v>842</v>
      </c>
      <c r="C849" s="172"/>
      <c r="D849" s="190" t="s">
        <v>1096</v>
      </c>
      <c r="E849" s="178">
        <f>应付利息!E11</f>
        <v>0</v>
      </c>
      <c r="F849" s="178">
        <v>401940</v>
      </c>
      <c r="H849" s="176">
        <f t="shared" si="41"/>
        <v>401940</v>
      </c>
    </row>
    <row r="850" spans="1:8">
      <c r="A850" s="181"/>
      <c r="B850" s="179">
        <v>843</v>
      </c>
      <c r="C850" s="172"/>
      <c r="H850" s="175">
        <f>SUM(H841:H849)</f>
        <v>803880</v>
      </c>
    </row>
    <row r="851" spans="1:8">
      <c r="A851" s="173" t="s">
        <v>523</v>
      </c>
      <c r="B851" s="179">
        <v>844</v>
      </c>
      <c r="C851" s="172"/>
    </row>
    <row r="852" spans="1:8">
      <c r="A852" s="181"/>
      <c r="B852" s="179">
        <v>845</v>
      </c>
      <c r="C852" s="172"/>
      <c r="D852" s="197" t="s">
        <v>1097</v>
      </c>
      <c r="E852" s="222"/>
      <c r="F852" s="218"/>
    </row>
    <row r="853" spans="1:8">
      <c r="B853" s="179">
        <v>846</v>
      </c>
      <c r="C853" s="172"/>
      <c r="D853" s="217" t="s">
        <v>1098</v>
      </c>
      <c r="E853" s="222"/>
      <c r="F853" s="218"/>
    </row>
    <row r="854" spans="1:8">
      <c r="B854" s="179">
        <v>847</v>
      </c>
      <c r="C854" s="172"/>
      <c r="D854" s="178" t="s">
        <v>1099</v>
      </c>
      <c r="E854" s="178" t="s">
        <v>526</v>
      </c>
      <c r="F854" s="252" t="s">
        <v>1410</v>
      </c>
      <c r="H854" s="172" t="s">
        <v>524</v>
      </c>
    </row>
    <row r="855" spans="1:8" ht="13.5">
      <c r="A855" s="186" t="str">
        <f>HYPERLINK("#C1","置顶")</f>
        <v>置顶</v>
      </c>
      <c r="B855" s="179">
        <v>848</v>
      </c>
      <c r="C855" s="172"/>
      <c r="D855" s="200" t="s">
        <v>355</v>
      </c>
      <c r="E855" s="178">
        <f>其他应付款!E4</f>
        <v>31046.67</v>
      </c>
      <c r="F855" s="178">
        <v>4149078.3200000003</v>
      </c>
      <c r="H855" s="176">
        <f>ABS(E855-F855)</f>
        <v>4118031.6500000004</v>
      </c>
    </row>
    <row r="856" spans="1:8" ht="13.5">
      <c r="A856" s="187"/>
      <c r="B856" s="179">
        <v>849</v>
      </c>
      <c r="C856" s="172"/>
      <c r="D856" s="200" t="s">
        <v>1051</v>
      </c>
      <c r="E856" s="178">
        <f>其他应付款!E5</f>
        <v>9631.5300000000007</v>
      </c>
      <c r="F856" s="178">
        <v>2927563.59</v>
      </c>
      <c r="H856" s="176">
        <f>ABS(E856-F856)</f>
        <v>2917932.06</v>
      </c>
    </row>
    <row r="857" spans="1:8" ht="13.5">
      <c r="A857" s="187"/>
      <c r="B857" s="179">
        <v>850</v>
      </c>
      <c r="C857" s="172"/>
      <c r="D857" s="200" t="s">
        <v>1052</v>
      </c>
      <c r="E857" s="178">
        <f>其他应付款!E6</f>
        <v>0</v>
      </c>
      <c r="F857" s="178">
        <v>6000</v>
      </c>
      <c r="H857" s="176">
        <f>ABS(E857-F857)</f>
        <v>6000</v>
      </c>
    </row>
    <row r="858" spans="1:8">
      <c r="B858" s="179">
        <v>851</v>
      </c>
      <c r="C858" s="172"/>
      <c r="D858" s="200" t="s">
        <v>1053</v>
      </c>
      <c r="E858" s="178">
        <f>其他应付款!E23</f>
        <v>0</v>
      </c>
      <c r="F858" s="178">
        <v>6546490.3300000001</v>
      </c>
      <c r="H858" s="176">
        <f>ABS(E858-F858)</f>
        <v>6546490.3300000001</v>
      </c>
    </row>
    <row r="859" spans="1:8">
      <c r="B859" s="179">
        <v>852</v>
      </c>
      <c r="C859" s="172"/>
      <c r="D859" s="178" t="s">
        <v>839</v>
      </c>
      <c r="E859" s="178">
        <f>其他应付款!E24</f>
        <v>40678.199999999997</v>
      </c>
      <c r="F859" s="178">
        <v>13629132.24</v>
      </c>
      <c r="H859" s="176">
        <f>ABS(E859-F859)</f>
        <v>13588454.040000001</v>
      </c>
    </row>
    <row r="860" spans="1:8">
      <c r="B860" s="179">
        <v>853</v>
      </c>
      <c r="C860" s="172"/>
      <c r="H860" s="175">
        <f>SUM(H855:H859)</f>
        <v>27176908.080000002</v>
      </c>
    </row>
    <row r="861" spans="1:8">
      <c r="B861" s="179">
        <v>854</v>
      </c>
      <c r="C861" s="172"/>
    </row>
    <row r="862" spans="1:8">
      <c r="A862" s="173" t="s">
        <v>523</v>
      </c>
      <c r="B862" s="179">
        <v>855</v>
      </c>
      <c r="C862" s="172"/>
      <c r="D862" s="197" t="s">
        <v>1100</v>
      </c>
      <c r="E862" s="201"/>
      <c r="F862" s="201"/>
    </row>
    <row r="863" spans="1:8">
      <c r="A863" s="181"/>
      <c r="B863" s="179">
        <v>856</v>
      </c>
      <c r="C863" s="172"/>
      <c r="D863" s="178" t="s">
        <v>890</v>
      </c>
      <c r="E863" s="178" t="s">
        <v>526</v>
      </c>
      <c r="F863" s="252" t="s">
        <v>1410</v>
      </c>
      <c r="H863" s="172" t="s">
        <v>524</v>
      </c>
    </row>
    <row r="864" spans="1:8">
      <c r="B864" s="179">
        <v>857</v>
      </c>
      <c r="C864" s="172"/>
      <c r="D864" s="209" t="s">
        <v>1101</v>
      </c>
      <c r="E864" s="178">
        <f>一年内到期的非流动负债!E3</f>
        <v>0</v>
      </c>
      <c r="F864" s="178">
        <v>1000000</v>
      </c>
      <c r="H864" s="176">
        <f t="shared" ref="H864:H872" si="42">ABS(E864-F864)</f>
        <v>1000000</v>
      </c>
    </row>
    <row r="865" spans="1:9">
      <c r="B865" s="179">
        <v>858</v>
      </c>
      <c r="C865" s="172"/>
      <c r="D865" s="209" t="s">
        <v>1102</v>
      </c>
      <c r="E865" s="178">
        <f>一年内到期的非流动负债!E4</f>
        <v>0</v>
      </c>
      <c r="F865" s="178">
        <v>0</v>
      </c>
      <c r="H865" s="176">
        <f t="shared" si="42"/>
        <v>0</v>
      </c>
    </row>
    <row r="866" spans="1:9">
      <c r="B866" s="179">
        <v>859</v>
      </c>
      <c r="C866" s="172"/>
      <c r="D866" s="209" t="s">
        <v>1103</v>
      </c>
      <c r="E866" s="178">
        <f>一年内到期的非流动负债!E5</f>
        <v>0</v>
      </c>
      <c r="F866" s="178">
        <v>0</v>
      </c>
      <c r="H866" s="176">
        <f t="shared" si="42"/>
        <v>0</v>
      </c>
    </row>
    <row r="867" spans="1:9">
      <c r="B867" s="179">
        <v>860</v>
      </c>
      <c r="C867" s="172"/>
      <c r="D867" s="209" t="s">
        <v>1104</v>
      </c>
      <c r="E867" s="178">
        <f>一年内到期的非流动负债!E6</f>
        <v>0</v>
      </c>
      <c r="F867" s="178">
        <v>0</v>
      </c>
      <c r="H867" s="176">
        <f t="shared" si="42"/>
        <v>0</v>
      </c>
    </row>
    <row r="868" spans="1:9">
      <c r="B868" s="179">
        <v>861</v>
      </c>
      <c r="C868" s="172"/>
      <c r="D868" s="209" t="s">
        <v>1105</v>
      </c>
      <c r="E868" s="178">
        <f>一年内到期的非流动负债!E7</f>
        <v>0</v>
      </c>
      <c r="F868" s="178">
        <v>1000000</v>
      </c>
      <c r="H868" s="176">
        <f t="shared" si="42"/>
        <v>1000000</v>
      </c>
    </row>
    <row r="869" spans="1:9">
      <c r="B869" s="179">
        <v>862</v>
      </c>
      <c r="C869" s="172"/>
      <c r="D869" s="209" t="s">
        <v>1106</v>
      </c>
      <c r="E869" s="178">
        <f>一年内到期的非流动负债!E8</f>
        <v>0</v>
      </c>
      <c r="F869" s="178">
        <v>0</v>
      </c>
      <c r="H869" s="176">
        <f t="shared" si="42"/>
        <v>0</v>
      </c>
    </row>
    <row r="870" spans="1:9" ht="25.5">
      <c r="A870" s="186" t="str">
        <f>HYPERLINK("#C1","置顶")</f>
        <v>置顶</v>
      </c>
      <c r="B870" s="179">
        <v>863</v>
      </c>
      <c r="C870" s="172"/>
      <c r="D870" s="209" t="s">
        <v>1107</v>
      </c>
      <c r="E870" s="178">
        <f>一年内到期的非流动负债!E9</f>
        <v>0</v>
      </c>
      <c r="F870" s="178">
        <v>0</v>
      </c>
      <c r="H870" s="176">
        <f t="shared" si="42"/>
        <v>0</v>
      </c>
    </row>
    <row r="871" spans="1:9" ht="13.5">
      <c r="A871" s="187"/>
      <c r="B871" s="179">
        <v>864</v>
      </c>
      <c r="C871" s="172"/>
      <c r="D871" s="209" t="s">
        <v>1108</v>
      </c>
      <c r="E871" s="178">
        <f>一年内到期的非流动负债!E10</f>
        <v>0</v>
      </c>
      <c r="F871" s="178">
        <v>0</v>
      </c>
      <c r="H871" s="176">
        <f t="shared" si="42"/>
        <v>0</v>
      </c>
    </row>
    <row r="872" spans="1:9">
      <c r="B872" s="179">
        <v>865</v>
      </c>
      <c r="C872" s="172"/>
      <c r="D872" s="178" t="s">
        <v>839</v>
      </c>
      <c r="E872" s="178">
        <f>一年内到期的非流动负债!E11</f>
        <v>0</v>
      </c>
      <c r="F872" s="178">
        <v>1000000</v>
      </c>
      <c r="H872" s="176">
        <f t="shared" si="42"/>
        <v>1000000</v>
      </c>
    </row>
    <row r="873" spans="1:9">
      <c r="B873" s="179">
        <v>866</v>
      </c>
      <c r="C873" s="172"/>
      <c r="H873" s="175">
        <f>SUM(H864:H872)</f>
        <v>3000000</v>
      </c>
    </row>
    <row r="874" spans="1:9">
      <c r="B874" s="179">
        <v>867</v>
      </c>
      <c r="C874" s="172"/>
      <c r="D874" s="197" t="s">
        <v>1109</v>
      </c>
      <c r="E874" s="201"/>
      <c r="F874" s="201"/>
    </row>
    <row r="875" spans="1:9">
      <c r="B875" s="179">
        <v>868</v>
      </c>
      <c r="C875" s="172"/>
      <c r="D875" s="178" t="s">
        <v>1013</v>
      </c>
      <c r="E875" s="178" t="s">
        <v>526</v>
      </c>
      <c r="F875" s="178" t="s">
        <v>1013</v>
      </c>
      <c r="G875" s="252" t="s">
        <v>1410</v>
      </c>
      <c r="H875" s="178" t="s">
        <v>1013</v>
      </c>
      <c r="I875" s="172" t="s">
        <v>524</v>
      </c>
    </row>
    <row r="876" spans="1:9">
      <c r="A876" s="173" t="s">
        <v>523</v>
      </c>
      <c r="B876" s="179">
        <v>869</v>
      </c>
      <c r="C876" s="172"/>
      <c r="D876" s="209" t="s">
        <v>1110</v>
      </c>
      <c r="E876" s="178">
        <f>其他流动负债!E3</f>
        <v>0</v>
      </c>
      <c r="F876" s="209" t="s">
        <v>1111</v>
      </c>
      <c r="G876" s="178">
        <v>0</v>
      </c>
      <c r="H876" s="209" t="s">
        <v>1111</v>
      </c>
      <c r="I876" s="180">
        <f>ABS(E876+E877-G876)</f>
        <v>0</v>
      </c>
    </row>
    <row r="877" spans="1:9">
      <c r="A877" s="181"/>
      <c r="B877" s="179">
        <v>870</v>
      </c>
      <c r="C877" s="172"/>
      <c r="D877" s="209" t="s">
        <v>1112</v>
      </c>
      <c r="E877" s="178">
        <f>其他流动负债!E4</f>
        <v>0</v>
      </c>
      <c r="F877" s="209" t="s">
        <v>1113</v>
      </c>
      <c r="G877" s="178">
        <v>0</v>
      </c>
      <c r="H877" s="209" t="s">
        <v>1114</v>
      </c>
      <c r="I877" s="180">
        <f>ABS(E878-G877)</f>
        <v>0</v>
      </c>
    </row>
    <row r="878" spans="1:9">
      <c r="B878" s="179">
        <v>871</v>
      </c>
      <c r="C878" s="172"/>
      <c r="D878" s="209" t="s">
        <v>1114</v>
      </c>
      <c r="E878" s="178">
        <f>其他流动负债!E5</f>
        <v>0</v>
      </c>
      <c r="F878" s="209"/>
      <c r="G878" s="178">
        <v>0</v>
      </c>
      <c r="H878" s="209"/>
      <c r="I878" s="180">
        <f>ABS(E878-G878)</f>
        <v>0</v>
      </c>
    </row>
    <row r="879" spans="1:9">
      <c r="B879" s="179">
        <v>872</v>
      </c>
      <c r="C879" s="172"/>
      <c r="D879" s="209"/>
      <c r="E879" s="178">
        <f>其他流动负债!E6</f>
        <v>0</v>
      </c>
      <c r="F879" s="209"/>
      <c r="G879" s="178">
        <v>0</v>
      </c>
      <c r="I879" s="180">
        <f t="shared" ref="I879:I885" si="43">ABS(E879-G879)</f>
        <v>0</v>
      </c>
    </row>
    <row r="880" spans="1:9">
      <c r="B880" s="179">
        <v>873</v>
      </c>
      <c r="C880" s="172"/>
      <c r="D880" s="209"/>
      <c r="E880" s="178">
        <f>其他流动负债!E7</f>
        <v>0</v>
      </c>
      <c r="F880" s="209"/>
      <c r="G880" s="178">
        <v>0</v>
      </c>
      <c r="I880" s="180">
        <f t="shared" si="43"/>
        <v>0</v>
      </c>
    </row>
    <row r="881" spans="1:9">
      <c r="B881" s="179">
        <v>874</v>
      </c>
      <c r="C881" s="172"/>
      <c r="D881" s="209"/>
      <c r="E881" s="178">
        <f>其他流动负债!E8</f>
        <v>0</v>
      </c>
      <c r="F881" s="209"/>
      <c r="G881" s="178">
        <v>0</v>
      </c>
      <c r="I881" s="180">
        <f t="shared" si="43"/>
        <v>0</v>
      </c>
    </row>
    <row r="882" spans="1:9">
      <c r="B882" s="179">
        <v>875</v>
      </c>
      <c r="C882" s="172"/>
      <c r="D882" s="209"/>
      <c r="E882" s="178">
        <f>其他流动负债!E9</f>
        <v>0</v>
      </c>
      <c r="F882" s="209"/>
      <c r="G882" s="178">
        <v>0</v>
      </c>
      <c r="I882" s="180">
        <f t="shared" si="43"/>
        <v>0</v>
      </c>
    </row>
    <row r="883" spans="1:9">
      <c r="B883" s="179">
        <v>876</v>
      </c>
      <c r="C883" s="172"/>
      <c r="D883" s="209"/>
      <c r="E883" s="178">
        <f>其他流动负债!E10</f>
        <v>0</v>
      </c>
      <c r="F883" s="209"/>
      <c r="G883" s="178">
        <v>0</v>
      </c>
      <c r="I883" s="180">
        <f t="shared" si="43"/>
        <v>0</v>
      </c>
    </row>
    <row r="884" spans="1:9" ht="13.5">
      <c r="A884" s="186" t="str">
        <f>HYPERLINK("#C1","置顶")</f>
        <v>置顶</v>
      </c>
      <c r="B884" s="179">
        <v>877</v>
      </c>
      <c r="C884" s="172"/>
      <c r="D884" s="209"/>
      <c r="E884" s="178">
        <f>其他流动负债!E11</f>
        <v>0</v>
      </c>
      <c r="F884" s="209"/>
      <c r="G884" s="178">
        <v>0</v>
      </c>
      <c r="I884" s="180">
        <f t="shared" si="43"/>
        <v>0</v>
      </c>
    </row>
    <row r="885" spans="1:9" ht="13.5">
      <c r="A885" s="187"/>
      <c r="B885" s="179">
        <v>878</v>
      </c>
      <c r="C885" s="172"/>
      <c r="D885" s="209"/>
      <c r="E885" s="178">
        <f>其他流动负债!E12</f>
        <v>0</v>
      </c>
      <c r="F885" s="209"/>
      <c r="G885" s="178">
        <v>0</v>
      </c>
      <c r="I885" s="180">
        <f t="shared" si="43"/>
        <v>0</v>
      </c>
    </row>
    <row r="886" spans="1:9" ht="13.5">
      <c r="A886" s="187"/>
      <c r="B886" s="179">
        <v>879</v>
      </c>
      <c r="C886" s="172"/>
      <c r="D886" s="202" t="s">
        <v>1115</v>
      </c>
      <c r="E886" s="178">
        <f>其他流动负债!E13</f>
        <v>0</v>
      </c>
      <c r="F886" s="202" t="s">
        <v>1115</v>
      </c>
      <c r="G886" s="178">
        <v>0</v>
      </c>
      <c r="I886" s="180">
        <f>ABS(E886-G886)</f>
        <v>0</v>
      </c>
    </row>
    <row r="887" spans="1:9">
      <c r="B887" s="179">
        <v>880</v>
      </c>
      <c r="C887" s="172"/>
      <c r="I887" s="175">
        <f>SUM(I876:I886)</f>
        <v>0</v>
      </c>
    </row>
    <row r="888" spans="1:9">
      <c r="B888" s="179">
        <v>881</v>
      </c>
      <c r="C888" s="172"/>
    </row>
    <row r="889" spans="1:9">
      <c r="B889" s="179">
        <v>882</v>
      </c>
      <c r="C889" s="172"/>
      <c r="D889" s="197" t="s">
        <v>1116</v>
      </c>
      <c r="E889" s="201"/>
      <c r="F889" s="201"/>
    </row>
    <row r="890" spans="1:9">
      <c r="B890" s="179">
        <v>883</v>
      </c>
      <c r="C890" s="172"/>
      <c r="D890" s="217" t="s">
        <v>1117</v>
      </c>
      <c r="E890" s="201"/>
      <c r="F890" s="201"/>
    </row>
    <row r="891" spans="1:9">
      <c r="A891" s="173" t="s">
        <v>523</v>
      </c>
      <c r="B891" s="179">
        <v>884</v>
      </c>
      <c r="C891" s="172"/>
      <c r="D891" s="178" t="s">
        <v>1118</v>
      </c>
      <c r="E891" s="178" t="s">
        <v>526</v>
      </c>
      <c r="F891" s="252" t="s">
        <v>1410</v>
      </c>
      <c r="H891" s="172" t="s">
        <v>524</v>
      </c>
    </row>
    <row r="892" spans="1:9">
      <c r="B892" s="179">
        <v>885</v>
      </c>
      <c r="C892" s="172"/>
      <c r="D892" s="209" t="s">
        <v>1037</v>
      </c>
      <c r="E892" s="178">
        <f>长期借款!E4</f>
        <v>0</v>
      </c>
      <c r="F892" s="178">
        <v>0</v>
      </c>
      <c r="H892" s="176">
        <f>ABS(E892-F892)</f>
        <v>0</v>
      </c>
    </row>
    <row r="893" spans="1:9">
      <c r="B893" s="179">
        <v>886</v>
      </c>
      <c r="C893" s="172"/>
      <c r="D893" s="209" t="s">
        <v>1038</v>
      </c>
      <c r="E893" s="178">
        <f>长期借款!E5</f>
        <v>0</v>
      </c>
      <c r="F893" s="178">
        <v>0</v>
      </c>
      <c r="H893" s="176">
        <f t="shared" ref="H893:H898" si="44">ABS(E893-F893)</f>
        <v>0</v>
      </c>
    </row>
    <row r="894" spans="1:9">
      <c r="B894" s="179">
        <v>887</v>
      </c>
      <c r="C894" s="172"/>
      <c r="D894" s="209" t="s">
        <v>1039</v>
      </c>
      <c r="E894" s="178">
        <f>长期借款!E6</f>
        <v>0</v>
      </c>
      <c r="F894" s="178">
        <v>0</v>
      </c>
      <c r="H894" s="176">
        <f t="shared" si="44"/>
        <v>0</v>
      </c>
    </row>
    <row r="895" spans="1:9">
      <c r="B895" s="179">
        <v>888</v>
      </c>
      <c r="C895" s="172"/>
      <c r="D895" s="209" t="s">
        <v>1040</v>
      </c>
      <c r="E895" s="178">
        <f>长期借款!E7</f>
        <v>0</v>
      </c>
      <c r="F895" s="178">
        <v>48000000</v>
      </c>
      <c r="H895" s="176">
        <f t="shared" si="44"/>
        <v>48000000</v>
      </c>
    </row>
    <row r="896" spans="1:9">
      <c r="B896" s="179">
        <v>889</v>
      </c>
      <c r="C896" s="172"/>
      <c r="D896" s="178" t="s">
        <v>836</v>
      </c>
      <c r="E896" s="178">
        <f>长期借款!E8</f>
        <v>0</v>
      </c>
      <c r="F896" s="178">
        <v>48000000</v>
      </c>
      <c r="H896" s="176">
        <f t="shared" si="44"/>
        <v>48000000</v>
      </c>
    </row>
    <row r="897" spans="1:11">
      <c r="B897" s="179">
        <v>890</v>
      </c>
      <c r="C897" s="172"/>
      <c r="D897" s="209" t="s">
        <v>1119</v>
      </c>
      <c r="E897" s="178">
        <f>长期借款!E9</f>
        <v>0</v>
      </c>
      <c r="F897" s="178">
        <v>1000000</v>
      </c>
      <c r="H897" s="176">
        <f t="shared" si="44"/>
        <v>1000000</v>
      </c>
    </row>
    <row r="898" spans="1:11">
      <c r="B898" s="179">
        <v>891</v>
      </c>
      <c r="C898" s="172"/>
      <c r="D898" s="178" t="s">
        <v>1005</v>
      </c>
      <c r="E898" s="178">
        <f>长期借款!E10</f>
        <v>0</v>
      </c>
      <c r="F898" s="178">
        <v>47000000</v>
      </c>
      <c r="H898" s="176">
        <f t="shared" si="44"/>
        <v>47000000</v>
      </c>
    </row>
    <row r="899" spans="1:11">
      <c r="B899" s="179">
        <v>892</v>
      </c>
      <c r="C899" s="172"/>
      <c r="H899" s="175">
        <f>SUM(H892:H898)</f>
        <v>144000000</v>
      </c>
    </row>
    <row r="900" spans="1:11">
      <c r="B900" s="179">
        <v>893</v>
      </c>
      <c r="C900" s="172"/>
    </row>
    <row r="901" spans="1:11">
      <c r="A901" s="173" t="s">
        <v>523</v>
      </c>
      <c r="B901" s="179">
        <v>894</v>
      </c>
      <c r="C901" s="172"/>
      <c r="D901" s="197" t="s">
        <v>1120</v>
      </c>
      <c r="E901" s="201"/>
      <c r="F901" s="201"/>
    </row>
    <row r="902" spans="1:11">
      <c r="A902" s="181"/>
      <c r="B902" s="179">
        <v>895</v>
      </c>
      <c r="C902" s="172"/>
      <c r="D902" s="204" t="s">
        <v>1121</v>
      </c>
      <c r="E902" s="201"/>
      <c r="F902" s="201"/>
      <c r="G902" s="201"/>
      <c r="I902" s="201"/>
    </row>
    <row r="903" spans="1:11">
      <c r="B903" s="179">
        <v>896</v>
      </c>
      <c r="C903" s="172"/>
      <c r="D903" s="190" t="s">
        <v>1013</v>
      </c>
      <c r="E903" s="190" t="s">
        <v>526</v>
      </c>
      <c r="F903" s="201"/>
      <c r="G903" s="190" t="s">
        <v>1013</v>
      </c>
      <c r="H903" s="273" t="s">
        <v>1410</v>
      </c>
      <c r="I903" s="201"/>
      <c r="J903" s="190" t="s">
        <v>1013</v>
      </c>
      <c r="K903" s="198" t="s">
        <v>524</v>
      </c>
    </row>
    <row r="904" spans="1:11">
      <c r="B904" s="179">
        <v>897</v>
      </c>
      <c r="C904" s="172"/>
      <c r="D904" s="190" t="s">
        <v>823</v>
      </c>
      <c r="E904" s="190">
        <f>长期应付款!E4</f>
        <v>0</v>
      </c>
      <c r="F904" s="201"/>
      <c r="G904" s="190" t="s">
        <v>823</v>
      </c>
      <c r="H904" s="190">
        <v>0</v>
      </c>
      <c r="I904" s="201"/>
      <c r="J904" s="190" t="s">
        <v>823</v>
      </c>
      <c r="K904" s="223">
        <f>ABS(E904-H904)</f>
        <v>0</v>
      </c>
    </row>
    <row r="905" spans="1:11">
      <c r="B905" s="179">
        <v>898</v>
      </c>
      <c r="C905" s="172"/>
      <c r="D905" s="196" t="s">
        <v>1122</v>
      </c>
      <c r="E905" s="196">
        <f>长期应付款!E5</f>
        <v>0</v>
      </c>
      <c r="F905" s="201"/>
      <c r="G905" s="196" t="s">
        <v>1122</v>
      </c>
      <c r="H905" s="196">
        <v>0</v>
      </c>
      <c r="I905" s="201"/>
      <c r="J905" s="196" t="s">
        <v>1122</v>
      </c>
      <c r="K905" s="184">
        <f>ABS(E905-H905)</f>
        <v>0</v>
      </c>
    </row>
    <row r="906" spans="1:11">
      <c r="B906" s="179">
        <v>899</v>
      </c>
      <c r="C906" s="172"/>
      <c r="D906" s="196" t="s">
        <v>1123</v>
      </c>
      <c r="E906" s="196">
        <f>长期应付款!E6</f>
        <v>0</v>
      </c>
      <c r="F906" s="201"/>
      <c r="G906" s="196"/>
      <c r="H906" s="196">
        <v>0</v>
      </c>
      <c r="I906" s="201"/>
      <c r="J906" s="196"/>
      <c r="K906" s="184">
        <f>ABS(E906-H906)</f>
        <v>0</v>
      </c>
    </row>
    <row r="907" spans="1:11">
      <c r="B907" s="179">
        <v>900</v>
      </c>
      <c r="C907" s="172"/>
      <c r="D907" s="196" t="s">
        <v>1124</v>
      </c>
      <c r="E907" s="196">
        <f>长期应付款!E7</f>
        <v>0</v>
      </c>
      <c r="F907" s="201"/>
      <c r="G907" s="196"/>
      <c r="H907" s="196">
        <v>0</v>
      </c>
      <c r="I907" s="201"/>
      <c r="J907" s="196"/>
      <c r="K907" s="184">
        <f t="shared" ref="K907:K913" si="45">ABS(E907-H907)</f>
        <v>0</v>
      </c>
    </row>
    <row r="908" spans="1:11">
      <c r="B908" s="179">
        <v>901</v>
      </c>
      <c r="C908" s="172"/>
      <c r="D908" s="196" t="s">
        <v>1125</v>
      </c>
      <c r="E908" s="196">
        <f>长期应付款!E8</f>
        <v>0</v>
      </c>
      <c r="F908" s="201"/>
      <c r="G908" s="196"/>
      <c r="H908" s="196">
        <v>0</v>
      </c>
      <c r="I908" s="201"/>
      <c r="J908" s="196"/>
      <c r="K908" s="184">
        <f t="shared" si="45"/>
        <v>0</v>
      </c>
    </row>
    <row r="909" spans="1:11" ht="13.5">
      <c r="A909" s="186" t="str">
        <f>HYPERLINK("#C1","置顶")</f>
        <v>置顶</v>
      </c>
      <c r="B909" s="179">
        <v>902</v>
      </c>
      <c r="C909" s="172"/>
      <c r="D909" s="196" t="s">
        <v>1126</v>
      </c>
      <c r="E909" s="196">
        <f>长期应付款!E9</f>
        <v>0</v>
      </c>
      <c r="F909" s="201"/>
      <c r="G909" s="196"/>
      <c r="H909" s="196">
        <v>0</v>
      </c>
      <c r="I909" s="201"/>
      <c r="J909" s="196"/>
      <c r="K909" s="184">
        <f t="shared" si="45"/>
        <v>0</v>
      </c>
    </row>
    <row r="910" spans="1:11" ht="13.5">
      <c r="A910" s="187"/>
      <c r="B910" s="179">
        <v>903</v>
      </c>
      <c r="C910" s="172"/>
      <c r="D910" s="196" t="s">
        <v>1127</v>
      </c>
      <c r="E910" s="196">
        <f>长期应付款!E10</f>
        <v>0</v>
      </c>
      <c r="F910" s="201"/>
      <c r="G910" s="196"/>
      <c r="H910" s="196">
        <v>0</v>
      </c>
      <c r="I910" s="201"/>
      <c r="J910" s="196"/>
      <c r="K910" s="184">
        <f t="shared" si="45"/>
        <v>0</v>
      </c>
    </row>
    <row r="911" spans="1:11" ht="13.5">
      <c r="A911" s="187"/>
      <c r="B911" s="179">
        <v>904</v>
      </c>
      <c r="C911" s="172"/>
      <c r="D911" s="224" t="s">
        <v>1128</v>
      </c>
      <c r="E911" s="178">
        <f>长期应付款!E11</f>
        <v>0</v>
      </c>
      <c r="F911" s="201"/>
      <c r="G911" s="224"/>
      <c r="H911" s="178">
        <v>0</v>
      </c>
      <c r="I911" s="201"/>
      <c r="J911" s="224"/>
      <c r="K911" s="184">
        <f t="shared" si="45"/>
        <v>0</v>
      </c>
    </row>
    <row r="912" spans="1:11">
      <c r="B912" s="179">
        <v>905</v>
      </c>
      <c r="C912" s="172"/>
      <c r="D912" s="224" t="s">
        <v>1129</v>
      </c>
      <c r="E912" s="178">
        <f>长期应付款!E12</f>
        <v>0</v>
      </c>
      <c r="F912" s="201"/>
      <c r="G912" s="224"/>
      <c r="H912" s="178">
        <v>0</v>
      </c>
      <c r="I912" s="201"/>
      <c r="J912" s="224"/>
      <c r="K912" s="184">
        <f t="shared" si="45"/>
        <v>0</v>
      </c>
    </row>
    <row r="913" spans="1:11">
      <c r="B913" s="179">
        <v>906</v>
      </c>
      <c r="C913" s="172"/>
      <c r="D913" s="224" t="s">
        <v>1130</v>
      </c>
      <c r="E913" s="178">
        <f>长期应付款!E13</f>
        <v>0</v>
      </c>
      <c r="F913" s="201"/>
      <c r="G913" s="224"/>
      <c r="H913" s="178">
        <v>0</v>
      </c>
      <c r="I913" s="201"/>
      <c r="J913" s="224"/>
      <c r="K913" s="184">
        <f t="shared" si="45"/>
        <v>0</v>
      </c>
    </row>
    <row r="914" spans="1:11">
      <c r="B914" s="179">
        <v>907</v>
      </c>
      <c r="C914" s="172"/>
      <c r="D914" s="224" t="s">
        <v>1131</v>
      </c>
      <c r="E914" s="178">
        <f>长期应付款!E14</f>
        <v>0</v>
      </c>
      <c r="F914" s="201"/>
      <c r="G914" s="224"/>
      <c r="H914" s="178">
        <v>0</v>
      </c>
      <c r="I914" s="201"/>
      <c r="J914" s="224"/>
      <c r="K914" s="184">
        <f>ABS(E914-H914)</f>
        <v>0</v>
      </c>
    </row>
    <row r="915" spans="1:11">
      <c r="B915" s="179">
        <v>908</v>
      </c>
      <c r="C915" s="172"/>
      <c r="I915" s="201"/>
      <c r="K915" s="175">
        <f>SUM(K904:K914)</f>
        <v>0</v>
      </c>
    </row>
    <row r="916" spans="1:11">
      <c r="A916" s="173" t="s">
        <v>523</v>
      </c>
      <c r="B916" s="179">
        <v>909</v>
      </c>
      <c r="C916" s="172"/>
      <c r="I916" s="201"/>
    </row>
    <row r="917" spans="1:11">
      <c r="B917" s="179">
        <v>910</v>
      </c>
      <c r="C917" s="172"/>
      <c r="D917" s="197" t="s">
        <v>1132</v>
      </c>
      <c r="E917" s="201"/>
      <c r="F917" s="201"/>
    </row>
    <row r="918" spans="1:11">
      <c r="B918" s="179">
        <v>911</v>
      </c>
      <c r="C918" s="172"/>
      <c r="D918" s="178" t="s">
        <v>1013</v>
      </c>
      <c r="E918" s="178" t="s">
        <v>526</v>
      </c>
      <c r="F918" s="252" t="s">
        <v>1410</v>
      </c>
      <c r="H918" s="172" t="s">
        <v>524</v>
      </c>
    </row>
    <row r="919" spans="1:11">
      <c r="B919" s="179">
        <v>912</v>
      </c>
      <c r="C919" s="172"/>
      <c r="D919" s="200" t="s">
        <v>1133</v>
      </c>
      <c r="E919" s="178">
        <f>预计负债!D3</f>
        <v>0</v>
      </c>
      <c r="F919" s="178">
        <v>0</v>
      </c>
      <c r="H919" s="176">
        <f>ABS(E919-F919)</f>
        <v>0</v>
      </c>
    </row>
    <row r="920" spans="1:11">
      <c r="A920" s="173" t="s">
        <v>523</v>
      </c>
      <c r="B920" s="179">
        <v>913</v>
      </c>
      <c r="C920" s="172"/>
      <c r="D920" s="200" t="s">
        <v>1134</v>
      </c>
      <c r="E920" s="178">
        <f>预计负债!D4</f>
        <v>0</v>
      </c>
      <c r="F920" s="178">
        <v>0</v>
      </c>
      <c r="H920" s="176">
        <f t="shared" ref="H920:H928" si="46">ABS(E920-F920)</f>
        <v>0</v>
      </c>
    </row>
    <row r="921" spans="1:11">
      <c r="A921" s="181"/>
      <c r="B921" s="179">
        <v>914</v>
      </c>
      <c r="C921" s="172"/>
      <c r="D921" s="200" t="s">
        <v>1135</v>
      </c>
      <c r="E921" s="178">
        <f>预计负债!D5</f>
        <v>0</v>
      </c>
      <c r="F921" s="178">
        <v>0</v>
      </c>
      <c r="H921" s="176">
        <f t="shared" si="46"/>
        <v>0</v>
      </c>
    </row>
    <row r="922" spans="1:11">
      <c r="B922" s="179">
        <v>915</v>
      </c>
      <c r="C922" s="172"/>
      <c r="D922" s="200" t="s">
        <v>1136</v>
      </c>
      <c r="E922" s="178">
        <f>预计负债!D6</f>
        <v>0</v>
      </c>
      <c r="F922" s="178">
        <v>0</v>
      </c>
      <c r="H922" s="176">
        <f t="shared" si="46"/>
        <v>0</v>
      </c>
    </row>
    <row r="923" spans="1:11">
      <c r="B923" s="179">
        <v>916</v>
      </c>
      <c r="C923" s="172"/>
      <c r="D923" s="200" t="s">
        <v>1137</v>
      </c>
      <c r="E923" s="178">
        <f>预计负债!D7</f>
        <v>0</v>
      </c>
      <c r="F923" s="178">
        <v>0</v>
      </c>
      <c r="H923" s="176">
        <f t="shared" si="46"/>
        <v>0</v>
      </c>
    </row>
    <row r="924" spans="1:11">
      <c r="B924" s="179">
        <v>917</v>
      </c>
      <c r="C924" s="172"/>
      <c r="D924" s="200" t="s">
        <v>1138</v>
      </c>
      <c r="E924" s="178">
        <f>预计负债!D8</f>
        <v>0</v>
      </c>
      <c r="F924" s="178">
        <v>0</v>
      </c>
      <c r="H924" s="176">
        <f t="shared" si="46"/>
        <v>0</v>
      </c>
    </row>
    <row r="925" spans="1:11">
      <c r="B925" s="179">
        <v>918</v>
      </c>
      <c r="C925" s="172"/>
      <c r="D925" s="196" t="s">
        <v>1139</v>
      </c>
      <c r="E925" s="178">
        <f>预计负债!D9</f>
        <v>0</v>
      </c>
      <c r="F925" s="178">
        <v>0</v>
      </c>
      <c r="H925" s="176">
        <f t="shared" si="46"/>
        <v>0</v>
      </c>
    </row>
    <row r="926" spans="1:11">
      <c r="B926" s="179">
        <v>919</v>
      </c>
      <c r="C926" s="172"/>
      <c r="D926" s="200" t="s">
        <v>1140</v>
      </c>
      <c r="E926" s="178">
        <f>预计负债!D10</f>
        <v>0</v>
      </c>
      <c r="F926" s="178">
        <v>0</v>
      </c>
      <c r="H926" s="176">
        <f t="shared" si="46"/>
        <v>0</v>
      </c>
    </row>
    <row r="927" spans="1:11">
      <c r="B927" s="179">
        <v>920</v>
      </c>
      <c r="C927" s="172"/>
      <c r="D927" s="200" t="s">
        <v>391</v>
      </c>
      <c r="E927" s="178">
        <f>预计负债!D11</f>
        <v>0</v>
      </c>
      <c r="F927" s="178">
        <v>0</v>
      </c>
      <c r="H927" s="176">
        <f t="shared" si="46"/>
        <v>0</v>
      </c>
    </row>
    <row r="928" spans="1:11" ht="13.5">
      <c r="A928" s="186" t="str">
        <f>HYPERLINK("#C1","置顶")</f>
        <v>置顶</v>
      </c>
      <c r="B928" s="179">
        <v>921</v>
      </c>
      <c r="C928" s="172"/>
      <c r="D928" s="225" t="s">
        <v>1141</v>
      </c>
      <c r="E928" s="178">
        <f>预计负债!D12</f>
        <v>0</v>
      </c>
      <c r="F928" s="178">
        <v>0</v>
      </c>
      <c r="H928" s="176">
        <f t="shared" si="46"/>
        <v>0</v>
      </c>
    </row>
    <row r="929" spans="1:8" ht="13.5">
      <c r="A929" s="187"/>
      <c r="B929" s="179">
        <v>922</v>
      </c>
      <c r="C929" s="172"/>
      <c r="H929" s="175">
        <f>SUM(H919:H928)</f>
        <v>0</v>
      </c>
    </row>
    <row r="930" spans="1:8" ht="13.5">
      <c r="A930" s="187"/>
      <c r="B930" s="179">
        <v>923</v>
      </c>
      <c r="C930" s="172"/>
    </row>
    <row r="931" spans="1:8">
      <c r="B931" s="179">
        <v>924</v>
      </c>
      <c r="C931" s="172"/>
    </row>
    <row r="932" spans="1:8">
      <c r="B932" s="179">
        <v>925</v>
      </c>
      <c r="C932" s="172"/>
    </row>
    <row r="933" spans="1:8">
      <c r="B933" s="179">
        <v>926</v>
      </c>
      <c r="C933" s="172"/>
      <c r="D933" s="197" t="s">
        <v>1142</v>
      </c>
      <c r="E933" s="201"/>
      <c r="F933" s="201"/>
    </row>
    <row r="934" spans="1:8">
      <c r="B934" s="179">
        <v>927</v>
      </c>
      <c r="C934" s="172"/>
      <c r="D934" s="178" t="s">
        <v>1013</v>
      </c>
      <c r="E934" s="178" t="s">
        <v>526</v>
      </c>
      <c r="F934" s="252" t="s">
        <v>1410</v>
      </c>
      <c r="H934" s="172" t="s">
        <v>524</v>
      </c>
    </row>
    <row r="935" spans="1:8">
      <c r="A935" s="173" t="s">
        <v>523</v>
      </c>
      <c r="B935" s="179">
        <v>928</v>
      </c>
      <c r="C935" s="172"/>
      <c r="D935" s="226" t="s">
        <v>1143</v>
      </c>
      <c r="E935" s="178">
        <f>资本公积!D3</f>
        <v>0</v>
      </c>
      <c r="F935" s="178">
        <v>0</v>
      </c>
      <c r="H935" s="176">
        <f>ABS(E935-F935)</f>
        <v>0</v>
      </c>
    </row>
    <row r="936" spans="1:8">
      <c r="B936" s="179">
        <v>929</v>
      </c>
      <c r="C936" s="172"/>
      <c r="D936" s="226" t="s">
        <v>1144</v>
      </c>
      <c r="E936" s="178">
        <f>资本公积!D4</f>
        <v>0</v>
      </c>
      <c r="F936" s="178">
        <v>2788303.02</v>
      </c>
      <c r="H936" s="176">
        <f t="shared" ref="H936:H945" si="47">ABS(E936-F936)</f>
        <v>2788303.02</v>
      </c>
    </row>
    <row r="937" spans="1:8">
      <c r="B937" s="179">
        <v>930</v>
      </c>
      <c r="C937" s="172"/>
      <c r="D937" s="226" t="s">
        <v>1145</v>
      </c>
      <c r="E937" s="178">
        <f>资本公积!D5</f>
        <v>0</v>
      </c>
      <c r="F937" s="178">
        <v>0</v>
      </c>
      <c r="H937" s="176">
        <f t="shared" si="47"/>
        <v>0</v>
      </c>
    </row>
    <row r="938" spans="1:8">
      <c r="B938" s="179">
        <v>931</v>
      </c>
      <c r="C938" s="172"/>
      <c r="D938" s="210" t="s">
        <v>1146</v>
      </c>
      <c r="E938" s="178">
        <f>资本公积!D6</f>
        <v>0</v>
      </c>
      <c r="F938" s="178">
        <v>0</v>
      </c>
      <c r="H938" s="176">
        <f t="shared" si="47"/>
        <v>0</v>
      </c>
    </row>
    <row r="939" spans="1:8">
      <c r="B939" s="179">
        <v>932</v>
      </c>
      <c r="C939" s="172"/>
      <c r="D939" s="227" t="s">
        <v>1147</v>
      </c>
      <c r="E939" s="178">
        <f>资本公积!D7</f>
        <v>0</v>
      </c>
      <c r="F939" s="178">
        <v>0</v>
      </c>
      <c r="H939" s="176">
        <f t="shared" si="47"/>
        <v>0</v>
      </c>
    </row>
    <row r="940" spans="1:8" ht="25.5">
      <c r="B940" s="179">
        <v>933</v>
      </c>
      <c r="C940" s="172"/>
      <c r="D940" s="227" t="s">
        <v>1148</v>
      </c>
      <c r="E940" s="178">
        <f>资本公积!D8</f>
        <v>0</v>
      </c>
      <c r="F940" s="178">
        <v>0</v>
      </c>
      <c r="H940" s="176">
        <f t="shared" si="47"/>
        <v>0</v>
      </c>
    </row>
    <row r="941" spans="1:8">
      <c r="B941" s="179">
        <v>934</v>
      </c>
      <c r="C941" s="172"/>
      <c r="D941" s="227" t="s">
        <v>1149</v>
      </c>
      <c r="E941" s="178">
        <f>资本公积!D9</f>
        <v>0</v>
      </c>
      <c r="F941" s="178">
        <v>0</v>
      </c>
      <c r="H941" s="176">
        <f t="shared" si="47"/>
        <v>0</v>
      </c>
    </row>
    <row r="942" spans="1:8">
      <c r="A942" s="173" t="s">
        <v>523</v>
      </c>
      <c r="B942" s="179">
        <v>935</v>
      </c>
      <c r="C942" s="172"/>
      <c r="D942" s="227" t="s">
        <v>1150</v>
      </c>
      <c r="E942" s="178">
        <f>资本公积!D10</f>
        <v>0</v>
      </c>
      <c r="F942" s="178">
        <v>0</v>
      </c>
      <c r="H942" s="176">
        <f t="shared" si="47"/>
        <v>0</v>
      </c>
    </row>
    <row r="943" spans="1:8" ht="25.5">
      <c r="A943" s="181"/>
      <c r="B943" s="179">
        <v>936</v>
      </c>
      <c r="C943" s="172"/>
      <c r="D943" s="227" t="s">
        <v>1151</v>
      </c>
      <c r="E943" s="178">
        <f>资本公积!D11</f>
        <v>0</v>
      </c>
      <c r="F943" s="178">
        <v>0</v>
      </c>
      <c r="H943" s="176">
        <f t="shared" si="47"/>
        <v>0</v>
      </c>
    </row>
    <row r="944" spans="1:8">
      <c r="B944" s="179">
        <v>937</v>
      </c>
      <c r="C944" s="172"/>
      <c r="D944" s="227" t="s">
        <v>964</v>
      </c>
      <c r="E944" s="178">
        <f>资本公积!D12</f>
        <v>0</v>
      </c>
      <c r="F944" s="178">
        <v>2788303.02</v>
      </c>
      <c r="H944" s="176">
        <f t="shared" si="47"/>
        <v>2788303.02</v>
      </c>
    </row>
    <row r="945" spans="1:8">
      <c r="B945" s="179">
        <v>938</v>
      </c>
      <c r="C945" s="172"/>
      <c r="D945" s="226" t="s">
        <v>1152</v>
      </c>
      <c r="E945" s="178">
        <f>资本公积!D13</f>
        <v>0</v>
      </c>
      <c r="F945" s="178">
        <v>0</v>
      </c>
      <c r="H945" s="176">
        <f t="shared" si="47"/>
        <v>0</v>
      </c>
    </row>
    <row r="946" spans="1:8">
      <c r="B946" s="179">
        <v>939</v>
      </c>
      <c r="C946" s="172"/>
      <c r="D946" s="178" t="s">
        <v>823</v>
      </c>
      <c r="E946" s="178">
        <f>资本公积!D14</f>
        <v>0</v>
      </c>
      <c r="F946" s="178">
        <v>2788303.02</v>
      </c>
      <c r="H946" s="176">
        <f>ABS(E946-F946)</f>
        <v>2788303.02</v>
      </c>
    </row>
    <row r="947" spans="1:8">
      <c r="B947" s="179">
        <v>940</v>
      </c>
      <c r="C947" s="172"/>
      <c r="H947" s="175">
        <f>SUM(H935:H946)</f>
        <v>8364909.0600000005</v>
      </c>
    </row>
    <row r="948" spans="1:8">
      <c r="B948" s="179">
        <v>941</v>
      </c>
      <c r="C948" s="172"/>
    </row>
    <row r="949" spans="1:8">
      <c r="B949" s="179">
        <v>942</v>
      </c>
      <c r="C949" s="172"/>
      <c r="D949" s="197" t="s">
        <v>1153</v>
      </c>
      <c r="E949" s="201"/>
      <c r="F949" s="201"/>
    </row>
    <row r="950" spans="1:8" ht="13.5">
      <c r="A950" s="186" t="str">
        <f>HYPERLINK("#C1","置顶")</f>
        <v>置顶</v>
      </c>
      <c r="B950" s="179">
        <v>943</v>
      </c>
      <c r="C950" s="172"/>
      <c r="D950" s="190" t="s">
        <v>890</v>
      </c>
      <c r="E950" s="178" t="s">
        <v>526</v>
      </c>
      <c r="F950" s="252" t="s">
        <v>1410</v>
      </c>
      <c r="H950" s="172" t="s">
        <v>524</v>
      </c>
    </row>
    <row r="951" spans="1:8" ht="13.5">
      <c r="A951" s="187"/>
      <c r="B951" s="179">
        <v>944</v>
      </c>
      <c r="C951" s="172"/>
      <c r="D951" s="213" t="s">
        <v>1154</v>
      </c>
      <c r="E951" s="178">
        <f>专项储备!D3</f>
        <v>0</v>
      </c>
      <c r="F951" s="178">
        <v>0</v>
      </c>
      <c r="H951" s="176">
        <f t="shared" ref="H951:H956" si="48">ABS(E951-F951)</f>
        <v>0</v>
      </c>
    </row>
    <row r="952" spans="1:8" ht="13.5">
      <c r="A952" s="187"/>
      <c r="B952" s="179">
        <v>945</v>
      </c>
      <c r="C952" s="172"/>
      <c r="D952" s="213" t="s">
        <v>1155</v>
      </c>
      <c r="E952" s="178">
        <f>专项储备!D4</f>
        <v>0</v>
      </c>
      <c r="F952" s="178">
        <v>0</v>
      </c>
      <c r="H952" s="176">
        <f t="shared" si="48"/>
        <v>0</v>
      </c>
    </row>
    <row r="953" spans="1:8">
      <c r="B953" s="179">
        <v>946</v>
      </c>
      <c r="C953" s="172"/>
      <c r="D953" s="228" t="s">
        <v>1156</v>
      </c>
      <c r="E953" s="178">
        <f>专项储备!D5</f>
        <v>0</v>
      </c>
      <c r="F953" s="178">
        <v>0</v>
      </c>
      <c r="H953" s="176">
        <f t="shared" si="48"/>
        <v>0</v>
      </c>
    </row>
    <row r="954" spans="1:8">
      <c r="B954" s="179">
        <v>947</v>
      </c>
      <c r="C954" s="172"/>
      <c r="D954" s="228" t="s">
        <v>1157</v>
      </c>
      <c r="E954" s="178">
        <f>专项储备!D6</f>
        <v>0</v>
      </c>
      <c r="F954" s="178">
        <v>0</v>
      </c>
      <c r="H954" s="176">
        <f t="shared" si="48"/>
        <v>0</v>
      </c>
    </row>
    <row r="955" spans="1:8">
      <c r="B955" s="179">
        <v>948</v>
      </c>
      <c r="C955" s="172"/>
      <c r="D955" s="228" t="s">
        <v>1158</v>
      </c>
      <c r="E955" s="178">
        <f>专项储备!D7</f>
        <v>0</v>
      </c>
      <c r="F955" s="178">
        <v>0</v>
      </c>
      <c r="H955" s="176">
        <f t="shared" si="48"/>
        <v>0</v>
      </c>
    </row>
    <row r="956" spans="1:8">
      <c r="B956" s="179">
        <v>949</v>
      </c>
      <c r="C956" s="172"/>
      <c r="D956" s="190" t="s">
        <v>823</v>
      </c>
      <c r="E956" s="178">
        <f>专项储备!D8</f>
        <v>0</v>
      </c>
      <c r="F956" s="178">
        <v>0</v>
      </c>
      <c r="H956" s="176">
        <f t="shared" si="48"/>
        <v>0</v>
      </c>
    </row>
    <row r="957" spans="1:8">
      <c r="A957" s="173" t="s">
        <v>523</v>
      </c>
      <c r="B957" s="179">
        <v>950</v>
      </c>
      <c r="C957" s="172"/>
      <c r="H957" s="175">
        <f>SUM(H951:H956)</f>
        <v>0</v>
      </c>
    </row>
    <row r="958" spans="1:8">
      <c r="B958" s="179">
        <v>951</v>
      </c>
      <c r="C958" s="172"/>
    </row>
    <row r="959" spans="1:8">
      <c r="B959" s="179">
        <v>952</v>
      </c>
      <c r="C959" s="172"/>
      <c r="D959" s="197" t="s">
        <v>1159</v>
      </c>
      <c r="E959" s="201"/>
      <c r="F959" s="201"/>
    </row>
    <row r="960" spans="1:8">
      <c r="B960" s="179">
        <v>953</v>
      </c>
      <c r="C960" s="172"/>
      <c r="D960" s="178" t="s">
        <v>1160</v>
      </c>
      <c r="E960" s="178" t="s">
        <v>526</v>
      </c>
      <c r="F960" s="252" t="s">
        <v>1410</v>
      </c>
      <c r="H960" s="172" t="s">
        <v>524</v>
      </c>
    </row>
    <row r="961" spans="1:8">
      <c r="B961" s="179">
        <v>954</v>
      </c>
      <c r="C961" s="172"/>
      <c r="D961" s="200" t="s">
        <v>1161</v>
      </c>
      <c r="E961" s="178">
        <f>盈余公积!D3</f>
        <v>3513183.49</v>
      </c>
      <c r="F961" s="178">
        <v>4826676.5</v>
      </c>
      <c r="H961" s="176">
        <f t="shared" ref="H961:H966" si="49">ABS(E961-F961)</f>
        <v>1313493.0099999998</v>
      </c>
    </row>
    <row r="962" spans="1:8">
      <c r="A962" s="173" t="s">
        <v>523</v>
      </c>
      <c r="B962" s="179">
        <v>955</v>
      </c>
      <c r="C962" s="172"/>
      <c r="D962" s="200" t="s">
        <v>1162</v>
      </c>
      <c r="E962" s="178">
        <f>盈余公积!D4</f>
        <v>0</v>
      </c>
      <c r="F962" s="178">
        <v>172428.26</v>
      </c>
      <c r="H962" s="176">
        <f t="shared" si="49"/>
        <v>172428.26</v>
      </c>
    </row>
    <row r="963" spans="1:8">
      <c r="A963" s="181"/>
      <c r="B963" s="179">
        <v>956</v>
      </c>
      <c r="C963" s="172"/>
      <c r="D963" s="200" t="s">
        <v>1163</v>
      </c>
      <c r="E963" s="178">
        <f>盈余公积!D5</f>
        <v>0</v>
      </c>
      <c r="F963" s="178">
        <v>0</v>
      </c>
      <c r="H963" s="176">
        <f t="shared" si="49"/>
        <v>0</v>
      </c>
    </row>
    <row r="964" spans="1:8">
      <c r="B964" s="179">
        <v>957</v>
      </c>
      <c r="C964" s="172"/>
      <c r="D964" s="200" t="s">
        <v>1164</v>
      </c>
      <c r="E964" s="178">
        <f>盈余公积!D6</f>
        <v>0</v>
      </c>
      <c r="F964" s="178">
        <v>0</v>
      </c>
      <c r="H964" s="176">
        <f t="shared" si="49"/>
        <v>0</v>
      </c>
    </row>
    <row r="965" spans="1:8">
      <c r="B965" s="179">
        <v>958</v>
      </c>
      <c r="C965" s="172"/>
      <c r="D965" s="200" t="s">
        <v>1165</v>
      </c>
      <c r="E965" s="178">
        <f>盈余公积!D7</f>
        <v>0</v>
      </c>
      <c r="F965" s="178">
        <v>0</v>
      </c>
      <c r="H965" s="176">
        <f t="shared" si="49"/>
        <v>0</v>
      </c>
    </row>
    <row r="966" spans="1:8">
      <c r="B966" s="179">
        <v>959</v>
      </c>
      <c r="C966" s="172"/>
      <c r="D966" s="200" t="s">
        <v>1166</v>
      </c>
      <c r="E966" s="178">
        <f>盈余公积!D8</f>
        <v>0</v>
      </c>
      <c r="F966" s="178">
        <v>0</v>
      </c>
      <c r="H966" s="176">
        <f t="shared" si="49"/>
        <v>0</v>
      </c>
    </row>
    <row r="967" spans="1:8">
      <c r="B967" s="179">
        <v>960</v>
      </c>
      <c r="C967" s="172"/>
      <c r="D967" s="178" t="s">
        <v>1167</v>
      </c>
      <c r="E967" s="178">
        <f>盈余公积!D9</f>
        <v>3513183.49</v>
      </c>
      <c r="F967" s="178">
        <v>4999104.76</v>
      </c>
      <c r="H967" s="176">
        <f>ABS(E967-F967)</f>
        <v>1485921.2699999996</v>
      </c>
    </row>
    <row r="968" spans="1:8">
      <c r="B968" s="179">
        <v>961</v>
      </c>
      <c r="C968" s="172"/>
      <c r="H968" s="175">
        <f>SUM(H961:H967)</f>
        <v>2971842.5399999991</v>
      </c>
    </row>
    <row r="969" spans="1:8">
      <c r="B969" s="179">
        <v>962</v>
      </c>
      <c r="C969" s="172"/>
    </row>
    <row r="970" spans="1:8" ht="13.5">
      <c r="A970" s="186" t="str">
        <f>HYPERLINK("#C1","置顶")</f>
        <v>置顶</v>
      </c>
      <c r="B970" s="179">
        <v>963</v>
      </c>
      <c r="C970" s="172"/>
      <c r="D970" s="197" t="s">
        <v>1168</v>
      </c>
      <c r="E970" s="201"/>
      <c r="F970" s="201"/>
    </row>
    <row r="971" spans="1:8" ht="13.5">
      <c r="A971" s="187"/>
      <c r="B971" s="179">
        <v>964</v>
      </c>
      <c r="C971" s="172"/>
      <c r="D971" s="225" t="s">
        <v>1169</v>
      </c>
      <c r="E971" s="178" t="s">
        <v>526</v>
      </c>
      <c r="F971" s="252" t="s">
        <v>1410</v>
      </c>
      <c r="H971" s="172" t="s">
        <v>524</v>
      </c>
    </row>
    <row r="972" spans="1:8" ht="13.5">
      <c r="A972" s="187"/>
      <c r="B972" s="179">
        <v>965</v>
      </c>
      <c r="C972" s="172"/>
      <c r="D972" s="200" t="s">
        <v>1170</v>
      </c>
      <c r="E972" s="178">
        <f>未分配利润!E3</f>
        <v>14903062.09</v>
      </c>
      <c r="F972" s="178">
        <v>30603011.09</v>
      </c>
      <c r="H972" s="176">
        <f>ABS(E972-F972)</f>
        <v>15699949</v>
      </c>
    </row>
    <row r="973" spans="1:8">
      <c r="B973" s="179">
        <v>966</v>
      </c>
      <c r="C973" s="172"/>
      <c r="D973" s="200" t="s">
        <v>1171</v>
      </c>
      <c r="E973" s="178">
        <f>未分配利润!E4</f>
        <v>3772876.91</v>
      </c>
      <c r="F973" s="178">
        <v>10961801.68</v>
      </c>
      <c r="H973" s="176">
        <f t="shared" ref="H973:H982" si="50">ABS(E973-F973)</f>
        <v>7188924.7699999996</v>
      </c>
    </row>
    <row r="974" spans="1:8">
      <c r="B974" s="179">
        <v>967</v>
      </c>
      <c r="C974" s="172"/>
      <c r="D974" s="200" t="s">
        <v>1172</v>
      </c>
      <c r="E974" s="178">
        <f>未分配利润!E5</f>
        <v>3772876.91</v>
      </c>
      <c r="F974" s="178">
        <v>10961801.68</v>
      </c>
      <c r="H974" s="176">
        <f t="shared" si="50"/>
        <v>7188924.7699999996</v>
      </c>
    </row>
    <row r="975" spans="1:8">
      <c r="B975" s="179">
        <v>968</v>
      </c>
      <c r="C975" s="172"/>
      <c r="D975" s="210" t="s">
        <v>1173</v>
      </c>
      <c r="E975" s="178">
        <f>未分配利润!E6</f>
        <v>0</v>
      </c>
      <c r="F975" s="178">
        <v>0</v>
      </c>
      <c r="H975" s="176">
        <f t="shared" si="50"/>
        <v>0</v>
      </c>
    </row>
    <row r="976" spans="1:8">
      <c r="B976" s="179">
        <v>969</v>
      </c>
      <c r="C976" s="172"/>
      <c r="D976" s="200" t="s">
        <v>1174</v>
      </c>
      <c r="E976" s="178">
        <f>未分配利润!E7</f>
        <v>15277287.689999999</v>
      </c>
      <c r="F976" s="178">
        <v>452505.75</v>
      </c>
      <c r="H976" s="176">
        <f t="shared" si="50"/>
        <v>14824781.939999999</v>
      </c>
    </row>
    <row r="977" spans="1:12">
      <c r="A977" s="173" t="s">
        <v>523</v>
      </c>
      <c r="B977" s="179">
        <v>970</v>
      </c>
      <c r="C977" s="172"/>
      <c r="D977" s="200" t="s">
        <v>1175</v>
      </c>
      <c r="E977" s="178">
        <f>未分配利润!E8</f>
        <v>377287.69</v>
      </c>
      <c r="F977" s="178">
        <v>452505.75</v>
      </c>
      <c r="H977" s="176">
        <f t="shared" si="50"/>
        <v>75218.06</v>
      </c>
    </row>
    <row r="978" spans="1:12">
      <c r="B978" s="179">
        <v>971</v>
      </c>
      <c r="C978" s="172"/>
      <c r="D978" s="210" t="s">
        <v>1176</v>
      </c>
      <c r="E978" s="178">
        <f>未分配利润!E9</f>
        <v>0</v>
      </c>
      <c r="F978" s="178">
        <v>0</v>
      </c>
      <c r="H978" s="176">
        <f t="shared" si="50"/>
        <v>0</v>
      </c>
    </row>
    <row r="979" spans="1:12">
      <c r="B979" s="179">
        <v>972</v>
      </c>
      <c r="C979" s="172"/>
      <c r="D979" s="210" t="s">
        <v>1177</v>
      </c>
      <c r="E979" s="178">
        <f>未分配利润!E10</f>
        <v>14900000</v>
      </c>
      <c r="F979" s="178">
        <v>0</v>
      </c>
      <c r="H979" s="176">
        <f t="shared" si="50"/>
        <v>14900000</v>
      </c>
    </row>
    <row r="980" spans="1:12">
      <c r="B980" s="179">
        <v>973</v>
      </c>
      <c r="C980" s="172"/>
      <c r="D980" s="210" t="s">
        <v>1178</v>
      </c>
      <c r="E980" s="178">
        <f>未分配利润!E11</f>
        <v>0</v>
      </c>
      <c r="F980" s="178">
        <v>0</v>
      </c>
      <c r="H980" s="176">
        <f t="shared" si="50"/>
        <v>0</v>
      </c>
    </row>
    <row r="981" spans="1:12">
      <c r="B981" s="179">
        <v>974</v>
      </c>
      <c r="C981" s="172"/>
      <c r="D981" s="210" t="s">
        <v>1179</v>
      </c>
      <c r="E981" s="178">
        <f>未分配利润!E12</f>
        <v>0</v>
      </c>
      <c r="F981" s="178">
        <v>0</v>
      </c>
      <c r="H981" s="176">
        <f t="shared" si="50"/>
        <v>0</v>
      </c>
    </row>
    <row r="982" spans="1:12">
      <c r="A982" s="173" t="s">
        <v>523</v>
      </c>
      <c r="B982" s="179">
        <v>975</v>
      </c>
      <c r="C982" s="172"/>
      <c r="D982" s="200" t="s">
        <v>1180</v>
      </c>
      <c r="E982" s="178">
        <f>未分配利润!E13</f>
        <v>3398651.3100000005</v>
      </c>
      <c r="F982" s="178">
        <v>41112307.019999996</v>
      </c>
      <c r="H982" s="176">
        <f t="shared" si="50"/>
        <v>37713655.709999993</v>
      </c>
    </row>
    <row r="983" spans="1:12">
      <c r="A983" s="181"/>
      <c r="B983" s="179">
        <v>976</v>
      </c>
      <c r="C983" s="172"/>
      <c r="H983" s="175">
        <f>SUM(H972:H982)</f>
        <v>97591454.25</v>
      </c>
    </row>
    <row r="984" spans="1:12">
      <c r="B984" s="179">
        <v>977</v>
      </c>
      <c r="C984" s="172"/>
    </row>
    <row r="985" spans="1:12" ht="25.5">
      <c r="B985" s="179">
        <v>978</v>
      </c>
      <c r="C985" s="172"/>
      <c r="D985" s="197" t="s">
        <v>1181</v>
      </c>
      <c r="E985" s="201"/>
      <c r="F985" s="201"/>
      <c r="G985" s="201"/>
    </row>
    <row r="986" spans="1:12">
      <c r="B986" s="179">
        <v>979</v>
      </c>
      <c r="C986" s="172"/>
      <c r="D986" s="178" t="s">
        <v>366</v>
      </c>
      <c r="E986" s="190" t="s">
        <v>642</v>
      </c>
      <c r="F986" s="229"/>
      <c r="G986" s="178" t="s">
        <v>366</v>
      </c>
      <c r="H986" s="273" t="s">
        <v>1411</v>
      </c>
      <c r="J986" s="196" t="s">
        <v>366</v>
      </c>
      <c r="K986" s="198" t="s">
        <v>524</v>
      </c>
    </row>
    <row r="987" spans="1:12">
      <c r="B987" s="179">
        <v>980</v>
      </c>
      <c r="C987" s="172"/>
      <c r="D987" s="200" t="s">
        <v>387</v>
      </c>
      <c r="E987" s="206">
        <f>主营业务税金及附加!E3</f>
        <v>0</v>
      </c>
      <c r="F987" s="230"/>
      <c r="G987" s="200" t="s">
        <v>387</v>
      </c>
      <c r="H987" s="206">
        <v>0</v>
      </c>
      <c r="J987" s="196" t="s">
        <v>387</v>
      </c>
      <c r="K987" s="180">
        <f>ABS(E987-H987)</f>
        <v>0</v>
      </c>
      <c r="L987" s="171" t="s">
        <v>1182</v>
      </c>
    </row>
    <row r="988" spans="1:12">
      <c r="B988" s="179">
        <v>981</v>
      </c>
      <c r="C988" s="172"/>
      <c r="D988" s="200" t="s">
        <v>1081</v>
      </c>
      <c r="E988" s="206">
        <f>主营业务税金及附加!E4</f>
        <v>0</v>
      </c>
      <c r="F988" s="230"/>
      <c r="G988" s="200" t="s">
        <v>1081</v>
      </c>
      <c r="H988" s="206">
        <v>0</v>
      </c>
      <c r="J988" s="196" t="s">
        <v>1081</v>
      </c>
      <c r="K988" s="180">
        <f>ABS(E988-H988)</f>
        <v>0</v>
      </c>
    </row>
    <row r="989" spans="1:12">
      <c r="B989" s="179">
        <v>982</v>
      </c>
      <c r="C989" s="172"/>
      <c r="D989" s="200" t="s">
        <v>1183</v>
      </c>
      <c r="E989" s="206">
        <f>主营业务税金及附加!E5</f>
        <v>43871.48</v>
      </c>
      <c r="F989" s="230"/>
      <c r="G989" s="200" t="s">
        <v>1183</v>
      </c>
      <c r="H989" s="206">
        <v>0</v>
      </c>
      <c r="J989" s="196" t="s">
        <v>1183</v>
      </c>
      <c r="K989" s="180">
        <f>ABS(E989-H989)</f>
        <v>43871.48</v>
      </c>
    </row>
    <row r="990" spans="1:12" ht="13.5">
      <c r="A990" s="186" t="str">
        <f>HYPERLINK("#C1","置顶")</f>
        <v>置顶</v>
      </c>
      <c r="B990" s="179">
        <v>983</v>
      </c>
      <c r="C990" s="172"/>
      <c r="D990" s="200" t="s">
        <v>1079</v>
      </c>
      <c r="E990" s="206">
        <f>主营业务税金及附加!E6</f>
        <v>26322.880000000001</v>
      </c>
      <c r="F990" s="230"/>
      <c r="G990" s="200" t="s">
        <v>1079</v>
      </c>
      <c r="H990" s="206">
        <v>0</v>
      </c>
      <c r="J990" s="196" t="s">
        <v>1079</v>
      </c>
      <c r="K990" s="180">
        <f>ABS(E990-H990)</f>
        <v>26322.880000000001</v>
      </c>
    </row>
    <row r="991" spans="1:12" ht="13.5">
      <c r="A991" s="187"/>
      <c r="B991" s="179">
        <v>984</v>
      </c>
      <c r="C991" s="172"/>
      <c r="D991" s="200" t="s">
        <v>1184</v>
      </c>
      <c r="E991" s="206">
        <f>主营业务税金及附加!E7</f>
        <v>17548.59</v>
      </c>
      <c r="F991" s="230"/>
      <c r="G991" s="200" t="s">
        <v>391</v>
      </c>
      <c r="H991" s="206">
        <v>0</v>
      </c>
      <c r="J991" s="196" t="s">
        <v>1184</v>
      </c>
      <c r="K991" s="180"/>
    </row>
    <row r="992" spans="1:12" ht="13.5">
      <c r="A992" s="187"/>
      <c r="B992" s="179">
        <v>985</v>
      </c>
      <c r="C992" s="172"/>
      <c r="D992" s="200" t="s">
        <v>1185</v>
      </c>
      <c r="E992" s="206">
        <f>主营业务税金及附加!E12</f>
        <v>5884.4</v>
      </c>
      <c r="F992" s="230"/>
      <c r="G992" s="178" t="s">
        <v>1005</v>
      </c>
      <c r="H992" s="206">
        <v>0</v>
      </c>
      <c r="J992" s="196" t="s">
        <v>1185</v>
      </c>
      <c r="K992" s="180"/>
    </row>
    <row r="993" spans="1:11">
      <c r="B993" s="179">
        <v>986</v>
      </c>
      <c r="C993" s="172"/>
      <c r="D993" s="200" t="s">
        <v>1186</v>
      </c>
      <c r="E993" s="206">
        <f>主营业务税金及附加!E13</f>
        <v>43493.42</v>
      </c>
      <c r="F993" s="230"/>
      <c r="G993" s="201"/>
      <c r="H993" s="230"/>
      <c r="J993" s="196" t="s">
        <v>1186</v>
      </c>
      <c r="K993" s="180"/>
    </row>
    <row r="994" spans="1:11">
      <c r="B994" s="179">
        <v>987</v>
      </c>
      <c r="C994" s="172"/>
      <c r="D994" s="178" t="s">
        <v>1005</v>
      </c>
      <c r="E994" s="206">
        <f>主营业务税金及附加!E14</f>
        <v>137120.76999999999</v>
      </c>
      <c r="F994" s="230"/>
      <c r="G994" s="201"/>
      <c r="H994" s="230"/>
      <c r="J994" s="196" t="s">
        <v>1005</v>
      </c>
      <c r="K994" s="180">
        <f>ABS(E994-H992)</f>
        <v>137120.76999999999</v>
      </c>
    </row>
    <row r="995" spans="1:11">
      <c r="B995" s="179">
        <v>988</v>
      </c>
      <c r="C995" s="172"/>
      <c r="G995" s="201"/>
      <c r="K995" s="175">
        <f>SUM(K987:K994)</f>
        <v>207315.13</v>
      </c>
    </row>
    <row r="996" spans="1:11">
      <c r="B996" s="179">
        <v>989</v>
      </c>
      <c r="C996" s="172"/>
    </row>
    <row r="997" spans="1:11">
      <c r="A997" s="173" t="s">
        <v>523</v>
      </c>
      <c r="B997" s="179">
        <v>990</v>
      </c>
      <c r="C997" s="172"/>
      <c r="D997" s="197" t="s">
        <v>1187</v>
      </c>
      <c r="E997" s="201"/>
      <c r="F997" s="201"/>
    </row>
    <row r="998" spans="1:11">
      <c r="B998" s="179">
        <v>991</v>
      </c>
      <c r="C998" s="172"/>
      <c r="D998" s="190" t="s">
        <v>366</v>
      </c>
      <c r="E998" s="190" t="s">
        <v>642</v>
      </c>
      <c r="F998" s="273" t="s">
        <v>1411</v>
      </c>
      <c r="H998" s="172" t="s">
        <v>524</v>
      </c>
    </row>
    <row r="999" spans="1:11">
      <c r="B999" s="179">
        <v>992</v>
      </c>
      <c r="C999" s="172"/>
      <c r="D999" s="209" t="s">
        <v>1188</v>
      </c>
      <c r="E999" s="206">
        <f>财务费用!E3</f>
        <v>0</v>
      </c>
      <c r="F999" s="206">
        <v>13834659.32</v>
      </c>
      <c r="H999" s="176">
        <f>ABS(E999-F999)</f>
        <v>13834659.32</v>
      </c>
    </row>
    <row r="1000" spans="1:11">
      <c r="B1000" s="179">
        <v>993</v>
      </c>
      <c r="C1000" s="172"/>
      <c r="D1000" s="209" t="s">
        <v>1189</v>
      </c>
      <c r="E1000" s="206">
        <f>财务费用!E4</f>
        <v>67742.600000000006</v>
      </c>
      <c r="F1000" s="206">
        <v>21517.94</v>
      </c>
      <c r="H1000" s="176">
        <f t="shared" ref="H1000:H1005" si="51">ABS(E1000-F1000)</f>
        <v>46224.66</v>
      </c>
    </row>
    <row r="1001" spans="1:11">
      <c r="B1001" s="179">
        <v>994</v>
      </c>
      <c r="C1001" s="172"/>
      <c r="D1001" s="209" t="s">
        <v>1190</v>
      </c>
      <c r="E1001" s="206">
        <f>财务费用!E5</f>
        <v>0</v>
      </c>
      <c r="F1001" s="206">
        <v>0</v>
      </c>
      <c r="H1001" s="176">
        <f t="shared" si="51"/>
        <v>0</v>
      </c>
    </row>
    <row r="1002" spans="1:11">
      <c r="B1002" s="179">
        <v>995</v>
      </c>
      <c r="C1002" s="172"/>
      <c r="D1002" s="209" t="s">
        <v>1191</v>
      </c>
      <c r="E1002" s="206">
        <f>财务费用!E6</f>
        <v>0</v>
      </c>
      <c r="F1002" s="206">
        <v>0</v>
      </c>
      <c r="H1002" s="176">
        <f t="shared" si="51"/>
        <v>0</v>
      </c>
    </row>
    <row r="1003" spans="1:11">
      <c r="B1003" s="179">
        <v>996</v>
      </c>
      <c r="C1003" s="172"/>
      <c r="D1003" s="209" t="s">
        <v>1192</v>
      </c>
      <c r="E1003" s="206">
        <f>财务费用!E7</f>
        <v>0</v>
      </c>
      <c r="F1003" s="206">
        <v>0</v>
      </c>
      <c r="H1003" s="176">
        <f t="shared" si="51"/>
        <v>0</v>
      </c>
    </row>
    <row r="1004" spans="1:11" ht="13.5">
      <c r="A1004" s="186" t="str">
        <f>HYPERLINK("#C1","置顶")</f>
        <v>置顶</v>
      </c>
      <c r="B1004" s="179">
        <v>997</v>
      </c>
      <c r="C1004" s="172"/>
      <c r="D1004" s="209" t="s">
        <v>391</v>
      </c>
      <c r="E1004" s="206">
        <f>财务费用!E8</f>
        <v>2924.3</v>
      </c>
      <c r="F1004" s="206">
        <v>4974.12</v>
      </c>
      <c r="H1004" s="176">
        <f t="shared" si="51"/>
        <v>2049.8199999999997</v>
      </c>
    </row>
    <row r="1005" spans="1:11" ht="13.5">
      <c r="A1005" s="187"/>
      <c r="B1005" s="179">
        <v>998</v>
      </c>
      <c r="C1005" s="172"/>
      <c r="D1005" s="178" t="s">
        <v>1005</v>
      </c>
      <c r="E1005" s="206">
        <f>财务费用!E9</f>
        <v>-64818.3</v>
      </c>
      <c r="F1005" s="206">
        <v>13818115.5</v>
      </c>
      <c r="H1005" s="176">
        <f t="shared" si="51"/>
        <v>13882933.800000001</v>
      </c>
      <c r="I1005" s="171" t="s">
        <v>1193</v>
      </c>
    </row>
    <row r="1006" spans="1:11" ht="13.5">
      <c r="A1006" s="187"/>
      <c r="B1006" s="179">
        <v>999</v>
      </c>
      <c r="C1006" s="172"/>
      <c r="H1006" s="175">
        <f>SUM(H999:H1005)</f>
        <v>27765867.600000001</v>
      </c>
    </row>
    <row r="1007" spans="1:11">
      <c r="B1007" s="179">
        <v>1000</v>
      </c>
      <c r="C1007" s="172"/>
    </row>
    <row r="1008" spans="1:11">
      <c r="B1008" s="179">
        <v>1001</v>
      </c>
      <c r="C1008" s="172"/>
      <c r="D1008" s="197" t="s">
        <v>1194</v>
      </c>
      <c r="E1008" s="201"/>
      <c r="F1008" s="201"/>
    </row>
    <row r="1009" spans="1:8">
      <c r="B1009" s="179">
        <v>1002</v>
      </c>
      <c r="C1009" s="172"/>
      <c r="D1009" s="178" t="s">
        <v>366</v>
      </c>
      <c r="E1009" s="190" t="s">
        <v>642</v>
      </c>
      <c r="F1009" s="273" t="s">
        <v>1411</v>
      </c>
      <c r="H1009" s="172" t="s">
        <v>524</v>
      </c>
    </row>
    <row r="1010" spans="1:8">
      <c r="B1010" s="179">
        <v>1003</v>
      </c>
      <c r="C1010" s="172"/>
      <c r="D1010" s="200" t="s">
        <v>1195</v>
      </c>
      <c r="E1010" s="178">
        <f>资产减值损失!E3</f>
        <v>10213.18</v>
      </c>
      <c r="F1010" s="178">
        <v>2834795.0599999996</v>
      </c>
      <c r="H1010" s="176">
        <f t="shared" ref="H1010:H1024" si="52">ABS(E1010-F1010)</f>
        <v>2824581.8799999994</v>
      </c>
    </row>
    <row r="1011" spans="1:8">
      <c r="A1011" s="173" t="s">
        <v>523</v>
      </c>
      <c r="B1011" s="179">
        <v>1004</v>
      </c>
      <c r="C1011" s="172"/>
      <c r="D1011" s="200" t="s">
        <v>1196</v>
      </c>
      <c r="E1011" s="178">
        <f>资产减值损失!E4</f>
        <v>0</v>
      </c>
      <c r="F1011" s="178">
        <v>0</v>
      </c>
      <c r="H1011" s="176">
        <f t="shared" si="52"/>
        <v>0</v>
      </c>
    </row>
    <row r="1012" spans="1:8">
      <c r="A1012" s="181"/>
      <c r="B1012" s="179">
        <v>1005</v>
      </c>
      <c r="C1012" s="172"/>
      <c r="D1012" s="200" t="s">
        <v>1197</v>
      </c>
      <c r="E1012" s="178">
        <f>资产减值损失!E5</f>
        <v>0</v>
      </c>
      <c r="F1012" s="178">
        <v>0</v>
      </c>
      <c r="H1012" s="176">
        <f t="shared" si="52"/>
        <v>0</v>
      </c>
    </row>
    <row r="1013" spans="1:8">
      <c r="B1013" s="179">
        <v>1006</v>
      </c>
      <c r="C1013" s="172"/>
      <c r="D1013" s="200" t="s">
        <v>1198</v>
      </c>
      <c r="E1013" s="178">
        <f>资产减值损失!E6</f>
        <v>0</v>
      </c>
      <c r="F1013" s="178">
        <v>0</v>
      </c>
      <c r="H1013" s="176">
        <f t="shared" si="52"/>
        <v>0</v>
      </c>
    </row>
    <row r="1014" spans="1:8">
      <c r="B1014" s="179">
        <v>1007</v>
      </c>
      <c r="C1014" s="172"/>
      <c r="D1014" s="200" t="s">
        <v>1199</v>
      </c>
      <c r="E1014" s="178">
        <f>资产减值损失!E7</f>
        <v>0</v>
      </c>
      <c r="F1014" s="178">
        <v>0</v>
      </c>
      <c r="H1014" s="176">
        <f t="shared" si="52"/>
        <v>0</v>
      </c>
    </row>
    <row r="1015" spans="1:8">
      <c r="B1015" s="179">
        <v>1008</v>
      </c>
      <c r="C1015" s="172"/>
      <c r="D1015" s="200" t="s">
        <v>1200</v>
      </c>
      <c r="E1015" s="178">
        <f>资产减值损失!E8</f>
        <v>0</v>
      </c>
      <c r="F1015" s="178">
        <v>0</v>
      </c>
      <c r="H1015" s="176">
        <f t="shared" si="52"/>
        <v>0</v>
      </c>
    </row>
    <row r="1016" spans="1:8">
      <c r="B1016" s="179">
        <v>1009</v>
      </c>
      <c r="C1016" s="172"/>
      <c r="D1016" s="200" t="s">
        <v>1201</v>
      </c>
      <c r="E1016" s="178">
        <f>资产减值损失!E9</f>
        <v>0</v>
      </c>
      <c r="F1016" s="178">
        <v>0</v>
      </c>
      <c r="H1016" s="176">
        <f t="shared" si="52"/>
        <v>0</v>
      </c>
    </row>
    <row r="1017" spans="1:8">
      <c r="B1017" s="179">
        <v>1010</v>
      </c>
      <c r="C1017" s="172"/>
      <c r="D1017" s="200" t="s">
        <v>1202</v>
      </c>
      <c r="E1017" s="178">
        <f>资产减值损失!E10</f>
        <v>0</v>
      </c>
      <c r="F1017" s="178">
        <v>0</v>
      </c>
      <c r="H1017" s="176">
        <f t="shared" si="52"/>
        <v>0</v>
      </c>
    </row>
    <row r="1018" spans="1:8">
      <c r="B1018" s="179">
        <v>1011</v>
      </c>
      <c r="C1018" s="172"/>
      <c r="D1018" s="200" t="s">
        <v>1203</v>
      </c>
      <c r="E1018" s="178">
        <f>资产减值损失!E11</f>
        <v>0</v>
      </c>
      <c r="F1018" s="178">
        <v>195837.22</v>
      </c>
      <c r="H1018" s="176">
        <f t="shared" si="52"/>
        <v>195837.22</v>
      </c>
    </row>
    <row r="1019" spans="1:8" ht="13.5">
      <c r="A1019" s="186" t="str">
        <f>HYPERLINK("#C1","置顶")</f>
        <v>置顶</v>
      </c>
      <c r="B1019" s="179">
        <v>1012</v>
      </c>
      <c r="C1019" s="172"/>
      <c r="D1019" s="200" t="s">
        <v>1204</v>
      </c>
      <c r="E1019" s="178">
        <f>资产减值损失!E12</f>
        <v>0</v>
      </c>
      <c r="F1019" s="178">
        <v>0</v>
      </c>
      <c r="H1019" s="176">
        <f t="shared" si="52"/>
        <v>0</v>
      </c>
    </row>
    <row r="1020" spans="1:8" ht="13.5">
      <c r="A1020" s="187"/>
      <c r="B1020" s="179">
        <v>1013</v>
      </c>
      <c r="C1020" s="172"/>
      <c r="D1020" s="200" t="s">
        <v>1205</v>
      </c>
      <c r="E1020" s="178">
        <f>资产减值损失!E13</f>
        <v>0</v>
      </c>
      <c r="F1020" s="178">
        <v>0</v>
      </c>
      <c r="H1020" s="176">
        <f t="shared" si="52"/>
        <v>0</v>
      </c>
    </row>
    <row r="1021" spans="1:8">
      <c r="B1021" s="179">
        <v>1014</v>
      </c>
      <c r="C1021" s="172"/>
      <c r="D1021" s="200" t="s">
        <v>1206</v>
      </c>
      <c r="E1021" s="178">
        <f>资产减值损失!E14</f>
        <v>0</v>
      </c>
      <c r="F1021" s="178">
        <v>0</v>
      </c>
      <c r="H1021" s="176">
        <f t="shared" si="52"/>
        <v>0</v>
      </c>
    </row>
    <row r="1022" spans="1:8">
      <c r="B1022" s="179">
        <v>1015</v>
      </c>
      <c r="C1022" s="172"/>
      <c r="D1022" s="200" t="s">
        <v>1207</v>
      </c>
      <c r="E1022" s="178">
        <f>资产减值损失!E15</f>
        <v>0</v>
      </c>
      <c r="F1022" s="178">
        <v>0</v>
      </c>
      <c r="H1022" s="176">
        <f t="shared" si="52"/>
        <v>0</v>
      </c>
    </row>
    <row r="1023" spans="1:8">
      <c r="B1023" s="179">
        <v>1016</v>
      </c>
      <c r="C1023" s="172"/>
      <c r="D1023" s="200" t="s">
        <v>391</v>
      </c>
      <c r="E1023" s="178">
        <f>资产减值损失!E16</f>
        <v>0</v>
      </c>
      <c r="F1023" s="178">
        <v>0</v>
      </c>
      <c r="H1023" s="176">
        <f t="shared" si="52"/>
        <v>0</v>
      </c>
    </row>
    <row r="1024" spans="1:8">
      <c r="B1024" s="179">
        <v>1017</v>
      </c>
      <c r="C1024" s="172"/>
      <c r="D1024" s="178" t="s">
        <v>839</v>
      </c>
      <c r="E1024" s="178">
        <f>资产减值损失!E17</f>
        <v>10213.18</v>
      </c>
      <c r="F1024" s="178">
        <v>3030632.28</v>
      </c>
      <c r="H1024" s="176">
        <f t="shared" si="52"/>
        <v>3020419.0999999996</v>
      </c>
    </row>
    <row r="1025" spans="1:8">
      <c r="A1025" s="173" t="s">
        <v>523</v>
      </c>
      <c r="B1025" s="179">
        <v>1018</v>
      </c>
      <c r="C1025" s="172"/>
      <c r="H1025" s="175">
        <f>SUM(H1010:H1024)</f>
        <v>6040838.1999999993</v>
      </c>
    </row>
    <row r="1026" spans="1:8">
      <c r="A1026" s="181"/>
      <c r="B1026" s="179">
        <v>1019</v>
      </c>
      <c r="C1026" s="172"/>
    </row>
    <row r="1027" spans="1:8">
      <c r="B1027" s="179">
        <v>1020</v>
      </c>
      <c r="C1027" s="172"/>
      <c r="D1027" s="195" t="s">
        <v>1208</v>
      </c>
      <c r="E1027" s="201"/>
      <c r="F1027" s="201"/>
    </row>
    <row r="1028" spans="1:8">
      <c r="B1028" s="179">
        <v>1021</v>
      </c>
      <c r="C1028" s="172"/>
      <c r="D1028" s="196" t="s">
        <v>1209</v>
      </c>
      <c r="E1028" s="190" t="s">
        <v>642</v>
      </c>
      <c r="F1028" s="273" t="s">
        <v>1411</v>
      </c>
      <c r="H1028" s="172" t="s">
        <v>524</v>
      </c>
    </row>
    <row r="1029" spans="1:8">
      <c r="B1029" s="179">
        <v>1022</v>
      </c>
      <c r="C1029" s="172"/>
      <c r="D1029" s="196" t="s">
        <v>1210</v>
      </c>
      <c r="E1029" s="178">
        <f>公允价值变动收益!E3</f>
        <v>0</v>
      </c>
      <c r="F1029" s="178">
        <v>0</v>
      </c>
      <c r="H1029" s="176">
        <f t="shared" ref="H1029:H1035" si="53">ABS(E1029-F1029)</f>
        <v>0</v>
      </c>
    </row>
    <row r="1030" spans="1:8">
      <c r="B1030" s="179">
        <v>1023</v>
      </c>
      <c r="C1030" s="172"/>
      <c r="D1030" s="196" t="s">
        <v>1211</v>
      </c>
      <c r="E1030" s="178">
        <f>公允价值变动收益!E4</f>
        <v>0</v>
      </c>
      <c r="F1030" s="178">
        <v>0</v>
      </c>
      <c r="H1030" s="176">
        <f t="shared" si="53"/>
        <v>0</v>
      </c>
    </row>
    <row r="1031" spans="1:8">
      <c r="B1031" s="179">
        <v>1024</v>
      </c>
      <c r="C1031" s="172"/>
      <c r="D1031" s="196" t="s">
        <v>1212</v>
      </c>
      <c r="E1031" s="178">
        <f>公允价值变动收益!E5</f>
        <v>0</v>
      </c>
      <c r="F1031" s="178">
        <v>0</v>
      </c>
      <c r="H1031" s="176">
        <f t="shared" si="53"/>
        <v>0</v>
      </c>
    </row>
    <row r="1032" spans="1:8">
      <c r="B1032" s="179">
        <v>1025</v>
      </c>
      <c r="C1032" s="172"/>
      <c r="D1032" s="196" t="s">
        <v>1213</v>
      </c>
      <c r="E1032" s="178">
        <f>公允价值变动收益!E6</f>
        <v>0</v>
      </c>
      <c r="F1032" s="178">
        <v>0</v>
      </c>
      <c r="H1032" s="176">
        <f t="shared" si="53"/>
        <v>0</v>
      </c>
    </row>
    <row r="1033" spans="1:8" ht="13.5">
      <c r="A1033" s="186" t="str">
        <f>HYPERLINK("#C1","置顶")</f>
        <v>置顶</v>
      </c>
      <c r="B1033" s="179">
        <v>1026</v>
      </c>
      <c r="C1033" s="172"/>
      <c r="D1033" s="196" t="s">
        <v>1214</v>
      </c>
      <c r="E1033" s="178">
        <f>公允价值变动收益!E7</f>
        <v>0</v>
      </c>
      <c r="F1033" s="178">
        <v>0</v>
      </c>
      <c r="H1033" s="176">
        <f t="shared" si="53"/>
        <v>0</v>
      </c>
    </row>
    <row r="1034" spans="1:8" ht="13.5">
      <c r="A1034" s="187"/>
      <c r="B1034" s="179">
        <v>1027</v>
      </c>
      <c r="C1034" s="172"/>
      <c r="D1034" s="196" t="s">
        <v>964</v>
      </c>
      <c r="E1034" s="178">
        <f>公允价值变动收益!E8</f>
        <v>0</v>
      </c>
      <c r="F1034" s="178">
        <v>0</v>
      </c>
      <c r="H1034" s="176">
        <f t="shared" si="53"/>
        <v>0</v>
      </c>
    </row>
    <row r="1035" spans="1:8" ht="13.5">
      <c r="A1035" s="187"/>
      <c r="B1035" s="179">
        <v>1028</v>
      </c>
      <c r="C1035" s="172"/>
      <c r="D1035" s="196" t="s">
        <v>823</v>
      </c>
      <c r="E1035" s="178">
        <f>公允价值变动收益!E9</f>
        <v>0</v>
      </c>
      <c r="F1035" s="178">
        <v>0</v>
      </c>
      <c r="H1035" s="176">
        <f t="shared" si="53"/>
        <v>0</v>
      </c>
    </row>
    <row r="1036" spans="1:8">
      <c r="B1036" s="179">
        <v>1029</v>
      </c>
      <c r="C1036" s="172"/>
      <c r="H1036" s="175">
        <f>SUM(H1029:H1035)</f>
        <v>0</v>
      </c>
    </row>
    <row r="1037" spans="1:8">
      <c r="B1037" s="179">
        <v>1030</v>
      </c>
      <c r="C1037" s="172"/>
    </row>
    <row r="1038" spans="1:8">
      <c r="B1038" s="179">
        <v>1031</v>
      </c>
      <c r="C1038" s="172"/>
      <c r="D1038" s="197" t="s">
        <v>1215</v>
      </c>
      <c r="E1038" s="201"/>
      <c r="F1038" s="201"/>
    </row>
    <row r="1039" spans="1:8">
      <c r="B1039" s="179">
        <v>1032</v>
      </c>
      <c r="C1039" s="172"/>
      <c r="D1039" s="178" t="s">
        <v>1216</v>
      </c>
      <c r="E1039" s="190" t="s">
        <v>642</v>
      </c>
      <c r="F1039" s="273" t="s">
        <v>1411</v>
      </c>
      <c r="H1039" s="172" t="s">
        <v>524</v>
      </c>
    </row>
    <row r="1040" spans="1:8">
      <c r="A1040" s="173" t="s">
        <v>523</v>
      </c>
      <c r="B1040" s="179">
        <v>1033</v>
      </c>
      <c r="C1040" s="172"/>
      <c r="D1040" s="200" t="s">
        <v>1217</v>
      </c>
      <c r="E1040" s="178">
        <f>投资收益!E3</f>
        <v>0</v>
      </c>
      <c r="F1040" s="178">
        <v>268289.06</v>
      </c>
      <c r="H1040" s="176">
        <f t="shared" ref="H1040:H1049" si="54">ABS(E1040-F1040)</f>
        <v>268289.06</v>
      </c>
    </row>
    <row r="1041" spans="1:8">
      <c r="B1041" s="179">
        <v>1034</v>
      </c>
      <c r="C1041" s="172"/>
      <c r="D1041" s="200" t="s">
        <v>1218</v>
      </c>
      <c r="E1041" s="178">
        <f>投资收益!E4</f>
        <v>0</v>
      </c>
      <c r="F1041" s="178">
        <v>3598337.29</v>
      </c>
      <c r="H1041" s="176">
        <f t="shared" si="54"/>
        <v>3598337.29</v>
      </c>
    </row>
    <row r="1042" spans="1:8">
      <c r="B1042" s="179">
        <v>1035</v>
      </c>
      <c r="C1042" s="172"/>
      <c r="D1042" s="200" t="s">
        <v>1219</v>
      </c>
      <c r="E1042" s="178">
        <f>投资收益!E5</f>
        <v>0</v>
      </c>
      <c r="F1042" s="178">
        <v>0</v>
      </c>
      <c r="H1042" s="176">
        <f t="shared" si="54"/>
        <v>0</v>
      </c>
    </row>
    <row r="1043" spans="1:8" ht="25.5">
      <c r="B1043" s="179">
        <v>1036</v>
      </c>
      <c r="C1043" s="172"/>
      <c r="D1043" s="200" t="s">
        <v>1220</v>
      </c>
      <c r="E1043" s="178">
        <f>投资收益!E6</f>
        <v>0</v>
      </c>
      <c r="F1043" s="178">
        <v>0</v>
      </c>
      <c r="H1043" s="176">
        <f t="shared" si="54"/>
        <v>0</v>
      </c>
    </row>
    <row r="1044" spans="1:8">
      <c r="B1044" s="179">
        <v>1037</v>
      </c>
      <c r="C1044" s="172"/>
      <c r="D1044" s="200" t="s">
        <v>1221</v>
      </c>
      <c r="E1044" s="178">
        <f>投资收益!E7</f>
        <v>0</v>
      </c>
      <c r="F1044" s="178">
        <v>0</v>
      </c>
      <c r="H1044" s="176">
        <f t="shared" si="54"/>
        <v>0</v>
      </c>
    </row>
    <row r="1045" spans="1:8" ht="25.5">
      <c r="B1045" s="179">
        <v>1038</v>
      </c>
      <c r="C1045" s="172"/>
      <c r="D1045" s="200" t="s">
        <v>1222</v>
      </c>
      <c r="E1045" s="178">
        <f>投资收益!E8</f>
        <v>0</v>
      </c>
      <c r="F1045" s="178">
        <v>0</v>
      </c>
      <c r="H1045" s="176">
        <f t="shared" si="54"/>
        <v>0</v>
      </c>
    </row>
    <row r="1046" spans="1:8">
      <c r="B1046" s="179">
        <v>1039</v>
      </c>
      <c r="C1046" s="172"/>
      <c r="D1046" s="200" t="s">
        <v>1223</v>
      </c>
      <c r="E1046" s="178">
        <f>投资收益!E9</f>
        <v>0</v>
      </c>
      <c r="F1046" s="178">
        <v>0</v>
      </c>
      <c r="H1046" s="176">
        <f t="shared" si="54"/>
        <v>0</v>
      </c>
    </row>
    <row r="1047" spans="1:8">
      <c r="B1047" s="179">
        <v>1040</v>
      </c>
      <c r="C1047" s="172"/>
      <c r="D1047" s="200" t="s">
        <v>1224</v>
      </c>
      <c r="E1047" s="178">
        <f>投资收益!E10</f>
        <v>0</v>
      </c>
      <c r="F1047" s="178">
        <v>0</v>
      </c>
      <c r="H1047" s="176">
        <f t="shared" si="54"/>
        <v>0</v>
      </c>
    </row>
    <row r="1048" spans="1:8">
      <c r="B1048" s="179">
        <v>1041</v>
      </c>
      <c r="C1048" s="172"/>
      <c r="D1048" s="200" t="s">
        <v>1225</v>
      </c>
      <c r="E1048" s="178">
        <f>投资收益!E11</f>
        <v>0</v>
      </c>
      <c r="F1048" s="178">
        <v>0</v>
      </c>
      <c r="H1048" s="176">
        <f t="shared" si="54"/>
        <v>0</v>
      </c>
    </row>
    <row r="1049" spans="1:8">
      <c r="B1049" s="179">
        <v>1042</v>
      </c>
      <c r="C1049" s="172"/>
      <c r="D1049" s="200" t="s">
        <v>391</v>
      </c>
      <c r="E1049" s="178">
        <f>投资收益!E12</f>
        <v>0</v>
      </c>
      <c r="F1049" s="178">
        <v>0</v>
      </c>
      <c r="H1049" s="176">
        <f t="shared" si="54"/>
        <v>0</v>
      </c>
    </row>
    <row r="1050" spans="1:8">
      <c r="A1050" s="173" t="s">
        <v>523</v>
      </c>
      <c r="B1050" s="179">
        <v>1043</v>
      </c>
      <c r="C1050" s="172"/>
      <c r="D1050" s="178" t="s">
        <v>952</v>
      </c>
      <c r="E1050" s="178">
        <f>投资收益!E14</f>
        <v>0</v>
      </c>
      <c r="F1050" s="178">
        <v>3866626.35</v>
      </c>
      <c r="H1050" s="176">
        <f>ABS(E1050-F1050)</f>
        <v>3866626.35</v>
      </c>
    </row>
    <row r="1051" spans="1:8">
      <c r="A1051" s="181"/>
      <c r="B1051" s="179">
        <v>1044</v>
      </c>
      <c r="C1051" s="172"/>
      <c r="H1051" s="175">
        <f>SUM(H1040:H1050)</f>
        <v>7733252.7000000002</v>
      </c>
    </row>
    <row r="1052" spans="1:8">
      <c r="B1052" s="179">
        <v>1045</v>
      </c>
      <c r="C1052" s="172"/>
    </row>
    <row r="1053" spans="1:8">
      <c r="B1053" s="179">
        <v>1046</v>
      </c>
      <c r="C1053" s="172"/>
      <c r="D1053" s="197" t="s">
        <v>1226</v>
      </c>
      <c r="E1053" s="201"/>
      <c r="F1053" s="201"/>
    </row>
    <row r="1054" spans="1:8">
      <c r="B1054" s="179">
        <v>1047</v>
      </c>
      <c r="C1054" s="172"/>
      <c r="D1054" s="231" t="s">
        <v>1227</v>
      </c>
      <c r="E1054" s="201"/>
      <c r="F1054" s="201"/>
    </row>
    <row r="1055" spans="1:8">
      <c r="B1055" s="179">
        <v>1048</v>
      </c>
      <c r="C1055" s="172"/>
      <c r="D1055" s="178" t="s">
        <v>366</v>
      </c>
      <c r="E1055" s="190" t="s">
        <v>642</v>
      </c>
      <c r="F1055" s="273" t="s">
        <v>1411</v>
      </c>
      <c r="H1055" s="172" t="s">
        <v>524</v>
      </c>
    </row>
    <row r="1056" spans="1:8">
      <c r="B1056" s="179">
        <v>1049</v>
      </c>
      <c r="C1056" s="172"/>
      <c r="D1056" s="200" t="s">
        <v>1228</v>
      </c>
      <c r="E1056" s="178">
        <f>营业外收入!E4</f>
        <v>0</v>
      </c>
      <c r="F1056" s="178">
        <v>51331.81</v>
      </c>
      <c r="H1056" s="176">
        <f>ABS(E1056-F1056)</f>
        <v>51331.81</v>
      </c>
    </row>
    <row r="1057" spans="1:8">
      <c r="B1057" s="179">
        <v>1050</v>
      </c>
      <c r="C1057" s="172"/>
      <c r="D1057" s="200" t="s">
        <v>1229</v>
      </c>
      <c r="E1057" s="178">
        <f>营业外收入!E5</f>
        <v>0</v>
      </c>
      <c r="F1057" s="178">
        <v>51331.81</v>
      </c>
      <c r="H1057" s="176">
        <f t="shared" ref="H1057:H1071" si="55">ABS(E1057-F1057)</f>
        <v>51331.81</v>
      </c>
    </row>
    <row r="1058" spans="1:8" ht="13.5">
      <c r="A1058" s="186" t="str">
        <f>HYPERLINK("#C1","置顶")</f>
        <v>置顶</v>
      </c>
      <c r="B1058" s="179">
        <v>1051</v>
      </c>
      <c r="C1058" s="172"/>
      <c r="D1058" s="210" t="s">
        <v>1230</v>
      </c>
      <c r="E1058" s="178">
        <f>营业外收入!E6</f>
        <v>0</v>
      </c>
      <c r="F1058" s="178">
        <v>0</v>
      </c>
      <c r="H1058" s="176">
        <f t="shared" si="55"/>
        <v>0</v>
      </c>
    </row>
    <row r="1059" spans="1:8" ht="13.5">
      <c r="A1059" s="187"/>
      <c r="B1059" s="179">
        <v>1052</v>
      </c>
      <c r="C1059" s="172"/>
      <c r="D1059" s="210" t="s">
        <v>1231</v>
      </c>
      <c r="E1059" s="178">
        <f>营业外收入!E7</f>
        <v>0</v>
      </c>
      <c r="F1059" s="178">
        <v>0</v>
      </c>
      <c r="H1059" s="176">
        <f t="shared" si="55"/>
        <v>0</v>
      </c>
    </row>
    <row r="1060" spans="1:8" ht="13.5">
      <c r="A1060" s="187"/>
      <c r="B1060" s="179">
        <v>1053</v>
      </c>
      <c r="C1060" s="172"/>
      <c r="D1060" s="210" t="s">
        <v>1166</v>
      </c>
      <c r="E1060" s="178">
        <f>营业外收入!E8</f>
        <v>0</v>
      </c>
      <c r="F1060" s="178">
        <v>0</v>
      </c>
      <c r="H1060" s="176">
        <f t="shared" si="55"/>
        <v>0</v>
      </c>
    </row>
    <row r="1061" spans="1:8">
      <c r="B1061" s="179">
        <v>1054</v>
      </c>
      <c r="C1061" s="172"/>
      <c r="D1061" s="200" t="s">
        <v>1232</v>
      </c>
      <c r="E1061" s="178">
        <f>营业外收入!E9</f>
        <v>0</v>
      </c>
      <c r="F1061" s="178">
        <v>0</v>
      </c>
      <c r="H1061" s="176">
        <f t="shared" si="55"/>
        <v>0</v>
      </c>
    </row>
    <row r="1062" spans="1:8">
      <c r="B1062" s="179">
        <v>1055</v>
      </c>
      <c r="C1062" s="172"/>
      <c r="D1062" s="200" t="s">
        <v>1233</v>
      </c>
      <c r="E1062" s="178">
        <f>营业外收入!E10</f>
        <v>0</v>
      </c>
      <c r="F1062" s="178">
        <v>0</v>
      </c>
      <c r="H1062" s="176">
        <f t="shared" si="55"/>
        <v>0</v>
      </c>
    </row>
    <row r="1063" spans="1:8">
      <c r="B1063" s="179">
        <v>1056</v>
      </c>
      <c r="C1063" s="172"/>
      <c r="D1063" s="200" t="s">
        <v>1234</v>
      </c>
      <c r="E1063" s="178">
        <f>营业外收入!E11</f>
        <v>511678</v>
      </c>
      <c r="F1063" s="178">
        <v>0</v>
      </c>
      <c r="H1063" s="176">
        <f t="shared" si="55"/>
        <v>511678</v>
      </c>
    </row>
    <row r="1064" spans="1:8">
      <c r="B1064" s="179">
        <v>1057</v>
      </c>
      <c r="C1064" s="172"/>
      <c r="D1064" s="200" t="s">
        <v>1235</v>
      </c>
      <c r="E1064" s="178">
        <f>营业外收入!E12</f>
        <v>0</v>
      </c>
      <c r="F1064" s="178">
        <v>0</v>
      </c>
      <c r="H1064" s="176">
        <f t="shared" si="55"/>
        <v>0</v>
      </c>
    </row>
    <row r="1065" spans="1:8">
      <c r="A1065" s="173" t="s">
        <v>523</v>
      </c>
      <c r="B1065" s="179">
        <v>1058</v>
      </c>
      <c r="C1065" s="172"/>
      <c r="D1065" s="200" t="s">
        <v>1236</v>
      </c>
      <c r="E1065" s="178">
        <f>营业外收入!E13</f>
        <v>0</v>
      </c>
      <c r="F1065" s="178">
        <v>0</v>
      </c>
      <c r="H1065" s="176">
        <f t="shared" si="55"/>
        <v>0</v>
      </c>
    </row>
    <row r="1066" spans="1:8">
      <c r="B1066" s="179">
        <v>1059</v>
      </c>
      <c r="C1066" s="172"/>
      <c r="D1066" s="200" t="s">
        <v>1237</v>
      </c>
      <c r="E1066" s="178">
        <f>营业外收入!E14</f>
        <v>0</v>
      </c>
      <c r="F1066" s="178">
        <v>0</v>
      </c>
      <c r="H1066" s="176">
        <f t="shared" si="55"/>
        <v>0</v>
      </c>
    </row>
    <row r="1067" spans="1:8">
      <c r="B1067" s="179">
        <v>1060</v>
      </c>
      <c r="C1067" s="172"/>
      <c r="D1067" s="200" t="s">
        <v>1238</v>
      </c>
      <c r="E1067" s="178">
        <f>营业外收入!E15</f>
        <v>0</v>
      </c>
      <c r="F1067" s="178">
        <v>0</v>
      </c>
      <c r="H1067" s="176">
        <f t="shared" si="55"/>
        <v>0</v>
      </c>
    </row>
    <row r="1068" spans="1:8">
      <c r="B1068" s="179">
        <v>1061</v>
      </c>
      <c r="C1068" s="172"/>
      <c r="D1068" s="209" t="s">
        <v>1239</v>
      </c>
      <c r="E1068" s="178">
        <f>营业外收入!E16</f>
        <v>0</v>
      </c>
      <c r="F1068" s="178">
        <v>11485736.59</v>
      </c>
      <c r="H1068" s="176">
        <f t="shared" si="55"/>
        <v>11485736.59</v>
      </c>
    </row>
    <row r="1069" spans="1:8">
      <c r="A1069" s="173" t="s">
        <v>523</v>
      </c>
      <c r="B1069" s="179">
        <v>1062</v>
      </c>
      <c r="C1069" s="172"/>
      <c r="D1069" s="209" t="s">
        <v>1240</v>
      </c>
      <c r="E1069" s="178">
        <f>营业外收入!E17</f>
        <v>0</v>
      </c>
      <c r="F1069" s="178">
        <v>0</v>
      </c>
      <c r="H1069" s="176">
        <f t="shared" si="55"/>
        <v>0</v>
      </c>
    </row>
    <row r="1070" spans="1:8">
      <c r="A1070" s="181"/>
      <c r="B1070" s="179">
        <v>1063</v>
      </c>
      <c r="C1070" s="172"/>
      <c r="D1070" s="209" t="s">
        <v>391</v>
      </c>
      <c r="E1070" s="178">
        <f>营业外收入!E18</f>
        <v>0</v>
      </c>
      <c r="F1070" s="178">
        <v>0</v>
      </c>
      <c r="H1070" s="176">
        <f t="shared" si="55"/>
        <v>0</v>
      </c>
    </row>
    <row r="1071" spans="1:8">
      <c r="B1071" s="179">
        <v>1064</v>
      </c>
      <c r="C1071" s="172"/>
      <c r="D1071" s="178" t="s">
        <v>877</v>
      </c>
      <c r="E1071" s="178">
        <f>营业外收入!E19</f>
        <v>511678</v>
      </c>
      <c r="F1071" s="178">
        <v>11537068.4</v>
      </c>
      <c r="H1071" s="176">
        <f t="shared" si="55"/>
        <v>11025390.4</v>
      </c>
    </row>
    <row r="1072" spans="1:8">
      <c r="B1072" s="179">
        <v>1065</v>
      </c>
      <c r="C1072" s="172"/>
      <c r="H1072" s="175">
        <f>SUM(H1056:H1071)</f>
        <v>23125468.609999999</v>
      </c>
    </row>
    <row r="1073" spans="1:8">
      <c r="B1073" s="179">
        <v>1066</v>
      </c>
      <c r="C1073" s="172"/>
    </row>
    <row r="1074" spans="1:8">
      <c r="B1074" s="179">
        <v>1067</v>
      </c>
      <c r="C1074" s="172"/>
    </row>
    <row r="1075" spans="1:8">
      <c r="B1075" s="179">
        <v>1068</v>
      </c>
      <c r="C1075" s="172"/>
      <c r="D1075" s="197" t="s">
        <v>1241</v>
      </c>
      <c r="E1075" s="201"/>
      <c r="F1075" s="201"/>
    </row>
    <row r="1076" spans="1:8">
      <c r="B1076" s="179">
        <v>1069</v>
      </c>
      <c r="C1076" s="172"/>
      <c r="D1076" s="197"/>
      <c r="E1076" s="201"/>
      <c r="F1076" s="201"/>
    </row>
    <row r="1077" spans="1:8" ht="13.5">
      <c r="A1077" s="186" t="str">
        <f>HYPERLINK("#C1","置顶")</f>
        <v>置顶</v>
      </c>
      <c r="B1077" s="179">
        <v>1070</v>
      </c>
      <c r="C1077" s="172"/>
      <c r="D1077" s="178" t="s">
        <v>366</v>
      </c>
      <c r="E1077" s="190" t="s">
        <v>642</v>
      </c>
      <c r="F1077" s="273" t="s">
        <v>1411</v>
      </c>
      <c r="H1077" s="172" t="s">
        <v>524</v>
      </c>
    </row>
    <row r="1078" spans="1:8" ht="13.5">
      <c r="A1078" s="187"/>
      <c r="B1078" s="179">
        <v>1071</v>
      </c>
      <c r="C1078" s="172"/>
      <c r="D1078" s="232" t="s">
        <v>1242</v>
      </c>
      <c r="E1078" s="178">
        <f>营业外支出!E4</f>
        <v>0</v>
      </c>
      <c r="F1078" s="178">
        <v>0</v>
      </c>
      <c r="H1078" s="176">
        <f t="shared" ref="H1078:H1096" si="56">ABS(E1078-F1078)</f>
        <v>0</v>
      </c>
    </row>
    <row r="1079" spans="1:8" ht="13.5">
      <c r="A1079" s="187"/>
      <c r="B1079" s="179">
        <v>1072</v>
      </c>
      <c r="C1079" s="172"/>
      <c r="D1079" s="232" t="s">
        <v>1243</v>
      </c>
      <c r="E1079" s="178">
        <f>营业外支出!E5</f>
        <v>0</v>
      </c>
      <c r="F1079" s="178">
        <v>0</v>
      </c>
      <c r="H1079" s="176">
        <f t="shared" si="56"/>
        <v>0</v>
      </c>
    </row>
    <row r="1080" spans="1:8">
      <c r="B1080" s="179">
        <v>1073</v>
      </c>
      <c r="C1080" s="172"/>
      <c r="D1080" s="233" t="s">
        <v>1244</v>
      </c>
      <c r="E1080" s="178">
        <f>营业外支出!E6</f>
        <v>0</v>
      </c>
      <c r="F1080" s="178">
        <v>0</v>
      </c>
      <c r="H1080" s="176">
        <f t="shared" si="56"/>
        <v>0</v>
      </c>
    </row>
    <row r="1081" spans="1:8">
      <c r="B1081" s="179">
        <v>1074</v>
      </c>
      <c r="C1081" s="172"/>
      <c r="D1081" s="233" t="s">
        <v>1245</v>
      </c>
      <c r="E1081" s="178">
        <f>营业外支出!E7</f>
        <v>0</v>
      </c>
      <c r="F1081" s="178">
        <v>0</v>
      </c>
      <c r="H1081" s="176">
        <f t="shared" si="56"/>
        <v>0</v>
      </c>
    </row>
    <row r="1082" spans="1:8">
      <c r="B1082" s="179">
        <v>1075</v>
      </c>
      <c r="C1082" s="172"/>
      <c r="D1082" s="233" t="s">
        <v>1166</v>
      </c>
      <c r="E1082" s="178">
        <f>营业外支出!E8</f>
        <v>0</v>
      </c>
      <c r="F1082" s="178">
        <v>0</v>
      </c>
      <c r="H1082" s="176">
        <f t="shared" si="56"/>
        <v>0</v>
      </c>
    </row>
    <row r="1083" spans="1:8">
      <c r="B1083" s="179">
        <v>1076</v>
      </c>
      <c r="C1083" s="172"/>
      <c r="D1083" s="232" t="s">
        <v>1246</v>
      </c>
      <c r="E1083" s="178">
        <f>营业外支出!E9</f>
        <v>0</v>
      </c>
      <c r="F1083" s="178">
        <v>0</v>
      </c>
      <c r="H1083" s="176">
        <f t="shared" si="56"/>
        <v>0</v>
      </c>
    </row>
    <row r="1084" spans="1:8">
      <c r="A1084" s="173" t="s">
        <v>523</v>
      </c>
      <c r="B1084" s="179">
        <v>1077</v>
      </c>
      <c r="C1084" s="172"/>
      <c r="D1084" s="234" t="s">
        <v>1247</v>
      </c>
      <c r="E1084" s="178">
        <f>营业外支出!E10</f>
        <v>0</v>
      </c>
      <c r="F1084" s="178">
        <v>0</v>
      </c>
      <c r="H1084" s="176">
        <f t="shared" si="56"/>
        <v>0</v>
      </c>
    </row>
    <row r="1085" spans="1:8">
      <c r="B1085" s="179">
        <v>1078</v>
      </c>
      <c r="C1085" s="172"/>
      <c r="D1085" s="232" t="s">
        <v>1248</v>
      </c>
      <c r="E1085" s="178">
        <f>营业外支出!E11</f>
        <v>0</v>
      </c>
      <c r="F1085" s="178">
        <v>0</v>
      </c>
      <c r="H1085" s="176">
        <f t="shared" si="56"/>
        <v>0</v>
      </c>
    </row>
    <row r="1086" spans="1:8">
      <c r="B1086" s="179">
        <v>1079</v>
      </c>
      <c r="C1086" s="172"/>
      <c r="D1086" s="232" t="s">
        <v>1249</v>
      </c>
      <c r="E1086" s="178">
        <f>营业外支出!E12</f>
        <v>0</v>
      </c>
      <c r="F1086" s="178">
        <v>0</v>
      </c>
      <c r="H1086" s="176">
        <f t="shared" si="56"/>
        <v>0</v>
      </c>
    </row>
    <row r="1087" spans="1:8">
      <c r="B1087" s="179">
        <v>1080</v>
      </c>
      <c r="C1087" s="172"/>
      <c r="D1087" s="235" t="s">
        <v>1250</v>
      </c>
      <c r="E1087" s="178">
        <f>营业外支出!E13</f>
        <v>0</v>
      </c>
      <c r="F1087" s="178">
        <v>0</v>
      </c>
      <c r="H1087" s="176">
        <f t="shared" si="56"/>
        <v>0</v>
      </c>
    </row>
    <row r="1088" spans="1:8">
      <c r="B1088" s="179">
        <v>1081</v>
      </c>
      <c r="C1088" s="172"/>
      <c r="D1088" s="200" t="s">
        <v>1251</v>
      </c>
      <c r="E1088" s="178">
        <f>营业外支出!E14</f>
        <v>0</v>
      </c>
      <c r="F1088" s="178">
        <v>0</v>
      </c>
      <c r="H1088" s="176">
        <f t="shared" si="56"/>
        <v>0</v>
      </c>
    </row>
    <row r="1089" spans="1:8">
      <c r="B1089" s="179">
        <v>1082</v>
      </c>
      <c r="C1089" s="172"/>
      <c r="D1089" s="200" t="s">
        <v>1252</v>
      </c>
      <c r="E1089" s="178">
        <f>营业外支出!E15</f>
        <v>0</v>
      </c>
      <c r="F1089" s="178">
        <v>0</v>
      </c>
      <c r="H1089" s="176">
        <f t="shared" si="56"/>
        <v>0</v>
      </c>
    </row>
    <row r="1090" spans="1:8">
      <c r="B1090" s="179">
        <v>1083</v>
      </c>
      <c r="C1090" s="172"/>
      <c r="D1090" s="200" t="s">
        <v>1253</v>
      </c>
      <c r="E1090" s="178">
        <f>营业外支出!E16</f>
        <v>0</v>
      </c>
      <c r="F1090" s="178">
        <v>0</v>
      </c>
      <c r="H1090" s="176">
        <f t="shared" si="56"/>
        <v>0</v>
      </c>
    </row>
    <row r="1091" spans="1:8">
      <c r="A1091" s="173" t="s">
        <v>523</v>
      </c>
      <c r="B1091" s="179">
        <v>1084</v>
      </c>
      <c r="C1091" s="172"/>
      <c r="D1091" s="200" t="s">
        <v>1254</v>
      </c>
      <c r="E1091" s="178">
        <f>营业外支出!E17</f>
        <v>0</v>
      </c>
      <c r="F1091" s="178">
        <v>0</v>
      </c>
      <c r="H1091" s="176">
        <f t="shared" si="56"/>
        <v>0</v>
      </c>
    </row>
    <row r="1092" spans="1:8">
      <c r="A1092" s="181"/>
      <c r="B1092" s="179">
        <v>1085</v>
      </c>
      <c r="C1092" s="172"/>
      <c r="D1092" s="200" t="s">
        <v>1255</v>
      </c>
      <c r="E1092" s="178">
        <f>营业外支出!E18</f>
        <v>0</v>
      </c>
      <c r="F1092" s="178">
        <v>0</v>
      </c>
      <c r="H1092" s="176">
        <f t="shared" si="56"/>
        <v>0</v>
      </c>
    </row>
    <row r="1093" spans="1:8">
      <c r="B1093" s="179">
        <v>1086</v>
      </c>
      <c r="C1093" s="172"/>
      <c r="D1093" s="200" t="s">
        <v>1256</v>
      </c>
      <c r="E1093" s="178">
        <f>营业外支出!E19</f>
        <v>0</v>
      </c>
      <c r="F1093" s="178">
        <v>0</v>
      </c>
      <c r="H1093" s="176">
        <f t="shared" si="56"/>
        <v>0</v>
      </c>
    </row>
    <row r="1094" spans="1:8">
      <c r="B1094" s="179">
        <v>1087</v>
      </c>
      <c r="C1094" s="172"/>
      <c r="D1094" s="200" t="s">
        <v>1257</v>
      </c>
      <c r="E1094" s="178">
        <f>营业外支出!E20</f>
        <v>0</v>
      </c>
      <c r="F1094" s="178">
        <v>0</v>
      </c>
      <c r="H1094" s="176">
        <f t="shared" si="56"/>
        <v>0</v>
      </c>
    </row>
    <row r="1095" spans="1:8">
      <c r="B1095" s="179">
        <v>1088</v>
      </c>
      <c r="C1095" s="172"/>
      <c r="D1095" s="200" t="s">
        <v>1258</v>
      </c>
      <c r="E1095" s="178">
        <f>营业外支出!E21</f>
        <v>0</v>
      </c>
      <c r="F1095" s="178">
        <v>0</v>
      </c>
      <c r="H1095" s="176">
        <f t="shared" si="56"/>
        <v>0</v>
      </c>
    </row>
    <row r="1096" spans="1:8">
      <c r="B1096" s="179">
        <v>1089</v>
      </c>
      <c r="C1096" s="172"/>
      <c r="D1096" s="178" t="s">
        <v>839</v>
      </c>
      <c r="E1096" s="178">
        <f>营业外支出!E22</f>
        <v>0</v>
      </c>
      <c r="F1096" s="178">
        <v>0</v>
      </c>
      <c r="H1096" s="176">
        <f t="shared" si="56"/>
        <v>0</v>
      </c>
    </row>
    <row r="1097" spans="1:8">
      <c r="B1097" s="179">
        <v>1090</v>
      </c>
      <c r="C1097" s="172"/>
      <c r="H1097" s="175">
        <f>SUM(H1078:H1096)</f>
        <v>0</v>
      </c>
    </row>
    <row r="1098" spans="1:8">
      <c r="B1098" s="179">
        <v>1091</v>
      </c>
      <c r="C1098" s="172"/>
    </row>
    <row r="1099" spans="1:8" ht="13.5">
      <c r="A1099" s="186" t="str">
        <f>HYPERLINK("#C1","置顶")</f>
        <v>置顶</v>
      </c>
      <c r="B1099" s="179">
        <v>1092</v>
      </c>
      <c r="C1099" s="172"/>
      <c r="D1099" s="197" t="s">
        <v>1259</v>
      </c>
      <c r="E1099" s="201"/>
      <c r="F1099" s="201"/>
    </row>
    <row r="1100" spans="1:8" ht="13.5">
      <c r="A1100" s="187"/>
      <c r="B1100" s="179">
        <v>1093</v>
      </c>
      <c r="C1100" s="172"/>
      <c r="D1100" s="178" t="s">
        <v>366</v>
      </c>
      <c r="E1100" s="190" t="s">
        <v>642</v>
      </c>
      <c r="F1100" s="273" t="s">
        <v>1411</v>
      </c>
      <c r="H1100" s="172" t="s">
        <v>524</v>
      </c>
    </row>
    <row r="1101" spans="1:8" ht="13.5">
      <c r="A1101" s="187"/>
      <c r="B1101" s="179">
        <v>1094</v>
      </c>
      <c r="C1101" s="172"/>
      <c r="D1101" s="200" t="s">
        <v>1260</v>
      </c>
      <c r="E1101" s="178">
        <f>所得税费用!E3</f>
        <v>1282781.77</v>
      </c>
      <c r="F1101" s="178">
        <v>0</v>
      </c>
      <c r="H1101" s="176">
        <f>ABS(E1101-F1101)</f>
        <v>1282781.77</v>
      </c>
    </row>
    <row r="1102" spans="1:8">
      <c r="B1102" s="179">
        <v>1095</v>
      </c>
      <c r="C1102" s="172"/>
      <c r="D1102" s="200" t="s">
        <v>1261</v>
      </c>
      <c r="E1102" s="178">
        <f>所得税费用!E4</f>
        <v>-2553.3000000000002</v>
      </c>
      <c r="F1102" s="178">
        <v>-2496555.21</v>
      </c>
      <c r="H1102" s="176">
        <f>ABS(E1102-F1102)</f>
        <v>2494001.91</v>
      </c>
    </row>
    <row r="1103" spans="1:8">
      <c r="B1103" s="179">
        <v>1096</v>
      </c>
      <c r="C1103" s="172"/>
      <c r="D1103" s="200" t="s">
        <v>964</v>
      </c>
      <c r="E1103" s="178">
        <f>所得税费用!E5</f>
        <v>0</v>
      </c>
      <c r="F1103" s="178">
        <v>0</v>
      </c>
      <c r="H1103" s="176">
        <f>ABS(E1103-F1103)</f>
        <v>0</v>
      </c>
    </row>
    <row r="1104" spans="1:8">
      <c r="B1104" s="179">
        <v>1097</v>
      </c>
      <c r="C1104" s="172"/>
      <c r="D1104" s="178" t="s">
        <v>839</v>
      </c>
      <c r="E1104" s="178">
        <f>所得税费用!E6</f>
        <v>1280228.47</v>
      </c>
      <c r="F1104" s="178">
        <v>-2496555.21</v>
      </c>
      <c r="H1104" s="176">
        <f>ABS(E1104-F1104)</f>
        <v>3776783.6799999997</v>
      </c>
    </row>
    <row r="1105" spans="1:8">
      <c r="B1105" s="179">
        <v>1098</v>
      </c>
      <c r="C1105" s="172"/>
      <c r="H1105" s="175">
        <f>SUM(H1101:H1104)</f>
        <v>7553567.3599999994</v>
      </c>
    </row>
    <row r="1106" spans="1:8">
      <c r="A1106" s="173" t="s">
        <v>523</v>
      </c>
      <c r="B1106" s="179">
        <v>1099</v>
      </c>
      <c r="C1106" s="172"/>
    </row>
    <row r="1107" spans="1:8">
      <c r="B1107" s="179">
        <v>1100</v>
      </c>
      <c r="C1107" s="172"/>
      <c r="D1107" s="195" t="s">
        <v>1262</v>
      </c>
      <c r="E1107" s="201"/>
      <c r="F1107" s="201"/>
    </row>
    <row r="1108" spans="1:8">
      <c r="B1108" s="179">
        <v>1101</v>
      </c>
      <c r="C1108" s="172"/>
      <c r="D1108" s="196" t="s">
        <v>366</v>
      </c>
      <c r="E1108" s="190" t="s">
        <v>642</v>
      </c>
      <c r="F1108" s="273" t="s">
        <v>1411</v>
      </c>
      <c r="H1108" s="172" t="s">
        <v>524</v>
      </c>
    </row>
    <row r="1109" spans="1:8">
      <c r="B1109" s="179">
        <v>1102</v>
      </c>
      <c r="C1109" s="172"/>
      <c r="D1109" s="196" t="s">
        <v>1263</v>
      </c>
      <c r="E1109" s="178" t="str">
        <f>其他综合收益!E4</f>
        <v>所得税</v>
      </c>
      <c r="F1109" s="178">
        <v>0</v>
      </c>
      <c r="H1109" s="176" t="e">
        <f>ABS(E1109-F1109)</f>
        <v>#VALUE!</v>
      </c>
    </row>
    <row r="1110" spans="1:8">
      <c r="B1110" s="179">
        <v>1103</v>
      </c>
      <c r="C1110" s="172"/>
      <c r="D1110" s="196" t="s">
        <v>1264</v>
      </c>
      <c r="E1110" s="178">
        <f>其他综合收益!E5</f>
        <v>0</v>
      </c>
      <c r="F1110" s="178">
        <v>0</v>
      </c>
      <c r="H1110" s="176">
        <f t="shared" ref="H1110:H1128" si="57">ABS(E1110-F1110)</f>
        <v>0</v>
      </c>
    </row>
    <row r="1111" spans="1:8">
      <c r="A1111" s="173" t="s">
        <v>523</v>
      </c>
      <c r="B1111" s="179">
        <v>1104</v>
      </c>
      <c r="C1111" s="172"/>
      <c r="D1111" s="196" t="s">
        <v>1265</v>
      </c>
      <c r="E1111" s="178">
        <f>其他综合收益!E6</f>
        <v>0</v>
      </c>
      <c r="F1111" s="178">
        <v>0</v>
      </c>
      <c r="H1111" s="176">
        <f t="shared" si="57"/>
        <v>0</v>
      </c>
    </row>
    <row r="1112" spans="1:8">
      <c r="A1112" s="181"/>
      <c r="B1112" s="179">
        <v>1105</v>
      </c>
      <c r="C1112" s="172"/>
      <c r="D1112" s="196" t="s">
        <v>1266</v>
      </c>
      <c r="E1112" s="178">
        <f>其他综合收益!E7</f>
        <v>0</v>
      </c>
      <c r="F1112" s="178">
        <v>0</v>
      </c>
      <c r="H1112" s="176">
        <f t="shared" si="57"/>
        <v>0</v>
      </c>
    </row>
    <row r="1113" spans="1:8">
      <c r="B1113" s="179">
        <v>1106</v>
      </c>
      <c r="C1113" s="172"/>
      <c r="D1113" s="196" t="s">
        <v>1267</v>
      </c>
      <c r="E1113" s="178">
        <f>其他综合收益!E8</f>
        <v>0</v>
      </c>
      <c r="F1113" s="178">
        <v>0</v>
      </c>
      <c r="H1113" s="176">
        <f t="shared" si="57"/>
        <v>0</v>
      </c>
    </row>
    <row r="1114" spans="1:8">
      <c r="B1114" s="179">
        <v>1107</v>
      </c>
      <c r="C1114" s="172"/>
      <c r="D1114" s="196" t="s">
        <v>1268</v>
      </c>
      <c r="E1114" s="178">
        <f>其他综合收益!E9</f>
        <v>0</v>
      </c>
      <c r="F1114" s="178">
        <v>0</v>
      </c>
      <c r="H1114" s="176">
        <f t="shared" si="57"/>
        <v>0</v>
      </c>
    </row>
    <row r="1115" spans="1:8">
      <c r="B1115" s="179">
        <v>1108</v>
      </c>
      <c r="C1115" s="172"/>
      <c r="D1115" s="196" t="s">
        <v>1265</v>
      </c>
      <c r="E1115" s="178">
        <f>其他综合收益!E10</f>
        <v>0</v>
      </c>
      <c r="F1115" s="178">
        <v>0</v>
      </c>
      <c r="H1115" s="176">
        <f t="shared" si="57"/>
        <v>0</v>
      </c>
    </row>
    <row r="1116" spans="1:8">
      <c r="B1116" s="179">
        <v>1109</v>
      </c>
      <c r="C1116" s="172"/>
      <c r="D1116" s="196" t="s">
        <v>1266</v>
      </c>
      <c r="E1116" s="178">
        <f>其他综合收益!E11</f>
        <v>0</v>
      </c>
      <c r="F1116" s="178">
        <v>0</v>
      </c>
      <c r="H1116" s="176">
        <f t="shared" si="57"/>
        <v>0</v>
      </c>
    </row>
    <row r="1117" spans="1:8">
      <c r="B1117" s="179">
        <v>1110</v>
      </c>
      <c r="C1117" s="172"/>
      <c r="D1117" s="196" t="s">
        <v>1269</v>
      </c>
      <c r="E1117" s="178">
        <f>其他综合收益!E12</f>
        <v>0</v>
      </c>
      <c r="F1117" s="178">
        <v>0</v>
      </c>
      <c r="H1117" s="176">
        <f t="shared" si="57"/>
        <v>0</v>
      </c>
    </row>
    <row r="1118" spans="1:8">
      <c r="B1118" s="179">
        <v>1111</v>
      </c>
      <c r="C1118" s="172"/>
      <c r="D1118" s="196" t="s">
        <v>1270</v>
      </c>
      <c r="E1118" s="178">
        <f>其他综合收益!E13</f>
        <v>0</v>
      </c>
      <c r="F1118" s="178">
        <v>0</v>
      </c>
      <c r="H1118" s="176">
        <f t="shared" si="57"/>
        <v>0</v>
      </c>
    </row>
    <row r="1119" spans="1:8" ht="13.5">
      <c r="A1119" s="186" t="str">
        <f>HYPERLINK("#C1","置顶")</f>
        <v>置顶</v>
      </c>
      <c r="B1119" s="179">
        <v>1112</v>
      </c>
      <c r="C1119" s="172"/>
      <c r="D1119" s="196" t="s">
        <v>1265</v>
      </c>
      <c r="E1119" s="178">
        <f>其他综合收益!E14</f>
        <v>0</v>
      </c>
      <c r="F1119" s="178">
        <v>0</v>
      </c>
      <c r="H1119" s="176">
        <f t="shared" si="57"/>
        <v>0</v>
      </c>
    </row>
    <row r="1120" spans="1:8" ht="13.5">
      <c r="A1120" s="187"/>
      <c r="B1120" s="179">
        <v>1113</v>
      </c>
      <c r="C1120" s="172"/>
      <c r="D1120" s="196" t="s">
        <v>1271</v>
      </c>
      <c r="E1120" s="178">
        <f>其他综合收益!E15</f>
        <v>0</v>
      </c>
      <c r="F1120" s="178">
        <v>0</v>
      </c>
      <c r="H1120" s="176">
        <f t="shared" si="57"/>
        <v>0</v>
      </c>
    </row>
    <row r="1121" spans="1:8" ht="13.5">
      <c r="A1121" s="187"/>
      <c r="B1121" s="179">
        <v>1114</v>
      </c>
      <c r="C1121" s="172"/>
      <c r="D1121" s="196" t="s">
        <v>1266</v>
      </c>
      <c r="E1121" s="178">
        <f>其他综合收益!E16</f>
        <v>0</v>
      </c>
      <c r="F1121" s="178">
        <v>0</v>
      </c>
      <c r="H1121" s="176">
        <f t="shared" si="57"/>
        <v>0</v>
      </c>
    </row>
    <row r="1122" spans="1:8">
      <c r="B1122" s="179">
        <v>1115</v>
      </c>
      <c r="C1122" s="172"/>
      <c r="D1122" s="196" t="s">
        <v>1272</v>
      </c>
      <c r="E1122" s="178">
        <f>其他综合收益!E17</f>
        <v>0</v>
      </c>
      <c r="F1122" s="178">
        <v>0</v>
      </c>
      <c r="H1122" s="176">
        <f t="shared" si="57"/>
        <v>0</v>
      </c>
    </row>
    <row r="1123" spans="1:8">
      <c r="B1123" s="179">
        <v>1116</v>
      </c>
      <c r="C1123" s="172"/>
      <c r="D1123" s="196" t="s">
        <v>1273</v>
      </c>
      <c r="E1123" s="178">
        <f>其他综合收益!E18</f>
        <v>0</v>
      </c>
      <c r="F1123" s="178">
        <v>0</v>
      </c>
      <c r="H1123" s="176">
        <f t="shared" si="57"/>
        <v>0</v>
      </c>
    </row>
    <row r="1124" spans="1:8">
      <c r="B1124" s="179">
        <v>1117</v>
      </c>
      <c r="C1124" s="172"/>
      <c r="D1124" s="196" t="s">
        <v>1266</v>
      </c>
      <c r="E1124" s="178">
        <f>其他综合收益!E19</f>
        <v>0</v>
      </c>
      <c r="F1124" s="178">
        <v>0</v>
      </c>
      <c r="H1124" s="176">
        <f t="shared" si="57"/>
        <v>0</v>
      </c>
    </row>
    <row r="1125" spans="1:8">
      <c r="B1125" s="179">
        <v>1118</v>
      </c>
      <c r="C1125" s="172"/>
      <c r="D1125" s="196" t="s">
        <v>1274</v>
      </c>
      <c r="E1125" s="178">
        <f>其他综合收益!E20</f>
        <v>0</v>
      </c>
      <c r="F1125" s="178">
        <v>0</v>
      </c>
      <c r="H1125" s="176">
        <f t="shared" si="57"/>
        <v>0</v>
      </c>
    </row>
    <row r="1126" spans="1:8">
      <c r="A1126" s="173" t="s">
        <v>523</v>
      </c>
      <c r="B1126" s="179">
        <v>1119</v>
      </c>
      <c r="C1126" s="172"/>
      <c r="D1126" s="196" t="s">
        <v>1275</v>
      </c>
      <c r="E1126" s="178">
        <f>其他综合收益!E21</f>
        <v>0</v>
      </c>
      <c r="F1126" s="178">
        <v>0</v>
      </c>
      <c r="H1126" s="176">
        <f t="shared" si="57"/>
        <v>0</v>
      </c>
    </row>
    <row r="1127" spans="1:8">
      <c r="B1127" s="179">
        <v>1120</v>
      </c>
      <c r="C1127" s="172"/>
      <c r="D1127" s="196" t="s">
        <v>1276</v>
      </c>
      <c r="E1127" s="178" t="e">
        <f>其他综合收益!#REF!</f>
        <v>#REF!</v>
      </c>
      <c r="F1127" s="178">
        <v>0</v>
      </c>
      <c r="H1127" s="176" t="e">
        <f t="shared" si="57"/>
        <v>#REF!</v>
      </c>
    </row>
    <row r="1128" spans="1:8">
      <c r="B1128" s="179">
        <v>1121</v>
      </c>
      <c r="C1128" s="172"/>
      <c r="D1128" s="196" t="s">
        <v>1266</v>
      </c>
      <c r="E1128" s="178" t="e">
        <f>其他综合收益!#REF!</f>
        <v>#REF!</v>
      </c>
      <c r="F1128" s="178">
        <v>0</v>
      </c>
      <c r="H1128" s="176" t="e">
        <f t="shared" si="57"/>
        <v>#REF!</v>
      </c>
    </row>
    <row r="1129" spans="1:8">
      <c r="B1129" s="179">
        <v>1122</v>
      </c>
      <c r="C1129" s="172"/>
      <c r="D1129" s="196" t="s">
        <v>1005</v>
      </c>
      <c r="E1129" s="178">
        <f>其他综合收益!E25</f>
        <v>0</v>
      </c>
      <c r="F1129" s="178">
        <v>0</v>
      </c>
      <c r="H1129" s="176">
        <f>ABS(E1129-F1129)</f>
        <v>0</v>
      </c>
    </row>
    <row r="1130" spans="1:8">
      <c r="B1130" s="179">
        <v>1123</v>
      </c>
      <c r="C1130" s="172"/>
      <c r="H1130" s="175" t="e">
        <f>SUM(H1109:H1129)</f>
        <v>#VALUE!</v>
      </c>
    </row>
    <row r="1131" spans="1:8">
      <c r="B1131" s="179">
        <v>1124</v>
      </c>
      <c r="C1131" s="172"/>
    </row>
    <row r="1132" spans="1:8" ht="13.5">
      <c r="A1132" s="186" t="str">
        <f>HYPERLINK("#C1","置顶")</f>
        <v>置顶</v>
      </c>
      <c r="B1132" s="179">
        <v>1125</v>
      </c>
      <c r="C1132" s="172"/>
      <c r="D1132" s="197" t="s">
        <v>1277</v>
      </c>
    </row>
    <row r="1133" spans="1:8" ht="13.5">
      <c r="A1133" s="187"/>
      <c r="B1133" s="179">
        <v>1126</v>
      </c>
      <c r="C1133" s="172"/>
    </row>
    <row r="1134" spans="1:8" ht="13.5">
      <c r="A1134" s="187"/>
      <c r="B1134" s="179">
        <v>1127</v>
      </c>
      <c r="C1134" s="172"/>
      <c r="D1134" s="217" t="s">
        <v>1278</v>
      </c>
      <c r="E1134" s="231"/>
      <c r="F1134" s="231"/>
    </row>
    <row r="1135" spans="1:8">
      <c r="B1135" s="179">
        <v>1128</v>
      </c>
      <c r="C1135" s="172"/>
      <c r="D1135" s="178" t="s">
        <v>1279</v>
      </c>
      <c r="E1135" s="190" t="s">
        <v>642</v>
      </c>
      <c r="F1135" s="273" t="s">
        <v>1411</v>
      </c>
      <c r="H1135" s="172" t="s">
        <v>524</v>
      </c>
    </row>
    <row r="1136" spans="1:8">
      <c r="B1136" s="179">
        <v>1129</v>
      </c>
      <c r="C1136" s="172"/>
      <c r="D1136" s="200" t="s">
        <v>1280</v>
      </c>
      <c r="E1136" s="178">
        <f>租赁!E12</f>
        <v>0</v>
      </c>
      <c r="F1136" s="178">
        <v>11530502.029999999</v>
      </c>
      <c r="H1136" s="176">
        <f>ABS(E1136-F1136)</f>
        <v>11530502.029999999</v>
      </c>
    </row>
    <row r="1137" spans="1:9">
      <c r="B1137" s="179">
        <v>1130</v>
      </c>
      <c r="C1137" s="172"/>
      <c r="D1137" s="200" t="s">
        <v>957</v>
      </c>
      <c r="E1137" s="178">
        <f>租赁!E13</f>
        <v>0</v>
      </c>
      <c r="F1137" s="178">
        <v>16523437.5</v>
      </c>
      <c r="H1137" s="176">
        <f t="shared" ref="H1137:H1143" si="58">ABS(E1137-F1137)</f>
        <v>16523437.5</v>
      </c>
    </row>
    <row r="1138" spans="1:9">
      <c r="B1138" s="179">
        <v>1131</v>
      </c>
      <c r="C1138" s="172"/>
      <c r="D1138" s="200" t="s">
        <v>921</v>
      </c>
      <c r="E1138" s="178">
        <f>租赁!E14</f>
        <v>0</v>
      </c>
      <c r="F1138" s="178">
        <v>37271171.529999994</v>
      </c>
      <c r="H1138" s="176">
        <f t="shared" si="58"/>
        <v>37271171.529999994</v>
      </c>
    </row>
    <row r="1139" spans="1:9">
      <c r="A1139" s="173" t="s">
        <v>523</v>
      </c>
      <c r="B1139" s="179">
        <v>1132</v>
      </c>
      <c r="C1139" s="172"/>
      <c r="D1139" s="200" t="s">
        <v>922</v>
      </c>
      <c r="E1139" s="178">
        <f>租赁!E15</f>
        <v>0</v>
      </c>
      <c r="F1139" s="178">
        <v>0</v>
      </c>
      <c r="H1139" s="176">
        <f t="shared" si="58"/>
        <v>0</v>
      </c>
    </row>
    <row r="1140" spans="1:9">
      <c r="A1140" s="181"/>
      <c r="B1140" s="179">
        <v>1133</v>
      </c>
      <c r="C1140" s="172"/>
      <c r="D1140" s="200" t="s">
        <v>926</v>
      </c>
      <c r="E1140" s="178">
        <f>租赁!E16</f>
        <v>0</v>
      </c>
      <c r="F1140" s="178">
        <v>858741.54999999981</v>
      </c>
      <c r="H1140" s="176">
        <f t="shared" si="58"/>
        <v>858741.54999999981</v>
      </c>
      <c r="I1140" s="171" t="s">
        <v>1281</v>
      </c>
    </row>
    <row r="1141" spans="1:9">
      <c r="B1141" s="179">
        <v>1134</v>
      </c>
      <c r="C1141" s="172"/>
      <c r="D1141" s="200" t="s">
        <v>1091</v>
      </c>
      <c r="E1141" s="178">
        <f>租赁!E17</f>
        <v>0</v>
      </c>
      <c r="F1141" s="178">
        <v>0</v>
      </c>
      <c r="H1141" s="176">
        <f t="shared" si="58"/>
        <v>0</v>
      </c>
    </row>
    <row r="1142" spans="1:9">
      <c r="B1142" s="179">
        <v>1135</v>
      </c>
      <c r="C1142" s="172"/>
      <c r="D1142" s="200" t="s">
        <v>1282</v>
      </c>
      <c r="E1142" s="178">
        <f>租赁!E18</f>
        <v>0</v>
      </c>
      <c r="F1142" s="178">
        <v>0</v>
      </c>
      <c r="H1142" s="176">
        <f t="shared" si="58"/>
        <v>0</v>
      </c>
    </row>
    <row r="1143" spans="1:9">
      <c r="B1143" s="179">
        <v>1136</v>
      </c>
      <c r="C1143" s="172"/>
      <c r="D1143" s="178" t="s">
        <v>823</v>
      </c>
      <c r="E1143" s="178">
        <f>租赁!E19</f>
        <v>0</v>
      </c>
      <c r="F1143" s="178">
        <v>66183852.609999992</v>
      </c>
      <c r="H1143" s="176">
        <f t="shared" si="58"/>
        <v>66183852.609999992</v>
      </c>
    </row>
    <row r="1144" spans="1:9">
      <c r="B1144" s="179">
        <v>1137</v>
      </c>
      <c r="C1144" s="172"/>
      <c r="H1144" s="175">
        <f>SUM(H1136:H1143)</f>
        <v>132367705.21999998</v>
      </c>
    </row>
    <row r="1145" spans="1:9">
      <c r="B1145" s="179">
        <v>1138</v>
      </c>
      <c r="C1145" s="172"/>
    </row>
    <row r="1146" spans="1:9">
      <c r="B1146" s="179">
        <v>1139</v>
      </c>
      <c r="C1146" s="172"/>
      <c r="D1146" s="217" t="s">
        <v>1283</v>
      </c>
      <c r="E1146" s="201"/>
      <c r="F1146" s="201"/>
    </row>
    <row r="1147" spans="1:9" ht="13.5">
      <c r="A1147" s="186" t="str">
        <f>HYPERLINK("#C1","置顶")</f>
        <v>置顶</v>
      </c>
      <c r="B1147" s="179">
        <v>1140</v>
      </c>
      <c r="C1147" s="172"/>
      <c r="D1147" s="217" t="s">
        <v>1284</v>
      </c>
      <c r="E1147" s="201"/>
      <c r="F1147" s="201"/>
    </row>
    <row r="1148" spans="1:9" ht="13.5">
      <c r="A1148" s="187"/>
      <c r="B1148" s="179">
        <v>1141</v>
      </c>
      <c r="C1148" s="172"/>
      <c r="D1148" s="178" t="s">
        <v>1285</v>
      </c>
      <c r="E1148" s="190" t="s">
        <v>642</v>
      </c>
      <c r="F1148" s="273" t="s">
        <v>1411</v>
      </c>
      <c r="H1148" s="172" t="s">
        <v>524</v>
      </c>
    </row>
    <row r="1149" spans="1:9">
      <c r="B1149" s="179">
        <v>1142</v>
      </c>
      <c r="C1149" s="172"/>
      <c r="D1149" s="200" t="s">
        <v>1286</v>
      </c>
      <c r="E1149" s="178">
        <f>租赁!D24</f>
        <v>0</v>
      </c>
      <c r="F1149" s="178">
        <v>0</v>
      </c>
      <c r="H1149" s="176">
        <f t="shared" ref="H1149:H1155" si="59">ABS(E1149-F1149)</f>
        <v>0</v>
      </c>
    </row>
    <row r="1150" spans="1:9">
      <c r="B1150" s="179">
        <v>1143</v>
      </c>
      <c r="C1150" s="172"/>
      <c r="D1150" s="200" t="s">
        <v>957</v>
      </c>
      <c r="E1150" s="178">
        <f>租赁!D25</f>
        <v>0</v>
      </c>
      <c r="F1150" s="178">
        <v>0</v>
      </c>
      <c r="H1150" s="176">
        <f t="shared" si="59"/>
        <v>0</v>
      </c>
    </row>
    <row r="1151" spans="1:9">
      <c r="B1151" s="179">
        <v>1144</v>
      </c>
      <c r="C1151" s="172"/>
      <c r="D1151" s="200" t="s">
        <v>921</v>
      </c>
      <c r="E1151" s="178">
        <f>租赁!D26</f>
        <v>0</v>
      </c>
      <c r="F1151" s="178">
        <v>0</v>
      </c>
      <c r="H1151" s="176">
        <f t="shared" si="59"/>
        <v>0</v>
      </c>
    </row>
    <row r="1152" spans="1:9">
      <c r="B1152" s="179">
        <v>1145</v>
      </c>
      <c r="C1152" s="172"/>
      <c r="D1152" s="200" t="s">
        <v>922</v>
      </c>
      <c r="E1152" s="178">
        <f>租赁!D27</f>
        <v>0</v>
      </c>
      <c r="F1152" s="178">
        <v>0</v>
      </c>
      <c r="H1152" s="176">
        <f t="shared" si="59"/>
        <v>0</v>
      </c>
    </row>
    <row r="1153" spans="1:8">
      <c r="A1153" s="173" t="s">
        <v>523</v>
      </c>
      <c r="B1153" s="179">
        <v>1146</v>
      </c>
      <c r="C1153" s="172"/>
      <c r="D1153" s="200" t="s">
        <v>926</v>
      </c>
      <c r="E1153" s="178">
        <f>租赁!D28</f>
        <v>0</v>
      </c>
      <c r="F1153" s="178">
        <v>0</v>
      </c>
      <c r="H1153" s="176">
        <f t="shared" si="59"/>
        <v>0</v>
      </c>
    </row>
    <row r="1154" spans="1:8">
      <c r="A1154" s="181"/>
      <c r="B1154" s="179">
        <v>1147</v>
      </c>
      <c r="C1154" s="172"/>
      <c r="D1154" s="200" t="s">
        <v>1091</v>
      </c>
      <c r="E1154" s="178">
        <f>租赁!D29</f>
        <v>0</v>
      </c>
      <c r="F1154" s="178">
        <v>0</v>
      </c>
      <c r="H1154" s="176">
        <f t="shared" si="59"/>
        <v>0</v>
      </c>
    </row>
    <row r="1155" spans="1:8">
      <c r="B1155" s="179">
        <v>1148</v>
      </c>
      <c r="C1155" s="172"/>
      <c r="D1155" s="200" t="s">
        <v>1287</v>
      </c>
      <c r="E1155" s="178">
        <f>租赁!D30</f>
        <v>0</v>
      </c>
      <c r="F1155" s="178">
        <v>0</v>
      </c>
      <c r="H1155" s="176">
        <f t="shared" si="59"/>
        <v>0</v>
      </c>
    </row>
    <row r="1156" spans="1:8">
      <c r="B1156" s="179">
        <v>1149</v>
      </c>
      <c r="C1156" s="172"/>
      <c r="D1156" s="178" t="s">
        <v>823</v>
      </c>
      <c r="E1156" s="178">
        <f>租赁!D31</f>
        <v>0</v>
      </c>
      <c r="F1156" s="178">
        <v>0</v>
      </c>
      <c r="H1156" s="176">
        <f>ABS(E1156-F1156)</f>
        <v>0</v>
      </c>
    </row>
    <row r="1157" spans="1:8">
      <c r="B1157" s="179">
        <v>1150</v>
      </c>
      <c r="C1157" s="172"/>
      <c r="H1157" s="175">
        <f>SUM(H1149:H1156)</f>
        <v>0</v>
      </c>
    </row>
    <row r="1158" spans="1:8">
      <c r="B1158" s="179">
        <v>1151</v>
      </c>
      <c r="C1158" s="172"/>
    </row>
    <row r="1159" spans="1:8">
      <c r="B1159" s="179">
        <v>1152</v>
      </c>
      <c r="C1159" s="172"/>
      <c r="D1159" s="197" t="s">
        <v>1288</v>
      </c>
      <c r="E1159" s="201"/>
      <c r="F1159" s="201"/>
    </row>
    <row r="1160" spans="1:8">
      <c r="B1160" s="179">
        <v>1153</v>
      </c>
      <c r="C1160" s="172"/>
      <c r="D1160" s="236" t="s">
        <v>1289</v>
      </c>
      <c r="E1160" s="201"/>
      <c r="F1160" s="201"/>
    </row>
    <row r="1161" spans="1:8" ht="13.5">
      <c r="A1161" s="186" t="str">
        <f>HYPERLINK("#C1","置顶")</f>
        <v>置顶</v>
      </c>
      <c r="B1161" s="179">
        <v>1154</v>
      </c>
      <c r="C1161" s="172"/>
      <c r="D1161" s="196" t="s">
        <v>366</v>
      </c>
      <c r="E1161" s="190" t="s">
        <v>642</v>
      </c>
      <c r="F1161" s="273" t="s">
        <v>1411</v>
      </c>
      <c r="H1161" s="171" t="s">
        <v>524</v>
      </c>
    </row>
    <row r="1162" spans="1:8" ht="13.5">
      <c r="A1162" s="187"/>
      <c r="B1162" s="179">
        <v>1155</v>
      </c>
      <c r="C1162" s="172"/>
      <c r="D1162" s="237" t="s">
        <v>1290</v>
      </c>
      <c r="E1162" s="178">
        <f>现金流量表补充资料!E4</f>
        <v>0</v>
      </c>
      <c r="F1162" s="178">
        <v>0</v>
      </c>
      <c r="H1162" s="176">
        <f>ABS(E1162-F1162)</f>
        <v>0</v>
      </c>
    </row>
    <row r="1163" spans="1:8" ht="13.5">
      <c r="A1163" s="187"/>
      <c r="B1163" s="179">
        <v>1156</v>
      </c>
      <c r="C1163" s="172"/>
      <c r="D1163" s="238" t="s">
        <v>1291</v>
      </c>
      <c r="E1163" s="178">
        <f>现金流量表补充资料!E5</f>
        <v>3772876.91</v>
      </c>
      <c r="F1163" s="178">
        <v>10961801.68</v>
      </c>
      <c r="H1163" s="176">
        <f t="shared" ref="H1163:H1190" si="60">ABS(E1163-F1163)</f>
        <v>7188924.7699999996</v>
      </c>
    </row>
    <row r="1164" spans="1:8">
      <c r="B1164" s="179">
        <v>1157</v>
      </c>
      <c r="C1164" s="172"/>
      <c r="D1164" s="196" t="s">
        <v>1292</v>
      </c>
      <c r="E1164" s="178">
        <f>现金流量表补充资料!E6</f>
        <v>10213.18</v>
      </c>
      <c r="F1164" s="178">
        <v>3030632.28</v>
      </c>
      <c r="H1164" s="176">
        <f t="shared" si="60"/>
        <v>3020419.0999999996</v>
      </c>
    </row>
    <row r="1165" spans="1:8">
      <c r="B1165" s="179">
        <v>1158</v>
      </c>
      <c r="C1165" s="172"/>
      <c r="D1165" s="196" t="s">
        <v>1293</v>
      </c>
      <c r="E1165" s="178">
        <f>现金流量表补充资料!E7</f>
        <v>89376.7</v>
      </c>
      <c r="F1165" s="178">
        <v>13620115.74</v>
      </c>
      <c r="H1165" s="176">
        <f t="shared" si="60"/>
        <v>13530739.040000001</v>
      </c>
    </row>
    <row r="1166" spans="1:8">
      <c r="B1166" s="179">
        <v>1159</v>
      </c>
      <c r="C1166" s="172"/>
      <c r="D1166" s="196" t="s">
        <v>1294</v>
      </c>
      <c r="E1166" s="178">
        <f>现金流量表补充资料!E8</f>
        <v>0</v>
      </c>
      <c r="F1166" s="178">
        <v>763632.24</v>
      </c>
      <c r="H1166" s="176">
        <f t="shared" si="60"/>
        <v>763632.24</v>
      </c>
    </row>
    <row r="1167" spans="1:8">
      <c r="B1167" s="179">
        <v>1160</v>
      </c>
      <c r="C1167" s="172"/>
      <c r="D1167" s="196" t="s">
        <v>1295</v>
      </c>
      <c r="E1167" s="178">
        <f>现金流量表补充资料!E9</f>
        <v>775281.09</v>
      </c>
      <c r="F1167" s="178">
        <v>58239.96</v>
      </c>
      <c r="H1167" s="176">
        <f t="shared" si="60"/>
        <v>717041.13</v>
      </c>
    </row>
    <row r="1168" spans="1:8">
      <c r="A1168" s="173" t="s">
        <v>523</v>
      </c>
      <c r="B1168" s="179">
        <v>1161</v>
      </c>
      <c r="C1168" s="172"/>
      <c r="D1168" s="196" t="s">
        <v>1296</v>
      </c>
      <c r="E1168" s="178">
        <f>现金流量表补充资料!E10</f>
        <v>0</v>
      </c>
      <c r="F1168" s="178">
        <v>-51331.81</v>
      </c>
      <c r="H1168" s="176">
        <f t="shared" si="60"/>
        <v>51331.81</v>
      </c>
    </row>
    <row r="1169" spans="1:8">
      <c r="B1169" s="179">
        <v>1162</v>
      </c>
      <c r="C1169" s="172"/>
      <c r="D1169" s="196" t="s">
        <v>1297</v>
      </c>
      <c r="E1169" s="178">
        <f>现金流量表补充资料!E11</f>
        <v>0</v>
      </c>
      <c r="F1169" s="178">
        <v>0</v>
      </c>
      <c r="H1169" s="176">
        <f t="shared" si="60"/>
        <v>0</v>
      </c>
    </row>
    <row r="1170" spans="1:8">
      <c r="B1170" s="179">
        <v>1163</v>
      </c>
      <c r="C1170" s="172"/>
      <c r="D1170" s="196" t="s">
        <v>1298</v>
      </c>
      <c r="E1170" s="178">
        <f>现金流量表补充资料!E12</f>
        <v>0</v>
      </c>
      <c r="F1170" s="178">
        <v>0</v>
      </c>
      <c r="H1170" s="176">
        <f t="shared" si="60"/>
        <v>0</v>
      </c>
    </row>
    <row r="1171" spans="1:8">
      <c r="B1171" s="179">
        <v>1164</v>
      </c>
      <c r="C1171" s="172"/>
      <c r="D1171" s="196" t="s">
        <v>1299</v>
      </c>
      <c r="E1171" s="178">
        <f>现金流量表补充资料!E13</f>
        <v>0</v>
      </c>
      <c r="F1171" s="178">
        <v>13834659.32</v>
      </c>
      <c r="H1171" s="176">
        <f t="shared" si="60"/>
        <v>13834659.32</v>
      </c>
    </row>
    <row r="1172" spans="1:8">
      <c r="B1172" s="179">
        <v>1165</v>
      </c>
      <c r="C1172" s="172"/>
      <c r="D1172" s="196" t="s">
        <v>1300</v>
      </c>
      <c r="E1172" s="178">
        <f>现金流量表补充资料!E14</f>
        <v>0</v>
      </c>
      <c r="F1172" s="178">
        <v>-3866626.35</v>
      </c>
      <c r="H1172" s="176">
        <f t="shared" si="60"/>
        <v>3866626.35</v>
      </c>
    </row>
    <row r="1173" spans="1:8">
      <c r="B1173" s="179">
        <v>1166</v>
      </c>
      <c r="C1173" s="172"/>
      <c r="D1173" s="196" t="s">
        <v>1301</v>
      </c>
      <c r="E1173" s="178">
        <f>现金流量表补充资料!E15</f>
        <v>-2553.3000000000002</v>
      </c>
      <c r="F1173" s="178">
        <v>-2496555.21</v>
      </c>
      <c r="H1173" s="176">
        <f t="shared" si="60"/>
        <v>2494001.91</v>
      </c>
    </row>
    <row r="1174" spans="1:8">
      <c r="B1174" s="179">
        <v>1167</v>
      </c>
      <c r="C1174" s="172"/>
      <c r="D1174" s="196" t="s">
        <v>1302</v>
      </c>
      <c r="E1174" s="178">
        <f>现金流量表补充资料!E16</f>
        <v>0</v>
      </c>
      <c r="F1174" s="178">
        <v>0</v>
      </c>
      <c r="H1174" s="176">
        <f t="shared" si="60"/>
        <v>0</v>
      </c>
    </row>
    <row r="1175" spans="1:8">
      <c r="B1175" s="179">
        <v>1168</v>
      </c>
      <c r="C1175" s="172"/>
      <c r="D1175" s="196" t="s">
        <v>1303</v>
      </c>
      <c r="E1175" s="178">
        <f>现金流量表补充资料!E17</f>
        <v>0</v>
      </c>
      <c r="F1175" s="178">
        <v>3061650.96</v>
      </c>
      <c r="H1175" s="176">
        <f t="shared" si="60"/>
        <v>3061650.96</v>
      </c>
    </row>
    <row r="1176" spans="1:8">
      <c r="B1176" s="179">
        <v>1169</v>
      </c>
      <c r="C1176" s="172"/>
      <c r="D1176" s="196" t="s">
        <v>1304</v>
      </c>
      <c r="E1176" s="178">
        <f>现金流量表补充资料!E18</f>
        <v>-204263.53</v>
      </c>
      <c r="F1176" s="178">
        <v>-148958358.62000006</v>
      </c>
      <c r="H1176" s="176">
        <f t="shared" si="60"/>
        <v>148754095.09000006</v>
      </c>
    </row>
    <row r="1177" spans="1:8">
      <c r="B1177" s="179">
        <v>1170</v>
      </c>
      <c r="C1177" s="172"/>
      <c r="D1177" s="196" t="s">
        <v>1305</v>
      </c>
      <c r="E1177" s="178">
        <f>现金流量表补充资料!E19</f>
        <v>-4565080.4800000004</v>
      </c>
      <c r="F1177" s="178">
        <v>156258769.03</v>
      </c>
      <c r="H1177" s="176">
        <f t="shared" si="60"/>
        <v>160823849.50999999</v>
      </c>
    </row>
    <row r="1178" spans="1:8">
      <c r="A1178" s="173" t="s">
        <v>523</v>
      </c>
      <c r="B1178" s="179">
        <v>1171</v>
      </c>
      <c r="C1178" s="172"/>
      <c r="D1178" s="196" t="s">
        <v>1306</v>
      </c>
      <c r="E1178" s="178">
        <f>现金流量表补充资料!E20</f>
        <v>0</v>
      </c>
      <c r="F1178" s="178">
        <v>0</v>
      </c>
      <c r="H1178" s="176">
        <f t="shared" si="60"/>
        <v>0</v>
      </c>
    </row>
    <row r="1179" spans="1:8">
      <c r="A1179" s="181"/>
      <c r="B1179" s="179">
        <v>1172</v>
      </c>
      <c r="C1179" s="172"/>
      <c r="D1179" s="237" t="s">
        <v>1307</v>
      </c>
      <c r="E1179" s="178">
        <f>现金流量表补充资料!E21</f>
        <v>-124149.4299999997</v>
      </c>
      <c r="F1179" s="178">
        <v>46216629.219999939</v>
      </c>
      <c r="H1179" s="176">
        <f t="shared" si="60"/>
        <v>46340778.649999939</v>
      </c>
    </row>
    <row r="1180" spans="1:8">
      <c r="B1180" s="179">
        <v>1173</v>
      </c>
      <c r="C1180" s="172"/>
      <c r="D1180" s="237" t="s">
        <v>1308</v>
      </c>
      <c r="E1180" s="178">
        <f>现金流量表补充资料!E22</f>
        <v>0</v>
      </c>
      <c r="F1180" s="178">
        <v>0</v>
      </c>
      <c r="H1180" s="176">
        <f t="shared" si="60"/>
        <v>0</v>
      </c>
    </row>
    <row r="1181" spans="1:8">
      <c r="B1181" s="179">
        <v>1174</v>
      </c>
      <c r="C1181" s="172"/>
      <c r="D1181" s="196" t="s">
        <v>1309</v>
      </c>
      <c r="E1181" s="178">
        <f>现金流量表补充资料!E23</f>
        <v>0</v>
      </c>
      <c r="F1181" s="178">
        <v>0</v>
      </c>
      <c r="H1181" s="176">
        <f t="shared" si="60"/>
        <v>0</v>
      </c>
    </row>
    <row r="1182" spans="1:8">
      <c r="B1182" s="179">
        <v>1175</v>
      </c>
      <c r="C1182" s="172"/>
      <c r="D1182" s="196" t="s">
        <v>1310</v>
      </c>
      <c r="E1182" s="178">
        <f>现金流量表补充资料!E24</f>
        <v>0</v>
      </c>
      <c r="F1182" s="178">
        <v>0</v>
      </c>
      <c r="H1182" s="176">
        <f t="shared" si="60"/>
        <v>0</v>
      </c>
    </row>
    <row r="1183" spans="1:8">
      <c r="B1183" s="179">
        <v>1176</v>
      </c>
      <c r="C1183" s="172"/>
      <c r="D1183" s="196" t="s">
        <v>1311</v>
      </c>
      <c r="E1183" s="178">
        <f>现金流量表补充资料!E25</f>
        <v>0</v>
      </c>
      <c r="F1183" s="178">
        <v>0</v>
      </c>
      <c r="H1183" s="176">
        <f t="shared" si="60"/>
        <v>0</v>
      </c>
    </row>
    <row r="1184" spans="1:8">
      <c r="B1184" s="179">
        <v>1177</v>
      </c>
      <c r="C1184" s="172"/>
      <c r="D1184" s="237" t="s">
        <v>1312</v>
      </c>
      <c r="E1184" s="178">
        <f>现金流量表补充资料!E26</f>
        <v>0</v>
      </c>
      <c r="F1184" s="178">
        <v>0</v>
      </c>
      <c r="H1184" s="176">
        <f t="shared" si="60"/>
        <v>0</v>
      </c>
    </row>
    <row r="1185" spans="1:8">
      <c r="B1185" s="179">
        <v>1178</v>
      </c>
      <c r="C1185" s="172"/>
      <c r="D1185" s="196" t="s">
        <v>1313</v>
      </c>
      <c r="E1185" s="178">
        <f>现金流量表补充资料!E27</f>
        <v>6270239.29</v>
      </c>
      <c r="F1185" s="178">
        <v>11493447.550000001</v>
      </c>
      <c r="H1185" s="176">
        <f t="shared" si="60"/>
        <v>5223208.2600000007</v>
      </c>
    </row>
    <row r="1186" spans="1:8" ht="13.5">
      <c r="A1186" s="186" t="str">
        <f>HYPERLINK("#C1","置顶")</f>
        <v>置顶</v>
      </c>
      <c r="B1186" s="179">
        <v>1179</v>
      </c>
      <c r="C1186" s="172"/>
      <c r="D1186" s="196" t="s">
        <v>1314</v>
      </c>
      <c r="E1186" s="178">
        <f>现金流量表补充资料!E28</f>
        <v>22345766.09</v>
      </c>
      <c r="F1186" s="178">
        <v>5552365.2599999998</v>
      </c>
      <c r="H1186" s="176">
        <f t="shared" si="60"/>
        <v>16793400.829999998</v>
      </c>
    </row>
    <row r="1187" spans="1:8" ht="13.5">
      <c r="A1187" s="187"/>
      <c r="B1187" s="179">
        <v>1180</v>
      </c>
      <c r="C1187" s="172"/>
      <c r="D1187" s="196" t="s">
        <v>1315</v>
      </c>
      <c r="E1187" s="178">
        <f>现金流量表补充资料!E29</f>
        <v>0</v>
      </c>
      <c r="F1187" s="178">
        <v>0</v>
      </c>
      <c r="H1187" s="176">
        <f t="shared" si="60"/>
        <v>0</v>
      </c>
    </row>
    <row r="1188" spans="1:8" ht="13.5">
      <c r="A1188" s="187"/>
      <c r="B1188" s="179">
        <v>1181</v>
      </c>
      <c r="C1188" s="172"/>
      <c r="D1188" s="196" t="s">
        <v>1316</v>
      </c>
      <c r="E1188" s="178">
        <f>现金流量表补充资料!E30</f>
        <v>0</v>
      </c>
      <c r="F1188" s="178">
        <v>0</v>
      </c>
      <c r="H1188" s="176">
        <f t="shared" si="60"/>
        <v>0</v>
      </c>
    </row>
    <row r="1189" spans="1:8">
      <c r="B1189" s="179">
        <v>1182</v>
      </c>
      <c r="C1189" s="172"/>
      <c r="D1189" s="196" t="s">
        <v>1317</v>
      </c>
      <c r="E1189" s="178">
        <f>现金流量表补充资料!E31</f>
        <v>-16075526.800000001</v>
      </c>
      <c r="F1189" s="178">
        <v>5941082.290000001</v>
      </c>
      <c r="H1189" s="176">
        <f t="shared" si="60"/>
        <v>22016609.090000004</v>
      </c>
    </row>
    <row r="1190" spans="1:8">
      <c r="B1190" s="179">
        <v>1183</v>
      </c>
      <c r="C1190" s="172"/>
      <c r="D1190" s="239"/>
      <c r="E1190" s="239"/>
      <c r="F1190" s="239"/>
      <c r="H1190" s="176">
        <f t="shared" si="60"/>
        <v>0</v>
      </c>
    </row>
    <row r="1191" spans="1:8">
      <c r="B1191" s="179">
        <v>1184</v>
      </c>
      <c r="C1191" s="172"/>
      <c r="D1191" s="196" t="s">
        <v>1318</v>
      </c>
      <c r="E1191" s="190" t="s">
        <v>642</v>
      </c>
      <c r="F1191" s="273" t="s">
        <v>1411</v>
      </c>
    </row>
    <row r="1192" spans="1:8">
      <c r="B1192" s="179">
        <v>1185</v>
      </c>
      <c r="C1192" s="172"/>
      <c r="D1192" s="196" t="s">
        <v>1319</v>
      </c>
      <c r="E1192" s="178">
        <f>现金流量表补充资料!E34</f>
        <v>-124149.4299999997</v>
      </c>
      <c r="F1192" s="178">
        <v>46216629.219999969</v>
      </c>
      <c r="H1192" s="176">
        <f>ABS(E1192-F1192)</f>
        <v>46340778.649999969</v>
      </c>
    </row>
    <row r="1193" spans="1:8">
      <c r="A1193" s="173" t="s">
        <v>523</v>
      </c>
      <c r="B1193" s="179">
        <v>1186</v>
      </c>
      <c r="C1193" s="172"/>
      <c r="D1193" s="196" t="s">
        <v>1320</v>
      </c>
      <c r="E1193" s="178">
        <f>现金流量表补充资料!E35</f>
        <v>0</v>
      </c>
      <c r="F1193" s="178">
        <v>0</v>
      </c>
      <c r="H1193" s="176">
        <f>ABS(E1193-F1193)</f>
        <v>0</v>
      </c>
    </row>
    <row r="1194" spans="1:8">
      <c r="B1194" s="179">
        <v>1187</v>
      </c>
      <c r="C1194" s="172"/>
      <c r="D1194" s="201"/>
      <c r="E1194" s="201"/>
      <c r="F1194" s="201"/>
      <c r="H1194" s="175">
        <f>SUM(H1162:H1193)</f>
        <v>494821746.70999992</v>
      </c>
    </row>
    <row r="1195" spans="1:8">
      <c r="B1195" s="179">
        <v>1188</v>
      </c>
      <c r="C1195" s="172"/>
      <c r="D1195" s="201"/>
      <c r="E1195" s="201"/>
      <c r="F1195" s="201"/>
    </row>
    <row r="1196" spans="1:8">
      <c r="B1196" s="179">
        <v>1189</v>
      </c>
      <c r="C1196" s="172"/>
      <c r="D1196" s="201" t="s">
        <v>1321</v>
      </c>
      <c r="E1196" s="201"/>
      <c r="F1196" s="201"/>
    </row>
    <row r="1197" spans="1:8">
      <c r="A1197" s="173" t="s">
        <v>523</v>
      </c>
      <c r="B1197" s="179">
        <v>1190</v>
      </c>
      <c r="C1197" s="172"/>
      <c r="D1197" s="196" t="s">
        <v>366</v>
      </c>
      <c r="E1197" s="190" t="s">
        <v>642</v>
      </c>
      <c r="F1197" s="273" t="s">
        <v>1411</v>
      </c>
      <c r="H1197" s="171" t="s">
        <v>524</v>
      </c>
    </row>
    <row r="1198" spans="1:8">
      <c r="A1198" s="181"/>
      <c r="B1198" s="179">
        <v>1191</v>
      </c>
      <c r="C1198" s="172"/>
      <c r="D1198" s="237" t="s">
        <v>1322</v>
      </c>
      <c r="E1198" s="178">
        <f>现金流量表补充资料!E62</f>
        <v>6270239.29</v>
      </c>
      <c r="F1198" s="178">
        <v>11493447.550000001</v>
      </c>
      <c r="H1198" s="176">
        <f t="shared" ref="H1198:H1204" si="61">ABS(E1198-F1198)</f>
        <v>5223208.2600000007</v>
      </c>
    </row>
    <row r="1199" spans="1:8">
      <c r="B1199" s="179">
        <v>1192</v>
      </c>
      <c r="C1199" s="172"/>
      <c r="D1199" s="196" t="s">
        <v>1323</v>
      </c>
      <c r="E1199" s="178">
        <f>现金流量表补充资料!E63</f>
        <v>29092.44</v>
      </c>
      <c r="F1199" s="178">
        <v>0</v>
      </c>
      <c r="H1199" s="176">
        <f t="shared" si="61"/>
        <v>29092.44</v>
      </c>
    </row>
    <row r="1200" spans="1:8">
      <c r="B1200" s="179">
        <v>1193</v>
      </c>
      <c r="C1200" s="172"/>
      <c r="D1200" s="196" t="s">
        <v>1324</v>
      </c>
      <c r="E1200" s="178">
        <f>现金流量表补充资料!E64</f>
        <v>6241146.8499999996</v>
      </c>
      <c r="F1200" s="178">
        <v>11493447.550000001</v>
      </c>
      <c r="H1200" s="176">
        <f t="shared" si="61"/>
        <v>5252300.7000000011</v>
      </c>
    </row>
    <row r="1201" spans="1:8">
      <c r="B1201" s="179">
        <v>1194</v>
      </c>
      <c r="C1201" s="172"/>
      <c r="D1201" s="196" t="s">
        <v>1325</v>
      </c>
      <c r="E1201" s="178">
        <f>现金流量表补充资料!E65</f>
        <v>0</v>
      </c>
      <c r="F1201" s="178">
        <v>0</v>
      </c>
      <c r="H1201" s="176">
        <f t="shared" si="61"/>
        <v>0</v>
      </c>
    </row>
    <row r="1202" spans="1:8">
      <c r="B1202" s="179">
        <v>1195</v>
      </c>
      <c r="C1202" s="172"/>
      <c r="D1202" s="237" t="s">
        <v>1326</v>
      </c>
      <c r="E1202" s="178">
        <f>现金流量表补充资料!E66</f>
        <v>0</v>
      </c>
      <c r="F1202" s="178">
        <v>0</v>
      </c>
      <c r="H1202" s="176">
        <f t="shared" si="61"/>
        <v>0</v>
      </c>
    </row>
    <row r="1203" spans="1:8">
      <c r="B1203" s="179">
        <v>1196</v>
      </c>
      <c r="C1203" s="172"/>
      <c r="D1203" s="196" t="s">
        <v>1327</v>
      </c>
      <c r="E1203" s="178">
        <f>现金流量表补充资料!E67</f>
        <v>0</v>
      </c>
      <c r="F1203" s="178">
        <v>0</v>
      </c>
      <c r="H1203" s="176">
        <f t="shared" si="61"/>
        <v>0</v>
      </c>
    </row>
    <row r="1204" spans="1:8">
      <c r="B1204" s="179">
        <v>1197</v>
      </c>
      <c r="C1204" s="172"/>
      <c r="D1204" s="237" t="s">
        <v>1328</v>
      </c>
      <c r="E1204" s="178">
        <f>现金流量表补充资料!E68</f>
        <v>6270239.29</v>
      </c>
      <c r="F1204" s="178">
        <v>11493447.550000001</v>
      </c>
      <c r="H1204" s="176">
        <f t="shared" si="61"/>
        <v>5223208.2600000007</v>
      </c>
    </row>
    <row r="1205" spans="1:8" ht="13.5">
      <c r="A1205" s="186" t="str">
        <f>HYPERLINK("#C1","置顶")</f>
        <v>置顶</v>
      </c>
      <c r="B1205" s="179">
        <v>1198</v>
      </c>
      <c r="C1205" s="172"/>
      <c r="D1205" s="201"/>
      <c r="E1205" s="201"/>
      <c r="F1205" s="201"/>
      <c r="H1205" s="175">
        <f>SUM(H1198:H1204)</f>
        <v>15727809.660000004</v>
      </c>
    </row>
    <row r="1206" spans="1:8" ht="13.5">
      <c r="A1206" s="187"/>
      <c r="B1206" s="179">
        <v>1199</v>
      </c>
      <c r="C1206" s="172"/>
      <c r="D1206" s="196" t="s">
        <v>354</v>
      </c>
      <c r="E1206" s="190" t="s">
        <v>642</v>
      </c>
      <c r="F1206" s="273" t="s">
        <v>1411</v>
      </c>
    </row>
    <row r="1207" spans="1:8" ht="13.5">
      <c r="A1207" s="187"/>
      <c r="B1207" s="179">
        <v>1200</v>
      </c>
      <c r="C1207" s="172"/>
      <c r="D1207" s="196" t="s">
        <v>1329</v>
      </c>
      <c r="E1207" s="178">
        <f>现金流量表补充资料!E71</f>
        <v>6270239.2899999991</v>
      </c>
      <c r="F1207" s="178">
        <v>11493447.549999973</v>
      </c>
      <c r="H1207" s="176">
        <f>ABS(E1207-F1207)</f>
        <v>5223208.2599999737</v>
      </c>
    </row>
    <row r="1208" spans="1:8">
      <c r="B1208" s="179">
        <v>1201</v>
      </c>
      <c r="C1208" s="172"/>
      <c r="D1208" s="196" t="s">
        <v>1330</v>
      </c>
      <c r="E1208" s="178">
        <f>现金流量表补充资料!E72</f>
        <v>6270239.29</v>
      </c>
      <c r="F1208" s="178">
        <v>11493447.550000001</v>
      </c>
      <c r="H1208" s="176">
        <f t="shared" ref="H1208:H1215" si="62">ABS(E1208-F1208)</f>
        <v>5223208.2600000007</v>
      </c>
    </row>
    <row r="1209" spans="1:8">
      <c r="B1209" s="179">
        <v>1202</v>
      </c>
      <c r="C1209" s="172"/>
      <c r="D1209" s="196" t="s">
        <v>1331</v>
      </c>
      <c r="E1209" s="178">
        <f>现金流量表补充资料!E73</f>
        <v>29092.44</v>
      </c>
      <c r="F1209" s="178">
        <v>0</v>
      </c>
      <c r="H1209" s="176">
        <f t="shared" si="62"/>
        <v>29092.44</v>
      </c>
    </row>
    <row r="1210" spans="1:8">
      <c r="B1210" s="179">
        <v>1203</v>
      </c>
      <c r="C1210" s="172"/>
      <c r="D1210" s="196" t="s">
        <v>1324</v>
      </c>
      <c r="E1210" s="178">
        <f>现金流量表补充资料!E74</f>
        <v>6241146.8499999996</v>
      </c>
      <c r="F1210" s="178">
        <v>11493447.550000001</v>
      </c>
      <c r="H1210" s="176">
        <f t="shared" si="62"/>
        <v>5252300.7000000011</v>
      </c>
    </row>
    <row r="1211" spans="1:8">
      <c r="B1211" s="179">
        <v>1204</v>
      </c>
      <c r="C1211" s="172"/>
      <c r="D1211" s="196" t="s">
        <v>1325</v>
      </c>
      <c r="E1211" s="178">
        <f>现金流量表补充资料!E75</f>
        <v>0</v>
      </c>
      <c r="F1211" s="178">
        <v>0</v>
      </c>
      <c r="H1211" s="176">
        <f t="shared" si="62"/>
        <v>0</v>
      </c>
    </row>
    <row r="1212" spans="1:8">
      <c r="A1212" s="173" t="s">
        <v>523</v>
      </c>
      <c r="B1212" s="179">
        <v>1205</v>
      </c>
      <c r="C1212" s="172"/>
      <c r="D1212" s="196" t="s">
        <v>354</v>
      </c>
      <c r="E1212" s="178">
        <f>现金流量表补充资料!E76</f>
        <v>0</v>
      </c>
      <c r="F1212" s="178">
        <v>2.7939677238464355E-8</v>
      </c>
      <c r="H1212" s="176">
        <f t="shared" si="62"/>
        <v>2.7939677238464355E-8</v>
      </c>
    </row>
    <row r="1213" spans="1:8">
      <c r="B1213" s="179">
        <v>1206</v>
      </c>
      <c r="C1213" s="172"/>
      <c r="D1213" s="196" t="s">
        <v>354</v>
      </c>
      <c r="E1213" s="178">
        <f>现金流量表补充资料!E77</f>
        <v>0</v>
      </c>
      <c r="F1213" s="178">
        <v>0</v>
      </c>
      <c r="H1213" s="176">
        <f t="shared" si="62"/>
        <v>0</v>
      </c>
    </row>
    <row r="1214" spans="1:8">
      <c r="B1214" s="179">
        <v>1207</v>
      </c>
      <c r="C1214" s="172"/>
      <c r="D1214" s="196" t="s">
        <v>354</v>
      </c>
      <c r="E1214" s="178">
        <f>现金流量表补充资料!E78</f>
        <v>0</v>
      </c>
      <c r="F1214" s="178">
        <v>0</v>
      </c>
      <c r="H1214" s="176">
        <f t="shared" si="62"/>
        <v>0</v>
      </c>
    </row>
    <row r="1215" spans="1:8">
      <c r="B1215" s="179">
        <v>1208</v>
      </c>
      <c r="C1215" s="172"/>
      <c r="D1215" s="196" t="s">
        <v>354</v>
      </c>
      <c r="E1215" s="178">
        <f>现金流量表补充资料!E79</f>
        <v>0</v>
      </c>
      <c r="F1215" s="178">
        <v>0</v>
      </c>
      <c r="H1215" s="176">
        <f t="shared" si="62"/>
        <v>0</v>
      </c>
    </row>
    <row r="1216" spans="1:8">
      <c r="B1216" s="179">
        <v>1209</v>
      </c>
      <c r="C1216" s="172"/>
      <c r="D1216" s="196" t="s">
        <v>354</v>
      </c>
      <c r="E1216" s="178">
        <f>现金流量表补充资料!E80</f>
        <v>0</v>
      </c>
      <c r="F1216" s="178">
        <v>0</v>
      </c>
      <c r="H1216" s="176">
        <f>ABS(E1216-F1216)</f>
        <v>0</v>
      </c>
    </row>
    <row r="1217" spans="1:11">
      <c r="B1217" s="179">
        <v>1210</v>
      </c>
      <c r="C1217" s="172"/>
      <c r="H1217" s="175">
        <f>SUM(H1207:H1216)</f>
        <v>15727809.660000002</v>
      </c>
    </row>
    <row r="1218" spans="1:11">
      <c r="B1218" s="179">
        <v>1211</v>
      </c>
      <c r="C1218" s="172"/>
    </row>
    <row r="1219" spans="1:11">
      <c r="A1219" s="173" t="s">
        <v>523</v>
      </c>
      <c r="B1219" s="179">
        <v>1212</v>
      </c>
      <c r="C1219" s="172"/>
    </row>
    <row r="1220" spans="1:11">
      <c r="A1220" s="181"/>
      <c r="B1220" s="179">
        <v>1213</v>
      </c>
      <c r="C1220" s="172"/>
    </row>
    <row r="1221" spans="1:11">
      <c r="B1221" s="179">
        <v>1214</v>
      </c>
      <c r="C1221" s="172"/>
    </row>
    <row r="1222" spans="1:11">
      <c r="B1222" s="179">
        <v>1215</v>
      </c>
      <c r="C1222" s="172"/>
      <c r="D1222" s="204" t="s">
        <v>1332</v>
      </c>
      <c r="E1222" s="240"/>
      <c r="F1222" s="240"/>
      <c r="G1222" s="240"/>
      <c r="H1222" s="240"/>
    </row>
    <row r="1223" spans="1:11">
      <c r="B1223" s="179">
        <v>1216</v>
      </c>
      <c r="C1223" s="172"/>
      <c r="D1223" s="241" t="s">
        <v>811</v>
      </c>
      <c r="E1223" s="1675" t="s">
        <v>642</v>
      </c>
      <c r="F1223" s="1675"/>
      <c r="G1223" s="1676" t="s">
        <v>1411</v>
      </c>
      <c r="H1223" s="1675"/>
      <c r="J1223" s="1674" t="s">
        <v>524</v>
      </c>
      <c r="K1223" s="1674"/>
    </row>
    <row r="1224" spans="1:11">
      <c r="B1224" s="179">
        <v>1217</v>
      </c>
      <c r="C1224" s="172"/>
      <c r="D1224" s="241" t="s">
        <v>811</v>
      </c>
      <c r="E1224" s="242" t="s">
        <v>1333</v>
      </c>
      <c r="F1224" s="242" t="s">
        <v>1334</v>
      </c>
      <c r="G1224" s="242" t="s">
        <v>1333</v>
      </c>
      <c r="H1224" s="242" t="s">
        <v>1334</v>
      </c>
      <c r="J1224" s="242" t="s">
        <v>1333</v>
      </c>
      <c r="K1224" s="242" t="s">
        <v>1334</v>
      </c>
    </row>
    <row r="1225" spans="1:11">
      <c r="B1225" s="179">
        <v>1218</v>
      </c>
      <c r="C1225" s="172"/>
      <c r="D1225" s="237" t="s">
        <v>1335</v>
      </c>
      <c r="E1225" s="212">
        <f>财务专项说明!G142</f>
        <v>0</v>
      </c>
      <c r="F1225" s="212">
        <f>财务专项说明!H142</f>
        <v>0</v>
      </c>
      <c r="G1225" s="212">
        <v>25070731.750000004</v>
      </c>
      <c r="H1225" s="212">
        <v>24883810.300000004</v>
      </c>
      <c r="J1225" s="180">
        <f>ABS(E1225-G1225)</f>
        <v>25070731.750000004</v>
      </c>
      <c r="K1225" s="180">
        <f>ABS(F1225-H1225)</f>
        <v>24883810.300000004</v>
      </c>
    </row>
    <row r="1226" spans="1:11">
      <c r="B1226" s="179">
        <v>1219</v>
      </c>
      <c r="C1226" s="172"/>
      <c r="D1226" s="237" t="s">
        <v>1336</v>
      </c>
      <c r="E1226" s="212">
        <f>财务专项说明!G144</f>
        <v>0</v>
      </c>
      <c r="F1226" s="212">
        <f>财务专项说明!H144</f>
        <v>0</v>
      </c>
      <c r="G1226" s="212">
        <v>25070731.750000004</v>
      </c>
      <c r="H1226" s="212">
        <v>24883810.300000004</v>
      </c>
      <c r="J1226" s="180">
        <f t="shared" ref="J1226:K1258" si="63">ABS(E1226-G1226)</f>
        <v>25070731.750000004</v>
      </c>
      <c r="K1226" s="180">
        <f t="shared" si="63"/>
        <v>24883810.300000004</v>
      </c>
    </row>
    <row r="1227" spans="1:11" ht="13.5">
      <c r="A1227" s="186" t="str">
        <f>HYPERLINK("#C1","置顶")</f>
        <v>置顶</v>
      </c>
      <c r="B1227" s="179">
        <v>1220</v>
      </c>
      <c r="C1227" s="172"/>
      <c r="D1227" s="196" t="s">
        <v>1337</v>
      </c>
      <c r="E1227" s="212">
        <f>财务专项说明!G145</f>
        <v>0</v>
      </c>
      <c r="F1227" s="212">
        <f>财务专项说明!H145</f>
        <v>0</v>
      </c>
      <c r="G1227" s="212">
        <v>15764050.24</v>
      </c>
      <c r="H1227" s="212">
        <v>15764050.24</v>
      </c>
      <c r="J1227" s="180">
        <f t="shared" si="63"/>
        <v>15764050.24</v>
      </c>
      <c r="K1227" s="180">
        <f t="shared" si="63"/>
        <v>15764050.24</v>
      </c>
    </row>
    <row r="1228" spans="1:11" ht="13.5">
      <c r="A1228" s="187"/>
      <c r="B1228" s="179">
        <v>1221</v>
      </c>
      <c r="C1228" s="172"/>
      <c r="D1228" s="237" t="s">
        <v>1338</v>
      </c>
      <c r="E1228" s="212">
        <f>财务专项说明!G146</f>
        <v>0</v>
      </c>
      <c r="F1228" s="212">
        <f>财务专项说明!H146</f>
        <v>0</v>
      </c>
      <c r="G1228" s="212">
        <v>25070731.750000004</v>
      </c>
      <c r="H1228" s="212">
        <v>24883810.300000004</v>
      </c>
      <c r="J1228" s="180">
        <f t="shared" si="63"/>
        <v>25070731.750000004</v>
      </c>
      <c r="K1228" s="180">
        <f t="shared" si="63"/>
        <v>24883810.300000004</v>
      </c>
    </row>
    <row r="1229" spans="1:11" ht="13.5">
      <c r="A1229" s="187"/>
      <c r="B1229" s="179">
        <v>1222</v>
      </c>
      <c r="C1229" s="172"/>
      <c r="D1229" s="196" t="s">
        <v>1339</v>
      </c>
      <c r="E1229" s="212">
        <f>财务专项说明!G147</f>
        <v>0</v>
      </c>
      <c r="F1229" s="212">
        <f>财务专项说明!H147</f>
        <v>0</v>
      </c>
      <c r="G1229" s="212">
        <v>15764050.24</v>
      </c>
      <c r="H1229" s="212">
        <v>15764050.24</v>
      </c>
      <c r="J1229" s="180">
        <f t="shared" si="63"/>
        <v>15764050.24</v>
      </c>
      <c r="K1229" s="180">
        <f t="shared" si="63"/>
        <v>15764050.24</v>
      </c>
    </row>
    <row r="1230" spans="1:11">
      <c r="B1230" s="179">
        <v>1223</v>
      </c>
      <c r="C1230" s="172"/>
      <c r="D1230" s="196" t="s">
        <v>1340</v>
      </c>
      <c r="E1230" s="212">
        <f>财务专项说明!G148</f>
        <v>0</v>
      </c>
      <c r="F1230" s="212">
        <f>财务专项说明!H148</f>
        <v>0</v>
      </c>
      <c r="G1230" s="212">
        <v>5223889.45</v>
      </c>
      <c r="H1230" s="212">
        <v>5223889.45</v>
      </c>
      <c r="J1230" s="180">
        <f t="shared" si="63"/>
        <v>5223889.45</v>
      </c>
      <c r="K1230" s="180">
        <f t="shared" si="63"/>
        <v>5223889.45</v>
      </c>
    </row>
    <row r="1231" spans="1:11">
      <c r="B1231" s="179">
        <v>1224</v>
      </c>
      <c r="C1231" s="172"/>
      <c r="D1231" s="196" t="s">
        <v>1341</v>
      </c>
      <c r="E1231" s="212">
        <f>财务专项说明!G149</f>
        <v>0</v>
      </c>
      <c r="F1231" s="212">
        <f>财务专项说明!H149</f>
        <v>0</v>
      </c>
      <c r="G1231" s="212">
        <v>3565557.7600000002</v>
      </c>
      <c r="H1231" s="212">
        <v>3565557.7600000002</v>
      </c>
      <c r="J1231" s="180">
        <f t="shared" si="63"/>
        <v>3565557.7600000002</v>
      </c>
      <c r="K1231" s="180">
        <f t="shared" si="63"/>
        <v>3565557.7600000002</v>
      </c>
    </row>
    <row r="1232" spans="1:11">
      <c r="B1232" s="179">
        <v>1225</v>
      </c>
      <c r="C1232" s="172"/>
      <c r="D1232" s="196" t="s">
        <v>1342</v>
      </c>
      <c r="E1232" s="212">
        <f>财务专项说明!G150</f>
        <v>0</v>
      </c>
      <c r="F1232" s="212">
        <f>财务专项说明!H150</f>
        <v>0</v>
      </c>
      <c r="G1232" s="212">
        <v>626684.18000000005</v>
      </c>
      <c r="H1232" s="212">
        <v>626684.18000000005</v>
      </c>
      <c r="J1232" s="180">
        <f t="shared" si="63"/>
        <v>626684.18000000005</v>
      </c>
      <c r="K1232" s="180">
        <f t="shared" si="63"/>
        <v>626684.18000000005</v>
      </c>
    </row>
    <row r="1233" spans="1:11">
      <c r="B1233" s="179">
        <v>1226</v>
      </c>
      <c r="C1233" s="172"/>
      <c r="D1233" s="196" t="s">
        <v>1343</v>
      </c>
      <c r="E1233" s="212">
        <f>财务专项说明!G151</f>
        <v>0</v>
      </c>
      <c r="F1233" s="212">
        <f>财务专项说明!H151</f>
        <v>0</v>
      </c>
      <c r="G1233" s="212">
        <v>1026472.16</v>
      </c>
      <c r="H1233" s="212">
        <v>1026472.16</v>
      </c>
      <c r="J1233" s="180">
        <f t="shared" si="63"/>
        <v>1026472.16</v>
      </c>
      <c r="K1233" s="180">
        <f t="shared" si="63"/>
        <v>1026472.16</v>
      </c>
    </row>
    <row r="1234" spans="1:11">
      <c r="A1234" s="173" t="s">
        <v>523</v>
      </c>
      <c r="B1234" s="179">
        <v>1227</v>
      </c>
      <c r="C1234" s="172"/>
      <c r="D1234" s="196" t="s">
        <v>1344</v>
      </c>
      <c r="E1234" s="212">
        <f>财务专项说明!G152</f>
        <v>0</v>
      </c>
      <c r="F1234" s="212">
        <f>财务专项说明!H152</f>
        <v>0</v>
      </c>
      <c r="G1234" s="212">
        <v>0</v>
      </c>
      <c r="H1234" s="212">
        <v>0</v>
      </c>
      <c r="J1234" s="180">
        <f t="shared" si="63"/>
        <v>0</v>
      </c>
      <c r="K1234" s="180">
        <f t="shared" si="63"/>
        <v>0</v>
      </c>
    </row>
    <row r="1235" spans="1:11">
      <c r="B1235" s="179">
        <v>1228</v>
      </c>
      <c r="C1235" s="172"/>
      <c r="D1235" s="196" t="s">
        <v>1345</v>
      </c>
      <c r="E1235" s="212">
        <f>财务专项说明!G153</f>
        <v>0</v>
      </c>
      <c r="F1235" s="212">
        <f>财务专项说明!H153</f>
        <v>0</v>
      </c>
      <c r="G1235" s="212">
        <v>293887.35999999999</v>
      </c>
      <c r="H1235" s="212">
        <v>293887.35999999999</v>
      </c>
      <c r="J1235" s="180">
        <f t="shared" si="63"/>
        <v>293887.35999999999</v>
      </c>
      <c r="K1235" s="180">
        <f t="shared" si="63"/>
        <v>293887.35999999999</v>
      </c>
    </row>
    <row r="1236" spans="1:11">
      <c r="B1236" s="179">
        <v>1229</v>
      </c>
      <c r="C1236" s="172"/>
      <c r="D1236" s="196" t="s">
        <v>1346</v>
      </c>
      <c r="E1236" s="212">
        <f>财务专项说明!G154</f>
        <v>0</v>
      </c>
      <c r="F1236" s="212">
        <f>财务专项说明!H154</f>
        <v>0</v>
      </c>
      <c r="G1236" s="212">
        <v>220417.11</v>
      </c>
      <c r="H1236" s="212">
        <v>220417.11</v>
      </c>
      <c r="J1236" s="180">
        <f t="shared" si="63"/>
        <v>220417.11</v>
      </c>
      <c r="K1236" s="180">
        <f t="shared" si="63"/>
        <v>220417.11</v>
      </c>
    </row>
    <row r="1237" spans="1:11">
      <c r="B1237" s="179">
        <v>1230</v>
      </c>
      <c r="C1237" s="172"/>
      <c r="D1237" s="196" t="s">
        <v>1347</v>
      </c>
      <c r="E1237" s="212">
        <f>财务专项说明!G155</f>
        <v>0</v>
      </c>
      <c r="F1237" s="212">
        <f>财务专项说明!H155</f>
        <v>0</v>
      </c>
      <c r="G1237" s="212">
        <v>117555.06</v>
      </c>
      <c r="H1237" s="212">
        <v>117555.06</v>
      </c>
      <c r="J1237" s="180">
        <f t="shared" si="63"/>
        <v>117555.06</v>
      </c>
      <c r="K1237" s="180">
        <f t="shared" si="63"/>
        <v>117555.06</v>
      </c>
    </row>
    <row r="1238" spans="1:11">
      <c r="B1238" s="179">
        <v>1231</v>
      </c>
      <c r="C1238" s="172"/>
      <c r="D1238" s="196" t="s">
        <v>1348</v>
      </c>
      <c r="E1238" s="212" t="e">
        <f>财务专项说明!#REF!</f>
        <v>#REF!</v>
      </c>
      <c r="F1238" s="212" t="e">
        <f>财务专项说明!#REF!</f>
        <v>#REF!</v>
      </c>
      <c r="G1238" s="212">
        <v>0</v>
      </c>
      <c r="H1238" s="212">
        <v>0</v>
      </c>
      <c r="J1238" s="180" t="e">
        <f t="shared" si="63"/>
        <v>#REF!</v>
      </c>
      <c r="K1238" s="180" t="e">
        <f t="shared" si="63"/>
        <v>#REF!</v>
      </c>
    </row>
    <row r="1239" spans="1:11">
      <c r="A1239" s="173" t="s">
        <v>523</v>
      </c>
      <c r="B1239" s="179">
        <v>1232</v>
      </c>
      <c r="C1239" s="172"/>
      <c r="D1239" s="196" t="s">
        <v>1349</v>
      </c>
      <c r="E1239" s="212">
        <f>财务专项说明!G156</f>
        <v>0</v>
      </c>
      <c r="F1239" s="212">
        <f>财务专项说明!H156</f>
        <v>0</v>
      </c>
      <c r="G1239" s="212">
        <v>1125776.0900000001</v>
      </c>
      <c r="H1239" s="212">
        <v>1125776.0900000001</v>
      </c>
      <c r="J1239" s="180">
        <f t="shared" si="63"/>
        <v>1125776.0900000001</v>
      </c>
      <c r="K1239" s="180">
        <f t="shared" si="63"/>
        <v>1125776.0900000001</v>
      </c>
    </row>
    <row r="1240" spans="1:11">
      <c r="A1240" s="181"/>
      <c r="B1240" s="179">
        <v>1233</v>
      </c>
      <c r="C1240" s="172"/>
      <c r="D1240" s="196" t="s">
        <v>1350</v>
      </c>
      <c r="E1240" s="212">
        <f>财务专项说明!G157</f>
        <v>0</v>
      </c>
      <c r="F1240" s="212">
        <f>财务专项说明!H157</f>
        <v>0</v>
      </c>
      <c r="G1240" s="212">
        <v>0</v>
      </c>
      <c r="H1240" s="212">
        <v>0</v>
      </c>
      <c r="J1240" s="180">
        <f t="shared" si="63"/>
        <v>0</v>
      </c>
      <c r="K1240" s="180">
        <f t="shared" si="63"/>
        <v>0</v>
      </c>
    </row>
    <row r="1241" spans="1:11">
      <c r="B1241" s="179">
        <v>1234</v>
      </c>
      <c r="C1241" s="172"/>
      <c r="D1241" s="196" t="s">
        <v>1351</v>
      </c>
      <c r="E1241" s="212">
        <f>财务专项说明!G158</f>
        <v>0</v>
      </c>
      <c r="F1241" s="212">
        <f>财务专项说明!H158</f>
        <v>0</v>
      </c>
      <c r="G1241" s="212">
        <v>236460.75</v>
      </c>
      <c r="H1241" s="212">
        <v>78422</v>
      </c>
      <c r="J1241" s="180">
        <f t="shared" si="63"/>
        <v>236460.75</v>
      </c>
      <c r="K1241" s="180">
        <f t="shared" si="63"/>
        <v>78422</v>
      </c>
    </row>
    <row r="1242" spans="1:11">
      <c r="B1242" s="179">
        <v>1235</v>
      </c>
      <c r="C1242" s="172"/>
      <c r="D1242" s="196" t="s">
        <v>1352</v>
      </c>
      <c r="E1242" s="212">
        <f>财务专项说明!G159</f>
        <v>0</v>
      </c>
      <c r="F1242" s="212">
        <f>财务专项说明!H159</f>
        <v>0</v>
      </c>
      <c r="G1242" s="212">
        <v>315281.01</v>
      </c>
      <c r="H1242" s="212">
        <v>286398.31000000006</v>
      </c>
      <c r="J1242" s="180">
        <f t="shared" si="63"/>
        <v>315281.01</v>
      </c>
      <c r="K1242" s="180">
        <f t="shared" si="63"/>
        <v>286398.31000000006</v>
      </c>
    </row>
    <row r="1243" spans="1:11">
      <c r="B1243" s="179">
        <v>1236</v>
      </c>
      <c r="C1243" s="172"/>
      <c r="D1243" s="196" t="s">
        <v>1353</v>
      </c>
      <c r="E1243" s="212">
        <f>财务专项说明!G160</f>
        <v>0</v>
      </c>
      <c r="F1243" s="212">
        <f>财务专项说明!H160</f>
        <v>0</v>
      </c>
      <c r="G1243" s="212">
        <v>0</v>
      </c>
      <c r="H1243" s="212">
        <v>0</v>
      </c>
      <c r="J1243" s="180">
        <f t="shared" si="63"/>
        <v>0</v>
      </c>
      <c r="K1243" s="180">
        <f t="shared" si="63"/>
        <v>0</v>
      </c>
    </row>
    <row r="1244" spans="1:11">
      <c r="B1244" s="179">
        <v>1237</v>
      </c>
      <c r="C1244" s="172"/>
      <c r="D1244" s="196" t="s">
        <v>1354</v>
      </c>
      <c r="E1244" s="212">
        <f>财务专项说明!G161</f>
        <v>0</v>
      </c>
      <c r="F1244" s="212">
        <f>财务专项说明!H161</f>
        <v>0</v>
      </c>
      <c r="G1244" s="212">
        <v>1724573</v>
      </c>
      <c r="H1244" s="212">
        <v>1724573</v>
      </c>
      <c r="J1244" s="180">
        <f t="shared" si="63"/>
        <v>1724573</v>
      </c>
      <c r="K1244" s="180">
        <f t="shared" si="63"/>
        <v>1724573</v>
      </c>
    </row>
    <row r="1245" spans="1:11">
      <c r="B1245" s="179">
        <v>1238</v>
      </c>
      <c r="C1245" s="172"/>
      <c r="D1245" s="196" t="s">
        <v>1355</v>
      </c>
      <c r="E1245" s="212">
        <f>财务专项说明!G162</f>
        <v>0</v>
      </c>
      <c r="F1245" s="212">
        <f>财务专项说明!H162</f>
        <v>0</v>
      </c>
      <c r="G1245" s="212">
        <v>0</v>
      </c>
      <c r="H1245" s="212">
        <v>0</v>
      </c>
      <c r="J1245" s="180">
        <f t="shared" si="63"/>
        <v>0</v>
      </c>
      <c r="K1245" s="180">
        <f t="shared" si="63"/>
        <v>0</v>
      </c>
    </row>
    <row r="1246" spans="1:11">
      <c r="B1246" s="179">
        <v>1239</v>
      </c>
      <c r="C1246" s="172"/>
      <c r="D1246" s="196" t="s">
        <v>1356</v>
      </c>
      <c r="E1246" s="212">
        <f>财务专项说明!G163</f>
        <v>0</v>
      </c>
      <c r="F1246" s="212">
        <f>财务专项说明!H163</f>
        <v>0</v>
      </c>
      <c r="G1246" s="212">
        <v>0</v>
      </c>
      <c r="H1246" s="212">
        <v>0</v>
      </c>
      <c r="J1246" s="180">
        <f t="shared" si="63"/>
        <v>0</v>
      </c>
      <c r="K1246" s="180">
        <f t="shared" si="63"/>
        <v>0</v>
      </c>
    </row>
    <row r="1247" spans="1:11" ht="13.5">
      <c r="A1247" s="186" t="str">
        <f>HYPERLINK("#C1","置顶")</f>
        <v>置顶</v>
      </c>
      <c r="B1247" s="179">
        <v>1240</v>
      </c>
      <c r="C1247" s="172"/>
      <c r="D1247" s="196" t="s">
        <v>1357</v>
      </c>
      <c r="E1247" s="212">
        <f>财务专项说明!G164</f>
        <v>0</v>
      </c>
      <c r="F1247" s="212">
        <f>财务专项说明!H164</f>
        <v>0</v>
      </c>
      <c r="G1247" s="212">
        <v>0</v>
      </c>
      <c r="H1247" s="212">
        <v>0</v>
      </c>
      <c r="J1247" s="180">
        <f t="shared" si="63"/>
        <v>0</v>
      </c>
      <c r="K1247" s="180">
        <f t="shared" si="63"/>
        <v>0</v>
      </c>
    </row>
    <row r="1248" spans="1:11" ht="13.5">
      <c r="A1248" s="187"/>
      <c r="B1248" s="179">
        <v>1241</v>
      </c>
      <c r="C1248" s="172"/>
      <c r="D1248" s="196" t="s">
        <v>1358</v>
      </c>
      <c r="E1248" s="212">
        <f>财务专项说明!G165</f>
        <v>0</v>
      </c>
      <c r="F1248" s="212">
        <f>财务专项说明!H165</f>
        <v>0</v>
      </c>
      <c r="G1248" s="212">
        <v>0</v>
      </c>
      <c r="H1248" s="212">
        <v>0</v>
      </c>
      <c r="J1248" s="180">
        <f t="shared" si="63"/>
        <v>0</v>
      </c>
      <c r="K1248" s="180">
        <f t="shared" si="63"/>
        <v>0</v>
      </c>
    </row>
    <row r="1249" spans="1:13" ht="13.5">
      <c r="A1249" s="187"/>
      <c r="B1249" s="179">
        <v>1242</v>
      </c>
      <c r="C1249" s="172"/>
      <c r="D1249" s="196" t="s">
        <v>1359</v>
      </c>
      <c r="E1249" s="212">
        <f>财务专项说明!G166</f>
        <v>0</v>
      </c>
      <c r="F1249" s="212">
        <f>财务专项说明!H166</f>
        <v>0</v>
      </c>
      <c r="G1249" s="212">
        <v>0</v>
      </c>
      <c r="H1249" s="212">
        <v>0</v>
      </c>
      <c r="J1249" s="180">
        <f t="shared" si="63"/>
        <v>0</v>
      </c>
      <c r="K1249" s="180">
        <f t="shared" si="63"/>
        <v>0</v>
      </c>
    </row>
    <row r="1250" spans="1:13">
      <c r="B1250" s="179">
        <v>1243</v>
      </c>
      <c r="C1250" s="172"/>
      <c r="D1250" s="196" t="s">
        <v>1360</v>
      </c>
      <c r="E1250" s="212">
        <f>财务专项说明!G167</f>
        <v>0</v>
      </c>
      <c r="F1250" s="212">
        <f>财务专项说明!H167</f>
        <v>0</v>
      </c>
      <c r="G1250" s="212">
        <v>0</v>
      </c>
      <c r="H1250" s="212">
        <v>0</v>
      </c>
      <c r="J1250" s="180">
        <f t="shared" si="63"/>
        <v>0</v>
      </c>
      <c r="K1250" s="180">
        <f t="shared" si="63"/>
        <v>0</v>
      </c>
    </row>
    <row r="1251" spans="1:13">
      <c r="B1251" s="179">
        <v>1244</v>
      </c>
      <c r="C1251" s="172"/>
      <c r="D1251" s="196" t="s">
        <v>1361</v>
      </c>
      <c r="E1251" s="212">
        <f>财务专项说明!G168</f>
        <v>0</v>
      </c>
      <c r="F1251" s="212">
        <f>财务专项说明!H168</f>
        <v>0</v>
      </c>
      <c r="G1251" s="212">
        <v>680701.21</v>
      </c>
      <c r="H1251" s="212">
        <v>680701.21</v>
      </c>
      <c r="J1251" s="180">
        <f t="shared" si="63"/>
        <v>680701.21</v>
      </c>
      <c r="K1251" s="180">
        <f t="shared" si="63"/>
        <v>680701.21</v>
      </c>
    </row>
    <row r="1252" spans="1:13">
      <c r="B1252" s="179">
        <v>1245</v>
      </c>
      <c r="C1252" s="172"/>
      <c r="D1252" s="237" t="s">
        <v>1362</v>
      </c>
      <c r="E1252" s="212">
        <f>财务专项说明!G169</f>
        <v>0</v>
      </c>
      <c r="F1252" s="212">
        <f>财务专项说明!H169</f>
        <v>0</v>
      </c>
      <c r="G1252" s="212">
        <v>25070731.750000004</v>
      </c>
      <c r="H1252" s="212">
        <v>24883810.300000004</v>
      </c>
      <c r="J1252" s="180">
        <f t="shared" si="63"/>
        <v>25070731.750000004</v>
      </c>
      <c r="K1252" s="180">
        <f t="shared" si="63"/>
        <v>24883810.300000004</v>
      </c>
    </row>
    <row r="1253" spans="1:13">
      <c r="B1253" s="179">
        <v>1246</v>
      </c>
      <c r="C1253" s="172"/>
      <c r="D1253" s="196" t="s">
        <v>1363</v>
      </c>
      <c r="E1253" s="212">
        <f>财务专项说明!G170</f>
        <v>0</v>
      </c>
      <c r="F1253" s="212">
        <f>财务专项说明!H170</f>
        <v>0</v>
      </c>
      <c r="G1253" s="212">
        <v>15764050.24</v>
      </c>
      <c r="H1253" s="212">
        <v>15764050.24</v>
      </c>
      <c r="J1253" s="180">
        <f t="shared" si="63"/>
        <v>15764050.24</v>
      </c>
      <c r="K1253" s="180">
        <f t="shared" si="63"/>
        <v>15764050.24</v>
      </c>
    </row>
    <row r="1254" spans="1:13">
      <c r="A1254" s="173" t="s">
        <v>523</v>
      </c>
      <c r="B1254" s="179">
        <v>1247</v>
      </c>
      <c r="C1254" s="172"/>
      <c r="D1254" s="237" t="s">
        <v>1364</v>
      </c>
      <c r="E1254" s="212">
        <f>财务专项说明!G171</f>
        <v>0</v>
      </c>
      <c r="F1254" s="212">
        <f>财务专项说明!H171</f>
        <v>0</v>
      </c>
      <c r="G1254" s="212">
        <v>25070731.750000004</v>
      </c>
      <c r="H1254" s="212">
        <v>24883810.300000004</v>
      </c>
      <c r="J1254" s="180">
        <f t="shared" si="63"/>
        <v>25070731.750000004</v>
      </c>
      <c r="K1254" s="180">
        <f t="shared" si="63"/>
        <v>24883810.300000004</v>
      </c>
    </row>
    <row r="1255" spans="1:13">
      <c r="B1255" s="179">
        <v>1248</v>
      </c>
      <c r="C1255" s="172"/>
      <c r="D1255" s="237" t="s">
        <v>1365</v>
      </c>
      <c r="E1255" s="212">
        <f>财务专项说明!G172</f>
        <v>0</v>
      </c>
      <c r="F1255" s="212">
        <f>财务专项说明!H172</f>
        <v>0</v>
      </c>
      <c r="G1255" s="212">
        <v>0</v>
      </c>
      <c r="H1255" s="212">
        <v>0</v>
      </c>
      <c r="J1255" s="180">
        <f t="shared" si="63"/>
        <v>0</v>
      </c>
      <c r="K1255" s="180">
        <f t="shared" si="63"/>
        <v>0</v>
      </c>
    </row>
    <row r="1256" spans="1:13">
      <c r="B1256" s="179">
        <v>1249</v>
      </c>
      <c r="C1256" s="172"/>
      <c r="D1256" s="196" t="s">
        <v>501</v>
      </c>
      <c r="E1256" s="212">
        <f>财务专项说明!G173</f>
        <v>0</v>
      </c>
      <c r="F1256" s="212">
        <f>财务专项说明!H173</f>
        <v>0</v>
      </c>
      <c r="G1256" s="212">
        <v>0</v>
      </c>
      <c r="H1256" s="212">
        <v>0</v>
      </c>
      <c r="J1256" s="180">
        <f t="shared" si="63"/>
        <v>0</v>
      </c>
      <c r="K1256" s="180">
        <f t="shared" si="63"/>
        <v>0</v>
      </c>
    </row>
    <row r="1257" spans="1:13">
      <c r="B1257" s="179">
        <v>1250</v>
      </c>
      <c r="C1257" s="172"/>
      <c r="D1257" s="196" t="s">
        <v>502</v>
      </c>
      <c r="E1257" s="212">
        <f>财务专项说明!G174</f>
        <v>0</v>
      </c>
      <c r="F1257" s="212">
        <f>财务专项说明!H174</f>
        <v>0</v>
      </c>
      <c r="G1257" s="212">
        <v>0</v>
      </c>
      <c r="H1257" s="212">
        <v>0</v>
      </c>
      <c r="J1257" s="180">
        <f t="shared" si="63"/>
        <v>0</v>
      </c>
      <c r="K1257" s="180">
        <f t="shared" si="63"/>
        <v>0</v>
      </c>
    </row>
    <row r="1258" spans="1:13">
      <c r="B1258" s="179">
        <v>1251</v>
      </c>
      <c r="C1258" s="172"/>
      <c r="D1258" s="196" t="s">
        <v>1366</v>
      </c>
      <c r="E1258" s="212">
        <f>财务专项说明!G175</f>
        <v>0</v>
      </c>
      <c r="F1258" s="212">
        <f>财务专项说明!H175</f>
        <v>0</v>
      </c>
      <c r="G1258" s="212">
        <v>0</v>
      </c>
      <c r="H1258" s="212">
        <v>0</v>
      </c>
      <c r="J1258" s="180">
        <f t="shared" si="63"/>
        <v>0</v>
      </c>
      <c r="K1258" s="180">
        <f>ABS(F1258-H1258)</f>
        <v>0</v>
      </c>
    </row>
    <row r="1259" spans="1:13">
      <c r="B1259" s="179">
        <v>1252</v>
      </c>
      <c r="C1259" s="172"/>
      <c r="J1259" s="175" t="e">
        <f>SUM(J1225:J1258)</f>
        <v>#REF!</v>
      </c>
      <c r="K1259" s="175" t="e">
        <f>SUM(K1225:K1258)</f>
        <v>#REF!</v>
      </c>
    </row>
    <row r="1260" spans="1:13">
      <c r="B1260" s="179">
        <v>1253</v>
      </c>
      <c r="C1260" s="172"/>
      <c r="D1260" s="175" t="s">
        <v>1414</v>
      </c>
    </row>
    <row r="1261" spans="1:13">
      <c r="B1261" s="179">
        <v>1254</v>
      </c>
      <c r="C1261" s="172"/>
      <c r="D1261" s="184" t="s">
        <v>811</v>
      </c>
      <c r="E1261" s="243" t="s">
        <v>368</v>
      </c>
      <c r="F1261" s="243"/>
      <c r="J1261" s="1674" t="s">
        <v>1367</v>
      </c>
      <c r="K1261" s="1674"/>
      <c r="L1261" s="1674" t="s">
        <v>1368</v>
      </c>
      <c r="M1261" s="1674"/>
    </row>
    <row r="1262" spans="1:13">
      <c r="B1262" s="179">
        <v>1255</v>
      </c>
      <c r="C1262" s="172"/>
      <c r="D1262" s="184"/>
      <c r="E1262" s="198" t="s">
        <v>1333</v>
      </c>
      <c r="F1262" s="198" t="s">
        <v>1334</v>
      </c>
      <c r="J1262" s="198" t="s">
        <v>1333</v>
      </c>
      <c r="K1262" s="198" t="s">
        <v>1334</v>
      </c>
      <c r="L1262" s="198" t="s">
        <v>1333</v>
      </c>
      <c r="M1262" s="198" t="s">
        <v>1334</v>
      </c>
    </row>
    <row r="1263" spans="1:13">
      <c r="B1263" s="179">
        <v>1256</v>
      </c>
      <c r="C1263" s="172"/>
      <c r="D1263" s="184" t="s">
        <v>1369</v>
      </c>
      <c r="E1263" s="184"/>
      <c r="F1263" s="184"/>
      <c r="J1263" s="180">
        <f>ABS(E1263-E1225)</f>
        <v>0</v>
      </c>
      <c r="K1263" s="180">
        <f>ABS(F1263-F1225)</f>
        <v>0</v>
      </c>
      <c r="L1263" s="180">
        <f>ABS(E1263-G1225)</f>
        <v>25070731.750000004</v>
      </c>
      <c r="M1263" s="180">
        <f>ABS(F1263-H1225)</f>
        <v>24883810.300000004</v>
      </c>
    </row>
    <row r="1264" spans="1:13">
      <c r="A1264" s="177" t="str">
        <f>HYPERLINK("#C1","置顶")</f>
        <v>置顶</v>
      </c>
      <c r="B1264" s="179">
        <v>1257</v>
      </c>
      <c r="C1264" s="172"/>
      <c r="D1264" s="184" t="s">
        <v>1370</v>
      </c>
      <c r="E1264" s="184"/>
      <c r="F1264" s="184"/>
      <c r="J1264" s="180">
        <f t="shared" ref="J1264:K1279" si="64">ABS(E1264-E1226)</f>
        <v>0</v>
      </c>
      <c r="K1264" s="180">
        <f t="shared" si="64"/>
        <v>0</v>
      </c>
      <c r="L1264" s="180">
        <f t="shared" ref="L1264:M1279" si="65">ABS(E1264-G1226)</f>
        <v>25070731.750000004</v>
      </c>
      <c r="M1264" s="180">
        <f t="shared" si="65"/>
        <v>24883810.300000004</v>
      </c>
    </row>
    <row r="1265" spans="1:13">
      <c r="A1265" s="181"/>
      <c r="B1265" s="179">
        <v>1258</v>
      </c>
      <c r="C1265" s="172"/>
      <c r="D1265" s="184" t="s">
        <v>1337</v>
      </c>
      <c r="E1265" s="184"/>
      <c r="F1265" s="184"/>
      <c r="J1265" s="180">
        <f t="shared" si="64"/>
        <v>0</v>
      </c>
      <c r="K1265" s="180">
        <f t="shared" si="64"/>
        <v>0</v>
      </c>
      <c r="L1265" s="180">
        <f t="shared" si="65"/>
        <v>15764050.24</v>
      </c>
      <c r="M1265" s="180">
        <f t="shared" si="65"/>
        <v>15764050.24</v>
      </c>
    </row>
    <row r="1266" spans="1:13">
      <c r="B1266" s="179">
        <v>1259</v>
      </c>
      <c r="C1266" s="172"/>
      <c r="D1266" s="184" t="s">
        <v>1371</v>
      </c>
      <c r="E1266" s="184"/>
      <c r="F1266" s="184"/>
      <c r="J1266" s="180">
        <f t="shared" si="64"/>
        <v>0</v>
      </c>
      <c r="K1266" s="180">
        <f t="shared" si="64"/>
        <v>0</v>
      </c>
      <c r="L1266" s="180">
        <f t="shared" si="65"/>
        <v>25070731.750000004</v>
      </c>
      <c r="M1266" s="180">
        <f t="shared" si="65"/>
        <v>24883810.300000004</v>
      </c>
    </row>
    <row r="1267" spans="1:13">
      <c r="B1267" s="179">
        <v>1260</v>
      </c>
      <c r="C1267" s="172"/>
      <c r="D1267" s="184" t="s">
        <v>1339</v>
      </c>
      <c r="E1267" s="184"/>
      <c r="F1267" s="184"/>
      <c r="J1267" s="180">
        <f t="shared" si="64"/>
        <v>0</v>
      </c>
      <c r="K1267" s="180">
        <f t="shared" si="64"/>
        <v>0</v>
      </c>
      <c r="L1267" s="180">
        <f t="shared" si="65"/>
        <v>15764050.24</v>
      </c>
      <c r="M1267" s="180">
        <f t="shared" si="65"/>
        <v>15764050.24</v>
      </c>
    </row>
    <row r="1268" spans="1:13">
      <c r="B1268" s="179">
        <v>1261</v>
      </c>
      <c r="C1268" s="172"/>
      <c r="D1268" s="184" t="s">
        <v>1340</v>
      </c>
      <c r="E1268" s="184"/>
      <c r="F1268" s="184"/>
      <c r="J1268" s="180">
        <f t="shared" si="64"/>
        <v>0</v>
      </c>
      <c r="K1268" s="180">
        <f t="shared" si="64"/>
        <v>0</v>
      </c>
      <c r="L1268" s="180">
        <f t="shared" si="65"/>
        <v>5223889.45</v>
      </c>
      <c r="M1268" s="180">
        <f t="shared" si="65"/>
        <v>5223889.45</v>
      </c>
    </row>
    <row r="1269" spans="1:13">
      <c r="B1269" s="179">
        <v>1262</v>
      </c>
      <c r="C1269" s="172"/>
      <c r="D1269" s="184" t="s">
        <v>1341</v>
      </c>
      <c r="E1269" s="184"/>
      <c r="F1269" s="184"/>
      <c r="J1269" s="180">
        <f t="shared" si="64"/>
        <v>0</v>
      </c>
      <c r="K1269" s="180">
        <f t="shared" si="64"/>
        <v>0</v>
      </c>
      <c r="L1269" s="180">
        <f t="shared" si="65"/>
        <v>3565557.7600000002</v>
      </c>
      <c r="M1269" s="180">
        <f t="shared" si="65"/>
        <v>3565557.7600000002</v>
      </c>
    </row>
    <row r="1270" spans="1:13">
      <c r="B1270" s="179">
        <v>1263</v>
      </c>
      <c r="C1270" s="172"/>
      <c r="D1270" s="184" t="s">
        <v>1342</v>
      </c>
      <c r="E1270" s="184"/>
      <c r="F1270" s="184"/>
      <c r="J1270" s="180">
        <f t="shared" si="64"/>
        <v>0</v>
      </c>
      <c r="K1270" s="180">
        <f t="shared" si="64"/>
        <v>0</v>
      </c>
      <c r="L1270" s="180">
        <f t="shared" si="65"/>
        <v>626684.18000000005</v>
      </c>
      <c r="M1270" s="180">
        <f t="shared" si="65"/>
        <v>626684.18000000005</v>
      </c>
    </row>
    <row r="1271" spans="1:13">
      <c r="A1271" s="173" t="s">
        <v>523</v>
      </c>
      <c r="B1271" s="179">
        <v>1264</v>
      </c>
      <c r="C1271" s="172"/>
      <c r="D1271" s="184" t="s">
        <v>1343</v>
      </c>
      <c r="E1271" s="184"/>
      <c r="F1271" s="184"/>
      <c r="J1271" s="180">
        <f t="shared" si="64"/>
        <v>0</v>
      </c>
      <c r="K1271" s="180">
        <f t="shared" si="64"/>
        <v>0</v>
      </c>
      <c r="L1271" s="180">
        <f t="shared" si="65"/>
        <v>1026472.16</v>
      </c>
      <c r="M1271" s="180">
        <f t="shared" si="65"/>
        <v>1026472.16</v>
      </c>
    </row>
    <row r="1272" spans="1:13">
      <c r="A1272" s="181"/>
      <c r="B1272" s="179">
        <v>1265</v>
      </c>
      <c r="C1272" s="172"/>
      <c r="D1272" s="184" t="s">
        <v>1344</v>
      </c>
      <c r="E1272" s="184"/>
      <c r="F1272" s="184"/>
      <c r="J1272" s="180">
        <f t="shared" si="64"/>
        <v>0</v>
      </c>
      <c r="K1272" s="180">
        <f t="shared" si="64"/>
        <v>0</v>
      </c>
      <c r="L1272" s="180">
        <f t="shared" si="65"/>
        <v>0</v>
      </c>
      <c r="M1272" s="180">
        <f t="shared" si="65"/>
        <v>0</v>
      </c>
    </row>
    <row r="1273" spans="1:13">
      <c r="B1273" s="179">
        <v>1266</v>
      </c>
      <c r="C1273" s="172"/>
      <c r="D1273" s="184" t="s">
        <v>1345</v>
      </c>
      <c r="E1273" s="184"/>
      <c r="F1273" s="184"/>
      <c r="J1273" s="180">
        <f t="shared" si="64"/>
        <v>0</v>
      </c>
      <c r="K1273" s="180">
        <f t="shared" si="64"/>
        <v>0</v>
      </c>
      <c r="L1273" s="180">
        <f t="shared" si="65"/>
        <v>293887.35999999999</v>
      </c>
      <c r="M1273" s="180">
        <f t="shared" si="65"/>
        <v>293887.35999999999</v>
      </c>
    </row>
    <row r="1274" spans="1:13">
      <c r="B1274" s="179">
        <v>1267</v>
      </c>
      <c r="C1274" s="172"/>
      <c r="D1274" s="184" t="s">
        <v>1346</v>
      </c>
      <c r="E1274" s="184"/>
      <c r="F1274" s="184"/>
      <c r="J1274" s="180">
        <f t="shared" si="64"/>
        <v>0</v>
      </c>
      <c r="K1274" s="180">
        <f t="shared" si="64"/>
        <v>0</v>
      </c>
      <c r="L1274" s="180">
        <f t="shared" si="65"/>
        <v>220417.11</v>
      </c>
      <c r="M1274" s="180">
        <f t="shared" si="65"/>
        <v>220417.11</v>
      </c>
    </row>
    <row r="1275" spans="1:13">
      <c r="B1275" s="179">
        <v>1268</v>
      </c>
      <c r="C1275" s="172"/>
      <c r="D1275" s="184" t="s">
        <v>1347</v>
      </c>
      <c r="E1275" s="184"/>
      <c r="F1275" s="184"/>
      <c r="J1275" s="180">
        <f t="shared" si="64"/>
        <v>0</v>
      </c>
      <c r="K1275" s="180">
        <f t="shared" si="64"/>
        <v>0</v>
      </c>
      <c r="L1275" s="180">
        <f t="shared" si="65"/>
        <v>117555.06</v>
      </c>
      <c r="M1275" s="180">
        <f t="shared" si="65"/>
        <v>117555.06</v>
      </c>
    </row>
    <row r="1276" spans="1:13">
      <c r="B1276" s="179">
        <v>1269</v>
      </c>
      <c r="C1276" s="172"/>
      <c r="D1276" s="184" t="s">
        <v>1348</v>
      </c>
      <c r="E1276" s="184"/>
      <c r="F1276" s="184"/>
      <c r="J1276" s="180" t="e">
        <f t="shared" si="64"/>
        <v>#REF!</v>
      </c>
      <c r="K1276" s="180" t="e">
        <f t="shared" si="64"/>
        <v>#REF!</v>
      </c>
      <c r="L1276" s="180">
        <f t="shared" si="65"/>
        <v>0</v>
      </c>
      <c r="M1276" s="180">
        <f t="shared" si="65"/>
        <v>0</v>
      </c>
    </row>
    <row r="1277" spans="1:13">
      <c r="B1277" s="179">
        <v>1270</v>
      </c>
      <c r="C1277" s="172"/>
      <c r="D1277" s="184" t="s">
        <v>1372</v>
      </c>
      <c r="E1277" s="184"/>
      <c r="F1277" s="184"/>
      <c r="J1277" s="180">
        <f t="shared" si="64"/>
        <v>0</v>
      </c>
      <c r="K1277" s="180">
        <f t="shared" si="64"/>
        <v>0</v>
      </c>
      <c r="L1277" s="180">
        <f t="shared" si="65"/>
        <v>1125776.0900000001</v>
      </c>
      <c r="M1277" s="180">
        <f t="shared" si="65"/>
        <v>1125776.0900000001</v>
      </c>
    </row>
    <row r="1278" spans="1:13">
      <c r="A1278" s="177" t="str">
        <f>HYPERLINK("#C1","置顶")</f>
        <v>置顶</v>
      </c>
      <c r="B1278" s="179">
        <v>1271</v>
      </c>
      <c r="C1278" s="172"/>
      <c r="D1278" s="184" t="s">
        <v>1373</v>
      </c>
      <c r="E1278" s="184"/>
      <c r="F1278" s="184"/>
      <c r="J1278" s="180">
        <f t="shared" si="64"/>
        <v>0</v>
      </c>
      <c r="K1278" s="180">
        <f t="shared" si="64"/>
        <v>0</v>
      </c>
      <c r="L1278" s="180">
        <f t="shared" si="65"/>
        <v>0</v>
      </c>
      <c r="M1278" s="180">
        <f t="shared" si="65"/>
        <v>0</v>
      </c>
    </row>
    <row r="1279" spans="1:13">
      <c r="A1279" s="181"/>
      <c r="B1279" s="179">
        <v>1272</v>
      </c>
      <c r="C1279" s="172"/>
      <c r="D1279" s="184" t="s">
        <v>1351</v>
      </c>
      <c r="E1279" s="184"/>
      <c r="F1279" s="184"/>
      <c r="J1279" s="180">
        <f t="shared" si="64"/>
        <v>0</v>
      </c>
      <c r="K1279" s="180">
        <f t="shared" si="64"/>
        <v>0</v>
      </c>
      <c r="L1279" s="180">
        <f t="shared" si="65"/>
        <v>236460.75</v>
      </c>
      <c r="M1279" s="180">
        <f t="shared" si="65"/>
        <v>78422</v>
      </c>
    </row>
    <row r="1280" spans="1:13">
      <c r="B1280" s="179">
        <v>1273</v>
      </c>
      <c r="C1280" s="172"/>
      <c r="D1280" s="184" t="s">
        <v>1352</v>
      </c>
      <c r="E1280" s="184"/>
      <c r="F1280" s="184"/>
      <c r="J1280" s="180">
        <f t="shared" ref="J1280:K1295" si="66">ABS(E1280-E1242)</f>
        <v>0</v>
      </c>
      <c r="K1280" s="180">
        <f t="shared" si="66"/>
        <v>0</v>
      </c>
      <c r="L1280" s="180">
        <f t="shared" ref="L1280:M1295" si="67">ABS(E1280-G1242)</f>
        <v>315281.01</v>
      </c>
      <c r="M1280" s="180">
        <f t="shared" si="67"/>
        <v>286398.31000000006</v>
      </c>
    </row>
    <row r="1281" spans="1:13">
      <c r="B1281" s="179">
        <v>1274</v>
      </c>
      <c r="C1281" s="172"/>
      <c r="D1281" s="184" t="s">
        <v>1353</v>
      </c>
      <c r="E1281" s="184"/>
      <c r="F1281" s="184"/>
      <c r="J1281" s="180">
        <f t="shared" si="66"/>
        <v>0</v>
      </c>
      <c r="K1281" s="180">
        <f t="shared" si="66"/>
        <v>0</v>
      </c>
      <c r="L1281" s="180">
        <f t="shared" si="67"/>
        <v>0</v>
      </c>
      <c r="M1281" s="180">
        <f t="shared" si="67"/>
        <v>0</v>
      </c>
    </row>
    <row r="1282" spans="1:13">
      <c r="B1282" s="179">
        <v>1275</v>
      </c>
      <c r="C1282" s="172"/>
      <c r="D1282" s="184" t="s">
        <v>1354</v>
      </c>
      <c r="E1282" s="184"/>
      <c r="F1282" s="184"/>
      <c r="J1282" s="180">
        <f t="shared" si="66"/>
        <v>0</v>
      </c>
      <c r="K1282" s="180">
        <f t="shared" si="66"/>
        <v>0</v>
      </c>
      <c r="L1282" s="180">
        <f t="shared" si="67"/>
        <v>1724573</v>
      </c>
      <c r="M1282" s="180">
        <f t="shared" si="67"/>
        <v>1724573</v>
      </c>
    </row>
    <row r="1283" spans="1:13">
      <c r="B1283" s="179">
        <v>1276</v>
      </c>
      <c r="C1283" s="172"/>
      <c r="D1283" s="184" t="s">
        <v>1374</v>
      </c>
      <c r="E1283" s="184"/>
      <c r="F1283" s="184"/>
      <c r="J1283" s="180">
        <f t="shared" si="66"/>
        <v>0</v>
      </c>
      <c r="K1283" s="180">
        <f t="shared" si="66"/>
        <v>0</v>
      </c>
      <c r="L1283" s="180">
        <f t="shared" si="67"/>
        <v>0</v>
      </c>
      <c r="M1283" s="180">
        <f t="shared" si="67"/>
        <v>0</v>
      </c>
    </row>
    <row r="1284" spans="1:13">
      <c r="B1284" s="179">
        <v>1277</v>
      </c>
      <c r="C1284" s="172"/>
      <c r="D1284" s="184" t="s">
        <v>1356</v>
      </c>
      <c r="E1284" s="184"/>
      <c r="F1284" s="184"/>
      <c r="J1284" s="180">
        <f t="shared" si="66"/>
        <v>0</v>
      </c>
      <c r="K1284" s="180">
        <f t="shared" si="66"/>
        <v>0</v>
      </c>
      <c r="L1284" s="180">
        <f t="shared" si="67"/>
        <v>0</v>
      </c>
      <c r="M1284" s="180">
        <f t="shared" si="67"/>
        <v>0</v>
      </c>
    </row>
    <row r="1285" spans="1:13">
      <c r="A1285" s="173" t="s">
        <v>523</v>
      </c>
      <c r="B1285" s="179">
        <v>1278</v>
      </c>
      <c r="C1285" s="172"/>
      <c r="D1285" s="184" t="s">
        <v>1375</v>
      </c>
      <c r="E1285" s="184"/>
      <c r="F1285" s="184"/>
      <c r="J1285" s="180">
        <f t="shared" si="66"/>
        <v>0</v>
      </c>
      <c r="K1285" s="180">
        <f t="shared" si="66"/>
        <v>0</v>
      </c>
      <c r="L1285" s="180">
        <f t="shared" si="67"/>
        <v>0</v>
      </c>
      <c r="M1285" s="180">
        <f t="shared" si="67"/>
        <v>0</v>
      </c>
    </row>
    <row r="1286" spans="1:13">
      <c r="A1286" s="181"/>
      <c r="B1286" s="179">
        <v>1279</v>
      </c>
      <c r="C1286" s="172"/>
      <c r="D1286" s="184" t="s">
        <v>1358</v>
      </c>
      <c r="E1286" s="184"/>
      <c r="F1286" s="184"/>
      <c r="J1286" s="180">
        <f t="shared" si="66"/>
        <v>0</v>
      </c>
      <c r="K1286" s="180">
        <f t="shared" si="66"/>
        <v>0</v>
      </c>
      <c r="L1286" s="180">
        <f t="shared" si="67"/>
        <v>0</v>
      </c>
      <c r="M1286" s="180">
        <f t="shared" si="67"/>
        <v>0</v>
      </c>
    </row>
    <row r="1287" spans="1:13">
      <c r="B1287" s="179">
        <v>1280</v>
      </c>
      <c r="C1287" s="172"/>
      <c r="D1287" s="184" t="s">
        <v>1359</v>
      </c>
      <c r="E1287" s="184"/>
      <c r="F1287" s="184"/>
      <c r="J1287" s="180">
        <f t="shared" si="66"/>
        <v>0</v>
      </c>
      <c r="K1287" s="180">
        <f t="shared" si="66"/>
        <v>0</v>
      </c>
      <c r="L1287" s="180">
        <f t="shared" si="67"/>
        <v>0</v>
      </c>
      <c r="M1287" s="180">
        <f t="shared" si="67"/>
        <v>0</v>
      </c>
    </row>
    <row r="1288" spans="1:13">
      <c r="B1288" s="179">
        <v>1281</v>
      </c>
      <c r="C1288" s="172"/>
      <c r="D1288" s="184" t="s">
        <v>1376</v>
      </c>
      <c r="E1288" s="184"/>
      <c r="F1288" s="184"/>
      <c r="J1288" s="180">
        <f t="shared" si="66"/>
        <v>0</v>
      </c>
      <c r="K1288" s="180">
        <f t="shared" si="66"/>
        <v>0</v>
      </c>
      <c r="L1288" s="180">
        <f t="shared" si="67"/>
        <v>0</v>
      </c>
      <c r="M1288" s="180">
        <f t="shared" si="67"/>
        <v>0</v>
      </c>
    </row>
    <row r="1289" spans="1:13">
      <c r="B1289" s="179">
        <v>1282</v>
      </c>
      <c r="C1289" s="172"/>
      <c r="D1289" s="184" t="s">
        <v>1377</v>
      </c>
      <c r="E1289" s="184"/>
      <c r="F1289" s="184"/>
      <c r="J1289" s="180">
        <f t="shared" si="66"/>
        <v>0</v>
      </c>
      <c r="K1289" s="180">
        <f t="shared" si="66"/>
        <v>0</v>
      </c>
      <c r="L1289" s="180">
        <f t="shared" si="67"/>
        <v>680701.21</v>
      </c>
      <c r="M1289" s="180">
        <f t="shared" si="67"/>
        <v>680701.21</v>
      </c>
    </row>
    <row r="1290" spans="1:13">
      <c r="B1290" s="179">
        <v>1283</v>
      </c>
      <c r="C1290" s="172"/>
      <c r="D1290" s="184" t="s">
        <v>1378</v>
      </c>
      <c r="E1290" s="184"/>
      <c r="F1290" s="184"/>
      <c r="J1290" s="180">
        <f t="shared" si="66"/>
        <v>0</v>
      </c>
      <c r="K1290" s="180">
        <f t="shared" si="66"/>
        <v>0</v>
      </c>
      <c r="L1290" s="180">
        <f t="shared" si="67"/>
        <v>25070731.750000004</v>
      </c>
      <c r="M1290" s="180">
        <f t="shared" si="67"/>
        <v>24883810.300000004</v>
      </c>
    </row>
    <row r="1291" spans="1:13">
      <c r="A1291" s="177" t="str">
        <f>HYPERLINK("#C1","置顶")</f>
        <v>置顶</v>
      </c>
      <c r="B1291" s="179">
        <v>1284</v>
      </c>
      <c r="C1291" s="172"/>
      <c r="D1291" s="184" t="s">
        <v>1363</v>
      </c>
      <c r="E1291" s="184"/>
      <c r="F1291" s="184"/>
      <c r="J1291" s="180">
        <f t="shared" si="66"/>
        <v>0</v>
      </c>
      <c r="K1291" s="180">
        <f t="shared" si="66"/>
        <v>0</v>
      </c>
      <c r="L1291" s="180">
        <f t="shared" si="67"/>
        <v>15764050.24</v>
      </c>
      <c r="M1291" s="180">
        <f t="shared" si="67"/>
        <v>15764050.24</v>
      </c>
    </row>
    <row r="1292" spans="1:13">
      <c r="A1292" s="181"/>
      <c r="B1292" s="179">
        <v>1285</v>
      </c>
      <c r="C1292" s="172"/>
      <c r="D1292" s="184" t="s">
        <v>1379</v>
      </c>
      <c r="E1292" s="184"/>
      <c r="F1292" s="184"/>
      <c r="J1292" s="180">
        <f t="shared" si="66"/>
        <v>0</v>
      </c>
      <c r="K1292" s="180">
        <f t="shared" si="66"/>
        <v>0</v>
      </c>
      <c r="L1292" s="180">
        <f t="shared" si="67"/>
        <v>25070731.750000004</v>
      </c>
      <c r="M1292" s="180">
        <f t="shared" si="67"/>
        <v>24883810.300000004</v>
      </c>
    </row>
    <row r="1293" spans="1:13">
      <c r="B1293" s="179">
        <v>1286</v>
      </c>
      <c r="C1293" s="172"/>
      <c r="D1293" s="184" t="s">
        <v>1380</v>
      </c>
      <c r="E1293" s="184"/>
      <c r="F1293" s="184"/>
      <c r="J1293" s="180">
        <f t="shared" si="66"/>
        <v>0</v>
      </c>
      <c r="K1293" s="180">
        <f t="shared" si="66"/>
        <v>0</v>
      </c>
      <c r="L1293" s="180">
        <f t="shared" si="67"/>
        <v>0</v>
      </c>
      <c r="M1293" s="180">
        <f t="shared" si="67"/>
        <v>0</v>
      </c>
    </row>
    <row r="1294" spans="1:13">
      <c r="B1294" s="179">
        <v>1287</v>
      </c>
      <c r="C1294" s="172"/>
      <c r="D1294" s="184" t="s">
        <v>1381</v>
      </c>
      <c r="E1294" s="184"/>
      <c r="F1294" s="184"/>
      <c r="J1294" s="180">
        <f t="shared" si="66"/>
        <v>0</v>
      </c>
      <c r="K1294" s="180">
        <f t="shared" si="66"/>
        <v>0</v>
      </c>
      <c r="L1294" s="180">
        <f t="shared" si="67"/>
        <v>0</v>
      </c>
      <c r="M1294" s="180">
        <f t="shared" si="67"/>
        <v>0</v>
      </c>
    </row>
    <row r="1295" spans="1:13">
      <c r="B1295" s="179">
        <v>1288</v>
      </c>
      <c r="C1295" s="172"/>
      <c r="D1295" s="184" t="s">
        <v>1382</v>
      </c>
      <c r="E1295" s="184"/>
      <c r="F1295" s="184"/>
      <c r="J1295" s="180">
        <f t="shared" si="66"/>
        <v>0</v>
      </c>
      <c r="K1295" s="180">
        <f t="shared" si="66"/>
        <v>0</v>
      </c>
      <c r="L1295" s="180">
        <f t="shared" si="67"/>
        <v>0</v>
      </c>
      <c r="M1295" s="180">
        <f t="shared" si="67"/>
        <v>0</v>
      </c>
    </row>
    <row r="1296" spans="1:13">
      <c r="B1296" s="179">
        <v>1289</v>
      </c>
      <c r="C1296" s="172"/>
      <c r="D1296" s="184" t="s">
        <v>1383</v>
      </c>
      <c r="E1296" s="184"/>
      <c r="F1296" s="184"/>
      <c r="J1296" s="180">
        <f>ABS(E1296-E1258)</f>
        <v>0</v>
      </c>
      <c r="K1296" s="180">
        <f>ABS(F1296-F1258)</f>
        <v>0</v>
      </c>
      <c r="L1296" s="180">
        <f>ABS(E1296-G1258)</f>
        <v>0</v>
      </c>
      <c r="M1296" s="180">
        <f>ABS(F1296-H1258)</f>
        <v>0</v>
      </c>
    </row>
    <row r="1297" spans="1:13">
      <c r="B1297" s="179">
        <v>1290</v>
      </c>
      <c r="C1297" s="172"/>
      <c r="J1297" s="175" t="e">
        <f>SUM(J1263:J1296)</f>
        <v>#REF!</v>
      </c>
      <c r="K1297" s="175" t="e">
        <f>SUM(K1263:K1296)</f>
        <v>#REF!</v>
      </c>
      <c r="L1297" s="175">
        <f>SUM(L1263:L1296)</f>
        <v>187803064.61000004</v>
      </c>
      <c r="M1297" s="175">
        <f>SUM(M1263:M1296)</f>
        <v>186681535.91000006</v>
      </c>
    </row>
    <row r="1298" spans="1:13">
      <c r="A1298" s="173" t="s">
        <v>523</v>
      </c>
      <c r="B1298" s="179">
        <v>1291</v>
      </c>
      <c r="C1298" s="172"/>
    </row>
    <row r="1299" spans="1:13">
      <c r="A1299" s="181"/>
    </row>
  </sheetData>
  <sheetProtection formatCells="0" formatColumns="0" formatRows="0" autoFilter="0"/>
  <mergeCells count="90">
    <mergeCell ref="J1261:K1261"/>
    <mergeCell ref="L1261:M1261"/>
    <mergeCell ref="E447:G447"/>
    <mergeCell ref="H447:J447"/>
    <mergeCell ref="L447:N447"/>
    <mergeCell ref="E1223:F1223"/>
    <mergeCell ref="G1223:H1223"/>
    <mergeCell ref="J1223:K1223"/>
    <mergeCell ref="D666:D667"/>
    <mergeCell ref="E666:F666"/>
    <mergeCell ref="G666:H666"/>
    <mergeCell ref="J666:K666"/>
    <mergeCell ref="N421:N422"/>
    <mergeCell ref="D433:D435"/>
    <mergeCell ref="E433:G433"/>
    <mergeCell ref="H433:J433"/>
    <mergeCell ref="L433:N433"/>
    <mergeCell ref="E434:F434"/>
    <mergeCell ref="G434:G435"/>
    <mergeCell ref="H434:I434"/>
    <mergeCell ref="J434:J435"/>
    <mergeCell ref="L434:M434"/>
    <mergeCell ref="N434:N435"/>
    <mergeCell ref="D447:D448"/>
    <mergeCell ref="D420:D422"/>
    <mergeCell ref="E420:G420"/>
    <mergeCell ref="H420:J420"/>
    <mergeCell ref="L420:N420"/>
    <mergeCell ref="E421:F421"/>
    <mergeCell ref="G421:G422"/>
    <mergeCell ref="H421:I421"/>
    <mergeCell ref="J421:J422"/>
    <mergeCell ref="L421:M421"/>
    <mergeCell ref="D408:D410"/>
    <mergeCell ref="E408:H408"/>
    <mergeCell ref="I408:L408"/>
    <mergeCell ref="N408:Q408"/>
    <mergeCell ref="E409:F409"/>
    <mergeCell ref="G409:H409"/>
    <mergeCell ref="I409:J409"/>
    <mergeCell ref="K409:L409"/>
    <mergeCell ref="N409:O409"/>
    <mergeCell ref="P409:Q409"/>
    <mergeCell ref="D397:D399"/>
    <mergeCell ref="E397:G397"/>
    <mergeCell ref="H397:J397"/>
    <mergeCell ref="L397:N397"/>
    <mergeCell ref="E398:F398"/>
    <mergeCell ref="G398:G399"/>
    <mergeCell ref="H398:I398"/>
    <mergeCell ref="J398:J399"/>
    <mergeCell ref="L398:M398"/>
    <mergeCell ref="N398:N399"/>
    <mergeCell ref="D385:D387"/>
    <mergeCell ref="E385:G385"/>
    <mergeCell ref="H385:J385"/>
    <mergeCell ref="L385:N385"/>
    <mergeCell ref="E386:F386"/>
    <mergeCell ref="G386:G387"/>
    <mergeCell ref="H386:I386"/>
    <mergeCell ref="J386:J387"/>
    <mergeCell ref="L386:M386"/>
    <mergeCell ref="N386:N387"/>
    <mergeCell ref="D372:D374"/>
    <mergeCell ref="E372:G372"/>
    <mergeCell ref="H372:J372"/>
    <mergeCell ref="L372:N372"/>
    <mergeCell ref="E373:F373"/>
    <mergeCell ref="G373:G374"/>
    <mergeCell ref="H373:I373"/>
    <mergeCell ref="J373:J374"/>
    <mergeCell ref="L373:M373"/>
    <mergeCell ref="N373:N374"/>
    <mergeCell ref="L264:N264"/>
    <mergeCell ref="D360:D362"/>
    <mergeCell ref="E360:H360"/>
    <mergeCell ref="I360:L360"/>
    <mergeCell ref="N360:Q360"/>
    <mergeCell ref="E361:F361"/>
    <mergeCell ref="G361:H361"/>
    <mergeCell ref="I361:J361"/>
    <mergeCell ref="K361:L361"/>
    <mergeCell ref="N361:O361"/>
    <mergeCell ref="H264:J264"/>
    <mergeCell ref="P361:Q361"/>
    <mergeCell ref="D242:D243"/>
    <mergeCell ref="E242:E243"/>
    <mergeCell ref="F242:F243"/>
    <mergeCell ref="D264:D265"/>
    <mergeCell ref="E264:G264"/>
  </mergeCells>
  <phoneticPr fontId="5" type="noConversion"/>
  <hyperlinks>
    <hyperlink ref="A3" location="附注填写封面!B3" display="返回目录" xr:uid="{00000000-0004-0000-0400-000000000000}"/>
    <hyperlink ref="D1" location="附注填写封面!B3" display="返回目录" xr:uid="{00000000-0004-0000-0400-000001000000}"/>
    <hyperlink ref="G1" location="附注填写封面!B3" display="返回目录" xr:uid="{00000000-0004-0000-0400-000002000000}"/>
    <hyperlink ref="A431" location="附注填写封面!B3" display="返回目录" xr:uid="{00000000-0004-0000-0400-000003000000}"/>
    <hyperlink ref="A19" location="附注填写封面!B3" display="返回目录" xr:uid="{00000000-0004-0000-0400-000004000000}"/>
    <hyperlink ref="A33" location="附注填写封面!B3" display="返回目录" xr:uid="{00000000-0004-0000-0400-000005000000}"/>
    <hyperlink ref="A48" location="附注填写封面!B3" display="返回目录" xr:uid="{00000000-0004-0000-0400-000006000000}"/>
    <hyperlink ref="A58" location="附注填写封面!B3" display="返回目录" xr:uid="{00000000-0004-0000-0400-000007000000}"/>
    <hyperlink ref="A74" location="附注填写封面!B3" display="返回目录" xr:uid="{00000000-0004-0000-0400-000008000000}"/>
    <hyperlink ref="A78" location="附注填写封面!B3" display="返回目录" xr:uid="{00000000-0004-0000-0400-000009000000}"/>
    <hyperlink ref="A95" location="附注填写封面!B3" display="返回目录" xr:uid="{00000000-0004-0000-0400-00000A000000}"/>
    <hyperlink ref="A102" location="附注填写封面!B3" display="返回目录" xr:uid="{00000000-0004-0000-0400-00000B000000}"/>
    <hyperlink ref="A117" location="附注填写封面!B3" display="返回目录" xr:uid="{00000000-0004-0000-0400-00000C000000}"/>
    <hyperlink ref="A122" location="附注填写封面!B3" display="返回目录" xr:uid="{00000000-0004-0000-0400-00000D000000}"/>
    <hyperlink ref="A137" location="附注填写封面!B3" display="返回目录" xr:uid="{00000000-0004-0000-0400-00000E000000}"/>
    <hyperlink ref="A142" location="附注填写封面!B3" display="返回目录" xr:uid="{00000000-0004-0000-0400-00000F000000}"/>
    <hyperlink ref="A157" location="附注填写封面!B3" display="返回目录" xr:uid="{00000000-0004-0000-0400-000010000000}"/>
    <hyperlink ref="A171" location="附注填写封面!B3" display="返回目录" xr:uid="{00000000-0004-0000-0400-000011000000}"/>
    <hyperlink ref="A185" location="附注填写封面!B3" display="返回目录" xr:uid="{00000000-0004-0000-0400-000012000000}"/>
    <hyperlink ref="A200" location="附注填写封面!B3" display="返回目录" xr:uid="{00000000-0004-0000-0400-000013000000}"/>
    <hyperlink ref="A210" location="附注填写封面!B3" display="返回目录" xr:uid="{00000000-0004-0000-0400-000014000000}"/>
    <hyperlink ref="A225" location="附注填写封面!B3" display="返回目录" xr:uid="{00000000-0004-0000-0400-000015000000}"/>
    <hyperlink ref="A229" location="附注填写封面!B3" display="返回目录" xr:uid="{00000000-0004-0000-0400-000016000000}"/>
    <hyperlink ref="A244" location="附注填写封面!B3" display="返回目录" xr:uid="{00000000-0004-0000-0400-000017000000}"/>
    <hyperlink ref="A251" location="附注填写封面!B3" display="返回目录" xr:uid="{00000000-0004-0000-0400-000018000000}"/>
    <hyperlink ref="A266" location="附注填写封面!B3" display="返回目录" xr:uid="{00000000-0004-0000-0400-000019000000}"/>
    <hyperlink ref="A271" location="附注填写封面!B3" display="返回目录" xr:uid="{00000000-0004-0000-0400-00001A000000}"/>
    <hyperlink ref="A286" location="附注填写封面!B3" display="返回目录" xr:uid="{00000000-0004-0000-0400-00001B000000}"/>
    <hyperlink ref="A299" location="附注填写封面!B3" display="返回目录" xr:uid="{00000000-0004-0000-0400-00001C000000}"/>
    <hyperlink ref="A313" location="附注填写封面!B3" display="返回目录" xr:uid="{00000000-0004-0000-0400-00001D000000}"/>
    <hyperlink ref="A328" location="附注填写封面!B3" display="返回目录" xr:uid="{00000000-0004-0000-0400-00001E000000}"/>
    <hyperlink ref="A338" location="附注填写封面!B3" display="返回目录" xr:uid="{00000000-0004-0000-0400-00001F000000}"/>
    <hyperlink ref="A353" location="附注填写封面!B3" display="返回目录" xr:uid="{00000000-0004-0000-0400-000020000000}"/>
    <hyperlink ref="A357" location="附注填写封面!B3" display="返回目录" xr:uid="{00000000-0004-0000-0400-000021000000}"/>
    <hyperlink ref="A372" location="附注填写封面!B3" display="返回目录" xr:uid="{00000000-0004-0000-0400-000022000000}"/>
    <hyperlink ref="A379" location="附注填写封面!B3" display="返回目录" xr:uid="{00000000-0004-0000-0400-000023000000}"/>
    <hyperlink ref="A394" location="附注填写封面!B3" display="返回目录" xr:uid="{00000000-0004-0000-0400-000024000000}"/>
    <hyperlink ref="A399" location="附注填写封面!B3" display="返回目录" xr:uid="{00000000-0004-0000-0400-000025000000}"/>
    <hyperlink ref="A414" location="附注填写封面!B3" display="返回目录" xr:uid="{00000000-0004-0000-0400-000026000000}"/>
    <hyperlink ref="A851" location="附注填写封面!B3" display="返回目录" xr:uid="{00000000-0004-0000-0400-000027000000}"/>
    <hyperlink ref="A442" location="附注填写封面!B3" display="返回目录" xr:uid="{00000000-0004-0000-0400-000028000000}"/>
    <hyperlink ref="A456" location="附注填写封面!B3" display="返回目录" xr:uid="{00000000-0004-0000-0400-000029000000}"/>
    <hyperlink ref="A471" location="附注填写封面!B3" display="返回目录" xr:uid="{00000000-0004-0000-0400-00002A000000}"/>
    <hyperlink ref="A481" location="附注填写封面!B3" display="返回目录" xr:uid="{00000000-0004-0000-0400-00002B000000}"/>
    <hyperlink ref="A496" location="附注填写封面!B3" display="返回目录" xr:uid="{00000000-0004-0000-0400-00002C000000}"/>
    <hyperlink ref="A500" location="附注填写封面!B3" display="返回目录" xr:uid="{00000000-0004-0000-0400-00002D000000}"/>
    <hyperlink ref="A515" location="附注填写封面!B3" display="返回目录" xr:uid="{00000000-0004-0000-0400-00002E000000}"/>
    <hyperlink ref="A522" location="附注填写封面!B3" display="返回目录" xr:uid="{00000000-0004-0000-0400-00002F000000}"/>
    <hyperlink ref="A537" location="附注填写封面!B3" display="返回目录" xr:uid="{00000000-0004-0000-0400-000030000000}"/>
    <hyperlink ref="A542" location="附注填写封面!B3" display="返回目录" xr:uid="{00000000-0004-0000-0400-000031000000}"/>
    <hyperlink ref="A557" location="附注填写封面!B3" display="返回目录" xr:uid="{00000000-0004-0000-0400-000032000000}"/>
    <hyperlink ref="A562" location="附注填写封面!B3" display="返回目录" xr:uid="{00000000-0004-0000-0400-000033000000}"/>
    <hyperlink ref="A577" location="附注填写封面!B3" display="返回目录" xr:uid="{00000000-0004-0000-0400-000034000000}"/>
    <hyperlink ref="A591" location="附注填写封面!B3" display="返回目录" xr:uid="{00000000-0004-0000-0400-000035000000}"/>
    <hyperlink ref="A605" location="附注填写封面!B3" display="返回目录" xr:uid="{00000000-0004-0000-0400-000036000000}"/>
    <hyperlink ref="A620" location="附注填写封面!B3" display="返回目录" xr:uid="{00000000-0004-0000-0400-000037000000}"/>
    <hyperlink ref="A630" location="附注填写封面!B3" display="返回目录" xr:uid="{00000000-0004-0000-0400-000038000000}"/>
    <hyperlink ref="A645" location="附注填写封面!B3" display="返回目录" xr:uid="{00000000-0004-0000-0400-000039000000}"/>
    <hyperlink ref="A649" location="附注填写封面!B3" display="返回目录" xr:uid="{00000000-0004-0000-0400-00003A000000}"/>
    <hyperlink ref="A664" location="附注填写封面!B3" display="返回目录" xr:uid="{00000000-0004-0000-0400-00003B000000}"/>
    <hyperlink ref="A671" location="附注填写封面!B3" display="返回目录" xr:uid="{00000000-0004-0000-0400-00003C000000}"/>
    <hyperlink ref="A686" location="附注填写封面!B3" display="返回目录" xr:uid="{00000000-0004-0000-0400-00003D000000}"/>
    <hyperlink ref="A691" location="附注填写封面!B3" display="返回目录" xr:uid="{00000000-0004-0000-0400-00003E000000}"/>
    <hyperlink ref="A706" location="附注填写封面!B3" display="返回目录" xr:uid="{00000000-0004-0000-0400-00003F000000}"/>
    <hyperlink ref="A719" location="附注填写封面!B3" display="返回目录" xr:uid="{00000000-0004-0000-0400-000040000000}"/>
    <hyperlink ref="A733" location="附注填写封面!B3" display="返回目录" xr:uid="{00000000-0004-0000-0400-000041000000}"/>
    <hyperlink ref="A748" location="附注填写封面!B3" display="返回目录" xr:uid="{00000000-0004-0000-0400-000042000000}"/>
    <hyperlink ref="A758" location="附注填写封面!B3" display="返回目录" xr:uid="{00000000-0004-0000-0400-000043000000}"/>
    <hyperlink ref="A773" location="附注填写封面!B3" display="返回目录" xr:uid="{00000000-0004-0000-0400-000044000000}"/>
    <hyperlink ref="A777" location="附注填写封面!B3" display="返回目录" xr:uid="{00000000-0004-0000-0400-000045000000}"/>
    <hyperlink ref="A792" location="附注填写封面!B3" display="返回目录" xr:uid="{00000000-0004-0000-0400-000046000000}"/>
    <hyperlink ref="A799" location="附注填写封面!B3" display="返回目录" xr:uid="{00000000-0004-0000-0400-000047000000}"/>
    <hyperlink ref="A814" location="附注填写封面!B3" display="返回目录" xr:uid="{00000000-0004-0000-0400-000048000000}"/>
    <hyperlink ref="A819" location="附注填写封面!B3" display="返回目录" xr:uid="{00000000-0004-0000-0400-000049000000}"/>
    <hyperlink ref="A834" location="附注填写封面!B3" display="返回目录" xr:uid="{00000000-0004-0000-0400-00004A000000}"/>
    <hyperlink ref="A1271" location="附注填写封面!B3" display="返回目录" xr:uid="{00000000-0004-0000-0400-00004B000000}"/>
    <hyperlink ref="A862" location="附注填写封面!B3" display="返回目录" xr:uid="{00000000-0004-0000-0400-00004C000000}"/>
    <hyperlink ref="A876" location="附注填写封面!B3" display="返回目录" xr:uid="{00000000-0004-0000-0400-00004D000000}"/>
    <hyperlink ref="A891" location="附注填写封面!B3" display="返回目录" xr:uid="{00000000-0004-0000-0400-00004E000000}"/>
    <hyperlink ref="A901" location="附注填写封面!B3" display="返回目录" xr:uid="{00000000-0004-0000-0400-00004F000000}"/>
    <hyperlink ref="A916" location="附注填写封面!B3" display="返回目录" xr:uid="{00000000-0004-0000-0400-000050000000}"/>
    <hyperlink ref="A920" location="附注填写封面!B3" display="返回目录" xr:uid="{00000000-0004-0000-0400-000051000000}"/>
    <hyperlink ref="A935" location="附注填写封面!B3" display="返回目录" xr:uid="{00000000-0004-0000-0400-000052000000}"/>
    <hyperlink ref="A942" location="附注填写封面!B3" display="返回目录" xr:uid="{00000000-0004-0000-0400-000053000000}"/>
    <hyperlink ref="A957" location="附注填写封面!B3" display="返回目录" xr:uid="{00000000-0004-0000-0400-000054000000}"/>
    <hyperlink ref="A962" location="附注填写封面!B3" display="返回目录" xr:uid="{00000000-0004-0000-0400-000055000000}"/>
    <hyperlink ref="A977" location="附注填写封面!B3" display="返回目录" xr:uid="{00000000-0004-0000-0400-000056000000}"/>
    <hyperlink ref="A982" location="附注填写封面!B3" display="返回目录" xr:uid="{00000000-0004-0000-0400-000057000000}"/>
    <hyperlink ref="A997" location="附注填写封面!B3" display="返回目录" xr:uid="{00000000-0004-0000-0400-000058000000}"/>
    <hyperlink ref="A1011" location="附注填写封面!B3" display="返回目录" xr:uid="{00000000-0004-0000-0400-000059000000}"/>
    <hyperlink ref="A1025" location="附注填写封面!B3" display="返回目录" xr:uid="{00000000-0004-0000-0400-00005A000000}"/>
    <hyperlink ref="A1040" location="附注填写封面!B3" display="返回目录" xr:uid="{00000000-0004-0000-0400-00005B000000}"/>
    <hyperlink ref="A1050" location="附注填写封面!B3" display="返回目录" xr:uid="{00000000-0004-0000-0400-00005C000000}"/>
    <hyperlink ref="A1065" location="附注填写封面!B3" display="返回目录" xr:uid="{00000000-0004-0000-0400-00005D000000}"/>
    <hyperlink ref="A1069" location="附注填写封面!B3" display="返回目录" xr:uid="{00000000-0004-0000-0400-00005E000000}"/>
    <hyperlink ref="A1084" location="附注填写封面!B3" display="返回目录" xr:uid="{00000000-0004-0000-0400-00005F000000}"/>
    <hyperlink ref="A1091" location="附注填写封面!B3" display="返回目录" xr:uid="{00000000-0004-0000-0400-000060000000}"/>
    <hyperlink ref="A1106" location="附注填写封面!B3" display="返回目录" xr:uid="{00000000-0004-0000-0400-000061000000}"/>
    <hyperlink ref="A1111" location="附注填写封面!B3" display="返回目录" xr:uid="{00000000-0004-0000-0400-000062000000}"/>
    <hyperlink ref="A1126" location="附注填写封面!B3" display="返回目录" xr:uid="{00000000-0004-0000-0400-000063000000}"/>
    <hyperlink ref="A1139" location="附注填写封面!B3" display="返回目录" xr:uid="{00000000-0004-0000-0400-000064000000}"/>
    <hyperlink ref="A1153" location="附注填写封面!B3" display="返回目录" xr:uid="{00000000-0004-0000-0400-000065000000}"/>
    <hyperlink ref="A1168" location="附注填写封面!B3" display="返回目录" xr:uid="{00000000-0004-0000-0400-000066000000}"/>
    <hyperlink ref="A1178" location="附注填写封面!B3" display="返回目录" xr:uid="{00000000-0004-0000-0400-000067000000}"/>
    <hyperlink ref="A1193" location="附注填写封面!B3" display="返回目录" xr:uid="{00000000-0004-0000-0400-000068000000}"/>
    <hyperlink ref="A1197" location="附注填写封面!B3" display="返回目录" xr:uid="{00000000-0004-0000-0400-000069000000}"/>
    <hyperlink ref="A1212" location="附注填写封面!B3" display="返回目录" xr:uid="{00000000-0004-0000-0400-00006A000000}"/>
    <hyperlink ref="A1219" location="附注填写封面!B3" display="返回目录" xr:uid="{00000000-0004-0000-0400-00006B000000}"/>
    <hyperlink ref="A1234" location="附注填写封面!B3" display="返回目录" xr:uid="{00000000-0004-0000-0400-00006C000000}"/>
    <hyperlink ref="A1239" location="附注填写封面!B3" display="返回目录" xr:uid="{00000000-0004-0000-0400-00006D000000}"/>
    <hyperlink ref="A1254" location="附注填写封面!B3" display="返回目录" xr:uid="{00000000-0004-0000-0400-00006E000000}"/>
    <hyperlink ref="A1285" location="附注填写封面!B3" display="返回目录" xr:uid="{00000000-0004-0000-0400-00006F000000}"/>
    <hyperlink ref="A1298" location="附注填写封面!B3" display="返回目录" xr:uid="{00000000-0004-0000-0400-000070000000}"/>
  </hyperlinks>
  <pageMargins left="0.7" right="0.7" top="0.75" bottom="0.75" header="0.3" footer="0.3"/>
  <pageSetup paperSize="9" orientation="portrait" r:id="rId1"/>
  <legacyDrawing r:id="rId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FFC000"/>
    <pageSetUpPr autoPageBreaks="0"/>
  </sheetPr>
  <dimension ref="A1:H159"/>
  <sheetViews>
    <sheetView showGridLines="0" showZeros="0" zoomScaleSheetLayoutView="75" workbookViewId="0">
      <pane xSplit="2" ySplit="4" topLeftCell="D5" activePane="bottomRight" state="frozen"/>
      <selection activeCell="A5" sqref="A5:A6"/>
      <selection pane="topRight" activeCell="A5" sqref="A5:A6"/>
      <selection pane="bottomLeft" activeCell="A5" sqref="A5:A6"/>
      <selection pane="bottomRight" sqref="A1:D1"/>
    </sheetView>
  </sheetViews>
  <sheetFormatPr defaultColWidth="20.375" defaultRowHeight="12.75"/>
  <cols>
    <col min="1" max="1" width="63" style="127" customWidth="1"/>
    <col min="2" max="2" width="12.625" style="127" customWidth="1"/>
    <col min="3" max="4" width="28.125" style="127" customWidth="1"/>
    <col min="5" max="5" width="4.125" style="416" bestFit="1" customWidth="1"/>
    <col min="6" max="6" width="8.25" style="416" customWidth="1"/>
    <col min="7" max="7" width="51.625" style="127" hidden="1" customWidth="1"/>
    <col min="8" max="16384" width="20.375" style="127"/>
  </cols>
  <sheetData>
    <row r="1" spans="1:8" ht="26.45" customHeight="1">
      <c r="A1" s="1679" t="str">
        <f>封面!C7&amp;"未审资产负债表"</f>
        <v>未审资产负债表</v>
      </c>
      <c r="B1" s="1680"/>
      <c r="C1" s="1680"/>
      <c r="D1" s="1681"/>
      <c r="E1" s="420"/>
      <c r="G1" s="421" t="s">
        <v>1586</v>
      </c>
      <c r="H1" s="422"/>
    </row>
    <row r="2" spans="1:8" ht="18.95" customHeight="1">
      <c r="A2" s="1682">
        <f>封面!$C$5</f>
        <v>43616</v>
      </c>
      <c r="B2" s="1682"/>
      <c r="C2" s="1682"/>
      <c r="D2" s="1682"/>
      <c r="E2" s="420"/>
      <c r="G2" s="1677" t="s">
        <v>1587</v>
      </c>
      <c r="H2" s="422"/>
    </row>
    <row r="3" spans="1:8" ht="15.95" customHeight="1" thickBot="1">
      <c r="A3" s="423" t="str">
        <f>封面!$D$4</f>
        <v>编制单位：华鼎资本（北京）有限公司</v>
      </c>
      <c r="D3" s="424" t="s">
        <v>1588</v>
      </c>
      <c r="G3" s="1677"/>
    </row>
    <row r="4" spans="1:8" ht="21.75" customHeight="1">
      <c r="A4" s="425" t="s">
        <v>1589</v>
      </c>
      <c r="B4" s="426" t="s">
        <v>1590</v>
      </c>
      <c r="C4" s="426" t="s">
        <v>1591</v>
      </c>
      <c r="D4" s="427" t="s">
        <v>1592</v>
      </c>
      <c r="G4" s="1677"/>
    </row>
    <row r="5" spans="1:8" ht="21.75" customHeight="1">
      <c r="A5" s="428" t="s">
        <v>532</v>
      </c>
      <c r="B5" s="429"/>
      <c r="C5" s="430"/>
      <c r="D5" s="431"/>
      <c r="E5" s="305"/>
      <c r="F5" s="305"/>
      <c r="G5" s="432"/>
    </row>
    <row r="6" spans="1:8" ht="21.75" customHeight="1">
      <c r="A6" s="433" t="s">
        <v>533</v>
      </c>
      <c r="B6" s="429"/>
      <c r="C6" s="434">
        <v>1273033.68</v>
      </c>
      <c r="D6" s="435">
        <v>6270239.29</v>
      </c>
      <c r="E6" s="305"/>
      <c r="F6" s="305"/>
      <c r="G6" s="432"/>
    </row>
    <row r="7" spans="1:8" ht="21.75" customHeight="1">
      <c r="A7" s="433" t="s">
        <v>534</v>
      </c>
      <c r="B7" s="429"/>
      <c r="C7" s="434"/>
      <c r="D7" s="435"/>
      <c r="E7" s="305"/>
      <c r="F7" s="305"/>
      <c r="G7" s="432"/>
    </row>
    <row r="8" spans="1:8" ht="21.75" customHeight="1">
      <c r="A8" s="433" t="s">
        <v>535</v>
      </c>
      <c r="B8" s="429"/>
      <c r="C8" s="434"/>
      <c r="D8" s="435"/>
      <c r="E8" s="305"/>
      <c r="F8" s="305"/>
      <c r="G8" s="432"/>
    </row>
    <row r="9" spans="1:8" ht="21.75" customHeight="1">
      <c r="A9" s="433" t="s">
        <v>1593</v>
      </c>
      <c r="B9" s="429"/>
      <c r="C9" s="434"/>
      <c r="D9" s="435"/>
      <c r="E9" s="305"/>
      <c r="F9" s="305"/>
      <c r="G9" s="432"/>
    </row>
    <row r="10" spans="1:8" ht="21.75" customHeight="1">
      <c r="A10" s="433" t="s">
        <v>1594</v>
      </c>
      <c r="B10" s="429"/>
      <c r="C10" s="434"/>
      <c r="D10" s="435"/>
      <c r="E10" s="305"/>
      <c r="F10" s="305"/>
      <c r="G10" s="436" t="s">
        <v>1595</v>
      </c>
    </row>
    <row r="11" spans="1:8" ht="21.75" customHeight="1">
      <c r="A11" s="433" t="s">
        <v>536</v>
      </c>
      <c r="B11" s="429"/>
      <c r="C11" s="434"/>
      <c r="D11" s="435"/>
      <c r="E11" s="305"/>
      <c r="F11" s="305"/>
      <c r="G11" s="432"/>
    </row>
    <row r="12" spans="1:8" ht="21.75" customHeight="1">
      <c r="A12" s="433" t="s">
        <v>1596</v>
      </c>
      <c r="B12" s="429"/>
      <c r="C12" s="434"/>
      <c r="D12" s="435"/>
      <c r="E12" s="305"/>
      <c r="F12" s="305"/>
      <c r="G12" s="432"/>
    </row>
    <row r="13" spans="1:8" ht="21.75" customHeight="1">
      <c r="A13" s="433" t="s">
        <v>538</v>
      </c>
      <c r="B13" s="429"/>
      <c r="C13" s="434"/>
      <c r="D13" s="435"/>
      <c r="E13" s="305"/>
      <c r="F13" s="305"/>
      <c r="G13" s="432"/>
    </row>
    <row r="14" spans="1:8" ht="21.75" customHeight="1">
      <c r="A14" s="433" t="s">
        <v>1597</v>
      </c>
      <c r="B14" s="429"/>
      <c r="C14" s="434"/>
      <c r="D14" s="435"/>
      <c r="E14" s="305"/>
      <c r="F14" s="305"/>
      <c r="G14" s="432"/>
    </row>
    <row r="15" spans="1:8" ht="21.75" customHeight="1">
      <c r="A15" s="433" t="s">
        <v>540</v>
      </c>
      <c r="B15" s="429"/>
      <c r="C15" s="434"/>
      <c r="D15" s="435"/>
      <c r="E15" s="305"/>
      <c r="F15" s="305"/>
      <c r="G15" s="432"/>
    </row>
    <row r="16" spans="1:8" ht="21.75" customHeight="1">
      <c r="A16" s="433" t="s">
        <v>1598</v>
      </c>
      <c r="B16" s="429"/>
      <c r="C16" s="434"/>
      <c r="D16" s="435"/>
      <c r="E16" s="305"/>
      <c r="F16" s="305"/>
      <c r="G16" s="432"/>
    </row>
    <row r="17" spans="1:7" ht="21.75" customHeight="1">
      <c r="A17" s="433" t="s">
        <v>1599</v>
      </c>
      <c r="B17" s="429"/>
      <c r="C17" s="434"/>
      <c r="D17" s="435"/>
      <c r="E17" s="305"/>
      <c r="F17" s="305"/>
      <c r="G17" s="432"/>
    </row>
    <row r="18" spans="1:7" ht="21.75" customHeight="1">
      <c r="A18" s="433" t="s">
        <v>4635</v>
      </c>
      <c r="B18" s="429"/>
      <c r="C18" s="434"/>
      <c r="D18" s="435"/>
      <c r="E18" s="305"/>
      <c r="F18" s="305"/>
      <c r="G18" s="432"/>
    </row>
    <row r="19" spans="1:7" ht="21.75" customHeight="1">
      <c r="A19" s="433" t="s">
        <v>1600</v>
      </c>
      <c r="B19" s="429"/>
      <c r="C19" s="434">
        <v>831748.5</v>
      </c>
      <c r="D19" s="435">
        <v>832948.5</v>
      </c>
      <c r="E19" s="305"/>
      <c r="F19" s="305"/>
      <c r="G19" s="432"/>
    </row>
    <row r="20" spans="1:7" ht="21.75" customHeight="1">
      <c r="A20" s="433" t="s">
        <v>544</v>
      </c>
      <c r="B20" s="429"/>
      <c r="C20" s="434"/>
      <c r="D20" s="435"/>
      <c r="E20" s="305"/>
      <c r="F20" s="305"/>
      <c r="G20" s="432"/>
    </row>
    <row r="21" spans="1:7" ht="21.75" customHeight="1">
      <c r="A21" s="433" t="s">
        <v>545</v>
      </c>
      <c r="B21" s="429"/>
      <c r="C21" s="434"/>
      <c r="D21" s="435"/>
      <c r="E21" s="305"/>
      <c r="F21" s="305"/>
      <c r="G21" s="432"/>
    </row>
    <row r="22" spans="1:7" ht="21.75" customHeight="1">
      <c r="A22" s="438" t="s">
        <v>1601</v>
      </c>
      <c r="B22" s="429"/>
      <c r="C22" s="434"/>
      <c r="D22" s="435"/>
      <c r="E22" s="305"/>
      <c r="F22" s="305"/>
      <c r="G22" s="432"/>
    </row>
    <row r="23" spans="1:7" ht="21.75" customHeight="1">
      <c r="A23" s="438" t="s">
        <v>1602</v>
      </c>
      <c r="B23" s="429"/>
      <c r="C23" s="434"/>
      <c r="D23" s="435"/>
      <c r="E23" s="305"/>
      <c r="F23" s="305"/>
      <c r="G23" s="432"/>
    </row>
    <row r="24" spans="1:7" ht="21.75" customHeight="1">
      <c r="A24" s="1339" t="s">
        <v>4636</v>
      </c>
      <c r="B24" s="429"/>
      <c r="C24" s="434"/>
      <c r="D24" s="435"/>
      <c r="E24" s="305"/>
      <c r="F24" s="305"/>
      <c r="G24" s="432"/>
    </row>
    <row r="25" spans="1:7" ht="21.75" customHeight="1">
      <c r="A25" s="433" t="s">
        <v>1603</v>
      </c>
      <c r="B25" s="429"/>
      <c r="C25" s="434"/>
      <c r="D25" s="435"/>
      <c r="E25" s="305"/>
      <c r="F25" s="305"/>
      <c r="G25" s="432"/>
    </row>
    <row r="26" spans="1:7" ht="21.75" customHeight="1">
      <c r="A26" s="433" t="s">
        <v>549</v>
      </c>
      <c r="B26" s="429"/>
      <c r="C26" s="434"/>
      <c r="D26" s="435"/>
      <c r="F26" s="305"/>
      <c r="G26" s="432"/>
    </row>
    <row r="27" spans="1:7" ht="21.75" customHeight="1">
      <c r="A27" s="439" t="s">
        <v>550</v>
      </c>
      <c r="B27" s="429"/>
      <c r="C27" s="440">
        <f>SUM(C6:C26)-C22-C23</f>
        <v>2104782.1799999997</v>
      </c>
      <c r="D27" s="441">
        <f>SUM(D6:D26)-D22-D23</f>
        <v>7103187.79</v>
      </c>
      <c r="E27" s="417">
        <f>SUM(C6:C26)-C22-C23-C27</f>
        <v>0</v>
      </c>
      <c r="F27" s="417">
        <f>SUM(D6:D26)-D22-D23-D27</f>
        <v>0</v>
      </c>
      <c r="G27" s="432"/>
    </row>
    <row r="28" spans="1:7" ht="21.75" customHeight="1">
      <c r="A28" s="442" t="s">
        <v>551</v>
      </c>
      <c r="B28" s="429"/>
      <c r="C28" s="430"/>
      <c r="D28" s="431"/>
      <c r="E28" s="305"/>
      <c r="F28" s="305"/>
      <c r="G28" s="432"/>
    </row>
    <row r="29" spans="1:7" ht="21.75" customHeight="1">
      <c r="A29" s="443" t="s">
        <v>552</v>
      </c>
      <c r="B29" s="429"/>
      <c r="C29" s="434"/>
      <c r="D29" s="435"/>
      <c r="E29" s="305"/>
      <c r="F29" s="305"/>
      <c r="G29" s="432"/>
    </row>
    <row r="30" spans="1:7" ht="21.75" customHeight="1">
      <c r="A30" s="443" t="s">
        <v>1604</v>
      </c>
      <c r="B30" s="429"/>
      <c r="C30" s="434">
        <v>705294</v>
      </c>
      <c r="D30" s="435">
        <v>675294</v>
      </c>
      <c r="E30" s="305"/>
      <c r="F30" s="305"/>
      <c r="G30" s="432"/>
    </row>
    <row r="31" spans="1:7" ht="21.75" customHeight="1">
      <c r="A31" s="443" t="s">
        <v>554</v>
      </c>
      <c r="B31" s="429"/>
      <c r="C31" s="434"/>
      <c r="D31" s="435"/>
      <c r="E31" s="305"/>
      <c r="F31" s="305"/>
      <c r="G31" s="432"/>
    </row>
    <row r="32" spans="1:7" ht="21.75" customHeight="1">
      <c r="A32" s="443" t="s">
        <v>555</v>
      </c>
      <c r="B32" s="429"/>
      <c r="C32" s="434"/>
      <c r="D32" s="435"/>
      <c r="E32" s="305"/>
      <c r="F32" s="305"/>
      <c r="G32" s="432"/>
    </row>
    <row r="33" spans="1:6" ht="21.75" customHeight="1">
      <c r="A33" s="443" t="s">
        <v>1605</v>
      </c>
      <c r="B33" s="429"/>
      <c r="C33" s="434"/>
      <c r="D33" s="435"/>
      <c r="F33" s="305"/>
    </row>
    <row r="34" spans="1:6" ht="21.75" customHeight="1">
      <c r="A34" s="444" t="s">
        <v>1606</v>
      </c>
      <c r="B34" s="429"/>
      <c r="C34" s="434"/>
      <c r="D34" s="435"/>
      <c r="E34" s="305"/>
    </row>
    <row r="35" spans="1:6" ht="21.75" customHeight="1">
      <c r="A35" s="443" t="s">
        <v>558</v>
      </c>
      <c r="B35" s="429"/>
      <c r="C35" s="434">
        <v>429334.24</v>
      </c>
      <c r="D35" s="435">
        <v>429334.24</v>
      </c>
      <c r="E35" s="305"/>
    </row>
    <row r="36" spans="1:6" ht="21.75" customHeight="1">
      <c r="A36" s="445" t="s">
        <v>1607</v>
      </c>
      <c r="B36" s="429"/>
      <c r="C36" s="434">
        <v>315119.47000000003</v>
      </c>
      <c r="D36" s="435">
        <v>277800.52</v>
      </c>
      <c r="E36" s="305"/>
    </row>
    <row r="37" spans="1:6" ht="21.75" customHeight="1">
      <c r="A37" s="445" t="s">
        <v>1608</v>
      </c>
      <c r="B37" s="429"/>
      <c r="C37" s="440">
        <f>C35-C36</f>
        <v>114214.76999999996</v>
      </c>
      <c r="D37" s="441">
        <f>D35-D36</f>
        <v>151533.71999999997</v>
      </c>
      <c r="E37" s="417">
        <f>C35-C36-C37</f>
        <v>0</v>
      </c>
      <c r="F37" s="417">
        <f>D35-D36-D37</f>
        <v>0</v>
      </c>
    </row>
    <row r="38" spans="1:6" ht="21.75" customHeight="1">
      <c r="A38" s="445" t="s">
        <v>1609</v>
      </c>
      <c r="B38" s="429"/>
      <c r="C38" s="434"/>
      <c r="D38" s="435"/>
      <c r="E38" s="305"/>
    </row>
    <row r="39" spans="1:6" ht="21.75" customHeight="1">
      <c r="A39" s="445" t="s">
        <v>562</v>
      </c>
      <c r="B39" s="429"/>
      <c r="C39" s="440">
        <f>C37-C38</f>
        <v>114214.76999999996</v>
      </c>
      <c r="D39" s="441">
        <f>D37-D38</f>
        <v>151533.71999999997</v>
      </c>
      <c r="E39" s="417">
        <f>C37-C38-C39</f>
        <v>0</v>
      </c>
      <c r="F39" s="417">
        <f>D37-D38-D39</f>
        <v>0</v>
      </c>
    </row>
    <row r="40" spans="1:6" ht="21.75" customHeight="1">
      <c r="A40" s="443" t="s">
        <v>563</v>
      </c>
      <c r="B40" s="429"/>
      <c r="C40" s="434"/>
      <c r="D40" s="435"/>
      <c r="E40" s="305"/>
    </row>
    <row r="41" spans="1:6" ht="21.75" customHeight="1">
      <c r="A41" s="443" t="s">
        <v>564</v>
      </c>
      <c r="B41" s="429"/>
      <c r="C41" s="434"/>
      <c r="D41" s="435"/>
      <c r="E41" s="305"/>
    </row>
    <row r="42" spans="1:6" ht="21.75" customHeight="1">
      <c r="A42" s="443" t="s">
        <v>565</v>
      </c>
      <c r="B42" s="429"/>
      <c r="C42" s="434"/>
      <c r="D42" s="435"/>
      <c r="E42" s="305"/>
    </row>
    <row r="43" spans="1:6" ht="21.75" customHeight="1">
      <c r="A43" s="443" t="s">
        <v>566</v>
      </c>
      <c r="B43" s="429"/>
      <c r="C43" s="434"/>
      <c r="D43" s="435"/>
      <c r="E43" s="305"/>
    </row>
    <row r="44" spans="1:6" ht="21.75" customHeight="1">
      <c r="A44" s="443" t="s">
        <v>1610</v>
      </c>
      <c r="B44" s="429"/>
      <c r="C44" s="434"/>
      <c r="D44" s="435"/>
      <c r="E44" s="305"/>
    </row>
    <row r="45" spans="1:6" ht="21.75" customHeight="1">
      <c r="A45" s="443" t="s">
        <v>1611</v>
      </c>
      <c r="B45" s="429"/>
      <c r="C45" s="434"/>
      <c r="D45" s="435"/>
      <c r="E45" s="305"/>
    </row>
    <row r="46" spans="1:6" ht="21.75" customHeight="1">
      <c r="A46" s="443" t="s">
        <v>569</v>
      </c>
      <c r="B46" s="429"/>
      <c r="C46" s="434"/>
      <c r="D46" s="435"/>
      <c r="E46" s="305"/>
    </row>
    <row r="47" spans="1:6" ht="21.75" customHeight="1">
      <c r="A47" s="443" t="s">
        <v>570</v>
      </c>
      <c r="B47" s="429"/>
      <c r="C47" s="434"/>
      <c r="D47" s="435"/>
      <c r="E47" s="305"/>
    </row>
    <row r="48" spans="1:6" ht="21.75" customHeight="1">
      <c r="A48" s="443" t="s">
        <v>1612</v>
      </c>
      <c r="B48" s="429"/>
      <c r="C48" s="434"/>
      <c r="D48" s="435">
        <v>4497</v>
      </c>
      <c r="E48" s="305"/>
    </row>
    <row r="49" spans="1:6" ht="21.75" customHeight="1">
      <c r="A49" s="443" t="s">
        <v>1613</v>
      </c>
      <c r="B49" s="429"/>
      <c r="C49" s="434">
        <v>10959.86</v>
      </c>
      <c r="D49" s="435">
        <v>10959.86</v>
      </c>
      <c r="E49" s="305"/>
    </row>
    <row r="50" spans="1:6" ht="21.75" customHeight="1">
      <c r="A50" s="443" t="s">
        <v>573</v>
      </c>
      <c r="B50" s="429"/>
      <c r="C50" s="434"/>
      <c r="D50" s="435"/>
      <c r="E50" s="305"/>
    </row>
    <row r="51" spans="1:6" ht="21.75" customHeight="1">
      <c r="A51" s="443" t="s">
        <v>1614</v>
      </c>
      <c r="B51" s="429"/>
      <c r="C51" s="434"/>
      <c r="D51" s="435"/>
      <c r="E51" s="305"/>
    </row>
    <row r="52" spans="1:6" ht="21.75" customHeight="1">
      <c r="A52" s="439" t="s">
        <v>575</v>
      </c>
      <c r="B52" s="429"/>
      <c r="C52" s="440">
        <f>SUM(C29:C34)+SUM(C39:C50)</f>
        <v>830468.63</v>
      </c>
      <c r="D52" s="441">
        <f>SUM(D29:D34)+SUM(D39:D50)</f>
        <v>842284.58</v>
      </c>
      <c r="E52" s="417">
        <f>SUM(C29:C51)-C35-C36-C37-C38-C51-C52</f>
        <v>0</v>
      </c>
      <c r="F52" s="417">
        <f>SUM(D29:D51)-D35-D36-D37-D38-D51-D52</f>
        <v>0</v>
      </c>
    </row>
    <row r="53" spans="1:6" ht="21" customHeight="1" thickBot="1">
      <c r="A53" s="446" t="s">
        <v>576</v>
      </c>
      <c r="B53" s="447"/>
      <c r="C53" s="448">
        <f>C52+C27</f>
        <v>2935250.8099999996</v>
      </c>
      <c r="D53" s="449">
        <f>D52+D27</f>
        <v>7945472.3700000001</v>
      </c>
      <c r="E53" s="417">
        <f>C53-C52-C27</f>
        <v>0</v>
      </c>
      <c r="F53" s="417">
        <f>D53-D52-D27</f>
        <v>0</v>
      </c>
    </row>
    <row r="54" spans="1:6" ht="26.45" customHeight="1">
      <c r="A54" s="1683"/>
      <c r="B54" s="1683"/>
      <c r="C54" s="1683"/>
      <c r="D54" s="1683"/>
      <c r="E54" s="305"/>
    </row>
    <row r="55" spans="1:6" ht="24" customHeight="1">
      <c r="A55" s="1679" t="str">
        <f>封面!C7&amp;"未审资产负债表（续）"</f>
        <v>未审资产负债表（续）</v>
      </c>
      <c r="B55" s="1680"/>
      <c r="C55" s="1680"/>
      <c r="D55" s="1681"/>
      <c r="E55" s="305"/>
    </row>
    <row r="56" spans="1:6" ht="15.6" customHeight="1">
      <c r="A56" s="1682">
        <f>A2</f>
        <v>43616</v>
      </c>
      <c r="B56" s="1682"/>
      <c r="C56" s="1682"/>
      <c r="D56" s="1682"/>
      <c r="E56" s="420"/>
    </row>
    <row r="57" spans="1:6" ht="17.25" customHeight="1" thickBot="1">
      <c r="A57" s="423" t="str">
        <f>A3</f>
        <v>编制单位：华鼎资本（北京）有限公司</v>
      </c>
      <c r="D57" s="424" t="s">
        <v>1588</v>
      </c>
      <c r="E57" s="420"/>
    </row>
    <row r="58" spans="1:6" ht="17.25" customHeight="1">
      <c r="A58" s="425" t="s">
        <v>1615</v>
      </c>
      <c r="B58" s="426" t="s">
        <v>1616</v>
      </c>
      <c r="C58" s="426" t="s">
        <v>1617</v>
      </c>
      <c r="D58" s="427" t="s">
        <v>1618</v>
      </c>
      <c r="E58" s="420"/>
    </row>
    <row r="59" spans="1:6" ht="17.25" customHeight="1">
      <c r="A59" s="428" t="s">
        <v>578</v>
      </c>
      <c r="B59" s="429"/>
      <c r="C59" s="430"/>
      <c r="D59" s="431"/>
      <c r="E59" s="305"/>
    </row>
    <row r="60" spans="1:6" ht="17.25" customHeight="1">
      <c r="A60" s="433" t="s">
        <v>579</v>
      </c>
      <c r="B60" s="429"/>
      <c r="C60" s="434"/>
      <c r="D60" s="435"/>
      <c r="E60" s="305"/>
    </row>
    <row r="61" spans="1:6" ht="17.25" customHeight="1">
      <c r="A61" s="433" t="s">
        <v>1619</v>
      </c>
      <c r="B61" s="429"/>
      <c r="C61" s="434"/>
      <c r="D61" s="435"/>
      <c r="E61" s="305"/>
    </row>
    <row r="62" spans="1:6" ht="17.25" customHeight="1">
      <c r="A62" s="433" t="s">
        <v>581</v>
      </c>
      <c r="B62" s="429"/>
      <c r="C62" s="434"/>
      <c r="D62" s="435"/>
      <c r="E62" s="305"/>
    </row>
    <row r="63" spans="1:6" ht="17.25" customHeight="1">
      <c r="A63" s="433" t="s">
        <v>582</v>
      </c>
      <c r="B63" s="429"/>
      <c r="C63" s="434"/>
      <c r="D63" s="435"/>
      <c r="E63" s="305"/>
    </row>
    <row r="64" spans="1:6" ht="17.25" customHeight="1">
      <c r="A64" s="433" t="s">
        <v>1620</v>
      </c>
      <c r="B64" s="429"/>
      <c r="C64" s="434"/>
      <c r="D64" s="435"/>
      <c r="E64" s="305"/>
    </row>
    <row r="65" spans="1:8" ht="17.25" customHeight="1">
      <c r="A65" s="433" t="s">
        <v>1621</v>
      </c>
      <c r="B65" s="429"/>
      <c r="C65" s="434"/>
      <c r="D65" s="435"/>
      <c r="E65" s="305"/>
    </row>
    <row r="66" spans="1:8" ht="17.25" customHeight="1">
      <c r="A66" s="433" t="s">
        <v>583</v>
      </c>
      <c r="B66" s="429"/>
      <c r="C66" s="434"/>
      <c r="D66" s="435"/>
      <c r="E66" s="305"/>
    </row>
    <row r="67" spans="1:8" ht="17.25" customHeight="1">
      <c r="A67" s="433" t="s">
        <v>584</v>
      </c>
      <c r="B67" s="429"/>
      <c r="C67" s="434"/>
      <c r="D67" s="435"/>
      <c r="E67" s="305"/>
    </row>
    <row r="68" spans="1:8" ht="17.25" customHeight="1">
      <c r="A68" s="433" t="s">
        <v>585</v>
      </c>
      <c r="B68" s="429"/>
      <c r="C68" s="434"/>
      <c r="D68" s="435"/>
      <c r="E68" s="305"/>
    </row>
    <row r="69" spans="1:8" ht="17.25" customHeight="1">
      <c r="A69" s="433" t="s">
        <v>586</v>
      </c>
      <c r="B69" s="429"/>
      <c r="C69" s="434"/>
      <c r="D69" s="435"/>
      <c r="E69" s="305"/>
    </row>
    <row r="70" spans="1:8" ht="17.25" customHeight="1">
      <c r="A70" s="433" t="s">
        <v>587</v>
      </c>
      <c r="B70" s="429"/>
      <c r="C70" s="434"/>
      <c r="D70" s="435"/>
      <c r="E70" s="305"/>
    </row>
    <row r="71" spans="1:8" ht="17.25" customHeight="1">
      <c r="A71" s="433" t="s">
        <v>588</v>
      </c>
      <c r="B71" s="429"/>
      <c r="C71" s="434">
        <v>41819.14</v>
      </c>
      <c r="D71" s="435">
        <v>48853.89</v>
      </c>
      <c r="E71" s="305"/>
    </row>
    <row r="72" spans="1:8" ht="17.25" customHeight="1">
      <c r="A72" s="433" t="s">
        <v>1622</v>
      </c>
      <c r="B72" s="429"/>
      <c r="C72" s="434"/>
      <c r="D72" s="435"/>
      <c r="E72" s="305"/>
    </row>
    <row r="73" spans="1:8" ht="17.25" customHeight="1">
      <c r="A73" s="433" t="s">
        <v>1623</v>
      </c>
      <c r="B73" s="429"/>
      <c r="C73" s="434"/>
      <c r="D73" s="435"/>
      <c r="E73" s="305"/>
    </row>
    <row r="74" spans="1:8" ht="17.25" customHeight="1">
      <c r="A74" s="433" t="s">
        <v>1624</v>
      </c>
      <c r="B74" s="429"/>
      <c r="C74" s="434"/>
      <c r="D74" s="435"/>
      <c r="E74" s="305"/>
    </row>
    <row r="75" spans="1:8" ht="17.25" customHeight="1">
      <c r="A75" s="438" t="s">
        <v>592</v>
      </c>
      <c r="B75" s="429"/>
      <c r="C75" s="434">
        <v>-66264.790000000037</v>
      </c>
      <c r="D75" s="435">
        <v>934105.48</v>
      </c>
      <c r="E75" s="305"/>
    </row>
    <row r="76" spans="1:8" ht="17.25" customHeight="1">
      <c r="A76" s="438" t="s">
        <v>593</v>
      </c>
      <c r="B76" s="429"/>
      <c r="C76" s="434">
        <v>-66264.790000000037</v>
      </c>
      <c r="D76" s="435">
        <v>934105.48</v>
      </c>
      <c r="E76" s="305"/>
      <c r="H76" s="1553">
        <v>6719.82</v>
      </c>
    </row>
    <row r="77" spans="1:8" ht="17.25" customHeight="1">
      <c r="A77" s="433" t="s">
        <v>594</v>
      </c>
      <c r="B77" s="429"/>
      <c r="C77" s="434"/>
      <c r="D77" s="435"/>
      <c r="E77" s="305"/>
      <c r="H77" s="462">
        <f>H76+C75</f>
        <v>-59544.970000000038</v>
      </c>
    </row>
    <row r="78" spans="1:8" ht="16.5" customHeight="1">
      <c r="A78" s="433" t="s">
        <v>595</v>
      </c>
      <c r="B78" s="429"/>
      <c r="C78" s="434"/>
      <c r="D78" s="435"/>
      <c r="E78" s="305"/>
    </row>
    <row r="79" spans="1:8" ht="17.25" customHeight="1">
      <c r="A79" s="433" t="s">
        <v>596</v>
      </c>
      <c r="B79" s="429"/>
      <c r="C79" s="434">
        <v>38381.06</v>
      </c>
      <c r="D79" s="435">
        <v>40678.199999999997</v>
      </c>
      <c r="E79" s="305"/>
    </row>
    <row r="80" spans="1:8" ht="17.25" customHeight="1">
      <c r="A80" s="433" t="s">
        <v>597</v>
      </c>
      <c r="B80" s="429"/>
      <c r="C80" s="434">
        <v>0</v>
      </c>
      <c r="D80" s="435">
        <v>0</v>
      </c>
      <c r="E80" s="305"/>
    </row>
    <row r="81" spans="1:6" ht="17.25" customHeight="1">
      <c r="A81" s="433" t="s">
        <v>598</v>
      </c>
      <c r="B81" s="429"/>
      <c r="C81" s="434">
        <v>0</v>
      </c>
      <c r="D81" s="435">
        <v>0</v>
      </c>
      <c r="E81" s="305"/>
    </row>
    <row r="82" spans="1:6" ht="17.25" customHeight="1">
      <c r="A82" s="433" t="s">
        <v>599</v>
      </c>
      <c r="B82" s="429"/>
      <c r="C82" s="434">
        <v>0</v>
      </c>
      <c r="D82" s="435">
        <v>0</v>
      </c>
      <c r="E82" s="305"/>
    </row>
    <row r="83" spans="1:6" ht="17.25" customHeight="1">
      <c r="A83" s="433" t="s">
        <v>600</v>
      </c>
      <c r="B83" s="429"/>
      <c r="C83" s="434">
        <v>0</v>
      </c>
      <c r="D83" s="435">
        <v>0</v>
      </c>
      <c r="E83" s="305"/>
    </row>
    <row r="84" spans="1:6" ht="17.25" customHeight="1">
      <c r="A84" s="1339" t="s">
        <v>4637</v>
      </c>
      <c r="B84" s="429"/>
      <c r="C84" s="434"/>
      <c r="D84" s="435"/>
      <c r="E84" s="305"/>
    </row>
    <row r="85" spans="1:6" ht="17.25" customHeight="1">
      <c r="A85" s="433" t="s">
        <v>601</v>
      </c>
      <c r="B85" s="429"/>
      <c r="C85" s="434"/>
      <c r="D85" s="435"/>
      <c r="E85" s="305"/>
    </row>
    <row r="86" spans="1:6" ht="17.25" customHeight="1">
      <c r="A86" s="433" t="s">
        <v>1625</v>
      </c>
      <c r="B86" s="429"/>
      <c r="C86" s="434"/>
      <c r="D86" s="435"/>
      <c r="E86" s="305"/>
    </row>
    <row r="87" spans="1:6" ht="17.25" customHeight="1">
      <c r="A87" s="439" t="s">
        <v>603</v>
      </c>
      <c r="B87" s="429"/>
      <c r="C87" s="440">
        <f>SUM(C60:C71)+C75+SUM(C77:C86)</f>
        <v>13935.40999999996</v>
      </c>
      <c r="D87" s="441">
        <f>SUM(D60:D71)+D75+SUM(D77:D86)</f>
        <v>1023637.57</v>
      </c>
      <c r="E87" s="417">
        <f>SUM(C59:C86)-C72-C73-C74-C76-C87</f>
        <v>0</v>
      </c>
      <c r="F87" s="417">
        <f>SUM(D59:D86)-D72-D73-D74-D76-D87</f>
        <v>0</v>
      </c>
    </row>
    <row r="88" spans="1:6" ht="17.25" customHeight="1">
      <c r="A88" s="428" t="s">
        <v>604</v>
      </c>
      <c r="B88" s="429"/>
      <c r="C88" s="430"/>
      <c r="D88" s="431"/>
      <c r="E88" s="305"/>
    </row>
    <row r="89" spans="1:6" ht="17.25" customHeight="1">
      <c r="A89" s="444" t="s">
        <v>605</v>
      </c>
      <c r="B89" s="429"/>
      <c r="C89" s="434"/>
      <c r="D89" s="435"/>
      <c r="E89" s="305"/>
    </row>
    <row r="90" spans="1:6" ht="17.25" customHeight="1">
      <c r="A90" s="444" t="s">
        <v>606</v>
      </c>
      <c r="B90" s="429"/>
      <c r="C90" s="434"/>
      <c r="D90" s="435"/>
      <c r="E90" s="305"/>
    </row>
    <row r="91" spans="1:6" ht="17.25" customHeight="1">
      <c r="A91" s="444" t="s">
        <v>607</v>
      </c>
      <c r="B91" s="429"/>
      <c r="C91" s="434"/>
      <c r="D91" s="435"/>
      <c r="E91" s="305"/>
    </row>
    <row r="92" spans="1:6" ht="17.25" customHeight="1">
      <c r="A92" s="444" t="s">
        <v>1626</v>
      </c>
      <c r="B92" s="429"/>
      <c r="C92" s="434"/>
      <c r="D92" s="435"/>
      <c r="E92" s="305"/>
    </row>
    <row r="93" spans="1:6" ht="17.25" customHeight="1">
      <c r="A93" s="444" t="s">
        <v>608</v>
      </c>
      <c r="B93" s="429"/>
      <c r="C93" s="434"/>
      <c r="D93" s="435"/>
      <c r="E93" s="305"/>
    </row>
    <row r="94" spans="1:6" ht="17.25" customHeight="1">
      <c r="A94" s="444" t="s">
        <v>1627</v>
      </c>
      <c r="B94" s="429"/>
      <c r="C94" s="434"/>
      <c r="D94" s="435"/>
      <c r="E94" s="305"/>
    </row>
    <row r="95" spans="1:6" ht="17.25" customHeight="1">
      <c r="A95" s="444" t="s">
        <v>1628</v>
      </c>
      <c r="B95" s="429"/>
      <c r="C95" s="434"/>
      <c r="D95" s="435"/>
      <c r="E95" s="305"/>
    </row>
    <row r="96" spans="1:6" ht="17.25" customHeight="1">
      <c r="A96" s="444" t="s">
        <v>610</v>
      </c>
      <c r="B96" s="429"/>
      <c r="C96" s="434"/>
      <c r="D96" s="435"/>
      <c r="E96" s="305"/>
    </row>
    <row r="97" spans="1:6" ht="17.25" customHeight="1">
      <c r="A97" s="444" t="s">
        <v>611</v>
      </c>
      <c r="B97" s="429"/>
      <c r="C97" s="434"/>
      <c r="D97" s="435"/>
      <c r="E97" s="305"/>
    </row>
    <row r="98" spans="1:6" ht="17.25" customHeight="1">
      <c r="A98" s="450" t="s">
        <v>1629</v>
      </c>
      <c r="B98" s="429"/>
      <c r="C98" s="434">
        <v>0</v>
      </c>
      <c r="D98" s="435">
        <v>0</v>
      </c>
      <c r="E98" s="305"/>
    </row>
    <row r="99" spans="1:6" ht="17.25" customHeight="1">
      <c r="A99" s="439" t="s">
        <v>613</v>
      </c>
      <c r="B99" s="429"/>
      <c r="C99" s="440">
        <f>SUM(C89:C97)</f>
        <v>0</v>
      </c>
      <c r="D99" s="441">
        <f>SUM(D89:D97)</f>
        <v>0</v>
      </c>
      <c r="E99" s="417">
        <f>SUM(C89:C98)-C98-C99</f>
        <v>0</v>
      </c>
      <c r="F99" s="417">
        <f>SUM(D89:D98)-D98-D99</f>
        <v>0</v>
      </c>
    </row>
    <row r="100" spans="1:6" ht="17.25" customHeight="1">
      <c r="A100" s="439" t="s">
        <v>614</v>
      </c>
      <c r="B100" s="429"/>
      <c r="C100" s="440">
        <f>C99+C87</f>
        <v>13935.40999999996</v>
      </c>
      <c r="D100" s="441">
        <f>D99+D87</f>
        <v>1023637.57</v>
      </c>
      <c r="E100" s="417">
        <f>C100-C99-C87</f>
        <v>0</v>
      </c>
      <c r="F100" s="417">
        <f>D100-D99-D87</f>
        <v>0</v>
      </c>
    </row>
    <row r="101" spans="1:6" ht="17.25" customHeight="1">
      <c r="A101" s="451" t="s">
        <v>615</v>
      </c>
      <c r="B101" s="429"/>
      <c r="C101" s="434"/>
      <c r="D101" s="435"/>
      <c r="E101" s="305"/>
    </row>
    <row r="102" spans="1:6" ht="17.25" customHeight="1">
      <c r="A102" s="450" t="s">
        <v>616</v>
      </c>
      <c r="B102" s="429"/>
      <c r="C102" s="440">
        <f>SUM(C103+C105+C106+C108)</f>
        <v>10000</v>
      </c>
      <c r="D102" s="440">
        <f>SUM(D103+D105+D106+D108)</f>
        <v>10000</v>
      </c>
      <c r="E102" s="417">
        <f>C102-C103-C105-C106-C108</f>
        <v>0</v>
      </c>
      <c r="F102" s="417">
        <f>D102-D103-D105-D106-D108</f>
        <v>0</v>
      </c>
    </row>
    <row r="103" spans="1:6" ht="17.25" customHeight="1">
      <c r="A103" s="452" t="s">
        <v>1630</v>
      </c>
      <c r="B103" s="429"/>
      <c r="C103" s="434"/>
      <c r="D103" s="435"/>
      <c r="E103" s="305"/>
    </row>
    <row r="104" spans="1:6" ht="17.25" customHeight="1">
      <c r="A104" s="452" t="s">
        <v>1631</v>
      </c>
      <c r="B104" s="429"/>
      <c r="C104" s="434"/>
      <c r="D104" s="435">
        <v>0</v>
      </c>
      <c r="E104" s="305"/>
    </row>
    <row r="105" spans="1:6" ht="17.25" customHeight="1">
      <c r="A105" s="452" t="s">
        <v>1632</v>
      </c>
      <c r="B105" s="429"/>
      <c r="C105" s="434"/>
      <c r="D105" s="435">
        <v>0</v>
      </c>
      <c r="E105" s="305"/>
    </row>
    <row r="106" spans="1:6" ht="17.25" customHeight="1">
      <c r="A106" s="452" t="s">
        <v>1633</v>
      </c>
      <c r="B106" s="429"/>
      <c r="C106" s="434">
        <v>10000</v>
      </c>
      <c r="D106" s="435">
        <v>10000</v>
      </c>
      <c r="E106" s="305"/>
    </row>
    <row r="107" spans="1:6" ht="17.25" customHeight="1">
      <c r="A107" s="452" t="s">
        <v>621</v>
      </c>
      <c r="B107" s="429"/>
      <c r="C107" s="434"/>
      <c r="D107" s="435"/>
      <c r="E107" s="305"/>
    </row>
    <row r="108" spans="1:6" ht="17.25" customHeight="1">
      <c r="A108" s="452" t="s">
        <v>1634</v>
      </c>
      <c r="B108" s="429"/>
      <c r="C108" s="434"/>
      <c r="D108" s="435">
        <v>0</v>
      </c>
      <c r="E108" s="305"/>
    </row>
    <row r="109" spans="1:6" ht="17.25" customHeight="1">
      <c r="A109" s="444" t="s">
        <v>623</v>
      </c>
      <c r="B109" s="429"/>
      <c r="C109" s="434">
        <v>0</v>
      </c>
      <c r="D109" s="435">
        <v>0</v>
      </c>
      <c r="E109" s="305"/>
    </row>
    <row r="110" spans="1:6" ht="17.25" customHeight="1">
      <c r="A110" s="444" t="s">
        <v>1635</v>
      </c>
      <c r="B110" s="429"/>
      <c r="C110" s="440">
        <f>C102-C109</f>
        <v>10000</v>
      </c>
      <c r="D110" s="441">
        <f>D102-D109</f>
        <v>10000</v>
      </c>
      <c r="E110" s="417">
        <f>C102-C109-C110</f>
        <v>0</v>
      </c>
      <c r="F110" s="417">
        <f>D102-D109-D110</f>
        <v>0</v>
      </c>
    </row>
    <row r="111" spans="1:6" ht="17.25" customHeight="1">
      <c r="A111" s="444" t="s">
        <v>1636</v>
      </c>
      <c r="B111" s="429"/>
      <c r="C111" s="434"/>
      <c r="D111" s="435"/>
      <c r="E111" s="305"/>
      <c r="F111" s="305"/>
    </row>
    <row r="112" spans="1:6" ht="17.25" customHeight="1">
      <c r="A112" s="444" t="s">
        <v>1637</v>
      </c>
      <c r="B112" s="429"/>
      <c r="C112" s="434"/>
      <c r="D112" s="435"/>
      <c r="E112" s="305"/>
      <c r="F112" s="305"/>
    </row>
    <row r="113" spans="1:7" ht="17.25" customHeight="1">
      <c r="A113" s="444" t="s">
        <v>1638</v>
      </c>
      <c r="B113" s="429"/>
      <c r="C113" s="434"/>
      <c r="D113" s="435"/>
      <c r="E113" s="305"/>
      <c r="F113" s="305"/>
    </row>
    <row r="114" spans="1:7" ht="17.25" customHeight="1">
      <c r="A114" s="444" t="s">
        <v>1639</v>
      </c>
      <c r="B114" s="429"/>
      <c r="C114" s="434"/>
      <c r="D114" s="435"/>
      <c r="E114" s="305"/>
    </row>
    <row r="115" spans="1:7" ht="17.25" customHeight="1">
      <c r="A115" s="444" t="s">
        <v>1640</v>
      </c>
      <c r="B115" s="429"/>
      <c r="C115" s="434"/>
      <c r="D115" s="435"/>
      <c r="E115" s="305"/>
    </row>
    <row r="116" spans="1:7" ht="17.25" customHeight="1">
      <c r="A116" s="444" t="s">
        <v>1641</v>
      </c>
      <c r="B116" s="429"/>
      <c r="C116" s="434"/>
      <c r="D116" s="435"/>
      <c r="E116" s="305"/>
      <c r="G116" s="436" t="s">
        <v>1642</v>
      </c>
    </row>
    <row r="117" spans="1:7" ht="17.25" customHeight="1">
      <c r="A117" s="444" t="s">
        <v>1643</v>
      </c>
      <c r="B117" s="429"/>
      <c r="C117" s="434"/>
      <c r="D117" s="435"/>
      <c r="E117" s="305"/>
    </row>
    <row r="118" spans="1:7" ht="17.25" customHeight="1">
      <c r="A118" s="444" t="s">
        <v>627</v>
      </c>
      <c r="B118" s="429"/>
      <c r="C118" s="434"/>
      <c r="D118" s="435"/>
      <c r="E118" s="305"/>
    </row>
    <row r="119" spans="1:7" ht="17.25" customHeight="1">
      <c r="A119" s="444" t="s">
        <v>628</v>
      </c>
      <c r="B119" s="429"/>
      <c r="C119" s="434">
        <v>3513183.49</v>
      </c>
      <c r="D119" s="435">
        <v>3513183.49</v>
      </c>
      <c r="E119" s="417">
        <f>C119-C120-C121-C122-C123-C124</f>
        <v>0</v>
      </c>
      <c r="F119" s="417">
        <f>D119-D120-D121-D122-D123-D124</f>
        <v>0</v>
      </c>
    </row>
    <row r="120" spans="1:7" ht="17.25" customHeight="1">
      <c r="A120" s="444" t="s">
        <v>629</v>
      </c>
      <c r="B120" s="429"/>
      <c r="C120" s="434">
        <v>3513183.49</v>
      </c>
      <c r="D120" s="435">
        <v>3513183.49</v>
      </c>
      <c r="E120" s="305"/>
    </row>
    <row r="121" spans="1:7" ht="17.25" customHeight="1">
      <c r="A121" s="444" t="s">
        <v>630</v>
      </c>
      <c r="B121" s="429"/>
      <c r="C121" s="434"/>
      <c r="D121" s="435"/>
      <c r="E121" s="305"/>
    </row>
    <row r="122" spans="1:7" ht="17.25" customHeight="1">
      <c r="A122" s="444" t="s">
        <v>631</v>
      </c>
      <c r="B122" s="429"/>
      <c r="C122" s="434"/>
      <c r="D122" s="435"/>
      <c r="E122" s="305"/>
    </row>
    <row r="123" spans="1:7" ht="17.25" customHeight="1">
      <c r="A123" s="444" t="s">
        <v>1644</v>
      </c>
      <c r="B123" s="429"/>
      <c r="C123" s="434"/>
      <c r="D123" s="435"/>
      <c r="E123" s="305"/>
    </row>
    <row r="124" spans="1:7" ht="17.25" customHeight="1">
      <c r="A124" s="444" t="s">
        <v>633</v>
      </c>
      <c r="B124" s="429"/>
      <c r="C124" s="434"/>
      <c r="D124" s="435"/>
      <c r="E124" s="305"/>
    </row>
    <row r="125" spans="1:7" ht="17.25" customHeight="1">
      <c r="A125" s="444" t="s">
        <v>634</v>
      </c>
      <c r="B125" s="429"/>
      <c r="C125" s="434"/>
      <c r="D125" s="435"/>
      <c r="E125" s="305"/>
    </row>
    <row r="126" spans="1:7" ht="17.25" customHeight="1">
      <c r="A126" s="444" t="s">
        <v>635</v>
      </c>
      <c r="B126" s="429"/>
      <c r="C126" s="403">
        <v>-601868.08999999985</v>
      </c>
      <c r="D126" s="435">
        <v>3398651.31</v>
      </c>
      <c r="E126" s="305"/>
    </row>
    <row r="127" spans="1:7" ht="17.25" customHeight="1">
      <c r="A127" s="439" t="s">
        <v>637</v>
      </c>
      <c r="B127" s="429"/>
      <c r="C127" s="440">
        <f>C110+C114-C115+SUM(C118:C119)+SUM(C125:C126)+C116</f>
        <v>2921315.4000000004</v>
      </c>
      <c r="D127" s="441">
        <f>D110+D114-D115+SUM(D118:D119)+SUM(D125:D126)+D116</f>
        <v>6921834.8000000007</v>
      </c>
      <c r="E127" s="417">
        <f>C127-C126-C125-C119-C118-C116-C114-C111-C110+C115</f>
        <v>0</v>
      </c>
      <c r="F127" s="417">
        <f>D127-D126-D125-D119-D118-D116-D114-D111-D110+D115</f>
        <v>4.6566128730773926E-10</v>
      </c>
    </row>
    <row r="128" spans="1:7" ht="17.25" customHeight="1">
      <c r="A128" s="444" t="s">
        <v>1645</v>
      </c>
      <c r="B128" s="429"/>
      <c r="C128" s="434"/>
      <c r="D128" s="435"/>
      <c r="E128" s="305"/>
    </row>
    <row r="129" spans="1:6" ht="15.6" customHeight="1">
      <c r="A129" s="439" t="s">
        <v>639</v>
      </c>
      <c r="B129" s="429"/>
      <c r="C129" s="440">
        <f>C127+C128</f>
        <v>2921315.4000000004</v>
      </c>
      <c r="D129" s="441">
        <f>D127+D128</f>
        <v>6921834.8000000007</v>
      </c>
      <c r="E129" s="417">
        <f>C129-C128-C127</f>
        <v>0</v>
      </c>
      <c r="F129" s="417">
        <f>D129-D128-D127</f>
        <v>0</v>
      </c>
    </row>
    <row r="130" spans="1:6" ht="20.25" customHeight="1" thickBot="1">
      <c r="A130" s="446" t="s">
        <v>1646</v>
      </c>
      <c r="B130" s="447"/>
      <c r="C130" s="448">
        <f>C129+C100</f>
        <v>2935250.8100000005</v>
      </c>
      <c r="D130" s="449">
        <f>D129+D100</f>
        <v>7945472.370000001</v>
      </c>
      <c r="E130" s="417">
        <f>C130-C129-C100</f>
        <v>1.8917489796876907E-10</v>
      </c>
      <c r="F130" s="417">
        <f>D130-D129-D100</f>
        <v>0</v>
      </c>
    </row>
    <row r="131" spans="1:6">
      <c r="A131" s="1684" t="s">
        <v>1647</v>
      </c>
      <c r="B131" s="1684"/>
      <c r="C131" s="1684"/>
      <c r="D131" s="1684"/>
      <c r="E131" s="453">
        <f>C130-C53</f>
        <v>0</v>
      </c>
      <c r="F131" s="453">
        <f>D130-D53</f>
        <v>0</v>
      </c>
    </row>
    <row r="132" spans="1:6">
      <c r="A132" s="1678" t="s">
        <v>1648</v>
      </c>
      <c r="B132" s="1678"/>
      <c r="C132" s="1678"/>
      <c r="D132" s="1678"/>
      <c r="E132" s="305"/>
    </row>
    <row r="135" spans="1:6">
      <c r="A135" s="454"/>
      <c r="B135" s="454"/>
      <c r="C135" s="455"/>
      <c r="D135" s="455"/>
    </row>
    <row r="136" spans="1:6">
      <c r="A136" s="456" t="s">
        <v>1649</v>
      </c>
      <c r="B136" s="414"/>
      <c r="C136" s="415"/>
    </row>
    <row r="137" spans="1:6">
      <c r="A137" s="456" t="s">
        <v>1650</v>
      </c>
      <c r="B137" s="414"/>
      <c r="C137" s="417">
        <f>SUM(C6:C26)-C22-C23-C27</f>
        <v>0</v>
      </c>
      <c r="D137" s="417">
        <f>SUM(D6:D26)-D22-D23-D27</f>
        <v>0</v>
      </c>
    </row>
    <row r="138" spans="1:6">
      <c r="A138" s="456" t="s">
        <v>1651</v>
      </c>
      <c r="B138" s="414"/>
      <c r="C138" s="417">
        <f>IF(C21-C22-C23&gt;0,0,C21-C22-C23)</f>
        <v>0</v>
      </c>
      <c r="D138" s="417">
        <f>IF(D21-D22-D23&gt;0,0,D21-D22-D23)</f>
        <v>0</v>
      </c>
    </row>
    <row r="139" spans="1:6">
      <c r="A139" s="456" t="s">
        <v>1652</v>
      </c>
      <c r="B139" s="414"/>
      <c r="C139" s="417">
        <f>SUM(C29:C51)-C36-C35-C37-C38-C51-C52</f>
        <v>0</v>
      </c>
      <c r="D139" s="417">
        <f>SUM(D29:D51)-D36-D35-D37-D38-D51-D52</f>
        <v>0</v>
      </c>
    </row>
    <row r="140" spans="1:6">
      <c r="A140" s="456" t="s">
        <v>1653</v>
      </c>
      <c r="B140" s="414"/>
      <c r="C140" s="417">
        <f>IF(C50-C51&gt;0,0,C50-C51)</f>
        <v>0</v>
      </c>
      <c r="D140" s="417">
        <f>IF(D50-D51&gt;0,0,D50-D51)</f>
        <v>0</v>
      </c>
    </row>
    <row r="141" spans="1:6">
      <c r="A141" s="456" t="s">
        <v>1654</v>
      </c>
      <c r="B141" s="414"/>
      <c r="C141" s="417">
        <f>C53-C52-C27</f>
        <v>0</v>
      </c>
      <c r="D141" s="417">
        <f>D53-D52-D27</f>
        <v>0</v>
      </c>
    </row>
    <row r="142" spans="1:6">
      <c r="A142" s="456" t="s">
        <v>1655</v>
      </c>
      <c r="B142" s="414"/>
      <c r="C142" s="417">
        <f>C53-C130</f>
        <v>0</v>
      </c>
      <c r="D142" s="417">
        <f>D53-D130</f>
        <v>0</v>
      </c>
    </row>
    <row r="143" spans="1:6">
      <c r="A143" s="456" t="s">
        <v>1656</v>
      </c>
      <c r="B143" s="414"/>
      <c r="C143" s="417">
        <f>SUM(C60:C86)-C72-C73-C74-C76-C87</f>
        <v>0</v>
      </c>
      <c r="D143" s="417">
        <f>SUM(D60:D86)-D72-D73-D74-D76-D87</f>
        <v>0</v>
      </c>
    </row>
    <row r="144" spans="1:6">
      <c r="A144" s="456" t="s">
        <v>1657</v>
      </c>
      <c r="B144" s="414"/>
      <c r="C144" s="417">
        <f>IF(C73-C74&gt;0,0,C73-C74)</f>
        <v>0</v>
      </c>
      <c r="D144" s="417">
        <f>IF(D73-D74&gt;0,0,D73-D74)</f>
        <v>0</v>
      </c>
    </row>
    <row r="145" spans="1:4">
      <c r="A145" s="456" t="s">
        <v>1658</v>
      </c>
      <c r="B145" s="414"/>
      <c r="C145" s="417">
        <f>IF(C71-C72-C73&gt;0,0,C71-C72-C73)</f>
        <v>0</v>
      </c>
      <c r="D145" s="417">
        <f>IF(D71-D72-D73&gt;0,0,D71-D72-D73)</f>
        <v>0</v>
      </c>
    </row>
    <row r="146" spans="1:4">
      <c r="A146" s="456" t="s">
        <v>1539</v>
      </c>
      <c r="B146" s="414"/>
      <c r="C146" s="417">
        <f>IF(C75-C76&gt;0,0,C75-C76)</f>
        <v>0</v>
      </c>
      <c r="D146" s="417">
        <f>IF(D75-D76&gt;0,0,D75-D76)</f>
        <v>0</v>
      </c>
    </row>
    <row r="147" spans="1:4">
      <c r="A147" s="456" t="s">
        <v>1659</v>
      </c>
      <c r="B147" s="414"/>
      <c r="C147" s="417">
        <f>SUM(C89:C97)-C99</f>
        <v>0</v>
      </c>
      <c r="D147" s="417">
        <f>SUM(D89:D97)-D99</f>
        <v>0</v>
      </c>
    </row>
    <row r="148" spans="1:4">
      <c r="A148" s="456" t="s">
        <v>1660</v>
      </c>
      <c r="B148" s="414"/>
      <c r="C148" s="417">
        <f>IF(C97-C98&gt;0,0,C97-C98)</f>
        <v>0</v>
      </c>
      <c r="D148" s="417">
        <f>IF(D97-D98&gt;0,0,D97-D98)</f>
        <v>0</v>
      </c>
    </row>
    <row r="149" spans="1:4">
      <c r="A149" s="456" t="s">
        <v>1661</v>
      </c>
      <c r="B149" s="414"/>
      <c r="C149" s="417">
        <f>C100-C87-C99</f>
        <v>0</v>
      </c>
      <c r="D149" s="417">
        <f>D100-D87-D99</f>
        <v>0</v>
      </c>
    </row>
    <row r="150" spans="1:4">
      <c r="A150" s="456" t="s">
        <v>1662</v>
      </c>
      <c r="B150" s="414"/>
      <c r="C150" s="417">
        <f>C102-C103-C105-C106-C108</f>
        <v>0</v>
      </c>
      <c r="D150" s="417">
        <f>D102-D103-D105-D106-D108</f>
        <v>0</v>
      </c>
    </row>
    <row r="151" spans="1:4">
      <c r="A151" s="456" t="s">
        <v>1663</v>
      </c>
      <c r="B151" s="414"/>
      <c r="C151" s="417">
        <f>IF(C103-C104&gt;0,0,C103-C104)</f>
        <v>0</v>
      </c>
      <c r="D151" s="417">
        <f>IF(D103-D104&gt;0,0,D103-D104)</f>
        <v>0</v>
      </c>
    </row>
    <row r="152" spans="1:4">
      <c r="A152" s="456" t="s">
        <v>1664</v>
      </c>
      <c r="B152" s="414"/>
      <c r="C152" s="417">
        <f>IF(C106-C107&gt;0,0,C106-C107)</f>
        <v>0</v>
      </c>
      <c r="D152" s="417">
        <f>IF(D106-D107&gt;0,0,D106-D107)</f>
        <v>0</v>
      </c>
    </row>
    <row r="153" spans="1:4">
      <c r="A153" s="456" t="s">
        <v>1665</v>
      </c>
      <c r="B153" s="414"/>
      <c r="C153" s="417">
        <f>C102-C109-C110</f>
        <v>0</v>
      </c>
      <c r="D153" s="417">
        <f>D102-D109-D110</f>
        <v>0</v>
      </c>
    </row>
    <row r="154" spans="1:4">
      <c r="A154" s="456" t="s">
        <v>1666</v>
      </c>
      <c r="B154" s="414"/>
      <c r="C154" s="417">
        <f>IF(C111-C112-C113&gt;0,0,C111-C112-C113)</f>
        <v>0</v>
      </c>
      <c r="D154" s="417">
        <f>IF(D111-D112-D113&gt;0,0,D111-D112-D113)</f>
        <v>0</v>
      </c>
    </row>
    <row r="155" spans="1:4">
      <c r="A155" s="456" t="s">
        <v>1667</v>
      </c>
      <c r="B155" s="414"/>
      <c r="C155" s="417">
        <f>IF(C116-C117&gt;0,0,C116-C117)</f>
        <v>0</v>
      </c>
      <c r="D155" s="417">
        <f>IF(D116-D117&gt;0,0,D116-D117)</f>
        <v>0</v>
      </c>
    </row>
    <row r="156" spans="1:4">
      <c r="A156" s="456" t="s">
        <v>1668</v>
      </c>
      <c r="B156" s="414"/>
      <c r="C156" s="417">
        <f>C119-C120-C121-C122-C123-C124</f>
        <v>0</v>
      </c>
      <c r="D156" s="417">
        <f>D119-D120-D121-D122-D123-D124</f>
        <v>0</v>
      </c>
    </row>
    <row r="157" spans="1:4">
      <c r="A157" s="456" t="s">
        <v>1669</v>
      </c>
      <c r="B157" s="414"/>
      <c r="C157" s="417">
        <f>C110+C111+C114-C115+C116+C118+C119+C125+C126-C127</f>
        <v>0</v>
      </c>
      <c r="D157" s="417">
        <f>D110+D111+D114-D115+D116+D118+D119+D125+D126-D127</f>
        <v>0</v>
      </c>
    </row>
    <row r="158" spans="1:4">
      <c r="A158" s="456" t="s">
        <v>1670</v>
      </c>
      <c r="B158" s="414"/>
      <c r="C158" s="417">
        <f>C127+C128-C129</f>
        <v>0</v>
      </c>
      <c r="D158" s="417">
        <f>D127+D128-D129</f>
        <v>0</v>
      </c>
    </row>
    <row r="159" spans="1:4">
      <c r="A159" s="456" t="s">
        <v>1671</v>
      </c>
      <c r="B159" s="418"/>
      <c r="C159" s="419">
        <f>C130-C129-C100</f>
        <v>1.8917489796876907E-10</v>
      </c>
      <c r="D159" s="419">
        <f>D130-D129-D100</f>
        <v>0</v>
      </c>
    </row>
  </sheetData>
  <sheetProtection formatCells="0" formatColumns="0" formatRows="0" autoFilter="0"/>
  <mergeCells count="8">
    <mergeCell ref="G2:G4"/>
    <mergeCell ref="A132:D132"/>
    <mergeCell ref="A1:D1"/>
    <mergeCell ref="A2:D2"/>
    <mergeCell ref="A54:D54"/>
    <mergeCell ref="A55:D55"/>
    <mergeCell ref="A56:D56"/>
    <mergeCell ref="A131:D131"/>
  </mergeCells>
  <phoneticPr fontId="5" type="noConversion"/>
  <hyperlinks>
    <hyperlink ref="G1" location="附注填写封面!B3" display="返回目录" xr:uid="{00000000-0004-0000-0500-000000000000}"/>
  </hyperlinks>
  <printOptions horizontalCentered="1"/>
  <pageMargins left="0.82677165354330717" right="0.35433070866141736" top="0.82677165354330717" bottom="0.51181102362204722" header="0.51181102362204722" footer="0.23622047244094491"/>
  <pageSetup paperSize="9" scale="59" firstPageNumber="3" fitToHeight="2" orientation="portrait" blackAndWhite="1" useFirstPageNumber="1" r:id="rId1"/>
  <headerFooter alignWithMargins="0">
    <oddFooter>&amp;C&amp;"Times New Roman,常规"&amp;P</oddFooter>
  </headerFooter>
  <rowBreaks count="1" manualBreakCount="1">
    <brk id="54" max="3" man="1"/>
  </rowBreaks>
  <legacy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FFC000"/>
    <pageSetUpPr autoPageBreaks="0"/>
  </sheetPr>
  <dimension ref="A1:G96"/>
  <sheetViews>
    <sheetView showGridLines="0" showZeros="0" zoomScaleSheetLayoutView="75" workbookViewId="0">
      <pane xSplit="2" ySplit="4" topLeftCell="C56" activePane="bottomRight" state="frozen"/>
      <selection activeCell="A5" sqref="A5:A6"/>
      <selection pane="topRight" activeCell="A5" sqref="A5:A6"/>
      <selection pane="bottomLeft" activeCell="A5" sqref="A5:A6"/>
      <selection pane="bottomRight" activeCell="A32" sqref="A32:XFD32"/>
    </sheetView>
  </sheetViews>
  <sheetFormatPr defaultColWidth="9" defaultRowHeight="19.5" customHeight="1"/>
  <cols>
    <col min="1" max="1" width="54.5" style="3" customWidth="1"/>
    <col min="2" max="2" width="10.125" style="3" customWidth="1"/>
    <col min="3" max="4" width="24.125" style="3" customWidth="1"/>
    <col min="5" max="6" width="4.125" style="98" bestFit="1" customWidth="1"/>
    <col min="7" max="7" width="27.875" style="3" customWidth="1"/>
    <col min="8" max="16384" width="9" style="3"/>
  </cols>
  <sheetData>
    <row r="1" spans="1:7" ht="24.95" customHeight="1">
      <c r="A1" s="1685" t="str">
        <f>封面!C7&amp;"未审利润表"</f>
        <v>未审利润表</v>
      </c>
      <c r="B1" s="1686"/>
      <c r="C1" s="1686"/>
      <c r="D1" s="1687"/>
      <c r="E1" s="416"/>
      <c r="F1" s="416"/>
      <c r="G1" s="421" t="s">
        <v>1586</v>
      </c>
    </row>
    <row r="2" spans="1:7" ht="18" customHeight="1">
      <c r="A2" s="1682" t="str">
        <f>封面!$C$6</f>
        <v>2019年1-5月</v>
      </c>
      <c r="B2" s="1688"/>
      <c r="C2" s="1688"/>
      <c r="D2" s="1688"/>
      <c r="E2" s="416"/>
      <c r="F2" s="416"/>
      <c r="G2" s="127"/>
    </row>
    <row r="3" spans="1:7" ht="18" customHeight="1" thickBot="1">
      <c r="A3" s="423" t="str">
        <f>未审资产负债表!A3</f>
        <v>编制单位：华鼎资本（北京）有限公司</v>
      </c>
      <c r="B3" s="127"/>
      <c r="C3" s="457"/>
      <c r="D3" s="424" t="s">
        <v>1588</v>
      </c>
      <c r="E3" s="416"/>
      <c r="F3" s="416"/>
      <c r="G3" s="127"/>
    </row>
    <row r="4" spans="1:7" ht="15.95" customHeight="1">
      <c r="A4" s="425" t="s">
        <v>529</v>
      </c>
      <c r="B4" s="458" t="s">
        <v>1616</v>
      </c>
      <c r="C4" s="458" t="s">
        <v>1672</v>
      </c>
      <c r="D4" s="427" t="s">
        <v>1673</v>
      </c>
      <c r="E4" s="416"/>
      <c r="F4" s="416"/>
      <c r="G4" s="127"/>
    </row>
    <row r="5" spans="1:7" ht="15.95" customHeight="1">
      <c r="A5" s="459" t="s">
        <v>644</v>
      </c>
      <c r="B5" s="429"/>
      <c r="C5" s="460">
        <f>C6+C9+C10+C11</f>
        <v>0</v>
      </c>
      <c r="D5" s="461">
        <f>D6+D9+D10+D11</f>
        <v>16037735.91</v>
      </c>
      <c r="E5" s="417">
        <f>C5-C6-C9-C10-C11</f>
        <v>0</v>
      </c>
      <c r="F5" s="417">
        <f>D5-D6-D9-D10-D11</f>
        <v>0</v>
      </c>
      <c r="G5" s="462"/>
    </row>
    <row r="6" spans="1:7" ht="15.95" customHeight="1">
      <c r="A6" s="433" t="s">
        <v>645</v>
      </c>
      <c r="B6" s="429"/>
      <c r="C6" s="460">
        <f>C7+C8</f>
        <v>0</v>
      </c>
      <c r="D6" s="461">
        <f>D7+D8</f>
        <v>16037735.91</v>
      </c>
      <c r="E6" s="417">
        <f>C6-C7-C8</f>
        <v>0</v>
      </c>
      <c r="F6" s="417">
        <f>D6-D7-D8</f>
        <v>0</v>
      </c>
      <c r="G6" s="463"/>
    </row>
    <row r="7" spans="1:7" ht="15.95" customHeight="1">
      <c r="A7" s="464" t="s">
        <v>646</v>
      </c>
      <c r="B7" s="429"/>
      <c r="C7" s="465"/>
      <c r="D7" s="466">
        <v>16037735.91</v>
      </c>
      <c r="E7" s="305"/>
      <c r="F7" s="305"/>
      <c r="G7" s="1689" t="s">
        <v>1674</v>
      </c>
    </row>
    <row r="8" spans="1:7" ht="15.95" customHeight="1">
      <c r="A8" s="464" t="s">
        <v>647</v>
      </c>
      <c r="B8" s="429"/>
      <c r="C8" s="465"/>
      <c r="D8" s="466"/>
      <c r="E8" s="305"/>
      <c r="F8" s="305"/>
      <c r="G8" s="1689"/>
    </row>
    <row r="9" spans="1:7" ht="15.95" customHeight="1">
      <c r="A9" s="467" t="s">
        <v>648</v>
      </c>
      <c r="B9" s="429"/>
      <c r="C9" s="465">
        <v>0</v>
      </c>
      <c r="D9" s="466">
        <v>0</v>
      </c>
      <c r="E9" s="305"/>
      <c r="F9" s="305"/>
      <c r="G9" s="463"/>
    </row>
    <row r="10" spans="1:7" ht="15.95" customHeight="1">
      <c r="A10" s="467" t="s">
        <v>649</v>
      </c>
      <c r="B10" s="429"/>
      <c r="C10" s="465">
        <v>0</v>
      </c>
      <c r="D10" s="466">
        <v>0</v>
      </c>
      <c r="E10" s="305"/>
      <c r="F10" s="305"/>
      <c r="G10" s="463"/>
    </row>
    <row r="11" spans="1:7" ht="15.95" customHeight="1">
      <c r="A11" s="467" t="s">
        <v>650</v>
      </c>
      <c r="B11" s="429"/>
      <c r="C11" s="465">
        <v>0</v>
      </c>
      <c r="D11" s="466">
        <v>0</v>
      </c>
      <c r="E11" s="305"/>
      <c r="F11" s="305"/>
      <c r="G11" s="463"/>
    </row>
    <row r="12" spans="1:7" ht="15.95" customHeight="1">
      <c r="A12" s="468" t="s">
        <v>651</v>
      </c>
      <c r="B12" s="429"/>
      <c r="C12" s="460">
        <f>C13+SUM(C16:C25)+C28+SUM(C32:C33)</f>
        <v>3974196.1</v>
      </c>
      <c r="D12" s="461">
        <f>D13+SUM(D16:D25)+D28+SUM(D32:D33)</f>
        <v>11496308.529999999</v>
      </c>
      <c r="E12" s="417">
        <f>C12-C13-C16-C17-C18-C19-C20-C21-C22-C23-C24-C25-C28-C32-C33</f>
        <v>3.7289282772690058E-11</v>
      </c>
      <c r="F12" s="417">
        <f>D12-D13-D16-D17-D18-D19-D20-D21-D22-D23-D24-D25-D28-D32-D33</f>
        <v>-1.0404619388282299E-9</v>
      </c>
      <c r="G12" s="463"/>
    </row>
    <row r="13" spans="1:7" ht="15.95" customHeight="1">
      <c r="A13" s="433" t="s">
        <v>652</v>
      </c>
      <c r="B13" s="429"/>
      <c r="C13" s="460">
        <f>C14+C15</f>
        <v>0</v>
      </c>
      <c r="D13" s="461">
        <f>D14+D15</f>
        <v>0</v>
      </c>
      <c r="E13" s="417">
        <f>C13-C14-C15</f>
        <v>0</v>
      </c>
      <c r="F13" s="417">
        <f>D13-D14-D15</f>
        <v>0</v>
      </c>
      <c r="G13" s="463"/>
    </row>
    <row r="14" spans="1:7" ht="15.95" customHeight="1">
      <c r="A14" s="469" t="s">
        <v>653</v>
      </c>
      <c r="B14" s="429"/>
      <c r="C14" s="465"/>
      <c r="D14" s="466"/>
      <c r="E14" s="305"/>
      <c r="F14" s="305"/>
      <c r="G14" s="1689" t="s">
        <v>1674</v>
      </c>
    </row>
    <row r="15" spans="1:7" ht="15.95" customHeight="1">
      <c r="A15" s="469" t="s">
        <v>654</v>
      </c>
      <c r="B15" s="429"/>
      <c r="C15" s="465"/>
      <c r="D15" s="466"/>
      <c r="E15" s="305"/>
      <c r="F15" s="305"/>
      <c r="G15" s="1689"/>
    </row>
    <row r="16" spans="1:7" ht="15.95" customHeight="1">
      <c r="A16" s="467" t="s">
        <v>655</v>
      </c>
      <c r="B16" s="429"/>
      <c r="C16" s="465">
        <v>0</v>
      </c>
      <c r="D16" s="466">
        <v>0</v>
      </c>
      <c r="E16" s="305"/>
      <c r="F16" s="305"/>
      <c r="G16" s="463"/>
    </row>
    <row r="17" spans="1:7" ht="15.95" customHeight="1">
      <c r="A17" s="467" t="s">
        <v>656</v>
      </c>
      <c r="B17" s="429"/>
      <c r="C17" s="465">
        <v>0</v>
      </c>
      <c r="D17" s="466">
        <v>0</v>
      </c>
      <c r="E17" s="305"/>
      <c r="F17" s="305"/>
      <c r="G17" s="463"/>
    </row>
    <row r="18" spans="1:7" ht="15.95" customHeight="1">
      <c r="A18" s="467" t="s">
        <v>657</v>
      </c>
      <c r="B18" s="429"/>
      <c r="C18" s="465">
        <v>0</v>
      </c>
      <c r="D18" s="466">
        <v>0</v>
      </c>
      <c r="E18" s="305"/>
      <c r="F18" s="305"/>
      <c r="G18" s="462"/>
    </row>
    <row r="19" spans="1:7" ht="15.95" customHeight="1">
      <c r="A19" s="467" t="s">
        <v>658</v>
      </c>
      <c r="B19" s="429"/>
      <c r="C19" s="465">
        <v>0</v>
      </c>
      <c r="D19" s="466">
        <v>0</v>
      </c>
      <c r="E19" s="305"/>
      <c r="F19" s="305"/>
      <c r="G19" s="462"/>
    </row>
    <row r="20" spans="1:7" ht="15.95" customHeight="1">
      <c r="A20" s="467" t="s">
        <v>659</v>
      </c>
      <c r="B20" s="429"/>
      <c r="C20" s="465">
        <v>0</v>
      </c>
      <c r="D20" s="466">
        <v>0</v>
      </c>
      <c r="E20" s="305"/>
      <c r="F20" s="305"/>
      <c r="G20" s="462"/>
    </row>
    <row r="21" spans="1:7" ht="15.95" customHeight="1">
      <c r="A21" s="467" t="s">
        <v>660</v>
      </c>
      <c r="B21" s="429"/>
      <c r="C21" s="465">
        <v>0</v>
      </c>
      <c r="D21" s="466">
        <v>0</v>
      </c>
      <c r="E21" s="305"/>
      <c r="F21" s="305"/>
      <c r="G21" s="462"/>
    </row>
    <row r="22" spans="1:7" ht="15.95" customHeight="1">
      <c r="A22" s="467" t="s">
        <v>661</v>
      </c>
      <c r="B22" s="429"/>
      <c r="C22" s="465">
        <v>0</v>
      </c>
      <c r="D22" s="466">
        <v>0</v>
      </c>
      <c r="E22" s="305"/>
      <c r="F22" s="305"/>
      <c r="G22" s="462"/>
    </row>
    <row r="23" spans="1:7" ht="15.95" customHeight="1">
      <c r="A23" s="467" t="s">
        <v>4638</v>
      </c>
      <c r="B23" s="429"/>
      <c r="C23" s="465"/>
      <c r="D23" s="466">
        <v>93627.35</v>
      </c>
      <c r="E23" s="305"/>
      <c r="F23" s="305"/>
      <c r="G23" s="462"/>
    </row>
    <row r="24" spans="1:7" ht="15.95" customHeight="1">
      <c r="A24" s="467" t="s">
        <v>663</v>
      </c>
      <c r="B24" s="429"/>
      <c r="C24" s="465"/>
      <c r="D24" s="466"/>
      <c r="E24" s="305"/>
      <c r="F24" s="305"/>
      <c r="G24" s="462"/>
    </row>
    <row r="25" spans="1:7" ht="15.95" customHeight="1">
      <c r="A25" s="467" t="s">
        <v>664</v>
      </c>
      <c r="B25" s="429"/>
      <c r="C25" s="1570">
        <v>3976574.31</v>
      </c>
      <c r="D25" s="466">
        <v>11457286.300000001</v>
      </c>
      <c r="E25" s="305"/>
      <c r="F25" s="305"/>
      <c r="G25" s="462"/>
    </row>
    <row r="26" spans="1:7" ht="15.95" customHeight="1">
      <c r="A26" s="438" t="s">
        <v>665</v>
      </c>
      <c r="B26" s="429"/>
      <c r="C26" s="465"/>
      <c r="D26" s="466"/>
      <c r="E26" s="305"/>
      <c r="F26" s="305"/>
      <c r="G26" s="462"/>
    </row>
    <row r="27" spans="1:7" ht="15.95" customHeight="1">
      <c r="A27" s="438" t="s">
        <v>4639</v>
      </c>
      <c r="B27" s="1396"/>
      <c r="C27" s="1397"/>
      <c r="D27" s="466"/>
      <c r="E27" s="305"/>
      <c r="F27" s="305"/>
      <c r="G27" s="462"/>
    </row>
    <row r="28" spans="1:7" ht="15.95" customHeight="1">
      <c r="A28" s="467" t="s">
        <v>1675</v>
      </c>
      <c r="B28" s="429"/>
      <c r="C28" s="465">
        <v>-2378.21</v>
      </c>
      <c r="D28" s="466">
        <v>-64818.3</v>
      </c>
      <c r="E28" s="305"/>
      <c r="F28" s="305"/>
      <c r="G28" s="462"/>
    </row>
    <row r="29" spans="1:7" ht="15.95" customHeight="1">
      <c r="A29" s="469" t="s">
        <v>1676</v>
      </c>
      <c r="B29" s="429"/>
      <c r="C29" s="465"/>
      <c r="D29" s="466"/>
      <c r="E29" s="305"/>
      <c r="F29" s="305"/>
      <c r="G29" s="462"/>
    </row>
    <row r="30" spans="1:7" ht="15.95" customHeight="1">
      <c r="A30" s="469" t="s">
        <v>1677</v>
      </c>
      <c r="B30" s="429"/>
      <c r="C30" s="465">
        <v>3501.21</v>
      </c>
      <c r="D30" s="466">
        <v>67742.600000000006</v>
      </c>
      <c r="E30" s="305"/>
      <c r="F30" s="305"/>
      <c r="G30" s="462"/>
    </row>
    <row r="31" spans="1:7" ht="15.95" customHeight="1">
      <c r="A31" s="469" t="s">
        <v>1695</v>
      </c>
      <c r="B31" s="429"/>
      <c r="C31" s="465"/>
      <c r="D31" s="466"/>
      <c r="E31" s="305"/>
      <c r="F31" s="305"/>
      <c r="G31" s="462"/>
    </row>
    <row r="32" spans="1:7" ht="15.95" customHeight="1">
      <c r="A32" s="467" t="s">
        <v>670</v>
      </c>
      <c r="B32" s="429"/>
      <c r="C32" s="465"/>
      <c r="D32" s="466">
        <v>10213.18</v>
      </c>
      <c r="E32" s="305"/>
      <c r="F32" s="305"/>
      <c r="G32" s="462"/>
    </row>
    <row r="33" spans="1:7" ht="15.95" customHeight="1">
      <c r="A33" s="467" t="s">
        <v>671</v>
      </c>
      <c r="B33" s="429"/>
      <c r="C33" s="465"/>
      <c r="D33" s="466"/>
      <c r="E33" s="305"/>
      <c r="F33" s="305"/>
      <c r="G33" s="462"/>
    </row>
    <row r="34" spans="1:7" ht="15.95" customHeight="1">
      <c r="A34" s="469" t="s">
        <v>672</v>
      </c>
      <c r="B34" s="429"/>
      <c r="C34" s="465"/>
      <c r="D34" s="466"/>
      <c r="E34" s="305"/>
      <c r="F34" s="305"/>
      <c r="G34" s="462"/>
    </row>
    <row r="35" spans="1:7" ht="15.95" customHeight="1">
      <c r="A35" s="469" t="s">
        <v>1694</v>
      </c>
      <c r="B35" s="429"/>
      <c r="C35" s="465"/>
      <c r="D35" s="466"/>
      <c r="E35" s="305"/>
      <c r="F35" s="305"/>
      <c r="G35" s="127"/>
    </row>
    <row r="36" spans="1:7" ht="15.95" customHeight="1">
      <c r="A36" s="469" t="s">
        <v>674</v>
      </c>
      <c r="B36" s="429"/>
      <c r="C36" s="465"/>
      <c r="D36" s="466"/>
      <c r="E36" s="305"/>
      <c r="F36" s="305"/>
      <c r="G36" s="432"/>
    </row>
    <row r="37" spans="1:7" ht="15.95" customHeight="1">
      <c r="A37" s="469" t="s">
        <v>4640</v>
      </c>
      <c r="B37" s="1396"/>
      <c r="C37" s="1397"/>
      <c r="D37" s="466"/>
      <c r="E37" s="305"/>
      <c r="F37" s="305"/>
      <c r="G37" s="432"/>
    </row>
    <row r="38" spans="1:7" ht="15.95" customHeight="1">
      <c r="A38" s="1483" t="s">
        <v>4840</v>
      </c>
      <c r="B38" s="1415"/>
      <c r="C38" s="1473"/>
      <c r="D38" s="466"/>
      <c r="E38" s="305"/>
      <c r="F38" s="305"/>
      <c r="G38" s="432"/>
    </row>
    <row r="39" spans="1:7" ht="15.95" customHeight="1">
      <c r="A39" s="433" t="s">
        <v>4565</v>
      </c>
      <c r="B39" s="429"/>
      <c r="C39" s="465">
        <v>0</v>
      </c>
      <c r="D39" s="466">
        <v>0</v>
      </c>
      <c r="E39" s="305"/>
      <c r="F39" s="305"/>
      <c r="G39" s="432"/>
    </row>
    <row r="40" spans="1:7" ht="15.95" customHeight="1">
      <c r="A40" s="459" t="s">
        <v>676</v>
      </c>
      <c r="B40" s="429"/>
      <c r="C40" s="460">
        <f>C5-C12+C34+C35+C39+C37</f>
        <v>-3974196.1</v>
      </c>
      <c r="D40" s="461">
        <f>D5-D12+D34+D35+D39+D37</f>
        <v>4541427.3800000008</v>
      </c>
      <c r="E40" s="417">
        <f>C5-C12+C34+C35+C37+C39-C40</f>
        <v>0</v>
      </c>
      <c r="F40" s="417">
        <f>D5-D12+D34+D35+D37+D39-D40</f>
        <v>0</v>
      </c>
      <c r="G40" s="432"/>
    </row>
    <row r="41" spans="1:7" ht="15.95" customHeight="1">
      <c r="A41" s="469" t="s">
        <v>677</v>
      </c>
      <c r="B41" s="429"/>
      <c r="C41" s="465"/>
      <c r="D41" s="466">
        <v>511678</v>
      </c>
      <c r="E41" s="305"/>
      <c r="F41" s="305"/>
      <c r="G41" s="432"/>
    </row>
    <row r="42" spans="1:7" ht="15.95" customHeight="1">
      <c r="A42" s="469" t="s">
        <v>678</v>
      </c>
      <c r="B42" s="429"/>
      <c r="C42" s="465"/>
      <c r="D42" s="466"/>
      <c r="E42" s="305"/>
      <c r="F42" s="305"/>
      <c r="G42" s="127"/>
    </row>
    <row r="43" spans="1:7" ht="15.95" customHeight="1">
      <c r="A43" s="470" t="s">
        <v>1678</v>
      </c>
      <c r="B43" s="429"/>
      <c r="C43" s="465"/>
      <c r="D43" s="466"/>
      <c r="E43" s="305"/>
      <c r="F43" s="305"/>
      <c r="G43" s="127"/>
    </row>
    <row r="44" spans="1:7" ht="15.95" customHeight="1">
      <c r="A44" s="471" t="s">
        <v>1679</v>
      </c>
      <c r="B44" s="429"/>
      <c r="C44" s="465"/>
      <c r="D44" s="466">
        <v>511678</v>
      </c>
      <c r="E44" s="305"/>
      <c r="F44" s="305"/>
      <c r="G44" s="127"/>
    </row>
    <row r="45" spans="1:7" ht="15.95" customHeight="1">
      <c r="A45" s="471" t="s">
        <v>1680</v>
      </c>
      <c r="B45" s="429"/>
      <c r="C45" s="465"/>
      <c r="D45" s="466"/>
      <c r="E45" s="305"/>
      <c r="F45" s="305"/>
      <c r="G45" s="127"/>
    </row>
    <row r="46" spans="1:7" ht="15.95" customHeight="1">
      <c r="A46" s="469" t="s">
        <v>682</v>
      </c>
      <c r="B46" s="429"/>
      <c r="C46" s="465"/>
      <c r="D46" s="466"/>
      <c r="E46" s="305"/>
      <c r="F46" s="305"/>
      <c r="G46" s="127"/>
    </row>
    <row r="47" spans="1:7" ht="15.95" customHeight="1">
      <c r="A47" s="469" t="s">
        <v>683</v>
      </c>
      <c r="B47" s="429"/>
      <c r="C47" s="465"/>
      <c r="D47" s="466"/>
      <c r="E47" s="305"/>
      <c r="F47" s="305"/>
      <c r="G47" s="127"/>
    </row>
    <row r="48" spans="1:7" ht="15.95" customHeight="1">
      <c r="A48" s="471" t="s">
        <v>1681</v>
      </c>
      <c r="B48" s="429"/>
      <c r="C48" s="465">
        <v>0</v>
      </c>
      <c r="D48" s="466">
        <v>0</v>
      </c>
      <c r="E48" s="305"/>
      <c r="F48" s="305"/>
      <c r="G48" s="127"/>
    </row>
    <row r="49" spans="1:7" ht="15.95" customHeight="1">
      <c r="A49" s="471" t="s">
        <v>1682</v>
      </c>
      <c r="B49" s="429"/>
      <c r="C49" s="465"/>
      <c r="D49" s="466">
        <v>0</v>
      </c>
      <c r="E49" s="305"/>
      <c r="F49" s="305"/>
      <c r="G49" s="127"/>
    </row>
    <row r="50" spans="1:7" ht="15.95" customHeight="1">
      <c r="A50" s="459" t="s">
        <v>686</v>
      </c>
      <c r="B50" s="429"/>
      <c r="C50" s="460">
        <f>C40+C41-C46</f>
        <v>-3974196.1</v>
      </c>
      <c r="D50" s="461">
        <f>D40+D41-D46</f>
        <v>5053105.3800000008</v>
      </c>
      <c r="E50" s="417">
        <f>C40+C41-C46-C50</f>
        <v>0</v>
      </c>
      <c r="F50" s="417">
        <f>D40+D41-D46-D50</f>
        <v>0</v>
      </c>
      <c r="G50" s="1611">
        <f>D50*0.25</f>
        <v>1263276.3450000002</v>
      </c>
    </row>
    <row r="51" spans="1:7" ht="15.95" customHeight="1">
      <c r="A51" s="469" t="s">
        <v>687</v>
      </c>
      <c r="B51" s="429"/>
      <c r="C51" s="465">
        <v>26323.3</v>
      </c>
      <c r="D51" s="466">
        <v>1280228.47</v>
      </c>
      <c r="E51" s="305"/>
      <c r="F51" s="305"/>
      <c r="G51" s="462">
        <f>D51-G50</f>
        <v>16952.124999999767</v>
      </c>
    </row>
    <row r="52" spans="1:7" ht="15.95" customHeight="1">
      <c r="A52" s="459" t="s">
        <v>688</v>
      </c>
      <c r="B52" s="429"/>
      <c r="C52" s="460">
        <f>C50-C51</f>
        <v>-4000519.4</v>
      </c>
      <c r="D52" s="461">
        <f>D50-D51</f>
        <v>3772876.9100000011</v>
      </c>
      <c r="E52" s="417">
        <f>C50-C51-C52</f>
        <v>0</v>
      </c>
      <c r="F52" s="417">
        <f>D50-D51-D52</f>
        <v>0</v>
      </c>
      <c r="G52" s="472"/>
    </row>
    <row r="53" spans="1:7" ht="15.95" customHeight="1">
      <c r="A53" s="473" t="s">
        <v>689</v>
      </c>
      <c r="B53" s="429"/>
      <c r="C53" s="460">
        <f>C52-C54</f>
        <v>-4000519.4</v>
      </c>
      <c r="D53" s="461">
        <f>D52-D54</f>
        <v>3772876.9100000011</v>
      </c>
      <c r="E53" s="417">
        <f>C52-C53-C54</f>
        <v>0</v>
      </c>
      <c r="F53" s="417">
        <f>D52-D53-D54</f>
        <v>0</v>
      </c>
      <c r="G53" s="127"/>
    </row>
    <row r="54" spans="1:7" ht="15.95" customHeight="1">
      <c r="A54" s="473" t="s">
        <v>690</v>
      </c>
      <c r="B54" s="429"/>
      <c r="C54" s="465"/>
      <c r="D54" s="466"/>
      <c r="E54" s="305"/>
      <c r="F54" s="305"/>
      <c r="G54" s="127"/>
    </row>
    <row r="55" spans="1:7" ht="15.95" customHeight="1">
      <c r="A55" s="1398" t="s">
        <v>4642</v>
      </c>
      <c r="B55" s="1396"/>
      <c r="C55" s="1397"/>
      <c r="D55" s="466"/>
      <c r="E55" s="305"/>
      <c r="F55" s="305"/>
      <c r="G55" s="1630">
        <v>1282781.77</v>
      </c>
    </row>
    <row r="56" spans="1:7" ht="15.95" customHeight="1">
      <c r="A56" s="1398" t="s">
        <v>4644</v>
      </c>
      <c r="B56" s="1396"/>
      <c r="C56" s="1397"/>
      <c r="D56" s="466"/>
      <c r="E56" s="305"/>
      <c r="F56" s="305"/>
      <c r="G56" s="1630">
        <v>1280228.47</v>
      </c>
    </row>
    <row r="57" spans="1:7" ht="15.95" customHeight="1">
      <c r="A57" s="459" t="s">
        <v>1683</v>
      </c>
      <c r="B57" s="429"/>
      <c r="C57" s="460">
        <f>C58+C68</f>
        <v>0</v>
      </c>
      <c r="D57" s="460">
        <f>D58+D68</f>
        <v>0</v>
      </c>
      <c r="E57" s="417">
        <f>C57-C58-C68</f>
        <v>0</v>
      </c>
      <c r="F57" s="417">
        <f>D57-D58-D68</f>
        <v>0</v>
      </c>
      <c r="G57" s="462">
        <f>G55-G56</f>
        <v>2553.3000000000466</v>
      </c>
    </row>
    <row r="58" spans="1:7" ht="15.95" customHeight="1">
      <c r="A58" s="1472" t="s">
        <v>4821</v>
      </c>
      <c r="B58" s="1415"/>
      <c r="C58" s="1416">
        <f>C59+C62</f>
        <v>0</v>
      </c>
      <c r="D58" s="1416">
        <f>D59+D62</f>
        <v>0</v>
      </c>
      <c r="E58" s="417">
        <f>C58-C59-C62</f>
        <v>0</v>
      </c>
      <c r="F58" s="417">
        <f>D58-D59-D62</f>
        <v>0</v>
      </c>
      <c r="G58" s="127"/>
    </row>
    <row r="59" spans="1:7" ht="15.95" customHeight="1">
      <c r="A59" s="474" t="s">
        <v>5223</v>
      </c>
      <c r="B59" s="429"/>
      <c r="C59" s="465"/>
      <c r="D59" s="466"/>
      <c r="E59" s="305"/>
      <c r="F59" s="305"/>
      <c r="G59" s="127"/>
    </row>
    <row r="60" spans="1:7" ht="15.95" customHeight="1">
      <c r="A60" s="475" t="s">
        <v>1696</v>
      </c>
      <c r="B60" s="429"/>
      <c r="C60" s="465"/>
      <c r="D60" s="466"/>
      <c r="E60" s="305"/>
      <c r="F60" s="305"/>
      <c r="G60" s="127"/>
    </row>
    <row r="61" spans="1:7" ht="15.95" customHeight="1">
      <c r="A61" s="475" t="s">
        <v>1684</v>
      </c>
      <c r="B61" s="429"/>
      <c r="C61" s="465"/>
      <c r="D61" s="466"/>
      <c r="E61" s="305"/>
      <c r="F61" s="305"/>
      <c r="G61" s="127"/>
    </row>
    <row r="62" spans="1:7" ht="15.95" customHeight="1">
      <c r="A62" s="474" t="s">
        <v>1685</v>
      </c>
      <c r="B62" s="429"/>
      <c r="C62" s="465"/>
      <c r="D62" s="466"/>
      <c r="E62" s="305"/>
      <c r="F62" s="305"/>
      <c r="G62" s="127"/>
    </row>
    <row r="63" spans="1:7" ht="15.95" customHeight="1">
      <c r="A63" s="475" t="s">
        <v>1697</v>
      </c>
      <c r="B63" s="429"/>
      <c r="C63" s="465"/>
      <c r="D63" s="466"/>
      <c r="E63" s="305"/>
      <c r="F63" s="305"/>
      <c r="G63" s="127"/>
    </row>
    <row r="64" spans="1:7" ht="15.95" customHeight="1">
      <c r="A64" s="475" t="s">
        <v>1686</v>
      </c>
      <c r="B64" s="429"/>
      <c r="C64" s="465"/>
      <c r="D64" s="466"/>
      <c r="E64" s="305"/>
      <c r="F64" s="305"/>
      <c r="G64" s="127"/>
    </row>
    <row r="65" spans="1:7" ht="15.95" customHeight="1">
      <c r="A65" s="475" t="s">
        <v>1687</v>
      </c>
      <c r="B65" s="429"/>
      <c r="C65" s="465"/>
      <c r="D65" s="466"/>
      <c r="E65" s="305"/>
      <c r="F65" s="305"/>
      <c r="G65" s="127"/>
    </row>
    <row r="66" spans="1:7" ht="15.95" customHeight="1">
      <c r="A66" s="473" t="s">
        <v>1688</v>
      </c>
      <c r="B66" s="429"/>
      <c r="C66" s="465"/>
      <c r="D66" s="466"/>
      <c r="E66" s="305"/>
      <c r="F66" s="305"/>
      <c r="G66" s="127"/>
    </row>
    <row r="67" spans="1:7" ht="15.95" customHeight="1">
      <c r="A67" s="473" t="s">
        <v>1689</v>
      </c>
      <c r="B67" s="429"/>
      <c r="C67" s="465"/>
      <c r="D67" s="466"/>
      <c r="E67" s="305"/>
      <c r="F67" s="305"/>
      <c r="G67" s="127"/>
    </row>
    <row r="68" spans="1:7" ht="15.95" customHeight="1">
      <c r="A68" s="1398" t="s">
        <v>4822</v>
      </c>
      <c r="B68" s="1415"/>
      <c r="C68" s="1473"/>
      <c r="D68" s="466"/>
      <c r="E68" s="305"/>
      <c r="F68" s="305"/>
      <c r="G68" s="127"/>
    </row>
    <row r="69" spans="1:7" ht="15.95" customHeight="1">
      <c r="A69" s="476" t="s">
        <v>1690</v>
      </c>
      <c r="B69" s="429"/>
      <c r="C69" s="460">
        <f>C52+C57</f>
        <v>-4000519.4</v>
      </c>
      <c r="D69" s="461">
        <f>D52+D57</f>
        <v>3772876.9100000011</v>
      </c>
      <c r="E69" s="417">
        <f>C52+C57-C69</f>
        <v>0</v>
      </c>
      <c r="F69" s="417">
        <f>D52+D57-D69</f>
        <v>0</v>
      </c>
      <c r="G69" s="127"/>
    </row>
    <row r="70" spans="1:7" ht="15.95" customHeight="1">
      <c r="A70" s="473" t="s">
        <v>696</v>
      </c>
      <c r="B70" s="429"/>
      <c r="C70" s="460">
        <f>C53+C58</f>
        <v>-4000519.4</v>
      </c>
      <c r="D70" s="460">
        <f>D53+D58</f>
        <v>3772876.9100000011</v>
      </c>
      <c r="E70" s="417">
        <f>C69-C70-C71</f>
        <v>0</v>
      </c>
      <c r="F70" s="417">
        <f>D69-D70-D71</f>
        <v>0</v>
      </c>
      <c r="G70" s="127"/>
    </row>
    <row r="71" spans="1:7" ht="15.95" customHeight="1">
      <c r="A71" s="473" t="s">
        <v>1691</v>
      </c>
      <c r="B71" s="429"/>
      <c r="C71" s="460">
        <f>C54+C68</f>
        <v>0</v>
      </c>
      <c r="D71" s="460">
        <f>D54+D68</f>
        <v>0</v>
      </c>
      <c r="E71" s="417">
        <f>C71-C54-C68</f>
        <v>0</v>
      </c>
      <c r="F71" s="417">
        <f>D71-D54-D68</f>
        <v>0</v>
      </c>
      <c r="G71" s="130"/>
    </row>
    <row r="72" spans="1:7" ht="15.95" customHeight="1">
      <c r="A72" s="477" t="s">
        <v>1692</v>
      </c>
      <c r="B72" s="478"/>
      <c r="C72" s="479"/>
      <c r="D72" s="480"/>
      <c r="E72" s="305"/>
      <c r="F72" s="305"/>
      <c r="G72" s="127"/>
    </row>
    <row r="73" spans="1:7" ht="15.95" customHeight="1">
      <c r="A73" s="473" t="s">
        <v>692</v>
      </c>
      <c r="B73" s="429"/>
      <c r="C73" s="465"/>
      <c r="D73" s="466"/>
      <c r="E73" s="305"/>
      <c r="F73" s="305"/>
      <c r="G73" s="127"/>
    </row>
    <row r="74" spans="1:7" ht="15.95" customHeight="1" thickBot="1">
      <c r="A74" s="473" t="s">
        <v>693</v>
      </c>
      <c r="B74" s="429"/>
      <c r="C74" s="465"/>
      <c r="D74" s="466"/>
      <c r="E74" s="305"/>
      <c r="F74" s="305"/>
      <c r="G74" s="127"/>
    </row>
    <row r="75" spans="1:7" ht="18" customHeight="1">
      <c r="A75" s="1684" t="s">
        <v>1693</v>
      </c>
      <c r="B75" s="1684"/>
      <c r="C75" s="1684"/>
      <c r="D75" s="1684"/>
      <c r="E75" s="416"/>
      <c r="F75" s="416"/>
      <c r="G75" s="127"/>
    </row>
    <row r="76" spans="1:7" ht="42" customHeight="1">
      <c r="A76" s="1678" t="s">
        <v>1698</v>
      </c>
      <c r="B76" s="1678"/>
      <c r="C76" s="1678"/>
      <c r="D76" s="1678"/>
      <c r="E76" s="416"/>
      <c r="F76" s="416"/>
      <c r="G76" s="127"/>
    </row>
    <row r="77" spans="1:7" ht="19.5" customHeight="1">
      <c r="C77" s="49"/>
      <c r="D77" s="49"/>
    </row>
    <row r="78" spans="1:7" ht="14.25">
      <c r="A78" s="118" t="s">
        <v>138</v>
      </c>
      <c r="B78" s="101"/>
      <c r="C78" s="283">
        <f>C5-C6-C9-C10-C11</f>
        <v>0</v>
      </c>
      <c r="D78" s="283">
        <f>D5-D6-D9-D10-D11</f>
        <v>0</v>
      </c>
    </row>
    <row r="79" spans="1:7" ht="14.25">
      <c r="A79" s="118" t="s">
        <v>139</v>
      </c>
      <c r="B79" s="101"/>
      <c r="C79" s="283">
        <f>C6-C7-C8</f>
        <v>0</v>
      </c>
      <c r="D79" s="283">
        <f>D6-D7-D8</f>
        <v>0</v>
      </c>
    </row>
    <row r="80" spans="1:7" ht="14.25">
      <c r="A80" s="118" t="s">
        <v>140</v>
      </c>
      <c r="B80" s="101"/>
      <c r="C80" s="283">
        <f>C12-C13-C16-C17-C18-C19-C20-C21-C22-C23-C24-C25-C28-C32-C33</f>
        <v>3.7289282772690058E-11</v>
      </c>
      <c r="D80" s="283">
        <f>D12-D13-D16-D17-D18-D19-D20-D21-D22-D23-D24-D25-D28-D32-D33</f>
        <v>-1.0404619388282299E-9</v>
      </c>
    </row>
    <row r="81" spans="1:4" ht="14.25">
      <c r="A81" s="118" t="s">
        <v>141</v>
      </c>
      <c r="B81" s="101"/>
      <c r="C81" s="283">
        <f>C13-C14-C15</f>
        <v>0</v>
      </c>
      <c r="D81" s="283">
        <f>D13-D14-D15</f>
        <v>0</v>
      </c>
    </row>
    <row r="82" spans="1:4" ht="14.25">
      <c r="A82" s="118" t="s">
        <v>142</v>
      </c>
      <c r="B82" s="99"/>
      <c r="C82" s="102">
        <f>IF(C25-C26&gt;0,0,C25-C26)</f>
        <v>0</v>
      </c>
      <c r="D82" s="102">
        <f>IF(D25-D26&gt;0,0,D25-D26)</f>
        <v>0</v>
      </c>
    </row>
    <row r="83" spans="1:4" ht="14.25">
      <c r="A83" s="118" t="s">
        <v>87</v>
      </c>
      <c r="B83" s="99"/>
      <c r="C83" s="102">
        <f>IF(C28-C29+C30-C31&gt;0,0,C28-C29+C30-C31)</f>
        <v>0</v>
      </c>
      <c r="D83" s="102">
        <f>IF(D28-D29+D30-D31&gt;0,0,D28-D29+D30-D31)</f>
        <v>0</v>
      </c>
    </row>
    <row r="84" spans="1:4" ht="14.25">
      <c r="A84" s="118" t="s">
        <v>48</v>
      </c>
      <c r="B84" s="99"/>
      <c r="C84" s="102">
        <f>IF(C41-C42-C43-C44-C45&gt;0,0,C41-C42-C43-C44-C45)</f>
        <v>0</v>
      </c>
      <c r="D84" s="102">
        <f>IF(D41-D42-D43-D44-D45&gt;0,0,D41-D42-D43-D44-D45)</f>
        <v>0</v>
      </c>
    </row>
    <row r="85" spans="1:4" ht="14.25">
      <c r="A85" s="118" t="s">
        <v>49</v>
      </c>
      <c r="B85" s="99"/>
      <c r="C85" s="102">
        <f>IF(C46-C47-C48-C49&gt;0,0,C46-C47-C48-C49)</f>
        <v>0</v>
      </c>
      <c r="D85" s="102">
        <f>IF(D46-D47-D48-D49&gt;0,0,D46-D47-D48-D49)</f>
        <v>0</v>
      </c>
    </row>
    <row r="86" spans="1:4" ht="14.25">
      <c r="A86" s="118" t="s">
        <v>143</v>
      </c>
      <c r="B86" s="99"/>
      <c r="C86" s="102">
        <f>C5-C12+C34+C35+C39-C40</f>
        <v>0</v>
      </c>
      <c r="D86" s="102">
        <f>D5-D12+D34+D35+D39-D40</f>
        <v>0</v>
      </c>
    </row>
    <row r="87" spans="1:4" ht="14.25">
      <c r="A87" s="118" t="s">
        <v>144</v>
      </c>
      <c r="B87" s="99"/>
      <c r="C87" s="102">
        <f>C40+C41-C46-C50</f>
        <v>0</v>
      </c>
      <c r="D87" s="102">
        <f>D40+D41-D46-D50</f>
        <v>0</v>
      </c>
    </row>
    <row r="88" spans="1:4" ht="14.25">
      <c r="A88" s="118" t="s">
        <v>145</v>
      </c>
      <c r="B88" s="99"/>
      <c r="C88" s="102">
        <f>C50-C51-C52</f>
        <v>0</v>
      </c>
      <c r="D88" s="102">
        <f>D50-D51-D52</f>
        <v>0</v>
      </c>
    </row>
    <row r="89" spans="1:4" ht="14.25">
      <c r="A89" s="118" t="s">
        <v>146</v>
      </c>
      <c r="B89" s="99"/>
      <c r="C89" s="102">
        <f>C52-C53-C54</f>
        <v>0</v>
      </c>
      <c r="D89" s="102">
        <f>D52-D53-D54</f>
        <v>0</v>
      </c>
    </row>
    <row r="90" spans="1:4" ht="14.25">
      <c r="A90" s="118" t="s">
        <v>1422</v>
      </c>
      <c r="B90" s="99"/>
      <c r="C90" s="102">
        <f>C57-C58-C68</f>
        <v>0</v>
      </c>
      <c r="D90" s="102">
        <f>D57-D58-D68</f>
        <v>0</v>
      </c>
    </row>
    <row r="91" spans="1:4" ht="14.25">
      <c r="A91" s="118" t="s">
        <v>1423</v>
      </c>
      <c r="B91" s="99"/>
      <c r="C91" s="102">
        <f>IF(C59-C60-C61&gt;0,0,C59-C60-C61)</f>
        <v>0</v>
      </c>
      <c r="D91" s="102">
        <f>IF(D59-D60-D61&gt;0,0,D59-D60-D61)</f>
        <v>0</v>
      </c>
    </row>
    <row r="92" spans="1:4" ht="14.25">
      <c r="A92" s="118" t="s">
        <v>1424</v>
      </c>
      <c r="B92" s="99"/>
      <c r="C92" s="102">
        <f>IF(C62-C63-C64-C65-C66-C67&gt;0,0,C62-C63-C64-C65-C66-C67)</f>
        <v>0</v>
      </c>
      <c r="D92" s="102">
        <f>IF(D62-D63-D64-D65-D66-D67&gt;0,0,D62-D63-D64-D65-D66-D67)</f>
        <v>0</v>
      </c>
    </row>
    <row r="93" spans="1:4" ht="14.25">
      <c r="A93" s="118" t="s">
        <v>147</v>
      </c>
      <c r="B93" s="99"/>
      <c r="C93" s="102">
        <f>C52+C57-C69</f>
        <v>0</v>
      </c>
      <c r="D93" s="102">
        <f>D52+D57-D69</f>
        <v>0</v>
      </c>
    </row>
    <row r="94" spans="1:4" ht="14.25">
      <c r="A94" s="118" t="s">
        <v>148</v>
      </c>
      <c r="B94" s="282"/>
      <c r="C94" s="103">
        <f>C69-C70-C71</f>
        <v>0</v>
      </c>
      <c r="D94" s="103">
        <f>D69-D70-D71</f>
        <v>0</v>
      </c>
    </row>
    <row r="95" spans="1:4" ht="14.25"/>
    <row r="96" spans="1:4" ht="14.25"/>
  </sheetData>
  <sheetProtection formatCells="0" formatColumns="0" formatRows="0" autoFilter="0"/>
  <mergeCells count="6">
    <mergeCell ref="A1:D1"/>
    <mergeCell ref="A2:D2"/>
    <mergeCell ref="A75:D75"/>
    <mergeCell ref="A76:D76"/>
    <mergeCell ref="G7:G8"/>
    <mergeCell ref="G14:G15"/>
  </mergeCells>
  <phoneticPr fontId="5" type="noConversion"/>
  <hyperlinks>
    <hyperlink ref="G1" location="附注填写封面!B3" display="返回目录" xr:uid="{00000000-0004-0000-0600-000000000000}"/>
  </hyperlinks>
  <printOptions horizontalCentered="1"/>
  <pageMargins left="0.74803149606299213" right="0.35433070866141736" top="0.78740157480314965" bottom="0.70866141732283472" header="0.51181102362204722" footer="0.31496062992125984"/>
  <pageSetup paperSize="9" scale="67" firstPageNumber="5" orientation="portrait" blackAndWhite="1" useFirstPageNumber="1" r:id="rId1"/>
  <headerFooter alignWithMargins="0">
    <oddFooter>&amp;C&amp;"Times New Roman,常规"&amp;P</oddFooter>
  </headerFooter>
  <rowBreaks count="1" manualBreakCount="1">
    <brk id="76" max="16383" man="1"/>
  </rowBreaks>
  <ignoredErrors>
    <ignoredError sqref="C71:D71" unlockedFormula="1"/>
  </ignoredError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7">
    <tabColor rgb="FFFFC000"/>
    <pageSetUpPr autoPageBreaks="0"/>
  </sheetPr>
  <dimension ref="B1:Q79"/>
  <sheetViews>
    <sheetView showGridLines="0" showZeros="0" zoomScaleSheetLayoutView="75" workbookViewId="0">
      <pane xSplit="2" ySplit="4" topLeftCell="C5" activePane="bottomRight" state="frozen"/>
      <selection activeCell="A5" sqref="A5:A6"/>
      <selection pane="topRight" activeCell="A5" sqref="A5:A6"/>
      <selection pane="bottomLeft" activeCell="A5" sqref="A5:A6"/>
      <selection pane="bottomRight" activeCell="C28" sqref="C28"/>
    </sheetView>
  </sheetViews>
  <sheetFormatPr defaultColWidth="3.625" defaultRowHeight="18" customHeight="1"/>
  <cols>
    <col min="1" max="1" width="3.625" style="104" customWidth="1"/>
    <col min="2" max="2" width="34.875" style="108" customWidth="1"/>
    <col min="3" max="3" width="12.125" style="108" bestFit="1" customWidth="1"/>
    <col min="4" max="7" width="9.5" style="108" bestFit="1" customWidth="1"/>
    <col min="8" max="8" width="15.125" style="108" bestFit="1" customWidth="1"/>
    <col min="9" max="9" width="11.75" style="108" bestFit="1" customWidth="1"/>
    <col min="10" max="13" width="5.5" style="108" bestFit="1" customWidth="1"/>
    <col min="14" max="14" width="19.125" style="104" bestFit="1" customWidth="1"/>
    <col min="15" max="15" width="4.625" style="105" bestFit="1" customWidth="1"/>
    <col min="16" max="16" width="10.375" style="105" customWidth="1"/>
    <col min="17" max="16384" width="3.625" style="104"/>
  </cols>
  <sheetData>
    <row r="1" spans="2:17" ht="18" customHeight="1">
      <c r="B1" s="1690" t="str">
        <f>封面!C7&amp;"未审现金流量表"</f>
        <v>未审现金流量表</v>
      </c>
      <c r="C1" s="1690"/>
      <c r="D1" s="1690"/>
      <c r="E1" s="1690"/>
      <c r="F1" s="1690"/>
      <c r="G1" s="1690"/>
      <c r="H1" s="1690"/>
      <c r="I1" s="1690"/>
      <c r="J1" s="1690"/>
      <c r="K1" s="1690"/>
      <c r="L1" s="1690"/>
      <c r="M1" s="1690"/>
      <c r="N1" s="1690"/>
      <c r="O1" s="416"/>
      <c r="P1" s="305"/>
    </row>
    <row r="2" spans="2:17" ht="18" customHeight="1">
      <c r="B2" s="1691" t="str">
        <f>封面!$C$6</f>
        <v>2019年1-5月</v>
      </c>
      <c r="C2" s="1691"/>
      <c r="D2" s="1691"/>
      <c r="E2" s="1691"/>
      <c r="F2" s="1691"/>
      <c r="G2" s="1691"/>
      <c r="H2" s="1692"/>
      <c r="I2" s="1692"/>
      <c r="J2" s="1692"/>
      <c r="K2" s="1692"/>
      <c r="L2" s="1692"/>
      <c r="M2" s="1692"/>
      <c r="N2" s="1692"/>
      <c r="O2" s="416"/>
      <c r="P2" s="413" t="s">
        <v>1585</v>
      </c>
    </row>
    <row r="3" spans="2:17" ht="18" customHeight="1" thickBot="1">
      <c r="B3" s="423" t="str">
        <f>审定资产负债表!A3</f>
        <v>编制单位：华鼎资本（北京）有限公司</v>
      </c>
      <c r="C3" s="457"/>
      <c r="D3" s="457"/>
      <c r="E3" s="457"/>
      <c r="F3" s="457"/>
      <c r="G3" s="457"/>
      <c r="H3" s="413" t="s">
        <v>1585</v>
      </c>
      <c r="I3" s="457"/>
      <c r="J3" s="457"/>
      <c r="K3" s="457"/>
      <c r="L3" s="457"/>
      <c r="M3" s="457"/>
      <c r="N3" s="424" t="s">
        <v>1588</v>
      </c>
      <c r="O3" s="416"/>
      <c r="P3" s="416"/>
    </row>
    <row r="4" spans="2:17" ht="27.2" customHeight="1">
      <c r="B4" s="425" t="s">
        <v>1699</v>
      </c>
      <c r="C4" s="155" t="s">
        <v>5003</v>
      </c>
      <c r="D4" s="481" t="s">
        <v>1700</v>
      </c>
      <c r="E4" s="481" t="s">
        <v>1701</v>
      </c>
      <c r="F4" s="481" t="s">
        <v>1702</v>
      </c>
      <c r="G4" s="481" t="s">
        <v>1703</v>
      </c>
      <c r="H4" s="482" t="s">
        <v>1704</v>
      </c>
      <c r="I4" s="155" t="s">
        <v>5002</v>
      </c>
      <c r="J4" s="483" t="s">
        <v>1703</v>
      </c>
      <c r="K4" s="483" t="s">
        <v>1705</v>
      </c>
      <c r="L4" s="483" t="s">
        <v>1706</v>
      </c>
      <c r="M4" s="483" t="s">
        <v>1707</v>
      </c>
      <c r="N4" s="482" t="s">
        <v>1727</v>
      </c>
      <c r="O4" s="305"/>
      <c r="P4" s="305"/>
    </row>
    <row r="5" spans="2:17" ht="18" customHeight="1">
      <c r="B5" s="442" t="s">
        <v>698</v>
      </c>
      <c r="C5" s="484"/>
      <c r="D5" s="484"/>
      <c r="E5" s="484"/>
      <c r="F5" s="484"/>
      <c r="G5" s="484"/>
      <c r="H5" s="485"/>
      <c r="I5" s="486"/>
      <c r="J5" s="486"/>
      <c r="K5" s="486"/>
      <c r="L5" s="486"/>
      <c r="M5" s="486"/>
      <c r="N5" s="487"/>
      <c r="O5" s="305"/>
      <c r="P5" s="305"/>
      <c r="Q5" s="106"/>
    </row>
    <row r="6" spans="2:17" ht="18" customHeight="1">
      <c r="B6" s="443" t="s">
        <v>699</v>
      </c>
      <c r="C6" s="488"/>
      <c r="D6" s="488"/>
      <c r="E6" s="488"/>
      <c r="F6" s="488"/>
      <c r="G6" s="488"/>
      <c r="H6" s="489">
        <f>SUM(C6:G6)</f>
        <v>0</v>
      </c>
      <c r="I6" s="490">
        <v>17000000</v>
      </c>
      <c r="J6" s="490"/>
      <c r="K6" s="490"/>
      <c r="L6" s="490"/>
      <c r="M6" s="490"/>
      <c r="N6" s="489">
        <f>SUM(I6:M6)</f>
        <v>17000000</v>
      </c>
      <c r="O6" s="305"/>
      <c r="P6" s="305"/>
      <c r="Q6" s="106"/>
    </row>
    <row r="7" spans="2:17" ht="18" customHeight="1">
      <c r="B7" s="491" t="s">
        <v>1720</v>
      </c>
      <c r="C7" s="488"/>
      <c r="D7" s="488"/>
      <c r="E7" s="488"/>
      <c r="F7" s="488"/>
      <c r="G7" s="488"/>
      <c r="H7" s="489">
        <f t="shared" ref="H7:H18" si="0">SUM(C7:G7)</f>
        <v>0</v>
      </c>
      <c r="I7" s="490"/>
      <c r="J7" s="490"/>
      <c r="K7" s="490"/>
      <c r="L7" s="490"/>
      <c r="M7" s="490"/>
      <c r="N7" s="489">
        <f t="shared" ref="N7:N27" si="1">SUM(I7:M7)</f>
        <v>0</v>
      </c>
      <c r="O7" s="305"/>
      <c r="P7" s="305"/>
      <c r="Q7" s="106"/>
    </row>
    <row r="8" spans="2:17" ht="18" customHeight="1">
      <c r="B8" s="491" t="s">
        <v>701</v>
      </c>
      <c r="C8" s="488"/>
      <c r="D8" s="488"/>
      <c r="E8" s="488"/>
      <c r="F8" s="488"/>
      <c r="G8" s="488"/>
      <c r="H8" s="489">
        <f t="shared" si="0"/>
        <v>0</v>
      </c>
      <c r="I8" s="490"/>
      <c r="J8" s="490"/>
      <c r="K8" s="490"/>
      <c r="L8" s="490"/>
      <c r="M8" s="490"/>
      <c r="N8" s="489">
        <f t="shared" si="1"/>
        <v>0</v>
      </c>
      <c r="O8" s="305"/>
      <c r="P8" s="305"/>
      <c r="Q8" s="106"/>
    </row>
    <row r="9" spans="2:17" ht="18" customHeight="1">
      <c r="B9" s="491" t="s">
        <v>1728</v>
      </c>
      <c r="C9" s="488"/>
      <c r="D9" s="488"/>
      <c r="E9" s="488"/>
      <c r="F9" s="488"/>
      <c r="G9" s="488"/>
      <c r="H9" s="489">
        <f t="shared" si="0"/>
        <v>0</v>
      </c>
      <c r="I9" s="490"/>
      <c r="J9" s="490"/>
      <c r="K9" s="490"/>
      <c r="L9" s="490"/>
      <c r="M9" s="490"/>
      <c r="N9" s="489">
        <f t="shared" si="1"/>
        <v>0</v>
      </c>
      <c r="O9" s="305"/>
      <c r="P9" s="305"/>
      <c r="Q9" s="106"/>
    </row>
    <row r="10" spans="2:17" ht="18" customHeight="1">
      <c r="B10" s="491" t="s">
        <v>1729</v>
      </c>
      <c r="C10" s="488"/>
      <c r="D10" s="488"/>
      <c r="E10" s="488"/>
      <c r="F10" s="488"/>
      <c r="G10" s="488"/>
      <c r="H10" s="489">
        <f t="shared" si="0"/>
        <v>0</v>
      </c>
      <c r="I10" s="490"/>
      <c r="J10" s="490"/>
      <c r="K10" s="490"/>
      <c r="L10" s="490"/>
      <c r="M10" s="490"/>
      <c r="N10" s="489">
        <f t="shared" si="1"/>
        <v>0</v>
      </c>
      <c r="O10" s="305"/>
      <c r="P10" s="305"/>
      <c r="Q10" s="106"/>
    </row>
    <row r="11" spans="2:17" ht="18" customHeight="1">
      <c r="B11" s="491" t="s">
        <v>1708</v>
      </c>
      <c r="C11" s="488"/>
      <c r="D11" s="488"/>
      <c r="E11" s="488"/>
      <c r="F11" s="488"/>
      <c r="G11" s="488"/>
      <c r="H11" s="489">
        <f t="shared" si="0"/>
        <v>0</v>
      </c>
      <c r="I11" s="490"/>
      <c r="J11" s="490"/>
      <c r="K11" s="490"/>
      <c r="L11" s="490"/>
      <c r="M11" s="490"/>
      <c r="N11" s="489">
        <f t="shared" si="1"/>
        <v>0</v>
      </c>
      <c r="O11" s="305"/>
      <c r="P11" s="305"/>
      <c r="Q11" s="106"/>
    </row>
    <row r="12" spans="2:17" ht="18" customHeight="1">
      <c r="B12" s="492" t="s">
        <v>1709</v>
      </c>
      <c r="C12" s="488"/>
      <c r="D12" s="488"/>
      <c r="E12" s="488"/>
      <c r="F12" s="488"/>
      <c r="G12" s="488"/>
      <c r="H12" s="489">
        <f t="shared" si="0"/>
        <v>0</v>
      </c>
      <c r="I12" s="490"/>
      <c r="J12" s="490"/>
      <c r="K12" s="490"/>
      <c r="L12" s="490"/>
      <c r="M12" s="490"/>
      <c r="N12" s="489">
        <f t="shared" si="1"/>
        <v>0</v>
      </c>
      <c r="O12" s="305"/>
      <c r="P12" s="305"/>
      <c r="Q12" s="106"/>
    </row>
    <row r="13" spans="2:17" ht="24.75">
      <c r="B13" s="492" t="s">
        <v>1710</v>
      </c>
      <c r="C13" s="488"/>
      <c r="D13" s="488"/>
      <c r="E13" s="488"/>
      <c r="F13" s="488"/>
      <c r="G13" s="488"/>
      <c r="H13" s="489">
        <f t="shared" si="0"/>
        <v>0</v>
      </c>
      <c r="I13" s="490"/>
      <c r="J13" s="490"/>
      <c r="K13" s="490"/>
      <c r="L13" s="490"/>
      <c r="M13" s="490"/>
      <c r="N13" s="489">
        <f t="shared" si="1"/>
        <v>0</v>
      </c>
      <c r="O13" s="305"/>
      <c r="P13" s="305"/>
      <c r="Q13" s="106"/>
    </row>
    <row r="14" spans="2:17" ht="18" customHeight="1">
      <c r="B14" s="492" t="s">
        <v>1721</v>
      </c>
      <c r="C14" s="488"/>
      <c r="D14" s="488"/>
      <c r="E14" s="488"/>
      <c r="F14" s="488"/>
      <c r="G14" s="488"/>
      <c r="H14" s="489">
        <f t="shared" si="0"/>
        <v>0</v>
      </c>
      <c r="I14" s="490"/>
      <c r="J14" s="490"/>
      <c r="K14" s="490"/>
      <c r="L14" s="490"/>
      <c r="M14" s="490"/>
      <c r="N14" s="489">
        <f t="shared" si="1"/>
        <v>0</v>
      </c>
      <c r="O14" s="305"/>
      <c r="P14" s="305"/>
      <c r="Q14" s="106"/>
    </row>
    <row r="15" spans="2:17" ht="18" customHeight="1">
      <c r="B15" s="492" t="s">
        <v>1730</v>
      </c>
      <c r="C15" s="488"/>
      <c r="D15" s="488"/>
      <c r="E15" s="488"/>
      <c r="F15" s="488"/>
      <c r="G15" s="488"/>
      <c r="H15" s="489">
        <f t="shared" si="0"/>
        <v>0</v>
      </c>
      <c r="I15" s="490"/>
      <c r="J15" s="490"/>
      <c r="K15" s="490"/>
      <c r="L15" s="490"/>
      <c r="M15" s="490"/>
      <c r="N15" s="489">
        <f t="shared" si="1"/>
        <v>0</v>
      </c>
      <c r="O15" s="305"/>
      <c r="P15" s="305"/>
      <c r="Q15" s="106"/>
    </row>
    <row r="16" spans="2:17" ht="18" customHeight="1">
      <c r="B16" s="492" t="s">
        <v>1731</v>
      </c>
      <c r="C16" s="488"/>
      <c r="D16" s="488"/>
      <c r="E16" s="488"/>
      <c r="F16" s="488"/>
      <c r="G16" s="488"/>
      <c r="H16" s="489">
        <f t="shared" si="0"/>
        <v>0</v>
      </c>
      <c r="I16" s="490"/>
      <c r="J16" s="490"/>
      <c r="K16" s="490"/>
      <c r="L16" s="490"/>
      <c r="M16" s="490"/>
      <c r="N16" s="489">
        <f t="shared" si="1"/>
        <v>0</v>
      </c>
      <c r="O16" s="305"/>
      <c r="P16" s="305"/>
      <c r="Q16" s="106"/>
    </row>
    <row r="17" spans="2:17" ht="18" customHeight="1">
      <c r="B17" s="443" t="s">
        <v>710</v>
      </c>
      <c r="C17" s="488"/>
      <c r="D17" s="488"/>
      <c r="E17" s="488"/>
      <c r="F17" s="488"/>
      <c r="G17" s="488"/>
      <c r="H17" s="489">
        <f t="shared" si="0"/>
        <v>0</v>
      </c>
      <c r="I17" s="490">
        <v>511678</v>
      </c>
      <c r="J17" s="490"/>
      <c r="K17" s="490"/>
      <c r="L17" s="490"/>
      <c r="M17" s="490"/>
      <c r="N17" s="489">
        <f t="shared" si="1"/>
        <v>511678</v>
      </c>
      <c r="O17" s="305"/>
      <c r="P17" s="305"/>
      <c r="Q17" s="106"/>
    </row>
    <row r="18" spans="2:17" ht="18" customHeight="1">
      <c r="B18" s="443" t="s">
        <v>711</v>
      </c>
      <c r="C18" s="488">
        <v>3501.21</v>
      </c>
      <c r="D18" s="488"/>
      <c r="E18" s="488"/>
      <c r="F18" s="488"/>
      <c r="G18" s="488"/>
      <c r="H18" s="489">
        <f t="shared" si="0"/>
        <v>3501.21</v>
      </c>
      <c r="I18" s="490">
        <v>278279.76</v>
      </c>
      <c r="J18" s="490"/>
      <c r="K18" s="490"/>
      <c r="L18" s="490"/>
      <c r="M18" s="490"/>
      <c r="N18" s="489">
        <f>SUM(I18:M18)</f>
        <v>278279.76</v>
      </c>
      <c r="O18" s="305"/>
      <c r="P18" s="305"/>
      <c r="Q18" s="106"/>
    </row>
    <row r="19" spans="2:17" s="277" customFormat="1" ht="18" customHeight="1">
      <c r="B19" s="493" t="s">
        <v>712</v>
      </c>
      <c r="C19" s="489">
        <f t="shared" ref="C19:N19" si="2">SUM(C6:C18)</f>
        <v>3501.21</v>
      </c>
      <c r="D19" s="489">
        <f t="shared" si="2"/>
        <v>0</v>
      </c>
      <c r="E19" s="489">
        <f t="shared" si="2"/>
        <v>0</v>
      </c>
      <c r="F19" s="489">
        <f t="shared" si="2"/>
        <v>0</v>
      </c>
      <c r="G19" s="489">
        <f>SUM(G6:G18)</f>
        <v>0</v>
      </c>
      <c r="H19" s="489">
        <f t="shared" si="2"/>
        <v>3501.21</v>
      </c>
      <c r="I19" s="489">
        <f t="shared" si="2"/>
        <v>17789957.760000002</v>
      </c>
      <c r="J19" s="489">
        <f t="shared" si="2"/>
        <v>0</v>
      </c>
      <c r="K19" s="489">
        <f t="shared" si="2"/>
        <v>0</v>
      </c>
      <c r="L19" s="489">
        <f t="shared" si="2"/>
        <v>0</v>
      </c>
      <c r="M19" s="489">
        <f t="shared" si="2"/>
        <v>0</v>
      </c>
      <c r="N19" s="494">
        <f t="shared" si="2"/>
        <v>17789957.760000002</v>
      </c>
      <c r="O19" s="417">
        <f>SUM(H6:H18)-H19</f>
        <v>0</v>
      </c>
      <c r="P19" s="417">
        <f>SUM(N6:N18)-N19</f>
        <v>0</v>
      </c>
    </row>
    <row r="20" spans="2:17" ht="18" customHeight="1">
      <c r="B20" s="443" t="s">
        <v>713</v>
      </c>
      <c r="C20" s="488"/>
      <c r="D20" s="488"/>
      <c r="E20" s="488"/>
      <c r="F20" s="488"/>
      <c r="G20" s="488"/>
      <c r="H20" s="489">
        <f>SUM(C20:G20)</f>
        <v>0</v>
      </c>
      <c r="I20" s="490"/>
      <c r="J20" s="490"/>
      <c r="K20" s="490"/>
      <c r="L20" s="490"/>
      <c r="M20" s="490"/>
      <c r="N20" s="489">
        <f t="shared" si="1"/>
        <v>0</v>
      </c>
      <c r="O20" s="305"/>
      <c r="P20" s="305"/>
      <c r="Q20" s="106"/>
    </row>
    <row r="21" spans="2:17" ht="18" customHeight="1">
      <c r="B21" s="492" t="s">
        <v>1732</v>
      </c>
      <c r="C21" s="488"/>
      <c r="D21" s="488"/>
      <c r="E21" s="488"/>
      <c r="F21" s="488"/>
      <c r="G21" s="488"/>
      <c r="H21" s="489">
        <f t="shared" ref="H21:H28" si="3">SUM(C21:G21)</f>
        <v>0</v>
      </c>
      <c r="I21" s="490"/>
      <c r="J21" s="490"/>
      <c r="K21" s="490"/>
      <c r="L21" s="490"/>
      <c r="M21" s="490"/>
      <c r="N21" s="489">
        <f t="shared" si="1"/>
        <v>0</v>
      </c>
      <c r="O21" s="305"/>
      <c r="P21" s="305"/>
      <c r="Q21" s="106"/>
    </row>
    <row r="22" spans="2:17" ht="18" customHeight="1">
      <c r="B22" s="492" t="s">
        <v>1722</v>
      </c>
      <c r="C22" s="488"/>
      <c r="D22" s="488"/>
      <c r="E22" s="488"/>
      <c r="F22" s="488"/>
      <c r="G22" s="488"/>
      <c r="H22" s="489">
        <f t="shared" si="3"/>
        <v>0</v>
      </c>
      <c r="I22" s="490"/>
      <c r="J22" s="490"/>
      <c r="K22" s="490"/>
      <c r="L22" s="490"/>
      <c r="M22" s="490"/>
      <c r="N22" s="489">
        <f t="shared" si="1"/>
        <v>0</v>
      </c>
      <c r="O22" s="305"/>
      <c r="P22" s="305"/>
      <c r="Q22" s="106"/>
    </row>
    <row r="23" spans="2:17" ht="18" customHeight="1">
      <c r="B23" s="492" t="s">
        <v>1711</v>
      </c>
      <c r="C23" s="488"/>
      <c r="D23" s="488"/>
      <c r="E23" s="488"/>
      <c r="F23" s="488"/>
      <c r="G23" s="488"/>
      <c r="H23" s="489">
        <f t="shared" si="3"/>
        <v>0</v>
      </c>
      <c r="I23" s="490"/>
      <c r="J23" s="490"/>
      <c r="K23" s="490"/>
      <c r="L23" s="490"/>
      <c r="M23" s="490"/>
      <c r="N23" s="489">
        <f t="shared" si="1"/>
        <v>0</v>
      </c>
      <c r="O23" s="305"/>
      <c r="P23" s="305"/>
      <c r="Q23" s="106"/>
    </row>
    <row r="24" spans="2:17" ht="18" customHeight="1">
      <c r="B24" s="492" t="s">
        <v>1733</v>
      </c>
      <c r="C24" s="488"/>
      <c r="D24" s="488"/>
      <c r="E24" s="488"/>
      <c r="F24" s="488"/>
      <c r="G24" s="488"/>
      <c r="H24" s="489">
        <f t="shared" si="3"/>
        <v>0</v>
      </c>
      <c r="I24" s="490"/>
      <c r="J24" s="490"/>
      <c r="K24" s="490"/>
      <c r="L24" s="490"/>
      <c r="M24" s="490"/>
      <c r="N24" s="489">
        <f t="shared" si="1"/>
        <v>0</v>
      </c>
      <c r="O24" s="305"/>
      <c r="P24" s="305"/>
      <c r="Q24" s="106"/>
    </row>
    <row r="25" spans="2:17" ht="18" customHeight="1">
      <c r="B25" s="492" t="s">
        <v>1712</v>
      </c>
      <c r="C25" s="488"/>
      <c r="D25" s="488"/>
      <c r="E25" s="488"/>
      <c r="F25" s="488"/>
      <c r="G25" s="488"/>
      <c r="H25" s="489">
        <f t="shared" si="3"/>
        <v>0</v>
      </c>
      <c r="I25" s="490"/>
      <c r="J25" s="490"/>
      <c r="K25" s="490"/>
      <c r="L25" s="490"/>
      <c r="M25" s="490"/>
      <c r="N25" s="489">
        <f t="shared" si="1"/>
        <v>0</v>
      </c>
      <c r="O25" s="305"/>
      <c r="P25" s="305"/>
      <c r="Q25" s="106"/>
    </row>
    <row r="26" spans="2:17" ht="18" customHeight="1">
      <c r="B26" s="443" t="s">
        <v>719</v>
      </c>
      <c r="C26" s="488">
        <v>2808839.9300000006</v>
      </c>
      <c r="D26" s="488"/>
      <c r="E26" s="488"/>
      <c r="F26" s="488"/>
      <c r="G26" s="488"/>
      <c r="H26" s="489">
        <f t="shared" si="3"/>
        <v>2808839.9300000006</v>
      </c>
      <c r="I26" s="490">
        <v>7355606.5899999999</v>
      </c>
      <c r="J26" s="490"/>
      <c r="K26" s="490"/>
      <c r="L26" s="490"/>
      <c r="M26" s="490"/>
      <c r="N26" s="489">
        <f t="shared" si="1"/>
        <v>7355606.5899999999</v>
      </c>
      <c r="O26" s="305"/>
      <c r="P26" s="305"/>
      <c r="Q26" s="106"/>
    </row>
    <row r="27" spans="2:17" ht="18" customHeight="1">
      <c r="B27" s="443" t="s">
        <v>720</v>
      </c>
      <c r="C27" s="488">
        <v>968652.24999999988</v>
      </c>
      <c r="D27" s="488"/>
      <c r="E27" s="488"/>
      <c r="F27" s="488"/>
      <c r="G27" s="488"/>
      <c r="H27" s="489">
        <f t="shared" si="3"/>
        <v>968652.24999999988</v>
      </c>
      <c r="I27" s="490">
        <v>6419475.4900000002</v>
      </c>
      <c r="J27" s="490"/>
      <c r="K27" s="490"/>
      <c r="L27" s="490"/>
      <c r="M27" s="490"/>
      <c r="N27" s="489">
        <f t="shared" si="1"/>
        <v>6419475.4900000002</v>
      </c>
      <c r="O27" s="305"/>
      <c r="P27" s="305"/>
      <c r="Q27" s="106"/>
    </row>
    <row r="28" spans="2:17" ht="18" customHeight="1">
      <c r="B28" s="443" t="s">
        <v>721</v>
      </c>
      <c r="C28" s="488">
        <v>1193214.6399999999</v>
      </c>
      <c r="D28" s="488"/>
      <c r="E28" s="488"/>
      <c r="F28" s="488"/>
      <c r="G28" s="488"/>
      <c r="H28" s="489">
        <f t="shared" si="3"/>
        <v>1193214.6399999999</v>
      </c>
      <c r="I28" s="490">
        <v>4139025.11</v>
      </c>
      <c r="J28" s="490"/>
      <c r="K28" s="490"/>
      <c r="L28" s="490"/>
      <c r="M28" s="490"/>
      <c r="N28" s="489">
        <f>SUM(I28:M28)</f>
        <v>4139025.11</v>
      </c>
      <c r="O28" s="305"/>
      <c r="P28" s="305"/>
      <c r="Q28" s="106"/>
    </row>
    <row r="29" spans="2:17" ht="18" customHeight="1">
      <c r="B29" s="439" t="s">
        <v>722</v>
      </c>
      <c r="C29" s="489">
        <f t="shared" ref="C29:N29" si="4">SUM(C20:C28)</f>
        <v>4970706.82</v>
      </c>
      <c r="D29" s="489">
        <f t="shared" si="4"/>
        <v>0</v>
      </c>
      <c r="E29" s="489">
        <f t="shared" si="4"/>
        <v>0</v>
      </c>
      <c r="F29" s="489">
        <f t="shared" si="4"/>
        <v>0</v>
      </c>
      <c r="G29" s="489">
        <f t="shared" si="4"/>
        <v>0</v>
      </c>
      <c r="H29" s="489">
        <f t="shared" si="4"/>
        <v>4970706.82</v>
      </c>
      <c r="I29" s="489">
        <f>SUM(I20:I28)</f>
        <v>17914107.190000001</v>
      </c>
      <c r="J29" s="489">
        <f>SUM(J20:J28)</f>
        <v>0</v>
      </c>
      <c r="K29" s="489">
        <f>SUM(K20:K28)</f>
        <v>0</v>
      </c>
      <c r="L29" s="489">
        <f>SUM(L20:L28)</f>
        <v>0</v>
      </c>
      <c r="M29" s="489">
        <f>SUM(M20:M28)</f>
        <v>0</v>
      </c>
      <c r="N29" s="494">
        <f t="shared" si="4"/>
        <v>17914107.190000001</v>
      </c>
      <c r="O29" s="417">
        <f>SUM(H20:H28)-H29</f>
        <v>0</v>
      </c>
      <c r="P29" s="417">
        <f>SUM(N20:N28)-N29</f>
        <v>0</v>
      </c>
      <c r="Q29" s="106"/>
    </row>
    <row r="30" spans="2:17" ht="18" customHeight="1">
      <c r="B30" s="442" t="s">
        <v>723</v>
      </c>
      <c r="C30" s="489">
        <f t="shared" ref="C30:N30" si="5">C19-C29</f>
        <v>-4967205.6100000003</v>
      </c>
      <c r="D30" s="489">
        <f t="shared" si="5"/>
        <v>0</v>
      </c>
      <c r="E30" s="489">
        <f t="shared" si="5"/>
        <v>0</v>
      </c>
      <c r="F30" s="489">
        <f t="shared" si="5"/>
        <v>0</v>
      </c>
      <c r="G30" s="489">
        <f t="shared" si="5"/>
        <v>0</v>
      </c>
      <c r="H30" s="489">
        <f t="shared" si="5"/>
        <v>-4967205.6100000003</v>
      </c>
      <c r="I30" s="489">
        <f>I19-I29</f>
        <v>-124149.4299999997</v>
      </c>
      <c r="J30" s="489">
        <f>J19-J29</f>
        <v>0</v>
      </c>
      <c r="K30" s="489">
        <f>K19-K29</f>
        <v>0</v>
      </c>
      <c r="L30" s="489">
        <f>L19-L29</f>
        <v>0</v>
      </c>
      <c r="M30" s="489">
        <f>M19-M29</f>
        <v>0</v>
      </c>
      <c r="N30" s="494">
        <f t="shared" si="5"/>
        <v>-124149.4299999997</v>
      </c>
      <c r="O30" s="417">
        <f>H19-H29-H30</f>
        <v>0</v>
      </c>
      <c r="P30" s="417">
        <f>N19-N29-N30</f>
        <v>0</v>
      </c>
      <c r="Q30" s="106"/>
    </row>
    <row r="31" spans="2:17" ht="18" customHeight="1">
      <c r="B31" s="442" t="s">
        <v>1734</v>
      </c>
      <c r="C31" s="488"/>
      <c r="D31" s="488"/>
      <c r="E31" s="488"/>
      <c r="F31" s="488"/>
      <c r="G31" s="488"/>
      <c r="H31" s="495"/>
      <c r="I31" s="496"/>
      <c r="J31" s="496"/>
      <c r="K31" s="496"/>
      <c r="L31" s="496"/>
      <c r="M31" s="496"/>
      <c r="N31" s="497"/>
      <c r="O31" s="305"/>
      <c r="P31" s="305"/>
      <c r="Q31" s="106"/>
    </row>
    <row r="32" spans="2:17" ht="18" customHeight="1">
      <c r="B32" s="443" t="s">
        <v>1713</v>
      </c>
      <c r="C32" s="488"/>
      <c r="D32" s="488"/>
      <c r="E32" s="488"/>
      <c r="F32" s="488"/>
      <c r="G32" s="488"/>
      <c r="H32" s="489">
        <f>SUM(C32:G32)</f>
        <v>0</v>
      </c>
      <c r="I32" s="490"/>
      <c r="J32" s="490"/>
      <c r="K32" s="490"/>
      <c r="L32" s="490"/>
      <c r="M32" s="490"/>
      <c r="N32" s="489">
        <f>SUM(I32:M32)</f>
        <v>0</v>
      </c>
      <c r="O32" s="305"/>
      <c r="P32" s="305"/>
    </row>
    <row r="33" spans="2:17" ht="18" customHeight="1">
      <c r="B33" s="443" t="s">
        <v>726</v>
      </c>
      <c r="C33" s="488"/>
      <c r="D33" s="488"/>
      <c r="E33" s="488"/>
      <c r="F33" s="488"/>
      <c r="G33" s="488"/>
      <c r="H33" s="489">
        <f>SUM(C33:G33)</f>
        <v>0</v>
      </c>
      <c r="I33" s="490"/>
      <c r="J33" s="490"/>
      <c r="K33" s="490"/>
      <c r="L33" s="490"/>
      <c r="M33" s="490"/>
      <c r="N33" s="489">
        <f t="shared" ref="N33:N42" si="6">SUM(I33:M33)</f>
        <v>0</v>
      </c>
      <c r="O33" s="305"/>
      <c r="P33" s="305"/>
      <c r="Q33" s="107"/>
    </row>
    <row r="34" spans="2:17" ht="18" customHeight="1">
      <c r="B34" s="443" t="s">
        <v>727</v>
      </c>
      <c r="C34" s="488"/>
      <c r="D34" s="488"/>
      <c r="E34" s="488"/>
      <c r="F34" s="488"/>
      <c r="G34" s="488"/>
      <c r="H34" s="489">
        <f>SUM(C34:G34)</f>
        <v>0</v>
      </c>
      <c r="I34" s="490"/>
      <c r="J34" s="490"/>
      <c r="K34" s="490"/>
      <c r="L34" s="490"/>
      <c r="M34" s="490"/>
      <c r="N34" s="489">
        <f t="shared" si="6"/>
        <v>0</v>
      </c>
      <c r="O34" s="305"/>
      <c r="P34" s="305"/>
      <c r="Q34" s="107"/>
    </row>
    <row r="35" spans="2:17" ht="18" customHeight="1">
      <c r="B35" s="443" t="s">
        <v>1714</v>
      </c>
      <c r="C35" s="488"/>
      <c r="D35" s="488"/>
      <c r="E35" s="488"/>
      <c r="F35" s="488"/>
      <c r="G35" s="488"/>
      <c r="H35" s="489">
        <f>SUM(C35:G35)</f>
        <v>0</v>
      </c>
      <c r="I35" s="490"/>
      <c r="J35" s="490"/>
      <c r="K35" s="490"/>
      <c r="L35" s="490"/>
      <c r="M35" s="490"/>
      <c r="N35" s="489">
        <f t="shared" si="6"/>
        <v>0</v>
      </c>
      <c r="O35" s="305"/>
      <c r="P35" s="305"/>
    </row>
    <row r="36" spans="2:17" ht="18" customHeight="1">
      <c r="B36" s="443" t="s">
        <v>729</v>
      </c>
      <c r="C36" s="488"/>
      <c r="D36" s="488"/>
      <c r="E36" s="488"/>
      <c r="F36" s="488"/>
      <c r="G36" s="488"/>
      <c r="H36" s="489">
        <f>SUM(C36:G36)</f>
        <v>0</v>
      </c>
      <c r="I36" s="490"/>
      <c r="J36" s="490"/>
      <c r="K36" s="490"/>
      <c r="L36" s="490"/>
      <c r="M36" s="490"/>
      <c r="N36" s="489">
        <f t="shared" si="6"/>
        <v>0</v>
      </c>
      <c r="O36" s="305"/>
      <c r="P36" s="305"/>
      <c r="Q36" s="107"/>
    </row>
    <row r="37" spans="2:17" ht="18" customHeight="1">
      <c r="B37" s="439" t="s">
        <v>730</v>
      </c>
      <c r="C37" s="489">
        <f t="shared" ref="C37:N37" si="7">SUM(C32:C36)</f>
        <v>0</v>
      </c>
      <c r="D37" s="489">
        <f t="shared" si="7"/>
        <v>0</v>
      </c>
      <c r="E37" s="489">
        <f t="shared" si="7"/>
        <v>0</v>
      </c>
      <c r="F37" s="489">
        <f t="shared" si="7"/>
        <v>0</v>
      </c>
      <c r="G37" s="489">
        <f t="shared" si="7"/>
        <v>0</v>
      </c>
      <c r="H37" s="489">
        <f t="shared" si="7"/>
        <v>0</v>
      </c>
      <c r="I37" s="489">
        <f t="shared" si="7"/>
        <v>0</v>
      </c>
      <c r="J37" s="489">
        <f t="shared" si="7"/>
        <v>0</v>
      </c>
      <c r="K37" s="489">
        <f t="shared" si="7"/>
        <v>0</v>
      </c>
      <c r="L37" s="489">
        <f t="shared" si="7"/>
        <v>0</v>
      </c>
      <c r="M37" s="489">
        <f t="shared" si="7"/>
        <v>0</v>
      </c>
      <c r="N37" s="494">
        <f t="shared" si="7"/>
        <v>0</v>
      </c>
      <c r="O37" s="417">
        <f>SUM(H32:H36)-H37</f>
        <v>0</v>
      </c>
      <c r="P37" s="417">
        <f>SUM(N32:N36)-N37</f>
        <v>0</v>
      </c>
      <c r="Q37" s="107"/>
    </row>
    <row r="38" spans="2:17" ht="18" customHeight="1">
      <c r="B38" s="443" t="s">
        <v>1735</v>
      </c>
      <c r="C38" s="488"/>
      <c r="D38" s="488"/>
      <c r="E38" s="488"/>
      <c r="F38" s="488"/>
      <c r="G38" s="488"/>
      <c r="H38" s="489">
        <f>SUM(C38:G38)</f>
        <v>0</v>
      </c>
      <c r="I38" s="490">
        <v>721377.37</v>
      </c>
      <c r="J38" s="490"/>
      <c r="K38" s="490"/>
      <c r="L38" s="490"/>
      <c r="M38" s="490"/>
      <c r="N38" s="489">
        <f t="shared" si="6"/>
        <v>721377.37</v>
      </c>
      <c r="O38" s="305"/>
      <c r="P38" s="305"/>
    </row>
    <row r="39" spans="2:17" ht="18" customHeight="1">
      <c r="B39" s="443" t="s">
        <v>1736</v>
      </c>
      <c r="C39" s="488">
        <v>30000</v>
      </c>
      <c r="D39" s="488"/>
      <c r="E39" s="488"/>
      <c r="F39" s="488"/>
      <c r="G39" s="488"/>
      <c r="H39" s="489">
        <f>SUM(C39:G39)</f>
        <v>30000</v>
      </c>
      <c r="I39" s="490">
        <v>330000</v>
      </c>
      <c r="J39" s="490"/>
      <c r="K39" s="490"/>
      <c r="L39" s="490"/>
      <c r="M39" s="490"/>
      <c r="N39" s="489">
        <f t="shared" si="6"/>
        <v>330000</v>
      </c>
      <c r="O39" s="305"/>
      <c r="P39" s="305"/>
    </row>
    <row r="40" spans="2:17" ht="18" customHeight="1">
      <c r="B40" s="443" t="s">
        <v>1715</v>
      </c>
      <c r="C40" s="488"/>
      <c r="D40" s="488"/>
      <c r="E40" s="488"/>
      <c r="F40" s="488"/>
      <c r="G40" s="488"/>
      <c r="H40" s="489">
        <f>SUM(C40:G40)</f>
        <v>0</v>
      </c>
      <c r="I40" s="490"/>
      <c r="J40" s="490"/>
      <c r="K40" s="490"/>
      <c r="L40" s="490"/>
      <c r="M40" s="490"/>
      <c r="N40" s="489">
        <f t="shared" si="6"/>
        <v>0</v>
      </c>
      <c r="O40" s="305"/>
      <c r="P40" s="305"/>
    </row>
    <row r="41" spans="2:17" ht="18" customHeight="1">
      <c r="B41" s="443" t="s">
        <v>1716</v>
      </c>
      <c r="C41" s="488"/>
      <c r="D41" s="488"/>
      <c r="E41" s="488"/>
      <c r="F41" s="488"/>
      <c r="G41" s="488"/>
      <c r="H41" s="489">
        <f>SUM(C41:G41)</f>
        <v>0</v>
      </c>
      <c r="I41" s="490"/>
      <c r="J41" s="490"/>
      <c r="K41" s="490"/>
      <c r="L41" s="490"/>
      <c r="M41" s="490"/>
      <c r="N41" s="489">
        <f t="shared" si="6"/>
        <v>0</v>
      </c>
      <c r="O41" s="305"/>
      <c r="P41" s="305"/>
    </row>
    <row r="42" spans="2:17" ht="18" customHeight="1">
      <c r="B42" s="443" t="s">
        <v>735</v>
      </c>
      <c r="C42" s="488"/>
      <c r="D42" s="488"/>
      <c r="E42" s="488"/>
      <c r="F42" s="488"/>
      <c r="G42" s="488"/>
      <c r="H42" s="489">
        <f>SUM(C42:G42)</f>
        <v>0</v>
      </c>
      <c r="I42" s="490"/>
      <c r="J42" s="490"/>
      <c r="K42" s="490"/>
      <c r="L42" s="490"/>
      <c r="M42" s="490"/>
      <c r="N42" s="489">
        <f t="shared" si="6"/>
        <v>0</v>
      </c>
      <c r="O42" s="305"/>
      <c r="P42" s="305"/>
    </row>
    <row r="43" spans="2:17" ht="18" customHeight="1">
      <c r="B43" s="439" t="s">
        <v>736</v>
      </c>
      <c r="C43" s="489">
        <f t="shared" ref="C43:N43" si="8">SUM(C38:C42)</f>
        <v>30000</v>
      </c>
      <c r="D43" s="489">
        <f t="shared" si="8"/>
        <v>0</v>
      </c>
      <c r="E43" s="489">
        <f t="shared" si="8"/>
        <v>0</v>
      </c>
      <c r="F43" s="489">
        <f t="shared" si="8"/>
        <v>0</v>
      </c>
      <c r="G43" s="489">
        <f t="shared" si="8"/>
        <v>0</v>
      </c>
      <c r="H43" s="489">
        <f t="shared" si="8"/>
        <v>30000</v>
      </c>
      <c r="I43" s="489">
        <f>SUM(I38:I42)</f>
        <v>1051377.3700000001</v>
      </c>
      <c r="J43" s="489">
        <f>SUM(J38:J42)</f>
        <v>0</v>
      </c>
      <c r="K43" s="489">
        <f>SUM(K38:K42)</f>
        <v>0</v>
      </c>
      <c r="L43" s="489">
        <f>SUM(L38:L42)</f>
        <v>0</v>
      </c>
      <c r="M43" s="489">
        <f>SUM(M38:M42)</f>
        <v>0</v>
      </c>
      <c r="N43" s="494">
        <f t="shared" si="8"/>
        <v>1051377.3700000001</v>
      </c>
      <c r="O43" s="417">
        <f>SUM(H38:H42)-H43</f>
        <v>0</v>
      </c>
      <c r="P43" s="417">
        <f>SUM(N38:N42)-N43</f>
        <v>0</v>
      </c>
    </row>
    <row r="44" spans="2:17" ht="18" customHeight="1">
      <c r="B44" s="442" t="s">
        <v>1737</v>
      </c>
      <c r="C44" s="489">
        <f t="shared" ref="C44:N44" si="9">C37-C43</f>
        <v>-30000</v>
      </c>
      <c r="D44" s="489">
        <f t="shared" si="9"/>
        <v>0</v>
      </c>
      <c r="E44" s="489">
        <f t="shared" si="9"/>
        <v>0</v>
      </c>
      <c r="F44" s="489">
        <f t="shared" si="9"/>
        <v>0</v>
      </c>
      <c r="G44" s="489">
        <f t="shared" si="9"/>
        <v>0</v>
      </c>
      <c r="H44" s="489">
        <f t="shared" si="9"/>
        <v>-30000</v>
      </c>
      <c r="I44" s="489">
        <f>I37-I43</f>
        <v>-1051377.3700000001</v>
      </c>
      <c r="J44" s="489">
        <f>J37-J43</f>
        <v>0</v>
      </c>
      <c r="K44" s="489">
        <f>K37-K43</f>
        <v>0</v>
      </c>
      <c r="L44" s="489">
        <f>L37-L43</f>
        <v>0</v>
      </c>
      <c r="M44" s="489">
        <f>M37-M43</f>
        <v>0</v>
      </c>
      <c r="N44" s="494">
        <f t="shared" si="9"/>
        <v>-1051377.3700000001</v>
      </c>
      <c r="O44" s="417">
        <f>H37-H43-H44</f>
        <v>0</v>
      </c>
      <c r="P44" s="417">
        <f>N37-N43-N44</f>
        <v>0</v>
      </c>
    </row>
    <row r="45" spans="2:17" ht="18" customHeight="1">
      <c r="B45" s="442" t="s">
        <v>1723</v>
      </c>
      <c r="C45" s="488"/>
      <c r="D45" s="488"/>
      <c r="E45" s="488"/>
      <c r="F45" s="488"/>
      <c r="G45" s="488"/>
      <c r="H45" s="495"/>
      <c r="I45" s="496"/>
      <c r="J45" s="496"/>
      <c r="K45" s="496"/>
      <c r="L45" s="496"/>
      <c r="M45" s="496"/>
      <c r="N45" s="497"/>
      <c r="O45" s="305"/>
      <c r="P45" s="305"/>
    </row>
    <row r="46" spans="2:17" ht="18" customHeight="1">
      <c r="B46" s="443" t="s">
        <v>1724</v>
      </c>
      <c r="C46" s="488"/>
      <c r="D46" s="488"/>
      <c r="E46" s="488"/>
      <c r="F46" s="488"/>
      <c r="G46" s="488"/>
      <c r="H46" s="489">
        <f t="shared" ref="H46:H55" si="10">SUM(C46:G46)</f>
        <v>0</v>
      </c>
      <c r="I46" s="490"/>
      <c r="J46" s="490"/>
      <c r="K46" s="490"/>
      <c r="L46" s="490"/>
      <c r="M46" s="490"/>
      <c r="N46" s="489">
        <f t="shared" ref="N46:N55" si="11">SUM(I46:M46)</f>
        <v>0</v>
      </c>
      <c r="O46" s="305"/>
      <c r="P46" s="305"/>
    </row>
    <row r="47" spans="2:17" ht="18" customHeight="1">
      <c r="B47" s="450" t="s">
        <v>1725</v>
      </c>
      <c r="C47" s="488"/>
      <c r="D47" s="488"/>
      <c r="E47" s="488"/>
      <c r="F47" s="488"/>
      <c r="G47" s="488"/>
      <c r="H47" s="489">
        <f t="shared" si="10"/>
        <v>0</v>
      </c>
      <c r="I47" s="490"/>
      <c r="J47" s="490"/>
      <c r="K47" s="490"/>
      <c r="L47" s="490"/>
      <c r="M47" s="490"/>
      <c r="N47" s="489">
        <f t="shared" si="11"/>
        <v>0</v>
      </c>
      <c r="O47" s="305"/>
      <c r="P47" s="305"/>
    </row>
    <row r="48" spans="2:17" ht="18" customHeight="1">
      <c r="B48" s="443" t="s">
        <v>1738</v>
      </c>
      <c r="C48" s="488"/>
      <c r="D48" s="488"/>
      <c r="E48" s="488"/>
      <c r="F48" s="488"/>
      <c r="G48" s="488"/>
      <c r="H48" s="489">
        <f t="shared" si="10"/>
        <v>0</v>
      </c>
      <c r="I48" s="490"/>
      <c r="J48" s="490"/>
      <c r="K48" s="490"/>
      <c r="L48" s="490"/>
      <c r="M48" s="490"/>
      <c r="N48" s="489">
        <f t="shared" si="11"/>
        <v>0</v>
      </c>
      <c r="O48" s="305"/>
      <c r="P48" s="305"/>
    </row>
    <row r="49" spans="2:16" ht="18" customHeight="1">
      <c r="B49" s="443" t="s">
        <v>742</v>
      </c>
      <c r="C49" s="488"/>
      <c r="D49" s="488"/>
      <c r="E49" s="488"/>
      <c r="F49" s="488"/>
      <c r="G49" s="488"/>
      <c r="H49" s="489">
        <f t="shared" si="10"/>
        <v>0</v>
      </c>
      <c r="I49" s="490"/>
      <c r="J49" s="490"/>
      <c r="K49" s="490"/>
      <c r="L49" s="490"/>
      <c r="M49" s="490"/>
      <c r="N49" s="489">
        <f t="shared" si="11"/>
        <v>0</v>
      </c>
      <c r="O49" s="305"/>
      <c r="P49" s="305"/>
    </row>
    <row r="50" spans="2:16" ht="18" customHeight="1">
      <c r="B50" s="443" t="s">
        <v>1739</v>
      </c>
      <c r="C50" s="488"/>
      <c r="D50" s="488"/>
      <c r="E50" s="488"/>
      <c r="F50" s="488"/>
      <c r="G50" s="488"/>
      <c r="H50" s="489">
        <f t="shared" si="10"/>
        <v>0</v>
      </c>
      <c r="I50" s="490"/>
      <c r="J50" s="490"/>
      <c r="K50" s="490"/>
      <c r="L50" s="490"/>
      <c r="M50" s="490"/>
      <c r="N50" s="489">
        <f t="shared" si="11"/>
        <v>0</v>
      </c>
      <c r="O50" s="305"/>
      <c r="P50" s="305"/>
    </row>
    <row r="51" spans="2:16" ht="18" customHeight="1">
      <c r="B51" s="439" t="s">
        <v>1717</v>
      </c>
      <c r="C51" s="489">
        <f t="shared" ref="C51:N51" si="12">C46+C48+C49+C50</f>
        <v>0</v>
      </c>
      <c r="D51" s="489">
        <f t="shared" si="12"/>
        <v>0</v>
      </c>
      <c r="E51" s="489">
        <f t="shared" si="12"/>
        <v>0</v>
      </c>
      <c r="F51" s="489">
        <f t="shared" si="12"/>
        <v>0</v>
      </c>
      <c r="G51" s="489">
        <f t="shared" si="12"/>
        <v>0</v>
      </c>
      <c r="H51" s="489">
        <f t="shared" si="12"/>
        <v>0</v>
      </c>
      <c r="I51" s="489">
        <f t="shared" si="12"/>
        <v>0</v>
      </c>
      <c r="J51" s="489">
        <f t="shared" si="12"/>
        <v>0</v>
      </c>
      <c r="K51" s="489">
        <f t="shared" si="12"/>
        <v>0</v>
      </c>
      <c r="L51" s="489">
        <f t="shared" si="12"/>
        <v>0</v>
      </c>
      <c r="M51" s="489">
        <f t="shared" si="12"/>
        <v>0</v>
      </c>
      <c r="N51" s="494">
        <f t="shared" si="12"/>
        <v>0</v>
      </c>
      <c r="O51" s="417">
        <f>SUM(H46:H50)-H47-H51</f>
        <v>0</v>
      </c>
      <c r="P51" s="417">
        <f>SUM(N46:N50)-N47-N51</f>
        <v>0</v>
      </c>
    </row>
    <row r="52" spans="2:16" ht="18" customHeight="1">
      <c r="B52" s="443" t="s">
        <v>1740</v>
      </c>
      <c r="C52" s="488"/>
      <c r="D52" s="488"/>
      <c r="E52" s="488"/>
      <c r="F52" s="488"/>
      <c r="G52" s="488"/>
      <c r="H52" s="489">
        <f t="shared" si="10"/>
        <v>0</v>
      </c>
      <c r="I52" s="490"/>
      <c r="J52" s="490"/>
      <c r="K52" s="490"/>
      <c r="L52" s="490"/>
      <c r="M52" s="490"/>
      <c r="N52" s="489">
        <f t="shared" si="11"/>
        <v>0</v>
      </c>
      <c r="O52" s="305"/>
      <c r="P52" s="305"/>
    </row>
    <row r="53" spans="2:16" ht="18" customHeight="1">
      <c r="B53" s="443" t="s">
        <v>1718</v>
      </c>
      <c r="C53" s="488"/>
      <c r="D53" s="488"/>
      <c r="E53" s="488"/>
      <c r="F53" s="488"/>
      <c r="G53" s="488"/>
      <c r="H53" s="489">
        <f t="shared" si="10"/>
        <v>0</v>
      </c>
      <c r="I53" s="490">
        <v>14900000</v>
      </c>
      <c r="J53" s="490"/>
      <c r="K53" s="490"/>
      <c r="L53" s="490"/>
      <c r="M53" s="490"/>
      <c r="N53" s="489">
        <f t="shared" si="11"/>
        <v>14900000</v>
      </c>
      <c r="O53" s="305"/>
      <c r="P53" s="305"/>
    </row>
    <row r="54" spans="2:16" ht="18" customHeight="1">
      <c r="B54" s="450" t="s">
        <v>1719</v>
      </c>
      <c r="C54" s="488"/>
      <c r="D54" s="488"/>
      <c r="E54" s="488"/>
      <c r="F54" s="488"/>
      <c r="G54" s="488"/>
      <c r="H54" s="489">
        <f t="shared" si="10"/>
        <v>0</v>
      </c>
      <c r="I54" s="490"/>
      <c r="J54" s="490"/>
      <c r="K54" s="490"/>
      <c r="L54" s="490"/>
      <c r="M54" s="490"/>
      <c r="N54" s="489">
        <f t="shared" si="11"/>
        <v>0</v>
      </c>
      <c r="O54" s="305"/>
      <c r="P54" s="305"/>
    </row>
    <row r="55" spans="2:16" ht="18" customHeight="1">
      <c r="B55" s="443" t="s">
        <v>1726</v>
      </c>
      <c r="C55" s="488"/>
      <c r="D55" s="488"/>
      <c r="E55" s="488"/>
      <c r="F55" s="488"/>
      <c r="G55" s="488"/>
      <c r="H55" s="489">
        <f t="shared" si="10"/>
        <v>0</v>
      </c>
      <c r="I55" s="490"/>
      <c r="J55" s="490"/>
      <c r="K55" s="490"/>
      <c r="L55" s="490"/>
      <c r="M55" s="490"/>
      <c r="N55" s="489">
        <f t="shared" si="11"/>
        <v>0</v>
      </c>
      <c r="O55" s="305"/>
      <c r="P55" s="305"/>
    </row>
    <row r="56" spans="2:16" ht="18" customHeight="1">
      <c r="B56" s="439" t="s">
        <v>749</v>
      </c>
      <c r="C56" s="489">
        <f t="shared" ref="C56:N56" si="13">C52+C53+C55</f>
        <v>0</v>
      </c>
      <c r="D56" s="489">
        <f t="shared" si="13"/>
        <v>0</v>
      </c>
      <c r="E56" s="489">
        <f t="shared" si="13"/>
        <v>0</v>
      </c>
      <c r="F56" s="489">
        <f t="shared" si="13"/>
        <v>0</v>
      </c>
      <c r="G56" s="489">
        <f t="shared" si="13"/>
        <v>0</v>
      </c>
      <c r="H56" s="489">
        <f t="shared" si="13"/>
        <v>0</v>
      </c>
      <c r="I56" s="489">
        <f>I52+I53+I55</f>
        <v>14900000</v>
      </c>
      <c r="J56" s="489">
        <f>J52+J53+J55</f>
        <v>0</v>
      </c>
      <c r="K56" s="489">
        <f>K52+K53+K55</f>
        <v>0</v>
      </c>
      <c r="L56" s="489">
        <f>L52+L53+L55</f>
        <v>0</v>
      </c>
      <c r="M56" s="489">
        <f>M52+M53+M55</f>
        <v>0</v>
      </c>
      <c r="N56" s="494">
        <f t="shared" si="13"/>
        <v>14900000</v>
      </c>
      <c r="O56" s="417">
        <f>SUM(H52:H55)-H54-H56</f>
        <v>0</v>
      </c>
      <c r="P56" s="417">
        <f>SUM(N52:N55)-N54-N56</f>
        <v>0</v>
      </c>
    </row>
    <row r="57" spans="2:16" ht="18" customHeight="1">
      <c r="B57" s="442" t="s">
        <v>750</v>
      </c>
      <c r="C57" s="489">
        <f t="shared" ref="C57:N57" si="14">C51-C56</f>
        <v>0</v>
      </c>
      <c r="D57" s="489">
        <f t="shared" si="14"/>
        <v>0</v>
      </c>
      <c r="E57" s="489">
        <f t="shared" si="14"/>
        <v>0</v>
      </c>
      <c r="F57" s="489">
        <f t="shared" si="14"/>
        <v>0</v>
      </c>
      <c r="G57" s="489">
        <f t="shared" si="14"/>
        <v>0</v>
      </c>
      <c r="H57" s="489">
        <f t="shared" si="14"/>
        <v>0</v>
      </c>
      <c r="I57" s="489">
        <f>I51-I56</f>
        <v>-14900000</v>
      </c>
      <c r="J57" s="489">
        <f>J51-J56</f>
        <v>0</v>
      </c>
      <c r="K57" s="489">
        <f>K51-K56</f>
        <v>0</v>
      </c>
      <c r="L57" s="489">
        <f>L51-L56</f>
        <v>0</v>
      </c>
      <c r="M57" s="489">
        <f>M51-M56</f>
        <v>0</v>
      </c>
      <c r="N57" s="494">
        <f t="shared" si="14"/>
        <v>-14900000</v>
      </c>
      <c r="O57" s="417">
        <f>H51-H56-H57</f>
        <v>0</v>
      </c>
      <c r="P57" s="417">
        <f>N51-N56-N57</f>
        <v>0</v>
      </c>
    </row>
    <row r="58" spans="2:16" ht="18" customHeight="1">
      <c r="B58" s="442" t="s">
        <v>751</v>
      </c>
      <c r="C58" s="488"/>
      <c r="D58" s="488"/>
      <c r="E58" s="488"/>
      <c r="F58" s="488"/>
      <c r="G58" s="488"/>
      <c r="H58" s="489">
        <f>SUM(C58:G58)</f>
        <v>0</v>
      </c>
      <c r="I58" s="490"/>
      <c r="J58" s="490"/>
      <c r="K58" s="490"/>
      <c r="L58" s="490"/>
      <c r="M58" s="490"/>
      <c r="N58" s="489">
        <f>SUM(I58:M58)</f>
        <v>0</v>
      </c>
      <c r="O58" s="305"/>
      <c r="P58" s="305"/>
    </row>
    <row r="59" spans="2:16" ht="18" customHeight="1">
      <c r="B59" s="442" t="s">
        <v>752</v>
      </c>
      <c r="C59" s="489">
        <f t="shared" ref="C59:N59" si="15">C30+C44+C57+C58</f>
        <v>-4997205.6100000003</v>
      </c>
      <c r="D59" s="489">
        <f t="shared" si="15"/>
        <v>0</v>
      </c>
      <c r="E59" s="489">
        <f t="shared" si="15"/>
        <v>0</v>
      </c>
      <c r="F59" s="489">
        <f t="shared" si="15"/>
        <v>0</v>
      </c>
      <c r="G59" s="489">
        <f t="shared" si="15"/>
        <v>0</v>
      </c>
      <c r="H59" s="489">
        <f t="shared" si="15"/>
        <v>-4997205.6100000003</v>
      </c>
      <c r="I59" s="489">
        <f t="shared" si="15"/>
        <v>-16075526.800000001</v>
      </c>
      <c r="J59" s="489">
        <f t="shared" si="15"/>
        <v>0</v>
      </c>
      <c r="K59" s="489">
        <f t="shared" si="15"/>
        <v>0</v>
      </c>
      <c r="L59" s="489">
        <f t="shared" si="15"/>
        <v>0</v>
      </c>
      <c r="M59" s="489">
        <f t="shared" si="15"/>
        <v>0</v>
      </c>
      <c r="N59" s="494">
        <f t="shared" si="15"/>
        <v>-16075526.800000001</v>
      </c>
      <c r="O59" s="417">
        <f>H30+H44+H57+H58-H59</f>
        <v>0</v>
      </c>
      <c r="P59" s="417">
        <f>N30+N44+N57+N58-N59</f>
        <v>0</v>
      </c>
    </row>
    <row r="60" spans="2:16" ht="18" customHeight="1">
      <c r="B60" s="443" t="s">
        <v>1741</v>
      </c>
      <c r="C60" s="488">
        <v>6270239.2899999991</v>
      </c>
      <c r="D60" s="488"/>
      <c r="E60" s="488"/>
      <c r="F60" s="488"/>
      <c r="G60" s="488"/>
      <c r="H60" s="489">
        <f>SUM(C60:G60)</f>
        <v>6270239.2899999991</v>
      </c>
      <c r="I60" s="490">
        <v>22345766.09</v>
      </c>
      <c r="J60" s="490"/>
      <c r="K60" s="490"/>
      <c r="L60" s="490"/>
      <c r="M60" s="490"/>
      <c r="N60" s="489">
        <f>SUM(I60:M60)</f>
        <v>22345766.09</v>
      </c>
      <c r="O60" s="417">
        <f>H61-H60-H59</f>
        <v>0</v>
      </c>
      <c r="P60" s="417">
        <f>N61-N60-N59</f>
        <v>0</v>
      </c>
    </row>
    <row r="61" spans="2:16" ht="18" customHeight="1" thickBot="1">
      <c r="B61" s="498" t="s">
        <v>754</v>
      </c>
      <c r="C61" s="499">
        <f t="shared" ref="C61:N61" si="16">C59+C60</f>
        <v>1273033.6799999988</v>
      </c>
      <c r="D61" s="499">
        <f t="shared" si="16"/>
        <v>0</v>
      </c>
      <c r="E61" s="499">
        <f t="shared" si="16"/>
        <v>0</v>
      </c>
      <c r="F61" s="499">
        <f t="shared" si="16"/>
        <v>0</v>
      </c>
      <c r="G61" s="499">
        <f t="shared" si="16"/>
        <v>0</v>
      </c>
      <c r="H61" s="499">
        <f t="shared" si="16"/>
        <v>1273033.6799999988</v>
      </c>
      <c r="I61" s="499">
        <f t="shared" si="16"/>
        <v>6270239.2899999991</v>
      </c>
      <c r="J61" s="499">
        <f t="shared" si="16"/>
        <v>0</v>
      </c>
      <c r="K61" s="499">
        <f t="shared" si="16"/>
        <v>0</v>
      </c>
      <c r="L61" s="499">
        <f t="shared" si="16"/>
        <v>0</v>
      </c>
      <c r="M61" s="499">
        <f t="shared" si="16"/>
        <v>0</v>
      </c>
      <c r="N61" s="500">
        <f t="shared" si="16"/>
        <v>6270239.2899999991</v>
      </c>
      <c r="O61" s="417">
        <f>H61-审定资产负债表!C6</f>
        <v>0</v>
      </c>
      <c r="P61" s="417">
        <f>N61-审定资产负债表!D6</f>
        <v>0</v>
      </c>
    </row>
    <row r="62" spans="2:16" ht="18" customHeight="1">
      <c r="B62" s="1684" t="s">
        <v>1742</v>
      </c>
      <c r="C62" s="1684"/>
      <c r="D62" s="1684"/>
      <c r="E62" s="1684"/>
      <c r="F62" s="1684"/>
      <c r="G62" s="1684"/>
      <c r="H62" s="1684"/>
      <c r="I62" s="1684"/>
      <c r="J62" s="1684"/>
      <c r="K62" s="1684"/>
      <c r="L62" s="1684"/>
      <c r="M62" s="1684"/>
      <c r="N62" s="1684"/>
      <c r="O62" s="417">
        <f>H60-N61</f>
        <v>0</v>
      </c>
      <c r="P62" s="305"/>
    </row>
    <row r="65" spans="2:14" ht="13.5">
      <c r="B65" s="284" t="s">
        <v>239</v>
      </c>
      <c r="C65" s="102">
        <f>SUM(C6:C18)-C19</f>
        <v>0</v>
      </c>
      <c r="D65" s="102">
        <f t="shared" ref="D65:N65" si="17">SUM(D6:D18)-D19</f>
        <v>0</v>
      </c>
      <c r="E65" s="102">
        <f t="shared" si="17"/>
        <v>0</v>
      </c>
      <c r="F65" s="102">
        <f t="shared" si="17"/>
        <v>0</v>
      </c>
      <c r="G65" s="102">
        <f t="shared" si="17"/>
        <v>0</v>
      </c>
      <c r="H65" s="102">
        <f t="shared" si="17"/>
        <v>0</v>
      </c>
      <c r="I65" s="102">
        <f>SUM(I6:I18)-I19</f>
        <v>0</v>
      </c>
      <c r="J65" s="102">
        <f>SUM(J6:J18)-J19</f>
        <v>0</v>
      </c>
      <c r="K65" s="102">
        <f>SUM(K6:K18)-K19</f>
        <v>0</v>
      </c>
      <c r="L65" s="102">
        <f>SUM(L6:L18)-L19</f>
        <v>0</v>
      </c>
      <c r="M65" s="102">
        <f>SUM(M6:M18)-M19</f>
        <v>0</v>
      </c>
      <c r="N65" s="286">
        <f t="shared" si="17"/>
        <v>0</v>
      </c>
    </row>
    <row r="66" spans="2:14" ht="13.5">
      <c r="B66" s="284" t="s">
        <v>240</v>
      </c>
      <c r="C66" s="102">
        <f>SUM(C20:C28)-C29</f>
        <v>0</v>
      </c>
      <c r="D66" s="102">
        <f t="shared" ref="D66:N66" si="18">SUM(D20:D28)-D29</f>
        <v>0</v>
      </c>
      <c r="E66" s="102">
        <f t="shared" si="18"/>
        <v>0</v>
      </c>
      <c r="F66" s="102">
        <f t="shared" si="18"/>
        <v>0</v>
      </c>
      <c r="G66" s="102">
        <f t="shared" si="18"/>
        <v>0</v>
      </c>
      <c r="H66" s="102">
        <f t="shared" ref="H66:M66" si="19">SUM(H20:H28)-H29</f>
        <v>0</v>
      </c>
      <c r="I66" s="102">
        <f t="shared" si="19"/>
        <v>0</v>
      </c>
      <c r="J66" s="102">
        <f t="shared" si="19"/>
        <v>0</v>
      </c>
      <c r="K66" s="102">
        <f t="shared" si="19"/>
        <v>0</v>
      </c>
      <c r="L66" s="102">
        <f t="shared" si="19"/>
        <v>0</v>
      </c>
      <c r="M66" s="102">
        <f t="shared" si="19"/>
        <v>0</v>
      </c>
      <c r="N66" s="286">
        <f t="shared" si="18"/>
        <v>0</v>
      </c>
    </row>
    <row r="67" spans="2:14" ht="13.5">
      <c r="B67" s="284" t="s">
        <v>174</v>
      </c>
      <c r="C67" s="102">
        <f>C19-C29-C30</f>
        <v>0</v>
      </c>
      <c r="D67" s="102">
        <f t="shared" ref="D67:N67" si="20">D19-D29-D30</f>
        <v>0</v>
      </c>
      <c r="E67" s="102">
        <f t="shared" si="20"/>
        <v>0</v>
      </c>
      <c r="F67" s="102">
        <f t="shared" si="20"/>
        <v>0</v>
      </c>
      <c r="G67" s="102">
        <f t="shared" si="20"/>
        <v>0</v>
      </c>
      <c r="H67" s="102">
        <f t="shared" si="20"/>
        <v>0</v>
      </c>
      <c r="I67" s="102">
        <f>I19-I29-I30</f>
        <v>0</v>
      </c>
      <c r="J67" s="102">
        <f>J19-J29-J30</f>
        <v>0</v>
      </c>
      <c r="K67" s="102">
        <f>K19-K29-K30</f>
        <v>0</v>
      </c>
      <c r="L67" s="102">
        <f>L19-L29-L30</f>
        <v>0</v>
      </c>
      <c r="M67" s="102">
        <f>M19-M29-M30</f>
        <v>0</v>
      </c>
      <c r="N67" s="286">
        <f t="shared" si="20"/>
        <v>0</v>
      </c>
    </row>
    <row r="68" spans="2:14" ht="13.5">
      <c r="B68" s="284" t="s">
        <v>241</v>
      </c>
      <c r="C68" s="102">
        <f>SUM(C32:C36)-C37</f>
        <v>0</v>
      </c>
      <c r="D68" s="102">
        <f t="shared" ref="D68:N68" si="21">SUM(D32:D36)-D37</f>
        <v>0</v>
      </c>
      <c r="E68" s="102">
        <f t="shared" si="21"/>
        <v>0</v>
      </c>
      <c r="F68" s="102">
        <f t="shared" si="21"/>
        <v>0</v>
      </c>
      <c r="G68" s="102">
        <f t="shared" si="21"/>
        <v>0</v>
      </c>
      <c r="H68" s="102">
        <f t="shared" si="21"/>
        <v>0</v>
      </c>
      <c r="I68" s="102">
        <f>SUM(I32:I36)-I37</f>
        <v>0</v>
      </c>
      <c r="J68" s="102">
        <f>SUM(J32:J36)-J37</f>
        <v>0</v>
      </c>
      <c r="K68" s="102">
        <f>SUM(K32:K36)-K37</f>
        <v>0</v>
      </c>
      <c r="L68" s="102">
        <f>SUM(L32:L36)-L37</f>
        <v>0</v>
      </c>
      <c r="M68" s="102">
        <f>SUM(M32:M36)-M37</f>
        <v>0</v>
      </c>
      <c r="N68" s="286">
        <f t="shared" si="21"/>
        <v>0</v>
      </c>
    </row>
    <row r="69" spans="2:14" ht="13.5">
      <c r="B69" s="284" t="s">
        <v>242</v>
      </c>
      <c r="C69" s="102">
        <f>SUM(C38:C42)-C43</f>
        <v>0</v>
      </c>
      <c r="D69" s="102">
        <f t="shared" ref="D69:N69" si="22">SUM(D38:D42)-D43</f>
        <v>0</v>
      </c>
      <c r="E69" s="102">
        <f t="shared" si="22"/>
        <v>0</v>
      </c>
      <c r="F69" s="102">
        <f t="shared" si="22"/>
        <v>0</v>
      </c>
      <c r="G69" s="102">
        <f t="shared" si="22"/>
        <v>0</v>
      </c>
      <c r="H69" s="102">
        <f t="shared" si="22"/>
        <v>0</v>
      </c>
      <c r="I69" s="102">
        <f>SUM(I38:I42)-I43</f>
        <v>0</v>
      </c>
      <c r="J69" s="102">
        <f>SUM(J38:J42)-J43</f>
        <v>0</v>
      </c>
      <c r="K69" s="102">
        <f>SUM(K38:K42)-K43</f>
        <v>0</v>
      </c>
      <c r="L69" s="102">
        <f>SUM(L38:L42)-L43</f>
        <v>0</v>
      </c>
      <c r="M69" s="102">
        <f>SUM(M38:M42)-M43</f>
        <v>0</v>
      </c>
      <c r="N69" s="286">
        <f t="shared" si="22"/>
        <v>0</v>
      </c>
    </row>
    <row r="70" spans="2:14" ht="13.5">
      <c r="B70" s="284" t="s">
        <v>171</v>
      </c>
      <c r="C70" s="102">
        <f>C37-C43-C44</f>
        <v>0</v>
      </c>
      <c r="D70" s="102">
        <f t="shared" ref="D70:N70" si="23">D37-D43-D44</f>
        <v>0</v>
      </c>
      <c r="E70" s="102">
        <f t="shared" si="23"/>
        <v>0</v>
      </c>
      <c r="F70" s="102">
        <f t="shared" si="23"/>
        <v>0</v>
      </c>
      <c r="G70" s="102">
        <f t="shared" si="23"/>
        <v>0</v>
      </c>
      <c r="H70" s="102">
        <f t="shared" si="23"/>
        <v>0</v>
      </c>
      <c r="I70" s="102">
        <f>I37-I43-I44</f>
        <v>0</v>
      </c>
      <c r="J70" s="102">
        <f>J37-J43-J44</f>
        <v>0</v>
      </c>
      <c r="K70" s="102">
        <f>K37-K43-K44</f>
        <v>0</v>
      </c>
      <c r="L70" s="102">
        <f>L37-L43-L44</f>
        <v>0</v>
      </c>
      <c r="M70" s="102">
        <f>M37-M43-M44</f>
        <v>0</v>
      </c>
      <c r="N70" s="286">
        <f t="shared" si="23"/>
        <v>0</v>
      </c>
    </row>
    <row r="71" spans="2:14" ht="13.5">
      <c r="B71" s="284" t="s">
        <v>172</v>
      </c>
      <c r="C71" s="102">
        <f>C51-C50-C49-C48-C46</f>
        <v>0</v>
      </c>
      <c r="D71" s="102">
        <f t="shared" ref="D71:N71" si="24">D51-D50-D49-D48-D46</f>
        <v>0</v>
      </c>
      <c r="E71" s="102">
        <f t="shared" si="24"/>
        <v>0</v>
      </c>
      <c r="F71" s="102">
        <f t="shared" si="24"/>
        <v>0</v>
      </c>
      <c r="G71" s="102">
        <f t="shared" si="24"/>
        <v>0</v>
      </c>
      <c r="H71" s="102">
        <f t="shared" si="24"/>
        <v>0</v>
      </c>
      <c r="I71" s="102">
        <f>I51-I50-I49-I48-I46</f>
        <v>0</v>
      </c>
      <c r="J71" s="102">
        <f>J51-J50-J49-J48-J46</f>
        <v>0</v>
      </c>
      <c r="K71" s="102">
        <f>K51-K50-K49-K48-K46</f>
        <v>0</v>
      </c>
      <c r="L71" s="102">
        <f>L51-L50-L49-L48-L46</f>
        <v>0</v>
      </c>
      <c r="M71" s="102">
        <f>M51-M50-M49-M48-M46</f>
        <v>0</v>
      </c>
      <c r="N71" s="286">
        <f t="shared" si="24"/>
        <v>0</v>
      </c>
    </row>
    <row r="72" spans="2:14" ht="13.5">
      <c r="B72" s="284" t="s">
        <v>43</v>
      </c>
      <c r="C72" s="102">
        <f>C56-C55-C53-C52</f>
        <v>0</v>
      </c>
      <c r="D72" s="102">
        <f t="shared" ref="D72:N72" si="25">D56-D55-D53-D52</f>
        <v>0</v>
      </c>
      <c r="E72" s="102">
        <f t="shared" si="25"/>
        <v>0</v>
      </c>
      <c r="F72" s="102">
        <f t="shared" si="25"/>
        <v>0</v>
      </c>
      <c r="G72" s="102">
        <f t="shared" si="25"/>
        <v>0</v>
      </c>
      <c r="H72" s="102">
        <f t="shared" si="25"/>
        <v>0</v>
      </c>
      <c r="I72" s="102">
        <f>I56-I55-I53-I52</f>
        <v>0</v>
      </c>
      <c r="J72" s="102">
        <f>J56-J55-J53-J52</f>
        <v>0</v>
      </c>
      <c r="K72" s="102">
        <f>K56-K55-K53-K52</f>
        <v>0</v>
      </c>
      <c r="L72" s="102">
        <f>L56-L55-L53-L52</f>
        <v>0</v>
      </c>
      <c r="M72" s="102">
        <f>M56-M55-M53-M52</f>
        <v>0</v>
      </c>
      <c r="N72" s="286">
        <f t="shared" si="25"/>
        <v>0</v>
      </c>
    </row>
    <row r="73" spans="2:14" ht="13.5">
      <c r="B73" s="284" t="s">
        <v>173</v>
      </c>
      <c r="C73" s="102">
        <f>C51-C56-C57</f>
        <v>0</v>
      </c>
      <c r="D73" s="102">
        <f t="shared" ref="D73:N73" si="26">D51-D56-D57</f>
        <v>0</v>
      </c>
      <c r="E73" s="102">
        <f t="shared" si="26"/>
        <v>0</v>
      </c>
      <c r="F73" s="102">
        <f t="shared" si="26"/>
        <v>0</v>
      </c>
      <c r="G73" s="102">
        <f t="shared" si="26"/>
        <v>0</v>
      </c>
      <c r="H73" s="102">
        <f t="shared" si="26"/>
        <v>0</v>
      </c>
      <c r="I73" s="102">
        <f>I51-I56-I57</f>
        <v>0</v>
      </c>
      <c r="J73" s="102">
        <f>J51-J56-J57</f>
        <v>0</v>
      </c>
      <c r="K73" s="102">
        <f>K51-K56-K57</f>
        <v>0</v>
      </c>
      <c r="L73" s="102">
        <f>L51-L56-L57</f>
        <v>0</v>
      </c>
      <c r="M73" s="102">
        <f>M51-M56-M57</f>
        <v>0</v>
      </c>
      <c r="N73" s="286">
        <f t="shared" si="26"/>
        <v>0</v>
      </c>
    </row>
    <row r="74" spans="2:14" ht="13.5">
      <c r="B74" s="284" t="s">
        <v>44</v>
      </c>
      <c r="C74" s="102">
        <f>C30+C44+C57+C58-C59</f>
        <v>0</v>
      </c>
      <c r="D74" s="102">
        <f t="shared" ref="D74:N74" si="27">D30+D44+D57+D58-D59</f>
        <v>0</v>
      </c>
      <c r="E74" s="102">
        <f t="shared" si="27"/>
        <v>0</v>
      </c>
      <c r="F74" s="102">
        <f t="shared" si="27"/>
        <v>0</v>
      </c>
      <c r="G74" s="102">
        <f t="shared" si="27"/>
        <v>0</v>
      </c>
      <c r="H74" s="102">
        <f t="shared" ref="H74:M74" si="28">H30+H44+H57+H58-H59</f>
        <v>0</v>
      </c>
      <c r="I74" s="102">
        <f t="shared" si="28"/>
        <v>0</v>
      </c>
      <c r="J74" s="102">
        <f t="shared" si="28"/>
        <v>0</v>
      </c>
      <c r="K74" s="102">
        <f t="shared" si="28"/>
        <v>0</v>
      </c>
      <c r="L74" s="102">
        <f t="shared" si="28"/>
        <v>0</v>
      </c>
      <c r="M74" s="102">
        <f t="shared" si="28"/>
        <v>0</v>
      </c>
      <c r="N74" s="286">
        <f t="shared" si="27"/>
        <v>0</v>
      </c>
    </row>
    <row r="75" spans="2:14" ht="13.5">
      <c r="B75" s="284" t="s">
        <v>44</v>
      </c>
      <c r="C75" s="102">
        <f t="shared" ref="C75:N75" si="29">C61-C60-C59</f>
        <v>0</v>
      </c>
      <c r="D75" s="102">
        <f t="shared" si="29"/>
        <v>0</v>
      </c>
      <c r="E75" s="102">
        <f t="shared" si="29"/>
        <v>0</v>
      </c>
      <c r="F75" s="102">
        <f t="shared" si="29"/>
        <v>0</v>
      </c>
      <c r="G75" s="102">
        <f t="shared" si="29"/>
        <v>0</v>
      </c>
      <c r="H75" s="102">
        <f t="shared" si="29"/>
        <v>0</v>
      </c>
      <c r="I75" s="102">
        <f t="shared" si="29"/>
        <v>0</v>
      </c>
      <c r="J75" s="102">
        <f t="shared" si="29"/>
        <v>0</v>
      </c>
      <c r="K75" s="102">
        <f t="shared" si="29"/>
        <v>0</v>
      </c>
      <c r="L75" s="102">
        <f t="shared" si="29"/>
        <v>0</v>
      </c>
      <c r="M75" s="102">
        <f t="shared" si="29"/>
        <v>0</v>
      </c>
      <c r="N75" s="286">
        <f t="shared" si="29"/>
        <v>0</v>
      </c>
    </row>
    <row r="76" spans="2:14" ht="13.5">
      <c r="B76" s="284" t="s">
        <v>175</v>
      </c>
      <c r="C76" s="102">
        <f>C61-未审资产负债表!C6</f>
        <v>0</v>
      </c>
      <c r="D76" s="99"/>
      <c r="E76" s="99"/>
      <c r="F76" s="99"/>
      <c r="G76" s="99"/>
      <c r="H76" s="102">
        <f>H61-未审资产负债表!C6</f>
        <v>0</v>
      </c>
      <c r="I76" s="102">
        <f>I61-未审资产负债表!D6</f>
        <v>0</v>
      </c>
      <c r="J76" s="119"/>
      <c r="K76" s="119"/>
      <c r="L76" s="119"/>
      <c r="M76" s="119"/>
      <c r="N76" s="286">
        <f>N61-未审资产负债表!D6</f>
        <v>0</v>
      </c>
    </row>
    <row r="77" spans="2:14" ht="13.5">
      <c r="B77" s="284" t="s">
        <v>137</v>
      </c>
      <c r="C77" s="102">
        <f>C60-未审资产负债表!D6</f>
        <v>0</v>
      </c>
      <c r="D77" s="99"/>
      <c r="E77" s="99"/>
      <c r="F77" s="99"/>
      <c r="G77" s="99"/>
      <c r="H77" s="102">
        <f>H60-未审资产负债表!D6</f>
        <v>0</v>
      </c>
      <c r="I77" s="119"/>
      <c r="J77" s="119"/>
      <c r="K77" s="119"/>
      <c r="L77" s="119"/>
      <c r="M77" s="119"/>
    </row>
    <row r="78" spans="2:14" ht="12.75">
      <c r="B78" s="284" t="s">
        <v>135</v>
      </c>
      <c r="C78" s="102">
        <f>IF(C46-C47&gt;0,0,C46-C47)</f>
        <v>0</v>
      </c>
      <c r="D78" s="102">
        <f t="shared" ref="D78:N78" si="30">IF(D46-D47&gt;0,0,D46-D47)</f>
        <v>0</v>
      </c>
      <c r="E78" s="102">
        <f t="shared" si="30"/>
        <v>0</v>
      </c>
      <c r="F78" s="102">
        <f t="shared" si="30"/>
        <v>0</v>
      </c>
      <c r="G78" s="102">
        <f t="shared" si="30"/>
        <v>0</v>
      </c>
      <c r="H78" s="102">
        <f t="shared" si="30"/>
        <v>0</v>
      </c>
      <c r="I78" s="102">
        <f>IF(I46-I47&gt;0,0,I46-I47)</f>
        <v>0</v>
      </c>
      <c r="J78" s="102">
        <f>IF(J46-J47&gt;0,0,J46-J47)</f>
        <v>0</v>
      </c>
      <c r="K78" s="102">
        <f>IF(K46-K47&gt;0,0,K46-K47)</f>
        <v>0</v>
      </c>
      <c r="L78" s="102">
        <f>IF(L46-L47&gt;0,0,L46-L47)</f>
        <v>0</v>
      </c>
      <c r="M78" s="102">
        <f>IF(M46-M47&gt;0,0,M46-M47)</f>
        <v>0</v>
      </c>
      <c r="N78" s="102">
        <f t="shared" si="30"/>
        <v>0</v>
      </c>
    </row>
    <row r="79" spans="2:14" ht="18" customHeight="1">
      <c r="B79" s="285" t="s">
        <v>136</v>
      </c>
      <c r="C79" s="103">
        <f>IF(C53-C54&gt;0,0,C53-C54)</f>
        <v>0</v>
      </c>
      <c r="D79" s="103">
        <f t="shared" ref="D79:N79" si="31">IF(D53-D54&gt;0,0,D53-D54)</f>
        <v>0</v>
      </c>
      <c r="E79" s="103">
        <f t="shared" si="31"/>
        <v>0</v>
      </c>
      <c r="F79" s="103">
        <f t="shared" si="31"/>
        <v>0</v>
      </c>
      <c r="G79" s="103">
        <f t="shared" si="31"/>
        <v>0</v>
      </c>
      <c r="H79" s="103">
        <f t="shared" si="31"/>
        <v>0</v>
      </c>
      <c r="I79" s="103">
        <f>IF(I53-I54&gt;0,0,I53-I54)</f>
        <v>0</v>
      </c>
      <c r="J79" s="103">
        <f>IF(J53-J54&gt;0,0,J53-J54)</f>
        <v>0</v>
      </c>
      <c r="K79" s="103">
        <f>IF(K53-K54&gt;0,0,K53-K54)</f>
        <v>0</v>
      </c>
      <c r="L79" s="103">
        <f>IF(L53-L54&gt;0,0,L53-L54)</f>
        <v>0</v>
      </c>
      <c r="M79" s="103">
        <f>IF(M53-M54&gt;0,0,M53-M54)</f>
        <v>0</v>
      </c>
      <c r="N79" s="103">
        <f t="shared" si="31"/>
        <v>0</v>
      </c>
    </row>
  </sheetData>
  <sheetProtection formatCells="0" formatColumns="0" formatRows="0" autoFilter="0"/>
  <mergeCells count="3">
    <mergeCell ref="B1:N1"/>
    <mergeCell ref="B2:N2"/>
    <mergeCell ref="B62:N62"/>
  </mergeCells>
  <phoneticPr fontId="5" type="noConversion"/>
  <hyperlinks>
    <hyperlink ref="H3" location="附注填写封面!B3" display="返回目录" xr:uid="{00000000-0004-0000-0700-000000000000}"/>
    <hyperlink ref="P2" location="附注填写封面!B3" display="返回目录" xr:uid="{00000000-0004-0000-0700-000001000000}"/>
  </hyperlinks>
  <printOptions horizontalCentered="1"/>
  <pageMargins left="0.74803149606299213" right="0.23622047244094491" top="0.59055118110236227" bottom="0.39370078740157483" header="0.51181102362204722" footer="0.27559055118110237"/>
  <pageSetup paperSize="9" scale="68" firstPageNumber="6" orientation="portrait" blackAndWhite="1" useFirstPageNumber="1" r:id="rId1"/>
  <headerFooter alignWithMargins="0">
    <oddFooter>&amp;C&amp;"Times New Roman,常规"&amp;P</oddFooter>
  </headerFooter>
  <legacy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tabColor rgb="FFFF0000"/>
    <pageSetUpPr fitToPage="1"/>
  </sheetPr>
  <dimension ref="A1:N109"/>
  <sheetViews>
    <sheetView showGridLines="0" showZeros="0" zoomScaleNormal="100" workbookViewId="0">
      <pane xSplit="5" ySplit="5" topLeftCell="F60" activePane="bottomRight" state="frozen"/>
      <selection activeCell="A5" sqref="A5:A6"/>
      <selection pane="topRight" activeCell="A5" sqref="A5:A6"/>
      <selection pane="bottomLeft" activeCell="A5" sqref="A5:A6"/>
      <selection pane="bottomRight" activeCell="E84" sqref="E84:I109"/>
    </sheetView>
  </sheetViews>
  <sheetFormatPr defaultColWidth="9" defaultRowHeight="15"/>
  <cols>
    <col min="1" max="1" width="2.625" style="892" customWidth="1"/>
    <col min="2" max="2" width="13.125" style="892" customWidth="1"/>
    <col min="3" max="3" width="11.5" style="892" customWidth="1"/>
    <col min="4" max="4" width="13.375" style="892" customWidth="1"/>
    <col min="5" max="5" width="9.75" style="892" customWidth="1"/>
    <col min="6" max="6" width="13.125" style="400" bestFit="1" customWidth="1"/>
    <col min="7" max="7" width="8.5" style="400" bestFit="1" customWidth="1"/>
    <col min="8" max="8" width="9.75" style="400" bestFit="1" customWidth="1"/>
    <col min="9" max="9" width="11.625" style="400" customWidth="1"/>
    <col min="10" max="11" width="16" style="31" customWidth="1"/>
    <col min="12" max="16384" width="9" style="31"/>
  </cols>
  <sheetData>
    <row r="1" spans="1:14" s="54" customFormat="1" ht="22.5">
      <c r="A1" s="1693" t="s">
        <v>0</v>
      </c>
      <c r="B1" s="1693"/>
      <c r="C1" s="1693"/>
      <c r="D1" s="1693"/>
      <c r="E1" s="1693"/>
      <c r="F1" s="1693"/>
      <c r="G1" s="1693"/>
      <c r="H1" s="1693"/>
      <c r="I1" s="1693"/>
      <c r="K1" s="141" t="s">
        <v>243</v>
      </c>
    </row>
    <row r="2" spans="1:14" s="54" customFormat="1" ht="12.75">
      <c r="A2" s="501"/>
      <c r="B2" s="501"/>
      <c r="C2" s="503"/>
      <c r="D2" s="503"/>
      <c r="E2" s="501"/>
      <c r="F2" s="505"/>
      <c r="G2" s="505"/>
      <c r="H2" s="505"/>
      <c r="I2" s="505" t="s">
        <v>4429</v>
      </c>
      <c r="J2" s="509" t="s">
        <v>1744</v>
      </c>
      <c r="K2" s="509" t="s">
        <v>1745</v>
      </c>
    </row>
    <row r="3" spans="1:14" s="52" customFormat="1" ht="12.75">
      <c r="A3" s="502" t="str">
        <f>封面!$E$4</f>
        <v>被审计单位：华鼎资本（北京）有限公司</v>
      </c>
      <c r="B3" s="503"/>
      <c r="C3" s="503"/>
      <c r="D3" s="503"/>
      <c r="E3" s="503"/>
      <c r="F3" s="506" t="str">
        <f>"编制人："&amp;封面!C8</f>
        <v>编制人：王咲晨</v>
      </c>
      <c r="G3" s="455"/>
      <c r="H3" s="455" t="s">
        <v>4430</v>
      </c>
      <c r="I3" s="507">
        <f>封面!C10</f>
        <v>0</v>
      </c>
      <c r="J3" s="510">
        <f>SUM(F6:F999)</f>
        <v>129857.05</v>
      </c>
      <c r="K3" s="510">
        <f>SUM(H6:H999)</f>
        <v>5185013.9300000006</v>
      </c>
    </row>
    <row r="4" spans="1:14" s="52" customFormat="1" ht="12.75">
      <c r="A4" s="502" t="str">
        <f>"所审期间："&amp;封面!C6</f>
        <v>所审期间：2019年1-5月</v>
      </c>
      <c r="B4" s="503"/>
      <c r="C4" s="503"/>
      <c r="D4" s="503"/>
      <c r="E4" s="503"/>
      <c r="F4" s="506" t="str">
        <f>"复核人："&amp;封面!C9</f>
        <v>复核人：逯敏</v>
      </c>
      <c r="G4" s="455"/>
      <c r="H4" s="455" t="s">
        <v>4431</v>
      </c>
      <c r="I4" s="507">
        <f>封面!C11</f>
        <v>0</v>
      </c>
      <c r="J4" s="510">
        <f>SUM(G6:G999)</f>
        <v>129857.05</v>
      </c>
      <c r="K4" s="510">
        <f>SUM(I6:I999)</f>
        <v>5185013.9300000006</v>
      </c>
    </row>
    <row r="5" spans="1:14" s="51" customFormat="1" ht="12.75">
      <c r="A5" s="504" t="s">
        <v>4436</v>
      </c>
      <c r="B5" s="504" t="s">
        <v>4437</v>
      </c>
      <c r="C5" s="504" t="s">
        <v>4438</v>
      </c>
      <c r="D5" s="504" t="s">
        <v>4439</v>
      </c>
      <c r="E5" s="504" t="s">
        <v>4440</v>
      </c>
      <c r="F5" s="504" t="s">
        <v>4432</v>
      </c>
      <c r="G5" s="504" t="s">
        <v>4433</v>
      </c>
      <c r="H5" s="504" t="s">
        <v>4434</v>
      </c>
      <c r="I5" s="504" t="s">
        <v>4435</v>
      </c>
      <c r="J5" s="511">
        <f>J3-J4</f>
        <v>0</v>
      </c>
      <c r="K5" s="511">
        <f>K3-K4</f>
        <v>0</v>
      </c>
    </row>
    <row r="6" spans="1:14">
      <c r="A6" s="1551">
        <v>1</v>
      </c>
      <c r="B6" s="55" t="s">
        <v>5004</v>
      </c>
      <c r="C6" s="55" t="s">
        <v>5259</v>
      </c>
      <c r="D6" s="55" t="s">
        <v>5260</v>
      </c>
      <c r="E6" s="55" t="s">
        <v>5006</v>
      </c>
      <c r="G6" s="400">
        <v>86363.63</v>
      </c>
      <c r="I6" s="400">
        <v>138580.96</v>
      </c>
      <c r="K6" s="400"/>
      <c r="L6" s="400">
        <f>ROUND(86363.63,2)</f>
        <v>86363.63</v>
      </c>
      <c r="M6" s="400"/>
      <c r="N6" s="400"/>
    </row>
    <row r="7" spans="1:14">
      <c r="C7" s="55" t="s">
        <v>5261</v>
      </c>
      <c r="D7" s="55" t="s">
        <v>5262</v>
      </c>
      <c r="F7" s="400">
        <f>G6</f>
        <v>86363.63</v>
      </c>
      <c r="H7" s="400">
        <f>I6</f>
        <v>138580.96</v>
      </c>
      <c r="K7" s="400">
        <f>ROUND(L6,2)</f>
        <v>86363.63</v>
      </c>
      <c r="L7" s="400"/>
      <c r="M7" s="400"/>
      <c r="N7" s="400"/>
    </row>
    <row r="8" spans="1:14">
      <c r="C8" s="55"/>
      <c r="D8" s="55"/>
      <c r="K8" s="400"/>
      <c r="L8" s="400"/>
      <c r="M8" s="400"/>
      <c r="N8" s="400"/>
    </row>
    <row r="9" spans="1:14" hidden="1">
      <c r="A9" s="1551">
        <v>2</v>
      </c>
      <c r="B9" s="55" t="s">
        <v>5005</v>
      </c>
      <c r="C9" s="55" t="s">
        <v>5259</v>
      </c>
      <c r="D9" s="55" t="s">
        <v>5260</v>
      </c>
      <c r="E9" s="55" t="s">
        <v>5006</v>
      </c>
      <c r="K9" s="400"/>
      <c r="L9" s="400"/>
      <c r="M9" s="400"/>
      <c r="N9" s="400">
        <f>ROUND(138580.96,2)</f>
        <v>138580.96</v>
      </c>
    </row>
    <row r="10" spans="1:14" hidden="1">
      <c r="C10" s="55" t="s">
        <v>5261</v>
      </c>
      <c r="D10" s="55" t="s">
        <v>5262</v>
      </c>
      <c r="K10" s="400"/>
      <c r="L10" s="400"/>
      <c r="M10" s="400">
        <f>ROUND(N9,2)</f>
        <v>138580.96</v>
      </c>
      <c r="N10" s="400"/>
    </row>
    <row r="11" spans="1:14" hidden="1">
      <c r="C11" s="55"/>
      <c r="D11" s="55"/>
      <c r="J11" s="1573"/>
    </row>
    <row r="12" spans="1:14" hidden="1">
      <c r="A12" s="1580">
        <v>3</v>
      </c>
      <c r="B12" s="55" t="s">
        <v>5032</v>
      </c>
      <c r="C12" s="55" t="s">
        <v>5263</v>
      </c>
      <c r="D12" s="55" t="s">
        <v>5264</v>
      </c>
    </row>
    <row r="13" spans="1:14" hidden="1">
      <c r="C13" s="55" t="s">
        <v>5259</v>
      </c>
      <c r="D13" s="55" t="s">
        <v>5265</v>
      </c>
      <c r="E13" s="760" t="s">
        <v>5033</v>
      </c>
      <c r="J13" s="1646"/>
    </row>
    <row r="14" spans="1:14" hidden="1">
      <c r="C14" s="55"/>
      <c r="D14" s="55"/>
    </row>
    <row r="15" spans="1:14" hidden="1">
      <c r="A15" s="1568">
        <v>4</v>
      </c>
      <c r="B15" s="55" t="s">
        <v>5032</v>
      </c>
      <c r="C15" s="55" t="s">
        <v>5266</v>
      </c>
      <c r="D15" s="55" t="s">
        <v>5267</v>
      </c>
    </row>
    <row r="16" spans="1:14" hidden="1">
      <c r="C16" s="55" t="s">
        <v>5259</v>
      </c>
      <c r="D16" s="55" t="s">
        <v>5265</v>
      </c>
      <c r="E16" s="760" t="s">
        <v>5033</v>
      </c>
    </row>
    <row r="17" spans="1:13" hidden="1">
      <c r="C17" s="55"/>
      <c r="D17" s="55"/>
    </row>
    <row r="18" spans="1:13">
      <c r="A18" s="1587">
        <v>5</v>
      </c>
      <c r="B18" s="55" t="s">
        <v>5171</v>
      </c>
      <c r="C18" s="55" t="s">
        <v>5259</v>
      </c>
      <c r="D18" s="55" t="s">
        <v>5268</v>
      </c>
      <c r="E18" s="55" t="s">
        <v>5172</v>
      </c>
      <c r="J18" s="29"/>
      <c r="K18" s="29"/>
    </row>
    <row r="19" spans="1:13">
      <c r="C19" s="55" t="s">
        <v>5263</v>
      </c>
      <c r="D19" s="55" t="s">
        <v>4581</v>
      </c>
      <c r="J19" s="140"/>
      <c r="K19" s="29"/>
    </row>
    <row r="20" spans="1:13">
      <c r="C20" s="55"/>
      <c r="D20" s="55"/>
      <c r="J20" s="140"/>
      <c r="K20" s="29"/>
    </row>
    <row r="21" spans="1:13">
      <c r="A21" s="1587">
        <v>6</v>
      </c>
      <c r="B21" s="55" t="s">
        <v>5171</v>
      </c>
      <c r="C21" s="55" t="s">
        <v>5259</v>
      </c>
      <c r="D21" s="55" t="s">
        <v>5268</v>
      </c>
      <c r="E21" s="55" t="s">
        <v>5293</v>
      </c>
      <c r="J21" s="140">
        <v>40874.839999999997</v>
      </c>
      <c r="K21" s="29"/>
    </row>
    <row r="22" spans="1:13">
      <c r="C22" s="55" t="s">
        <v>5266</v>
      </c>
      <c r="D22" s="55" t="s">
        <v>5267</v>
      </c>
      <c r="J22" s="140">
        <v>2618.58</v>
      </c>
      <c r="K22" s="29"/>
    </row>
    <row r="23" spans="1:13">
      <c r="C23" s="55"/>
      <c r="D23" s="55"/>
      <c r="J23" s="140">
        <f>J21+J22</f>
        <v>43493.42</v>
      </c>
      <c r="K23" s="29"/>
    </row>
    <row r="24" spans="1:13">
      <c r="A24" s="1587">
        <v>7</v>
      </c>
      <c r="B24" s="55" t="s">
        <v>5184</v>
      </c>
      <c r="C24" s="55" t="s">
        <v>5263</v>
      </c>
      <c r="D24" s="55" t="s">
        <v>4665</v>
      </c>
      <c r="F24" s="400">
        <f>ROUND(ROUND(43493.42,2),2)</f>
        <v>43493.42</v>
      </c>
      <c r="H24" s="400">
        <f>ROUND(ROUND(895.83,2),2)</f>
        <v>895.83</v>
      </c>
      <c r="J24" s="29"/>
      <c r="K24" s="29"/>
    </row>
    <row r="25" spans="1:13">
      <c r="C25" s="55" t="s">
        <v>5263</v>
      </c>
      <c r="D25" s="55" t="s">
        <v>5264</v>
      </c>
      <c r="E25" s="55" t="s">
        <v>5176</v>
      </c>
      <c r="G25" s="400">
        <f>ROUND(ROUND(F24,2),2)</f>
        <v>43493.42</v>
      </c>
      <c r="I25" s="400">
        <f>ROUND(ROUND(H24,2),2)</f>
        <v>895.83</v>
      </c>
    </row>
    <row r="26" spans="1:13">
      <c r="C26" s="55"/>
      <c r="D26" s="55"/>
    </row>
    <row r="27" spans="1:13" ht="15.75" hidden="1" customHeight="1">
      <c r="A27" s="1587">
        <v>8</v>
      </c>
      <c r="B27" s="55" t="s">
        <v>5185</v>
      </c>
      <c r="C27" s="55" t="s">
        <v>5261</v>
      </c>
      <c r="D27" s="55" t="s">
        <v>5186</v>
      </c>
      <c r="E27" s="55" t="s">
        <v>5177</v>
      </c>
      <c r="K27" s="400">
        <f>ROUND(13599.4,2)</f>
        <v>13599.4</v>
      </c>
      <c r="L27" s="400"/>
    </row>
    <row r="28" spans="1:13" hidden="1">
      <c r="C28" s="55" t="s">
        <v>5263</v>
      </c>
      <c r="D28" s="55" t="s">
        <v>5269</v>
      </c>
      <c r="K28" s="400">
        <f>ROUND(15000,2)</f>
        <v>15000</v>
      </c>
      <c r="L28" s="400"/>
    </row>
    <row r="29" spans="1:13" hidden="1">
      <c r="C29" s="55" t="s">
        <v>5266</v>
      </c>
      <c r="D29" s="55" t="s">
        <v>5267</v>
      </c>
      <c r="K29" s="400"/>
      <c r="L29" s="400">
        <f>ROUND(28599.4,2)</f>
        <v>28599.4</v>
      </c>
    </row>
    <row r="30" spans="1:13" hidden="1">
      <c r="A30" s="1587"/>
      <c r="B30" s="55"/>
      <c r="C30" s="55"/>
      <c r="D30" s="55"/>
      <c r="E30" s="55"/>
    </row>
    <row r="31" spans="1:13" hidden="1">
      <c r="A31" s="1587">
        <v>9</v>
      </c>
      <c r="B31" s="55" t="s">
        <v>5178</v>
      </c>
      <c r="C31" s="55" t="s">
        <v>5263</v>
      </c>
      <c r="D31" s="55" t="s">
        <v>1398</v>
      </c>
      <c r="E31" s="1586"/>
    </row>
    <row r="32" spans="1:13" hidden="1">
      <c r="C32" s="55" t="s">
        <v>5266</v>
      </c>
      <c r="D32" s="55" t="s">
        <v>5267</v>
      </c>
      <c r="K32" s="400">
        <f>ROUND(3750,2)</f>
        <v>3750</v>
      </c>
      <c r="L32" s="400"/>
      <c r="M32" s="31">
        <f>K32/0.25</f>
        <v>15000</v>
      </c>
    </row>
    <row r="33" spans="1:14" hidden="1">
      <c r="C33" s="55" t="s">
        <v>5270</v>
      </c>
      <c r="D33" s="55" t="s">
        <v>154</v>
      </c>
      <c r="K33" s="400"/>
      <c r="L33" s="400">
        <f>ROUND(K32,2)</f>
        <v>3750</v>
      </c>
    </row>
    <row r="34" spans="1:14" hidden="1">
      <c r="C34" s="55"/>
      <c r="D34" s="55"/>
    </row>
    <row r="35" spans="1:14" hidden="1">
      <c r="A35" s="1587">
        <v>10</v>
      </c>
      <c r="B35" s="55" t="s">
        <v>5179</v>
      </c>
      <c r="C35" s="55" t="s">
        <v>5270</v>
      </c>
      <c r="D35" s="55" t="s">
        <v>154</v>
      </c>
      <c r="J35" s="1613"/>
    </row>
    <row r="36" spans="1:14" hidden="1">
      <c r="C36" s="55" t="s">
        <v>5263</v>
      </c>
      <c r="D36" s="55" t="s">
        <v>1398</v>
      </c>
    </row>
    <row r="37" spans="1:14" hidden="1">
      <c r="C37" s="55"/>
      <c r="D37" s="55"/>
      <c r="K37" s="400">
        <v>84400</v>
      </c>
      <c r="L37" s="400"/>
      <c r="M37" s="400">
        <f>-(K37)</f>
        <v>-84400</v>
      </c>
      <c r="N37" s="400"/>
    </row>
    <row r="38" spans="1:14" hidden="1">
      <c r="A38" s="1587">
        <v>11</v>
      </c>
      <c r="B38" s="892" t="s">
        <v>5180</v>
      </c>
      <c r="C38" s="55" t="s">
        <v>5263</v>
      </c>
      <c r="D38" s="55" t="s">
        <v>5264</v>
      </c>
      <c r="K38" s="400"/>
      <c r="L38" s="400">
        <f>K37</f>
        <v>84400</v>
      </c>
      <c r="M38" s="400"/>
      <c r="N38" s="400">
        <f>M37</f>
        <v>-84400</v>
      </c>
    </row>
    <row r="39" spans="1:14" hidden="1">
      <c r="C39" s="55" t="s">
        <v>5259</v>
      </c>
      <c r="D39" s="55" t="s">
        <v>5265</v>
      </c>
      <c r="E39" s="55" t="s">
        <v>5181</v>
      </c>
      <c r="K39" s="400"/>
      <c r="L39" s="400"/>
      <c r="M39" s="400"/>
      <c r="N39" s="400"/>
    </row>
    <row r="40" spans="1:14" hidden="1">
      <c r="C40" s="55"/>
      <c r="D40" s="55"/>
      <c r="K40" s="400"/>
      <c r="L40" s="400"/>
      <c r="M40" s="400">
        <v>84400</v>
      </c>
      <c r="N40" s="400"/>
    </row>
    <row r="41" spans="1:14" hidden="1">
      <c r="A41" s="1587">
        <v>12</v>
      </c>
      <c r="B41" s="1649" t="s">
        <v>5180</v>
      </c>
      <c r="C41" s="55" t="s">
        <v>5266</v>
      </c>
      <c r="D41" s="55" t="s">
        <v>5267</v>
      </c>
      <c r="K41" s="400"/>
      <c r="L41" s="400"/>
      <c r="M41" s="400"/>
      <c r="N41" s="400">
        <f>M40</f>
        <v>84400</v>
      </c>
    </row>
    <row r="42" spans="1:14" hidden="1">
      <c r="C42" s="55" t="s">
        <v>5259</v>
      </c>
      <c r="D42" s="55" t="s">
        <v>5265</v>
      </c>
      <c r="K42" s="140">
        <v>473534.32</v>
      </c>
    </row>
    <row r="43" spans="1:14" hidden="1">
      <c r="C43" s="55"/>
      <c r="D43" s="55"/>
      <c r="K43" s="140">
        <v>84400</v>
      </c>
    </row>
    <row r="44" spans="1:14" hidden="1">
      <c r="A44" s="1587">
        <v>13</v>
      </c>
      <c r="B44" s="55" t="s">
        <v>5182</v>
      </c>
      <c r="C44" s="55" t="s">
        <v>5263</v>
      </c>
      <c r="D44" s="55" t="s">
        <v>5264</v>
      </c>
      <c r="E44" s="55" t="s">
        <v>5183</v>
      </c>
      <c r="K44" s="140">
        <v>366000</v>
      </c>
    </row>
    <row r="45" spans="1:14" hidden="1">
      <c r="C45" s="55" t="s">
        <v>5259</v>
      </c>
      <c r="D45" s="55" t="s">
        <v>5268</v>
      </c>
      <c r="K45" s="29"/>
    </row>
    <row r="46" spans="1:14" hidden="1">
      <c r="C46" s="55"/>
      <c r="D46" s="55"/>
      <c r="K46" s="1616">
        <f>K42-K43-K44</f>
        <v>23134.320000000007</v>
      </c>
    </row>
    <row r="47" spans="1:14" hidden="1">
      <c r="A47" s="1587">
        <v>14</v>
      </c>
      <c r="B47" s="55" t="s">
        <v>5182</v>
      </c>
      <c r="C47" s="55" t="s">
        <v>5266</v>
      </c>
      <c r="D47" s="55" t="s">
        <v>5267</v>
      </c>
    </row>
    <row r="48" spans="1:14" hidden="1">
      <c r="C48" s="55" t="s">
        <v>5259</v>
      </c>
      <c r="D48" s="55" t="s">
        <v>5268</v>
      </c>
    </row>
    <row r="49" spans="1:13" hidden="1">
      <c r="C49" s="55"/>
      <c r="D49" s="55"/>
      <c r="M49" s="123">
        <v>486.6</v>
      </c>
    </row>
    <row r="50" spans="1:13">
      <c r="A50" s="1617">
        <v>15</v>
      </c>
      <c r="B50" s="55" t="s">
        <v>5224</v>
      </c>
      <c r="C50" s="55" t="s">
        <v>5263</v>
      </c>
      <c r="D50" s="55" t="s">
        <v>5271</v>
      </c>
      <c r="H50" s="400">
        <f>ROUND(I53+I54-H51-H52,2)</f>
        <v>1874.89</v>
      </c>
    </row>
    <row r="51" spans="1:13">
      <c r="C51" s="55" t="s">
        <v>5270</v>
      </c>
      <c r="D51" s="55" t="s">
        <v>5272</v>
      </c>
      <c r="E51" s="55" t="s">
        <v>5226</v>
      </c>
      <c r="H51" s="400">
        <f>ROUND(6271.07,2)</f>
        <v>6271.07</v>
      </c>
    </row>
    <row r="52" spans="1:13">
      <c r="C52" s="55" t="s">
        <v>5270</v>
      </c>
      <c r="D52" s="55" t="s">
        <v>5272</v>
      </c>
      <c r="E52" s="55" t="s">
        <v>5227</v>
      </c>
      <c r="H52" s="400">
        <f>ROUND(2141.04,2)</f>
        <v>2141.04</v>
      </c>
    </row>
    <row r="53" spans="1:13">
      <c r="C53" s="55" t="s">
        <v>5270</v>
      </c>
      <c r="D53" s="55" t="s">
        <v>5273</v>
      </c>
      <c r="E53" s="55" t="s">
        <v>5226</v>
      </c>
      <c r="I53" s="400">
        <f>ROUND(6599,2)</f>
        <v>6599</v>
      </c>
    </row>
    <row r="54" spans="1:13">
      <c r="C54" s="55" t="s">
        <v>5270</v>
      </c>
      <c r="D54" s="55" t="s">
        <v>5273</v>
      </c>
      <c r="E54" s="55" t="s">
        <v>5225</v>
      </c>
      <c r="I54" s="400">
        <f>ROUND(3688,2)</f>
        <v>3688</v>
      </c>
    </row>
    <row r="55" spans="1:13">
      <c r="C55" s="55"/>
      <c r="D55" s="55"/>
    </row>
    <row r="56" spans="1:13">
      <c r="C56" s="55"/>
      <c r="D56" s="55"/>
      <c r="J56" s="29"/>
    </row>
    <row r="57" spans="1:13">
      <c r="A57" s="1617">
        <v>16</v>
      </c>
      <c r="B57" s="55" t="s">
        <v>5228</v>
      </c>
      <c r="C57" s="55" t="s">
        <v>5270</v>
      </c>
      <c r="D57" s="55" t="s">
        <v>5272</v>
      </c>
      <c r="E57" s="1649" t="s">
        <v>5292</v>
      </c>
      <c r="H57" s="400">
        <f>ROUND(486.6,2)</f>
        <v>486.6</v>
      </c>
      <c r="J57" s="140"/>
    </row>
    <row r="58" spans="1:13">
      <c r="C58" s="55" t="s">
        <v>5263</v>
      </c>
      <c r="D58" s="55" t="s">
        <v>5264</v>
      </c>
      <c r="E58" s="1649" t="s">
        <v>5292</v>
      </c>
      <c r="I58" s="400">
        <f>ROUND(H57,2)</f>
        <v>486.6</v>
      </c>
      <c r="J58" s="1621"/>
    </row>
    <row r="59" spans="1:13">
      <c r="C59" s="55"/>
      <c r="D59" s="55"/>
      <c r="J59" s="1615"/>
    </row>
    <row r="60" spans="1:13">
      <c r="C60" s="55"/>
      <c r="D60" s="55"/>
    </row>
    <row r="61" spans="1:13" hidden="1">
      <c r="A61" s="1626">
        <v>17</v>
      </c>
      <c r="B61" s="892" t="s">
        <v>5230</v>
      </c>
      <c r="C61" s="55" t="s">
        <v>5261</v>
      </c>
      <c r="D61" s="55" t="s">
        <v>5244</v>
      </c>
      <c r="E61" s="55" t="s">
        <v>5232</v>
      </c>
    </row>
    <row r="62" spans="1:13" hidden="1">
      <c r="C62" s="55" t="s">
        <v>5261</v>
      </c>
      <c r="D62" s="55"/>
      <c r="E62" s="55" t="s">
        <v>5234</v>
      </c>
    </row>
    <row r="63" spans="1:13" hidden="1">
      <c r="C63" s="55" t="s">
        <v>5261</v>
      </c>
      <c r="D63" s="55"/>
      <c r="E63" s="55" t="s">
        <v>5236</v>
      </c>
      <c r="K63" s="1627" t="s">
        <v>5240</v>
      </c>
    </row>
    <row r="64" spans="1:13" hidden="1">
      <c r="C64" s="55" t="s">
        <v>5263</v>
      </c>
      <c r="D64" s="55" t="s">
        <v>5274</v>
      </c>
      <c r="E64" s="892" t="s">
        <v>5231</v>
      </c>
    </row>
    <row r="65" spans="1:11" hidden="1">
      <c r="C65" s="55" t="s">
        <v>5263</v>
      </c>
      <c r="D65" s="55"/>
      <c r="E65" s="892" t="s">
        <v>5233</v>
      </c>
    </row>
    <row r="66" spans="1:11" hidden="1">
      <c r="C66" s="55" t="s">
        <v>5263</v>
      </c>
      <c r="D66" s="55"/>
      <c r="E66" s="892" t="s">
        <v>5235</v>
      </c>
    </row>
    <row r="67" spans="1:11" hidden="1">
      <c r="C67" s="55" t="s">
        <v>5266</v>
      </c>
      <c r="D67" s="55" t="s">
        <v>5267</v>
      </c>
      <c r="E67" s="55" t="s">
        <v>5237</v>
      </c>
      <c r="K67" s="140"/>
    </row>
    <row r="68" spans="1:11" hidden="1">
      <c r="C68" s="55" t="s">
        <v>5259</v>
      </c>
      <c r="D68" s="55" t="s">
        <v>5260</v>
      </c>
      <c r="E68" s="55" t="s">
        <v>5239</v>
      </c>
      <c r="K68" s="140"/>
    </row>
    <row r="69" spans="1:11" hidden="1">
      <c r="C69" s="55"/>
      <c r="D69" s="55"/>
      <c r="K69" s="140"/>
    </row>
    <row r="70" spans="1:11" hidden="1">
      <c r="A70" s="1626">
        <v>18</v>
      </c>
      <c r="B70" s="892" t="s">
        <v>5241</v>
      </c>
      <c r="C70" s="55" t="s">
        <v>5263</v>
      </c>
      <c r="D70" s="55" t="s">
        <v>4665</v>
      </c>
      <c r="K70" s="140"/>
    </row>
    <row r="71" spans="1:11" hidden="1">
      <c r="C71" s="55" t="s">
        <v>5259</v>
      </c>
      <c r="D71" s="55" t="s">
        <v>3898</v>
      </c>
      <c r="E71" s="1628">
        <v>0.05</v>
      </c>
      <c r="J71" s="159"/>
      <c r="K71" s="140"/>
    </row>
    <row r="72" spans="1:11" hidden="1">
      <c r="C72" s="55" t="s">
        <v>5259</v>
      </c>
      <c r="D72" s="55" t="s">
        <v>5275</v>
      </c>
      <c r="E72" s="1628">
        <v>0.05</v>
      </c>
      <c r="J72" s="159"/>
      <c r="K72" s="140"/>
    </row>
    <row r="73" spans="1:11" hidden="1">
      <c r="C73" s="55" t="s">
        <v>5266</v>
      </c>
      <c r="D73" s="55" t="s">
        <v>5267</v>
      </c>
      <c r="E73" s="892" t="s">
        <v>5175</v>
      </c>
      <c r="H73" s="400">
        <f>ROUND(I71+I72,2)</f>
        <v>0</v>
      </c>
    </row>
    <row r="74" spans="1:11">
      <c r="C74" s="55"/>
      <c r="D74" s="55"/>
    </row>
    <row r="75" spans="1:11">
      <c r="A75" s="1626">
        <v>17</v>
      </c>
      <c r="B75" s="55" t="s">
        <v>5242</v>
      </c>
      <c r="C75" s="55" t="s">
        <v>5261</v>
      </c>
      <c r="D75" s="55" t="s">
        <v>5244</v>
      </c>
      <c r="E75" s="55" t="s">
        <v>5232</v>
      </c>
      <c r="H75" s="400">
        <v>2600000</v>
      </c>
    </row>
    <row r="76" spans="1:11">
      <c r="C76" s="55" t="s">
        <v>5261</v>
      </c>
      <c r="D76" s="55" t="s">
        <v>5244</v>
      </c>
      <c r="E76" s="55" t="s">
        <v>5234</v>
      </c>
      <c r="H76" s="400">
        <v>1000000</v>
      </c>
      <c r="K76" s="140"/>
    </row>
    <row r="77" spans="1:11">
      <c r="C77" s="55" t="s">
        <v>5261</v>
      </c>
      <c r="D77" s="55" t="s">
        <v>5244</v>
      </c>
      <c r="E77" s="55" t="s">
        <v>5236</v>
      </c>
      <c r="H77" s="400">
        <v>1000000</v>
      </c>
      <c r="K77" s="140"/>
    </row>
    <row r="78" spans="1:11">
      <c r="C78" s="55" t="s">
        <v>5263</v>
      </c>
      <c r="D78" s="55" t="s">
        <v>5274</v>
      </c>
      <c r="E78" s="55" t="s">
        <v>5287</v>
      </c>
      <c r="I78" s="400">
        <f>ROUND(H75/1.06,2)</f>
        <v>2452830.19</v>
      </c>
      <c r="J78" s="140"/>
      <c r="K78" s="140"/>
    </row>
    <row r="79" spans="1:11">
      <c r="C79" s="55" t="s">
        <v>5263</v>
      </c>
      <c r="D79" s="55" t="s">
        <v>5274</v>
      </c>
      <c r="E79" s="55" t="s">
        <v>5288</v>
      </c>
      <c r="I79" s="400">
        <f>ROUND(H76/1.06,2)</f>
        <v>943396.23</v>
      </c>
      <c r="J79" s="140"/>
      <c r="K79" s="140"/>
    </row>
    <row r="80" spans="1:11">
      <c r="C80" s="55" t="s">
        <v>5263</v>
      </c>
      <c r="D80" s="55" t="s">
        <v>5274</v>
      </c>
      <c r="E80" s="55" t="s">
        <v>5289</v>
      </c>
      <c r="I80" s="400">
        <f>ROUND(H77/1.06,2)</f>
        <v>943396.23</v>
      </c>
      <c r="J80" s="140"/>
      <c r="K80" s="140"/>
    </row>
    <row r="81" spans="1:11">
      <c r="C81" s="55" t="s">
        <v>5259</v>
      </c>
      <c r="D81" s="55" t="s">
        <v>5260</v>
      </c>
      <c r="E81" s="55" t="s">
        <v>5238</v>
      </c>
      <c r="I81" s="400">
        <f>H75+H76+H77-I78-I79-I80</f>
        <v>260377.35000000009</v>
      </c>
      <c r="J81" s="140"/>
      <c r="K81" s="140"/>
    </row>
    <row r="82" spans="1:11">
      <c r="C82" s="55"/>
      <c r="D82" s="55"/>
      <c r="E82" s="55"/>
      <c r="K82" s="140"/>
    </row>
    <row r="83" spans="1:11">
      <c r="C83" s="55"/>
      <c r="D83" s="55"/>
      <c r="K83" s="140"/>
    </row>
    <row r="84" spans="1:11">
      <c r="A84" s="1626">
        <v>18</v>
      </c>
      <c r="B84" s="1649" t="s">
        <v>5243</v>
      </c>
      <c r="C84" s="55" t="s">
        <v>5263</v>
      </c>
      <c r="D84" s="55" t="s">
        <v>4665</v>
      </c>
      <c r="H84" s="400">
        <f>I85+I86</f>
        <v>26037.74</v>
      </c>
      <c r="K84" s="140"/>
    </row>
    <row r="85" spans="1:11">
      <c r="C85" s="55" t="s">
        <v>5259</v>
      </c>
      <c r="D85" s="55" t="s">
        <v>5260</v>
      </c>
      <c r="E85" s="1628">
        <v>0.05</v>
      </c>
      <c r="I85" s="400">
        <f>ROUND(I81*0.05,2)</f>
        <v>13018.87</v>
      </c>
      <c r="J85" s="159" t="s">
        <v>5290</v>
      </c>
      <c r="K85" s="140"/>
    </row>
    <row r="86" spans="1:11">
      <c r="C86" s="55" t="s">
        <v>5259</v>
      </c>
      <c r="D86" s="55" t="s">
        <v>5275</v>
      </c>
      <c r="E86" s="1628">
        <v>0.05</v>
      </c>
      <c r="I86" s="400">
        <f>I85</f>
        <v>13018.87</v>
      </c>
      <c r="J86" s="159" t="s">
        <v>5291</v>
      </c>
      <c r="K86" s="140"/>
    </row>
    <row r="87" spans="1:11">
      <c r="C87" s="55"/>
      <c r="D87" s="55"/>
      <c r="K87" s="140"/>
    </row>
    <row r="88" spans="1:11">
      <c r="C88" s="55"/>
      <c r="D88" s="55"/>
      <c r="K88" s="140"/>
    </row>
    <row r="89" spans="1:11">
      <c r="A89" s="1629">
        <v>19</v>
      </c>
      <c r="B89" s="1649" t="s">
        <v>5294</v>
      </c>
      <c r="C89" s="55" t="s">
        <v>4590</v>
      </c>
      <c r="D89" s="55" t="s">
        <v>83</v>
      </c>
      <c r="H89" s="400">
        <f>ROUND(SUM(H75:H77)*0.05,2)</f>
        <v>230000</v>
      </c>
      <c r="J89" s="140">
        <v>94875.690000000206</v>
      </c>
      <c r="K89" s="140">
        <v>9540075.3475000001</v>
      </c>
    </row>
    <row r="90" spans="1:11">
      <c r="C90" s="55" t="s">
        <v>308</v>
      </c>
      <c r="D90" s="55" t="s">
        <v>55</v>
      </c>
      <c r="E90" s="55" t="s">
        <v>5295</v>
      </c>
      <c r="I90" s="400">
        <f>H89</f>
        <v>230000</v>
      </c>
      <c r="K90" s="140">
        <f>F89+K89</f>
        <v>9540075.3475000001</v>
      </c>
    </row>
    <row r="91" spans="1:11">
      <c r="C91" s="55"/>
      <c r="D91" s="55"/>
      <c r="K91" s="140"/>
    </row>
    <row r="92" spans="1:11">
      <c r="C92" s="55"/>
      <c r="D92" s="55"/>
      <c r="K92" s="140"/>
    </row>
    <row r="93" spans="1:11">
      <c r="C93" s="55"/>
      <c r="D93" s="55"/>
      <c r="K93" s="140"/>
    </row>
    <row r="94" spans="1:11">
      <c r="A94" s="1648">
        <v>20</v>
      </c>
      <c r="B94" s="55" t="s">
        <v>5296</v>
      </c>
      <c r="C94" s="55" t="s">
        <v>4590</v>
      </c>
      <c r="D94" s="55" t="s">
        <v>5175</v>
      </c>
      <c r="E94" s="1647"/>
      <c r="H94" s="400">
        <f>ROUND(SUM(I78:I80)*0.03%,2)</f>
        <v>1301.8900000000001</v>
      </c>
      <c r="K94" s="140"/>
    </row>
    <row r="95" spans="1:11">
      <c r="A95" s="1647"/>
      <c r="B95" s="1647"/>
      <c r="C95" s="55" t="s">
        <v>306</v>
      </c>
      <c r="D95" s="55" t="s">
        <v>5297</v>
      </c>
      <c r="E95" s="55" t="s">
        <v>5298</v>
      </c>
      <c r="I95" s="400">
        <f>H94</f>
        <v>1301.8900000000001</v>
      </c>
      <c r="K95" s="140"/>
    </row>
    <row r="96" spans="1:11">
      <c r="A96" s="1647"/>
      <c r="B96" s="1647"/>
      <c r="C96" s="55"/>
      <c r="D96" s="55"/>
      <c r="E96" s="1647"/>
      <c r="K96" s="140"/>
    </row>
    <row r="97" spans="1:11">
      <c r="C97" s="55"/>
      <c r="D97" s="55"/>
      <c r="K97" s="140"/>
    </row>
    <row r="98" spans="1:11">
      <c r="A98" s="1648">
        <v>21</v>
      </c>
      <c r="B98" s="55" t="s">
        <v>5299</v>
      </c>
      <c r="C98" s="55" t="s">
        <v>309</v>
      </c>
      <c r="D98" s="55" t="s">
        <v>5300</v>
      </c>
      <c r="E98" s="55" t="s">
        <v>5301</v>
      </c>
      <c r="H98" s="400">
        <f>H89*0.25</f>
        <v>57500</v>
      </c>
      <c r="K98" s="140"/>
    </row>
    <row r="99" spans="1:11">
      <c r="A99" s="1647"/>
      <c r="B99" s="1647"/>
      <c r="C99" s="55" t="s">
        <v>4590</v>
      </c>
      <c r="D99" s="55" t="s">
        <v>85</v>
      </c>
      <c r="E99" s="55"/>
      <c r="I99" s="400">
        <f>H98</f>
        <v>57500</v>
      </c>
    </row>
    <row r="100" spans="1:11">
      <c r="A100" s="1647"/>
      <c r="B100" s="1647"/>
      <c r="C100" s="55"/>
      <c r="D100" s="55"/>
      <c r="E100" s="1647"/>
    </row>
    <row r="101" spans="1:11">
      <c r="J101" s="1646"/>
    </row>
    <row r="102" spans="1:11">
      <c r="A102" s="1648">
        <v>20</v>
      </c>
      <c r="B102" s="55" t="s">
        <v>5302</v>
      </c>
      <c r="C102" s="55" t="s">
        <v>5263</v>
      </c>
      <c r="D102" s="55" t="s">
        <v>1398</v>
      </c>
      <c r="E102" s="1647"/>
      <c r="H102" s="400">
        <v>84174.66</v>
      </c>
      <c r="J102" s="400"/>
      <c r="K102" s="400"/>
    </row>
    <row r="103" spans="1:11">
      <c r="A103" s="1647"/>
      <c r="B103" s="1647"/>
      <c r="C103" s="55" t="s">
        <v>5259</v>
      </c>
      <c r="D103" s="55" t="s">
        <v>5260</v>
      </c>
      <c r="E103" s="55" t="s">
        <v>5254</v>
      </c>
      <c r="I103" s="400">
        <f>H102</f>
        <v>84174.66</v>
      </c>
      <c r="J103" s="400"/>
      <c r="K103" s="400"/>
    </row>
    <row r="104" spans="1:11">
      <c r="A104" s="1647"/>
      <c r="B104" s="1647"/>
      <c r="C104" s="55"/>
      <c r="D104" s="55"/>
      <c r="E104" s="1647"/>
    </row>
    <row r="105" spans="1:11">
      <c r="A105" s="1652">
        <v>21</v>
      </c>
      <c r="B105" s="55" t="s">
        <v>5306</v>
      </c>
      <c r="C105" s="55" t="s">
        <v>308</v>
      </c>
      <c r="D105" s="55" t="s">
        <v>58</v>
      </c>
      <c r="H105" s="400">
        <v>28599.400000000023</v>
      </c>
    </row>
    <row r="106" spans="1:11">
      <c r="C106" s="55" t="s">
        <v>4590</v>
      </c>
      <c r="D106" s="55" t="s">
        <v>83</v>
      </c>
      <c r="I106" s="400">
        <f>H105</f>
        <v>28599.400000000023</v>
      </c>
    </row>
    <row r="108" spans="1:11">
      <c r="A108" s="1652">
        <v>22</v>
      </c>
      <c r="B108" s="55" t="s">
        <v>5307</v>
      </c>
      <c r="C108" s="55" t="s">
        <v>5310</v>
      </c>
      <c r="D108" s="55" t="s">
        <v>5311</v>
      </c>
      <c r="H108" s="400">
        <f>ROUND(H105*0.25,2)</f>
        <v>7149.85</v>
      </c>
    </row>
    <row r="109" spans="1:11">
      <c r="C109" s="55" t="s">
        <v>5308</v>
      </c>
      <c r="D109" s="55" t="s">
        <v>5309</v>
      </c>
      <c r="I109" s="400">
        <f>H108</f>
        <v>7149.85</v>
      </c>
      <c r="J109" s="1613"/>
    </row>
  </sheetData>
  <sheetProtection formatCells="0" formatColumns="0" formatRows="0" autoFilter="0"/>
  <mergeCells count="1">
    <mergeCell ref="A1:I1"/>
  </mergeCells>
  <phoneticPr fontId="5" type="noConversion"/>
  <dataValidations count="2">
    <dataValidation type="list" allowBlank="1" showInputMessage="1" showErrorMessage="1" sqref="C6:C65535" xr:uid="{00000000-0002-0000-0800-000000000000}">
      <formula1>"流动资产,非流动资产,流动负债,非流动负债,所有者权益,利润表项目"</formula1>
    </dataValidation>
    <dataValidation type="list" allowBlank="1" showInputMessage="1" showErrorMessage="1" sqref="D6:D65535" xr:uid="{00000000-0002-0000-0800-000001000000}">
      <formula1>INDIRECT(C6)</formula1>
    </dataValidation>
  </dataValidations>
  <hyperlinks>
    <hyperlink ref="K1" location="附注填写封面!B3" display="返回目录" xr:uid="{00000000-0004-0000-0800-000000000000}"/>
  </hyperlinks>
  <pageMargins left="0.75" right="0.75" top="1" bottom="1" header="0.5" footer="0.5"/>
  <pageSetup paperSize="9" scale="69" fitToHeight="100" orientation="landscape" blackAndWhite="1" r:id="rId1"/>
  <headerFooter alignWithMargins="0">
    <oddFooter>&amp;C&amp;P</oddFooter>
  </headerFooter>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6">
    <tabColor rgb="FFFFFF00"/>
    <pageSetUpPr autoPageBreaks="0" fitToPage="1"/>
  </sheetPr>
  <dimension ref="A1:S208"/>
  <sheetViews>
    <sheetView showGridLines="0" showZeros="0" topLeftCell="D1" zoomScaleSheetLayoutView="75" workbookViewId="0">
      <pane xSplit="1" ySplit="5" topLeftCell="E6" activePane="bottomRight" state="frozen"/>
      <selection activeCell="A5" sqref="A5:A6"/>
      <selection pane="topRight" activeCell="A5" sqref="A5:A6"/>
      <selection pane="bottomLeft" activeCell="A5" sqref="A5:A6"/>
      <selection pane="bottomRight" activeCell="R3" sqref="R3"/>
    </sheetView>
  </sheetViews>
  <sheetFormatPr defaultColWidth="20.375" defaultRowHeight="14.25"/>
  <cols>
    <col min="1" max="1" width="6.875" style="3" hidden="1" customWidth="1"/>
    <col min="2" max="2" width="8.125" style="3" hidden="1" customWidth="1"/>
    <col min="3" max="3" width="9.125" style="3" hidden="1" customWidth="1"/>
    <col min="4" max="4" width="33.125" style="127" customWidth="1"/>
    <col min="5" max="5" width="15.625" style="127" bestFit="1" customWidth="1"/>
    <col min="6" max="6" width="14.125" style="127" hidden="1" customWidth="1"/>
    <col min="7" max="7" width="17.125" style="127" hidden="1" customWidth="1"/>
    <col min="8" max="8" width="17.125" style="127" bestFit="1" customWidth="1"/>
    <col min="9" max="10" width="15.625" style="127" bestFit="1" customWidth="1"/>
    <col min="11" max="11" width="13.125" style="127" hidden="1" customWidth="1"/>
    <col min="12" max="12" width="14.875" style="127" hidden="1" customWidth="1"/>
    <col min="13" max="13" width="13.125" style="127" bestFit="1" customWidth="1"/>
    <col min="14" max="14" width="15.625" style="127" bestFit="1" customWidth="1"/>
    <col min="15" max="15" width="9.625" style="3" customWidth="1"/>
    <col min="16" max="16" width="8.125" style="3" customWidth="1"/>
    <col min="17" max="17" width="23.5" style="3" bestFit="1" customWidth="1"/>
    <col min="18" max="16384" width="20.375" style="3"/>
  </cols>
  <sheetData>
    <row r="1" spans="1:19" ht="15.75">
      <c r="D1" s="552" t="s">
        <v>1827</v>
      </c>
      <c r="E1" s="553"/>
      <c r="F1" s="553"/>
      <c r="G1" s="553"/>
      <c r="H1" s="553"/>
      <c r="I1" s="553"/>
      <c r="J1" s="553"/>
      <c r="K1" s="554"/>
      <c r="L1" s="554"/>
      <c r="M1" s="554"/>
      <c r="N1" s="554"/>
      <c r="O1" s="121"/>
    </row>
    <row r="2" spans="1:19">
      <c r="D2" s="521"/>
      <c r="E2" s="522"/>
      <c r="F2" s="522"/>
      <c r="G2" s="522"/>
      <c r="H2" s="522"/>
      <c r="I2" s="522"/>
      <c r="J2" s="522"/>
      <c r="N2" s="523" t="s">
        <v>1747</v>
      </c>
      <c r="O2" s="555" t="s">
        <v>243</v>
      </c>
    </row>
    <row r="3" spans="1:19" s="60" customFormat="1" ht="15.75">
      <c r="D3" s="512" t="str">
        <f>调整分录!A3</f>
        <v>被审计单位：华鼎资本（北京）有限公司</v>
      </c>
      <c r="E3" s="513"/>
      <c r="F3" s="522"/>
      <c r="G3" s="522"/>
      <c r="H3" s="522"/>
      <c r="I3" s="522"/>
      <c r="J3" s="522"/>
      <c r="K3" s="522"/>
      <c r="L3" s="522"/>
      <c r="M3" s="522"/>
      <c r="N3" s="514" t="s">
        <v>1746</v>
      </c>
      <c r="O3" s="555" t="s">
        <v>243</v>
      </c>
      <c r="P3" s="3"/>
      <c r="Q3" s="3"/>
    </row>
    <row r="4" spans="1:19" s="60" customFormat="1" ht="15.75">
      <c r="D4" s="423" t="str">
        <f>调整分录!A4</f>
        <v>所审期间：2019年1-5月</v>
      </c>
      <c r="E4" s="515"/>
      <c r="F4" s="522"/>
      <c r="G4" s="522"/>
      <c r="H4" s="522"/>
      <c r="I4" s="522"/>
      <c r="J4" s="522"/>
      <c r="K4" s="522"/>
      <c r="L4" s="522"/>
      <c r="M4" s="522"/>
      <c r="N4" s="516"/>
      <c r="O4" s="516"/>
    </row>
    <row r="5" spans="1:19" s="56" customFormat="1" ht="28.5">
      <c r="A5" s="56" t="s">
        <v>315</v>
      </c>
      <c r="B5" s="56" t="s">
        <v>307</v>
      </c>
      <c r="C5" s="56" t="s">
        <v>312</v>
      </c>
      <c r="D5" s="524" t="s">
        <v>1748</v>
      </c>
      <c r="E5" s="525" t="str">
        <f>"未审"&amp;未审资产负债表!C4</f>
        <v>未审期末金额</v>
      </c>
      <c r="F5" s="526" t="s">
        <v>1749</v>
      </c>
      <c r="G5" s="526" t="s">
        <v>1750</v>
      </c>
      <c r="H5" s="527" t="s">
        <v>1751</v>
      </c>
      <c r="I5" s="525" t="str">
        <f>"审定"&amp;未审资产负债表!C4</f>
        <v>审定期末金额</v>
      </c>
      <c r="J5" s="528" t="str">
        <f>"未审"&amp;未审资产负债表!D4</f>
        <v>未审年初金额</v>
      </c>
      <c r="K5" s="526" t="s">
        <v>1749</v>
      </c>
      <c r="L5" s="526" t="s">
        <v>1750</v>
      </c>
      <c r="M5" s="527" t="s">
        <v>1751</v>
      </c>
      <c r="N5" s="525" t="str">
        <f>"审定"&amp;未审资产负债表!D4</f>
        <v>审定年初金额</v>
      </c>
      <c r="O5" s="56">
        <v>1</v>
      </c>
      <c r="P5" s="56">
        <v>2</v>
      </c>
      <c r="Q5" s="56">
        <v>3</v>
      </c>
      <c r="R5" s="56">
        <v>4</v>
      </c>
    </row>
    <row r="6" spans="1:19">
      <c r="A6" s="47">
        <v>6</v>
      </c>
      <c r="B6" s="3" t="s">
        <v>308</v>
      </c>
      <c r="D6" s="529" t="s">
        <v>1752</v>
      </c>
      <c r="E6" s="434"/>
      <c r="F6" s="434"/>
      <c r="G6" s="434"/>
      <c r="H6" s="403"/>
      <c r="I6" s="434"/>
      <c r="J6" s="434"/>
      <c r="K6" s="434"/>
      <c r="L6" s="434"/>
      <c r="M6" s="403"/>
      <c r="N6" s="434"/>
      <c r="O6" s="1641" t="s">
        <v>5276</v>
      </c>
      <c r="P6" s="1641" t="s">
        <v>5277</v>
      </c>
      <c r="Q6" s="1642" t="s">
        <v>5278</v>
      </c>
      <c r="R6" s="1642" t="s">
        <v>5279</v>
      </c>
      <c r="S6" s="1642" t="s">
        <v>5280</v>
      </c>
    </row>
    <row r="7" spans="1:19">
      <c r="A7" s="47">
        <v>7</v>
      </c>
      <c r="B7" s="3" t="s">
        <v>308</v>
      </c>
      <c r="D7" s="530" t="s">
        <v>533</v>
      </c>
      <c r="E7" s="440">
        <f>试算平衡表!E7/10000</f>
        <v>127.30336799999999</v>
      </c>
      <c r="F7" s="440">
        <f>试算平衡表!F7/10000</f>
        <v>0</v>
      </c>
      <c r="G7" s="440">
        <f>试算平衡表!G7/10000</f>
        <v>0</v>
      </c>
      <c r="H7" s="440">
        <f>试算平衡表!H7/10000</f>
        <v>0</v>
      </c>
      <c r="I7" s="440">
        <f>试算平衡表!I7/10000</f>
        <v>127.30336799999999</v>
      </c>
      <c r="J7" s="440">
        <f>试算平衡表!J7/10000</f>
        <v>627.02392899999995</v>
      </c>
      <c r="K7" s="440">
        <f>试算平衡表!K7/10000</f>
        <v>0</v>
      </c>
      <c r="L7" s="440">
        <f>试算平衡表!L7/10000</f>
        <v>0</v>
      </c>
      <c r="M7" s="440">
        <f>试算平衡表!M7/10000</f>
        <v>0</v>
      </c>
      <c r="N7" s="440">
        <f>试算平衡表!N7/10000</f>
        <v>627.02392899999995</v>
      </c>
      <c r="O7" s="1643" t="s">
        <v>5233</v>
      </c>
      <c r="P7" s="1696" t="s">
        <v>5281</v>
      </c>
      <c r="Q7" s="1694">
        <v>2148252.0547945201</v>
      </c>
      <c r="R7" s="1694">
        <v>2148252.0547945201</v>
      </c>
      <c r="S7" s="1695">
        <f>Q7-R7</f>
        <v>0</v>
      </c>
    </row>
    <row r="8" spans="1:19">
      <c r="A8" s="47">
        <v>8</v>
      </c>
      <c r="B8" s="3" t="s">
        <v>308</v>
      </c>
      <c r="D8" s="530" t="s">
        <v>534</v>
      </c>
      <c r="E8" s="440">
        <f>试算平衡表!E8/10000</f>
        <v>0</v>
      </c>
      <c r="F8" s="440">
        <f>试算平衡表!F8/10000</f>
        <v>0</v>
      </c>
      <c r="G8" s="440">
        <f>试算平衡表!G8/10000</f>
        <v>0</v>
      </c>
      <c r="H8" s="440">
        <f>试算平衡表!H8/10000</f>
        <v>0</v>
      </c>
      <c r="I8" s="440">
        <f>试算平衡表!I8/10000</f>
        <v>0</v>
      </c>
      <c r="J8" s="440">
        <f>试算平衡表!J8/10000</f>
        <v>0</v>
      </c>
      <c r="K8" s="440">
        <f>试算平衡表!K8/10000</f>
        <v>0</v>
      </c>
      <c r="L8" s="440">
        <f>试算平衡表!L8/10000</f>
        <v>0</v>
      </c>
      <c r="M8" s="440">
        <f>试算平衡表!M8/10000</f>
        <v>0</v>
      </c>
      <c r="N8" s="440">
        <f>试算平衡表!N8/10000</f>
        <v>0</v>
      </c>
      <c r="O8" s="1643" t="s">
        <v>5231</v>
      </c>
      <c r="P8" s="1696"/>
      <c r="Q8" s="1694"/>
      <c r="R8" s="1694"/>
      <c r="S8" s="1695"/>
    </row>
    <row r="9" spans="1:19">
      <c r="A9" s="47">
        <v>9</v>
      </c>
      <c r="B9" s="3" t="s">
        <v>308</v>
      </c>
      <c r="D9" s="530" t="s">
        <v>535</v>
      </c>
      <c r="E9" s="440">
        <f>试算平衡表!E9/10000</f>
        <v>0</v>
      </c>
      <c r="F9" s="440">
        <f>试算平衡表!F9/10000</f>
        <v>0</v>
      </c>
      <c r="G9" s="440">
        <f>试算平衡表!G9/10000</f>
        <v>0</v>
      </c>
      <c r="H9" s="440">
        <f>试算平衡表!H9/10000</f>
        <v>0</v>
      </c>
      <c r="I9" s="440">
        <f>试算平衡表!I9/10000</f>
        <v>0</v>
      </c>
      <c r="J9" s="440">
        <f>试算平衡表!J9/10000</f>
        <v>0</v>
      </c>
      <c r="K9" s="440">
        <f>试算平衡表!K9/10000</f>
        <v>0</v>
      </c>
      <c r="L9" s="440">
        <f>试算平衡表!L9/10000</f>
        <v>0</v>
      </c>
      <c r="M9" s="440">
        <f>试算平衡表!M9/10000</f>
        <v>0</v>
      </c>
      <c r="N9" s="440">
        <f>试算平衡表!N9/10000</f>
        <v>0</v>
      </c>
      <c r="O9" s="1643" t="s">
        <v>5235</v>
      </c>
      <c r="P9" s="1696"/>
      <c r="Q9" s="1694"/>
      <c r="R9" s="1694"/>
      <c r="S9" s="1695"/>
    </row>
    <row r="10" spans="1:19">
      <c r="A10" s="47">
        <v>10</v>
      </c>
      <c r="B10" s="3" t="s">
        <v>308</v>
      </c>
      <c r="D10" s="530" t="s">
        <v>1753</v>
      </c>
      <c r="E10" s="440">
        <f>试算平衡表!E10/10000</f>
        <v>0</v>
      </c>
      <c r="F10" s="440">
        <f>试算平衡表!F10/10000</f>
        <v>0</v>
      </c>
      <c r="G10" s="440">
        <f>试算平衡表!G10/10000</f>
        <v>0</v>
      </c>
      <c r="H10" s="440">
        <f>试算平衡表!H10/10000</f>
        <v>0</v>
      </c>
      <c r="I10" s="440">
        <f>试算平衡表!I10/10000</f>
        <v>0</v>
      </c>
      <c r="J10" s="440">
        <f>试算平衡表!J10/10000</f>
        <v>0</v>
      </c>
      <c r="K10" s="440">
        <f>试算平衡表!K10/10000</f>
        <v>0</v>
      </c>
      <c r="L10" s="440">
        <f>试算平衡表!L10/10000</f>
        <v>0</v>
      </c>
      <c r="M10" s="440">
        <f>试算平衡表!M10/10000</f>
        <v>0</v>
      </c>
      <c r="N10" s="440">
        <f>试算平衡表!N10/10000</f>
        <v>0</v>
      </c>
      <c r="O10" s="1643" t="s">
        <v>5233</v>
      </c>
      <c r="P10" s="1696" t="s">
        <v>5282</v>
      </c>
      <c r="Q10" s="1694">
        <v>14002000</v>
      </c>
      <c r="R10" s="1694">
        <v>14002000</v>
      </c>
      <c r="S10" s="1695">
        <f>Q10-R10</f>
        <v>0</v>
      </c>
    </row>
    <row r="11" spans="1:19">
      <c r="A11" s="47">
        <v>11</v>
      </c>
      <c r="B11" s="3" t="s">
        <v>308</v>
      </c>
      <c r="D11" s="530" t="s">
        <v>1754</v>
      </c>
      <c r="E11" s="440">
        <f>试算平衡表!E11/10000</f>
        <v>0</v>
      </c>
      <c r="F11" s="440">
        <f>试算平衡表!F11/10000</f>
        <v>0</v>
      </c>
      <c r="G11" s="440">
        <f>试算平衡表!G11/10000</f>
        <v>0</v>
      </c>
      <c r="H11" s="440">
        <f>试算平衡表!H11/10000</f>
        <v>0</v>
      </c>
      <c r="I11" s="440">
        <f>试算平衡表!I11/10000</f>
        <v>0</v>
      </c>
      <c r="J11" s="440">
        <f>试算平衡表!J11/10000</f>
        <v>0</v>
      </c>
      <c r="K11" s="440">
        <f>试算平衡表!K11/10000</f>
        <v>0</v>
      </c>
      <c r="L11" s="440">
        <f>试算平衡表!L11/10000</f>
        <v>0</v>
      </c>
      <c r="M11" s="440">
        <f>试算平衡表!M11/10000</f>
        <v>0</v>
      </c>
      <c r="N11" s="440">
        <f>试算平衡表!N11/10000</f>
        <v>0</v>
      </c>
      <c r="O11" s="1643" t="s">
        <v>5231</v>
      </c>
      <c r="P11" s="1696"/>
      <c r="Q11" s="1694"/>
      <c r="R11" s="1694"/>
      <c r="S11" s="1695"/>
    </row>
    <row r="12" spans="1:19">
      <c r="A12" s="47">
        <v>12</v>
      </c>
      <c r="B12" s="3" t="s">
        <v>308</v>
      </c>
      <c r="D12" s="530" t="s">
        <v>536</v>
      </c>
      <c r="E12" s="440">
        <f>试算平衡表!E12/10000</f>
        <v>0</v>
      </c>
      <c r="F12" s="440">
        <f>试算平衡表!F12/10000</f>
        <v>0</v>
      </c>
      <c r="G12" s="440">
        <f>试算平衡表!G12/10000</f>
        <v>0</v>
      </c>
      <c r="H12" s="440">
        <f>试算平衡表!H12/10000</f>
        <v>0</v>
      </c>
      <c r="I12" s="440">
        <f>试算平衡表!I12/10000</f>
        <v>0</v>
      </c>
      <c r="J12" s="440">
        <f>试算平衡表!J12/10000</f>
        <v>0</v>
      </c>
      <c r="K12" s="440">
        <f>试算平衡表!K12/10000</f>
        <v>0</v>
      </c>
      <c r="L12" s="440">
        <f>试算平衡表!L12/10000</f>
        <v>0</v>
      </c>
      <c r="M12" s="440">
        <f>试算平衡表!M12/10000</f>
        <v>0</v>
      </c>
      <c r="N12" s="440">
        <f>试算平衡表!N12/10000</f>
        <v>0</v>
      </c>
      <c r="O12" s="1643" t="s">
        <v>5235</v>
      </c>
      <c r="P12" s="1696"/>
      <c r="Q12" s="1694"/>
      <c r="R12" s="1694"/>
      <c r="S12" s="1695"/>
    </row>
    <row r="13" spans="1:19" ht="16.5">
      <c r="A13" s="47">
        <v>13</v>
      </c>
      <c r="B13" s="3" t="s">
        <v>308</v>
      </c>
      <c r="D13" s="530" t="s">
        <v>537</v>
      </c>
      <c r="E13" s="440">
        <f>试算平衡表!E13/10000</f>
        <v>0</v>
      </c>
      <c r="F13" s="440">
        <f>试算平衡表!F13/10000</f>
        <v>460</v>
      </c>
      <c r="G13" s="440">
        <f>试算平衡表!G13/10000</f>
        <v>23</v>
      </c>
      <c r="H13" s="440">
        <f>试算平衡表!H13/10000</f>
        <v>437</v>
      </c>
      <c r="I13" s="440">
        <f>试算平衡表!I13/10000</f>
        <v>437</v>
      </c>
      <c r="J13" s="440">
        <f>试算平衡表!J13/10000</f>
        <v>0</v>
      </c>
      <c r="K13" s="440">
        <f>试算平衡表!K13/10000</f>
        <v>0</v>
      </c>
      <c r="L13" s="440">
        <f>试算平衡表!L13/10000</f>
        <v>0</v>
      </c>
      <c r="M13" s="440">
        <f>试算平衡表!M13/10000</f>
        <v>0</v>
      </c>
      <c r="N13" s="440">
        <f>试算平衡表!N13/10000</f>
        <v>0</v>
      </c>
      <c r="O13" s="1643" t="s">
        <v>5233</v>
      </c>
      <c r="P13" s="1696" t="s">
        <v>5283</v>
      </c>
      <c r="Q13" s="1644">
        <v>14002000</v>
      </c>
      <c r="R13" s="1644">
        <v>14002000</v>
      </c>
      <c r="S13" s="1645">
        <f>Q13-R13</f>
        <v>0</v>
      </c>
    </row>
    <row r="14" spans="1:19" ht="16.5">
      <c r="A14" s="47">
        <v>14</v>
      </c>
      <c r="B14" s="3" t="s">
        <v>308</v>
      </c>
      <c r="D14" s="530" t="s">
        <v>538</v>
      </c>
      <c r="E14" s="440">
        <f>试算平衡表!E14/10000</f>
        <v>0</v>
      </c>
      <c r="F14" s="440">
        <f>试算平衡表!F14/10000</f>
        <v>0</v>
      </c>
      <c r="G14" s="440">
        <f>试算平衡表!G14/10000</f>
        <v>0</v>
      </c>
      <c r="H14" s="440">
        <f>试算平衡表!H14/10000</f>
        <v>0</v>
      </c>
      <c r="I14" s="440">
        <f>试算平衡表!I14/10000</f>
        <v>0</v>
      </c>
      <c r="J14" s="440">
        <f>试算平衡表!J14/10000</f>
        <v>0</v>
      </c>
      <c r="K14" s="440">
        <f>试算平衡表!K14/10000</f>
        <v>0</v>
      </c>
      <c r="L14" s="440">
        <f>试算平衡表!L14/10000</f>
        <v>0</v>
      </c>
      <c r="M14" s="440">
        <f>试算平衡表!M14/10000</f>
        <v>0</v>
      </c>
      <c r="N14" s="440">
        <f>试算平衡表!N14/10000</f>
        <v>0</v>
      </c>
      <c r="O14" s="1643" t="s">
        <v>5231</v>
      </c>
      <c r="P14" s="1696"/>
      <c r="Q14" s="1644">
        <v>2738522.2213698626</v>
      </c>
      <c r="R14" s="1644">
        <v>2125361</v>
      </c>
      <c r="S14" s="1645">
        <f t="shared" ref="S14:S24" si="0">Q14-R14</f>
        <v>613161.22136986256</v>
      </c>
    </row>
    <row r="15" spans="1:19" ht="16.5">
      <c r="A15" s="47">
        <v>15</v>
      </c>
      <c r="B15" s="3" t="s">
        <v>308</v>
      </c>
      <c r="D15" s="530" t="s">
        <v>539</v>
      </c>
      <c r="E15" s="440">
        <f>试算平衡表!E15/10000</f>
        <v>0</v>
      </c>
      <c r="F15" s="440">
        <f>试算平衡表!F15/10000</f>
        <v>0</v>
      </c>
      <c r="G15" s="440">
        <f>试算平衡表!G15/10000</f>
        <v>0</v>
      </c>
      <c r="H15" s="440">
        <f>试算平衡表!H15/10000</f>
        <v>0</v>
      </c>
      <c r="I15" s="440">
        <f>试算平衡表!I15/10000</f>
        <v>0</v>
      </c>
      <c r="J15" s="440">
        <f>试算平衡表!J15/10000</f>
        <v>0</v>
      </c>
      <c r="K15" s="440">
        <f>试算平衡表!K15/10000</f>
        <v>0</v>
      </c>
      <c r="L15" s="440">
        <f>试算平衡表!L15/10000</f>
        <v>0</v>
      </c>
      <c r="M15" s="440">
        <f>试算平衡表!M15/10000</f>
        <v>0</v>
      </c>
      <c r="N15" s="440">
        <f>试算平衡表!N15/10000</f>
        <v>0</v>
      </c>
      <c r="O15" s="1643" t="s">
        <v>5235</v>
      </c>
      <c r="P15" s="1696"/>
      <c r="Q15" s="1644">
        <v>0</v>
      </c>
      <c r="R15" s="1644">
        <v>0</v>
      </c>
      <c r="S15" s="1645">
        <f t="shared" si="0"/>
        <v>0</v>
      </c>
    </row>
    <row r="16" spans="1:19" ht="16.5">
      <c r="A16" s="47">
        <v>16</v>
      </c>
      <c r="B16" s="3" t="s">
        <v>308</v>
      </c>
      <c r="D16" s="530" t="s">
        <v>540</v>
      </c>
      <c r="E16" s="440">
        <f>试算平衡表!E16/10000</f>
        <v>0</v>
      </c>
      <c r="F16" s="440">
        <f>试算平衡表!F16/10000</f>
        <v>0</v>
      </c>
      <c r="G16" s="440">
        <f>试算平衡表!G16/10000</f>
        <v>0</v>
      </c>
      <c r="H16" s="440">
        <f>试算平衡表!H16/10000</f>
        <v>0</v>
      </c>
      <c r="I16" s="440">
        <f>试算平衡表!I16/10000</f>
        <v>0</v>
      </c>
      <c r="J16" s="440">
        <f>试算平衡表!J16/10000</f>
        <v>0</v>
      </c>
      <c r="K16" s="440">
        <f>试算平衡表!K16/10000</f>
        <v>0</v>
      </c>
      <c r="L16" s="440">
        <f>试算平衡表!L16/10000</f>
        <v>0</v>
      </c>
      <c r="M16" s="440">
        <f>试算平衡表!M16/10000</f>
        <v>0</v>
      </c>
      <c r="N16" s="440">
        <f>试算平衡表!N16/10000</f>
        <v>0</v>
      </c>
      <c r="O16" s="1643" t="s">
        <v>5233</v>
      </c>
      <c r="P16" s="1696" t="s">
        <v>5284</v>
      </c>
      <c r="Q16" s="1644">
        <v>14002000</v>
      </c>
      <c r="R16" s="1644">
        <v>14002000</v>
      </c>
      <c r="S16" s="1645">
        <f t="shared" si="0"/>
        <v>0</v>
      </c>
    </row>
    <row r="17" spans="1:19" ht="16.5">
      <c r="A17" s="47">
        <v>17</v>
      </c>
      <c r="B17" s="3" t="s">
        <v>308</v>
      </c>
      <c r="D17" s="530" t="s">
        <v>1755</v>
      </c>
      <c r="E17" s="440">
        <f>试算平衡表!E17/10000</f>
        <v>0</v>
      </c>
      <c r="F17" s="440">
        <f>试算平衡表!F17/10000</f>
        <v>0</v>
      </c>
      <c r="G17" s="440">
        <f>试算平衡表!G17/10000</f>
        <v>0</v>
      </c>
      <c r="H17" s="440">
        <f>试算平衡表!H17/10000</f>
        <v>0</v>
      </c>
      <c r="I17" s="440">
        <f>试算平衡表!I17/10000</f>
        <v>0</v>
      </c>
      <c r="J17" s="440">
        <f>试算平衡表!J17/10000</f>
        <v>0</v>
      </c>
      <c r="K17" s="440">
        <f>试算平衡表!K17/10000</f>
        <v>0</v>
      </c>
      <c r="L17" s="440">
        <f>试算平衡表!L17/10000</f>
        <v>0</v>
      </c>
      <c r="M17" s="440">
        <f>试算平衡表!M17/10000</f>
        <v>0</v>
      </c>
      <c r="N17" s="440">
        <f>试算平衡表!N17/10000</f>
        <v>0</v>
      </c>
      <c r="O17" s="1643" t="s">
        <v>5231</v>
      </c>
      <c r="P17" s="1696"/>
      <c r="Q17" s="1644">
        <v>36378814.679561645</v>
      </c>
      <c r="R17" s="1644">
        <v>18000000</v>
      </c>
      <c r="S17" s="1645">
        <f t="shared" si="0"/>
        <v>18378814.679561645</v>
      </c>
    </row>
    <row r="18" spans="1:19" ht="16.5">
      <c r="A18" s="47">
        <v>18</v>
      </c>
      <c r="B18" s="3" t="s">
        <v>308</v>
      </c>
      <c r="D18" s="530" t="s">
        <v>1756</v>
      </c>
      <c r="E18" s="440">
        <f>试算平衡表!E18/10000</f>
        <v>0</v>
      </c>
      <c r="F18" s="440">
        <f>试算平衡表!F18/10000</f>
        <v>0</v>
      </c>
      <c r="G18" s="440">
        <f>试算平衡表!G18/10000</f>
        <v>0</v>
      </c>
      <c r="H18" s="440">
        <f>试算平衡表!H18/10000</f>
        <v>0</v>
      </c>
      <c r="I18" s="440">
        <f>试算平衡表!I18/10000</f>
        <v>0</v>
      </c>
      <c r="J18" s="440">
        <f>试算平衡表!J18/10000</f>
        <v>0</v>
      </c>
      <c r="K18" s="440">
        <f>试算平衡表!K18/10000</f>
        <v>0</v>
      </c>
      <c r="L18" s="440">
        <f>试算平衡表!L18/10000</f>
        <v>0</v>
      </c>
      <c r="M18" s="440">
        <f>试算平衡表!M18/10000</f>
        <v>0</v>
      </c>
      <c r="N18" s="440">
        <f>试算平衡表!N18/10000</f>
        <v>0</v>
      </c>
      <c r="O18" s="1643" t="s">
        <v>5235</v>
      </c>
      <c r="P18" s="1696"/>
      <c r="Q18" s="1644">
        <v>213554.28082191781</v>
      </c>
      <c r="R18" s="1644">
        <v>0</v>
      </c>
      <c r="S18" s="1645">
        <f t="shared" si="0"/>
        <v>213554.28082191781</v>
      </c>
    </row>
    <row r="19" spans="1:19" ht="16.5">
      <c r="A19" s="47">
        <v>19</v>
      </c>
      <c r="B19" s="3" t="s">
        <v>308</v>
      </c>
      <c r="D19" s="530" t="s">
        <v>542</v>
      </c>
      <c r="E19" s="440">
        <f>试算平衡表!E19/10000</f>
        <v>0</v>
      </c>
      <c r="F19" s="440">
        <f>试算平衡表!F19/10000</f>
        <v>0</v>
      </c>
      <c r="G19" s="440">
        <f>试算平衡表!G19/10000</f>
        <v>0</v>
      </c>
      <c r="H19" s="440">
        <f>试算平衡表!H19/10000</f>
        <v>0</v>
      </c>
      <c r="I19" s="440">
        <f>试算平衡表!I19/10000</f>
        <v>0</v>
      </c>
      <c r="J19" s="440">
        <f>试算平衡表!J19/10000</f>
        <v>0</v>
      </c>
      <c r="K19" s="440">
        <f>试算平衡表!K19/10000</f>
        <v>0</v>
      </c>
      <c r="L19" s="440">
        <f>试算平衡表!L19/10000</f>
        <v>0</v>
      </c>
      <c r="M19" s="440">
        <f>试算平衡表!M19/10000</f>
        <v>0</v>
      </c>
      <c r="N19" s="440">
        <f>试算平衡表!N19/10000</f>
        <v>0</v>
      </c>
      <c r="O19" s="1643" t="s">
        <v>5233</v>
      </c>
      <c r="P19" s="1696" t="s">
        <v>5285</v>
      </c>
      <c r="Q19" s="1644">
        <v>14002000</v>
      </c>
      <c r="R19" s="1644">
        <v>0</v>
      </c>
      <c r="S19" s="1645">
        <f t="shared" si="0"/>
        <v>14002000</v>
      </c>
    </row>
    <row r="20" spans="1:19" ht="16.5">
      <c r="A20" s="47">
        <v>20</v>
      </c>
      <c r="B20" s="3" t="s">
        <v>308</v>
      </c>
      <c r="D20" s="530" t="s">
        <v>543</v>
      </c>
      <c r="E20" s="440">
        <f>试算平衡表!E20/10000</f>
        <v>83.174850000000006</v>
      </c>
      <c r="F20" s="440">
        <f>试算平衡表!F20/10000</f>
        <v>2.8599399999999999</v>
      </c>
      <c r="G20" s="440">
        <f>试算平衡表!G20/10000</f>
        <v>0</v>
      </c>
      <c r="H20" s="440">
        <f>试算平衡表!H20/10000</f>
        <v>2.8599400000000021</v>
      </c>
      <c r="I20" s="440">
        <f>试算平衡表!I20/10000</f>
        <v>86.034790000000001</v>
      </c>
      <c r="J20" s="440">
        <f>试算平衡表!J20/10000</f>
        <v>83.294849999999997</v>
      </c>
      <c r="K20" s="440">
        <f>试算平衡表!K20/10000</f>
        <v>0</v>
      </c>
      <c r="L20" s="440">
        <f>试算平衡表!L20/10000</f>
        <v>0</v>
      </c>
      <c r="M20" s="440">
        <f>试算平衡表!M20/10000</f>
        <v>0</v>
      </c>
      <c r="N20" s="440">
        <f>试算平衡表!N20/10000</f>
        <v>83.294849999999997</v>
      </c>
      <c r="O20" s="1643" t="s">
        <v>5231</v>
      </c>
      <c r="P20" s="1696"/>
      <c r="Q20" s="1644">
        <v>67892088.771232873</v>
      </c>
      <c r="R20" s="1644">
        <v>10000000</v>
      </c>
      <c r="S20" s="1645">
        <f t="shared" si="0"/>
        <v>57892088.771232873</v>
      </c>
    </row>
    <row r="21" spans="1:19" ht="16.5">
      <c r="A21" s="47">
        <v>21</v>
      </c>
      <c r="B21" s="3" t="s">
        <v>308</v>
      </c>
      <c r="D21" s="530" t="s">
        <v>544</v>
      </c>
      <c r="E21" s="440">
        <f>试算平衡表!E21/10000</f>
        <v>0</v>
      </c>
      <c r="F21" s="440">
        <f>试算平衡表!F21/10000</f>
        <v>0</v>
      </c>
      <c r="G21" s="440">
        <f>试算平衡表!G21/10000</f>
        <v>0</v>
      </c>
      <c r="H21" s="440">
        <f>试算平衡表!H21/10000</f>
        <v>0</v>
      </c>
      <c r="I21" s="440">
        <f>试算平衡表!I21/10000</f>
        <v>0</v>
      </c>
      <c r="J21" s="440">
        <f>试算平衡表!J21/10000</f>
        <v>0</v>
      </c>
      <c r="K21" s="440">
        <f>试算平衡表!K21/10000</f>
        <v>0</v>
      </c>
      <c r="L21" s="440">
        <f>试算平衡表!L21/10000</f>
        <v>0</v>
      </c>
      <c r="M21" s="440">
        <f>试算平衡表!M21/10000</f>
        <v>0</v>
      </c>
      <c r="N21" s="440">
        <f>试算平衡表!N21/10000</f>
        <v>0</v>
      </c>
      <c r="O21" s="1643" t="s">
        <v>5235</v>
      </c>
      <c r="P21" s="1696"/>
      <c r="Q21" s="1644">
        <v>641890.58219178079</v>
      </c>
      <c r="R21" s="1644">
        <v>0</v>
      </c>
      <c r="S21" s="1645">
        <f t="shared" si="0"/>
        <v>641890.58219178079</v>
      </c>
    </row>
    <row r="22" spans="1:19" ht="16.5">
      <c r="A22" s="47">
        <v>22</v>
      </c>
      <c r="B22" s="3" t="s">
        <v>308</v>
      </c>
      <c r="D22" s="530" t="s">
        <v>545</v>
      </c>
      <c r="E22" s="440">
        <f>试算平衡表!E22/10000</f>
        <v>0</v>
      </c>
      <c r="F22" s="440">
        <f>试算平衡表!F22/10000</f>
        <v>0</v>
      </c>
      <c r="G22" s="440">
        <f>试算平衡表!G22/10000</f>
        <v>0</v>
      </c>
      <c r="H22" s="440">
        <f>试算平衡表!H22/10000</f>
        <v>0</v>
      </c>
      <c r="I22" s="440">
        <f>试算平衡表!I22/10000</f>
        <v>0</v>
      </c>
      <c r="J22" s="440">
        <f>试算平衡表!J22/10000</f>
        <v>0</v>
      </c>
      <c r="K22" s="440">
        <f>试算平衡表!K22/10000</f>
        <v>0</v>
      </c>
      <c r="L22" s="440">
        <f>试算平衡表!L22/10000</f>
        <v>0</v>
      </c>
      <c r="M22" s="440">
        <f>试算平衡表!M22/10000</f>
        <v>0</v>
      </c>
      <c r="N22" s="440">
        <f>试算平衡表!N22/10000</f>
        <v>0</v>
      </c>
      <c r="O22" s="1643" t="s">
        <v>5233</v>
      </c>
      <c r="P22" s="1696" t="s">
        <v>5286</v>
      </c>
      <c r="Q22" s="1644">
        <v>5792608.2191780824</v>
      </c>
      <c r="R22" s="1644">
        <v>0</v>
      </c>
      <c r="S22" s="1645">
        <f t="shared" si="0"/>
        <v>5792608.2191780824</v>
      </c>
    </row>
    <row r="23" spans="1:19" ht="16.5">
      <c r="A23" s="47">
        <v>23</v>
      </c>
      <c r="B23" s="3" t="s">
        <v>308</v>
      </c>
      <c r="D23" s="532" t="s">
        <v>1757</v>
      </c>
      <c r="E23" s="440">
        <f>试算平衡表!E23/10000</f>
        <v>0</v>
      </c>
      <c r="F23" s="440">
        <f>试算平衡表!F23/10000</f>
        <v>0</v>
      </c>
      <c r="G23" s="440">
        <f>试算平衡表!G23/10000</f>
        <v>0</v>
      </c>
      <c r="H23" s="440">
        <f>试算平衡表!H23/10000</f>
        <v>0</v>
      </c>
      <c r="I23" s="440">
        <f>试算平衡表!I23/10000</f>
        <v>0</v>
      </c>
      <c r="J23" s="440">
        <f>试算平衡表!J23/10000</f>
        <v>0</v>
      </c>
      <c r="K23" s="440">
        <f>试算平衡表!K23/10000</f>
        <v>0</v>
      </c>
      <c r="L23" s="440">
        <f>试算平衡表!L23/10000</f>
        <v>0</v>
      </c>
      <c r="M23" s="440">
        <f>试算平衡表!M23/10000</f>
        <v>0</v>
      </c>
      <c r="N23" s="440">
        <f>试算平衡表!N23/10000</f>
        <v>0</v>
      </c>
      <c r="O23" s="1643" t="s">
        <v>5231</v>
      </c>
      <c r="P23" s="1696"/>
      <c r="Q23" s="1644">
        <v>35177507.301369861</v>
      </c>
      <c r="R23" s="1644">
        <v>0</v>
      </c>
      <c r="S23" s="1645">
        <f t="shared" si="0"/>
        <v>35177507.301369861</v>
      </c>
    </row>
    <row r="24" spans="1:19" ht="16.5">
      <c r="A24" s="47">
        <v>24</v>
      </c>
      <c r="B24" s="3" t="s">
        <v>308</v>
      </c>
      <c r="D24" s="532" t="s">
        <v>1758</v>
      </c>
      <c r="E24" s="440">
        <f>试算平衡表!E24/10000</f>
        <v>0</v>
      </c>
      <c r="F24" s="440">
        <f>试算平衡表!F24/10000</f>
        <v>0</v>
      </c>
      <c r="G24" s="440">
        <f>试算平衡表!G24/10000</f>
        <v>0</v>
      </c>
      <c r="H24" s="440">
        <f>试算平衡表!H24/10000</f>
        <v>0</v>
      </c>
      <c r="I24" s="440">
        <f>试算平衡表!I24/10000</f>
        <v>0</v>
      </c>
      <c r="J24" s="440">
        <f>试算平衡表!J24/10000</f>
        <v>0</v>
      </c>
      <c r="K24" s="440">
        <f>试算平衡表!K24/10000</f>
        <v>0</v>
      </c>
      <c r="L24" s="440">
        <f>试算平衡表!L24/10000</f>
        <v>0</v>
      </c>
      <c r="M24" s="440">
        <f>试算平衡表!M24/10000</f>
        <v>0</v>
      </c>
      <c r="N24" s="440">
        <f>试算平衡表!N24/10000</f>
        <v>0</v>
      </c>
      <c r="O24" s="1643" t="s">
        <v>5235</v>
      </c>
      <c r="P24" s="1696"/>
      <c r="Q24" s="1644">
        <v>1180738.2945205481</v>
      </c>
      <c r="R24" s="1644">
        <v>0</v>
      </c>
      <c r="S24" s="1645">
        <f t="shared" si="0"/>
        <v>1180738.2945205481</v>
      </c>
    </row>
    <row r="25" spans="1:19">
      <c r="A25" s="47">
        <v>25</v>
      </c>
      <c r="B25" s="3" t="s">
        <v>308</v>
      </c>
      <c r="D25" s="1340" t="s">
        <v>4636</v>
      </c>
      <c r="E25" s="440">
        <f>试算平衡表!E25/10000</f>
        <v>0</v>
      </c>
      <c r="F25" s="440">
        <f>试算平衡表!F25/10000</f>
        <v>0</v>
      </c>
      <c r="G25" s="440">
        <f>试算平衡表!G25/10000</f>
        <v>0</v>
      </c>
      <c r="H25" s="440">
        <f>试算平衡表!H25/10000</f>
        <v>0</v>
      </c>
      <c r="I25" s="440">
        <f>试算平衡表!I25/10000</f>
        <v>0</v>
      </c>
      <c r="J25" s="440">
        <f>试算平衡表!J25/10000</f>
        <v>0</v>
      </c>
      <c r="K25" s="440">
        <f>试算平衡表!K25/10000</f>
        <v>0</v>
      </c>
      <c r="L25" s="440">
        <f>试算平衡表!L25/10000</f>
        <v>0</v>
      </c>
      <c r="M25" s="440">
        <f>试算平衡表!M25/10000</f>
        <v>0</v>
      </c>
      <c r="N25" s="440">
        <f>试算平衡表!N25/10000</f>
        <v>0</v>
      </c>
    </row>
    <row r="26" spans="1:19">
      <c r="A26" s="47">
        <v>26</v>
      </c>
      <c r="B26" s="3" t="s">
        <v>308</v>
      </c>
      <c r="D26" s="530" t="s">
        <v>548</v>
      </c>
      <c r="E26" s="440">
        <f>试算平衡表!E26/10000</f>
        <v>0</v>
      </c>
      <c r="F26" s="440">
        <f>试算平衡表!F26/10000</f>
        <v>0</v>
      </c>
      <c r="G26" s="440">
        <f>试算平衡表!G26/10000</f>
        <v>0</v>
      </c>
      <c r="H26" s="440">
        <f>试算平衡表!H26/10000</f>
        <v>0</v>
      </c>
      <c r="I26" s="440">
        <f>试算平衡表!I26/10000</f>
        <v>0</v>
      </c>
      <c r="J26" s="440">
        <f>试算平衡表!J26/10000</f>
        <v>0</v>
      </c>
      <c r="K26" s="440">
        <f>试算平衡表!K26/10000</f>
        <v>0</v>
      </c>
      <c r="L26" s="440">
        <f>试算平衡表!L26/10000</f>
        <v>0</v>
      </c>
      <c r="M26" s="440">
        <f>试算平衡表!M26/10000</f>
        <v>0</v>
      </c>
      <c r="N26" s="440">
        <f>试算平衡表!N26/10000</f>
        <v>0</v>
      </c>
    </row>
    <row r="27" spans="1:19">
      <c r="A27" s="47">
        <v>27</v>
      </c>
      <c r="B27" s="3" t="s">
        <v>308</v>
      </c>
      <c r="D27" s="530" t="s">
        <v>1759</v>
      </c>
      <c r="E27" s="440">
        <f>试算平衡表!E27/10000</f>
        <v>0</v>
      </c>
      <c r="F27" s="440">
        <f>试算平衡表!F27/10000</f>
        <v>13.858096</v>
      </c>
      <c r="G27" s="440">
        <f>试算平衡表!G27/10000</f>
        <v>0</v>
      </c>
      <c r="H27" s="440">
        <f>试算平衡表!H27/10000</f>
        <v>13.858096</v>
      </c>
      <c r="I27" s="440">
        <f>试算平衡表!I27/10000</f>
        <v>13.858096</v>
      </c>
      <c r="J27" s="440">
        <f>试算平衡表!J27/10000</f>
        <v>0</v>
      </c>
      <c r="K27" s="440">
        <f>试算平衡表!K27/10000</f>
        <v>8.6363630000000011</v>
      </c>
      <c r="L27" s="440">
        <f>试算平衡表!L27/10000</f>
        <v>0</v>
      </c>
      <c r="M27" s="440">
        <f>试算平衡表!M27/10000</f>
        <v>8.6363630000000011</v>
      </c>
      <c r="N27" s="440">
        <f>试算平衡表!N27/10000</f>
        <v>8.6363630000000011</v>
      </c>
    </row>
    <row r="28" spans="1:19">
      <c r="A28" s="47">
        <v>28</v>
      </c>
      <c r="B28" s="3" t="s">
        <v>308</v>
      </c>
      <c r="D28" s="524" t="s">
        <v>550</v>
      </c>
      <c r="E28" s="440">
        <f>试算平衡表!E28/10000</f>
        <v>210.47821800000003</v>
      </c>
      <c r="F28" s="440">
        <f>试算平衡表!F28/10000</f>
        <v>476.71803600000004</v>
      </c>
      <c r="G28" s="440">
        <f>试算平衡表!G28/10000</f>
        <v>23</v>
      </c>
      <c r="H28" s="440">
        <f>试算平衡表!H28/10000</f>
        <v>453.71803600000015</v>
      </c>
      <c r="I28" s="440">
        <f>试算平衡表!I28/10000</f>
        <v>664.19625400000007</v>
      </c>
      <c r="J28" s="440">
        <f>试算平衡表!J28/10000</f>
        <v>710.31877899999995</v>
      </c>
      <c r="K28" s="440">
        <f>试算平衡表!K28/10000</f>
        <v>8.6363630000000011</v>
      </c>
      <c r="L28" s="440">
        <f>试算平衡表!L28/10000</f>
        <v>0</v>
      </c>
      <c r="M28" s="440">
        <f>试算平衡表!M28/10000</f>
        <v>8.6363629999999887</v>
      </c>
      <c r="N28" s="440">
        <f>试算平衡表!N28/10000</f>
        <v>718.95514200000002</v>
      </c>
    </row>
    <row r="29" spans="1:19">
      <c r="A29" s="47">
        <v>29</v>
      </c>
      <c r="B29" s="3" t="s">
        <v>309</v>
      </c>
      <c r="D29" s="533" t="s">
        <v>1760</v>
      </c>
      <c r="E29" s="434"/>
      <c r="F29" s="434"/>
      <c r="G29" s="434"/>
      <c r="H29" s="403"/>
      <c r="I29" s="434"/>
      <c r="J29" s="434"/>
      <c r="K29" s="434"/>
      <c r="L29" s="434"/>
      <c r="M29" s="403"/>
      <c r="N29" s="434"/>
    </row>
    <row r="30" spans="1:19">
      <c r="A30" s="47">
        <v>30</v>
      </c>
      <c r="B30" s="3" t="s">
        <v>309</v>
      </c>
      <c r="D30" s="534" t="s">
        <v>552</v>
      </c>
      <c r="E30" s="440">
        <f>试算平衡表!E30/10000</f>
        <v>0</v>
      </c>
      <c r="F30" s="440">
        <f>试算平衡表!F30/10000</f>
        <v>0</v>
      </c>
      <c r="G30" s="440">
        <f>试算平衡表!G30/10000</f>
        <v>0</v>
      </c>
      <c r="H30" s="440">
        <f>试算平衡表!H30/10000</f>
        <v>0</v>
      </c>
      <c r="I30" s="440">
        <f>试算平衡表!I30/10000</f>
        <v>0</v>
      </c>
      <c r="J30" s="440">
        <f>试算平衡表!J30/10000</f>
        <v>0</v>
      </c>
      <c r="K30" s="440">
        <f>试算平衡表!K30/10000</f>
        <v>0</v>
      </c>
      <c r="L30" s="440">
        <f>试算平衡表!L30/10000</f>
        <v>0</v>
      </c>
      <c r="M30" s="440">
        <f>试算平衡表!M30/10000</f>
        <v>0</v>
      </c>
      <c r="N30" s="440">
        <f>试算平衡表!N30/10000</f>
        <v>0</v>
      </c>
    </row>
    <row r="31" spans="1:19">
      <c r="A31" s="47">
        <v>31</v>
      </c>
      <c r="B31" s="3" t="s">
        <v>309</v>
      </c>
      <c r="D31" s="534" t="s">
        <v>553</v>
      </c>
      <c r="E31" s="440">
        <f>试算平衡表!E31/10000</f>
        <v>70.529399999999995</v>
      </c>
      <c r="F31" s="440">
        <f>试算平衡表!F31/10000</f>
        <v>0</v>
      </c>
      <c r="G31" s="440">
        <f>试算平衡表!G31/10000</f>
        <v>0</v>
      </c>
      <c r="H31" s="440">
        <f>试算平衡表!H31/10000</f>
        <v>0</v>
      </c>
      <c r="I31" s="440">
        <f>试算平衡表!I31/10000</f>
        <v>70.529399999999995</v>
      </c>
      <c r="J31" s="440">
        <f>试算平衡表!J31/10000</f>
        <v>67.529399999999995</v>
      </c>
      <c r="K31" s="440">
        <f>试算平衡表!K31/10000</f>
        <v>0</v>
      </c>
      <c r="L31" s="440">
        <f>试算平衡表!L31/10000</f>
        <v>0</v>
      </c>
      <c r="M31" s="440">
        <f>试算平衡表!M31/10000</f>
        <v>0</v>
      </c>
      <c r="N31" s="440">
        <f>试算平衡表!N31/10000</f>
        <v>67.529399999999995</v>
      </c>
    </row>
    <row r="32" spans="1:19">
      <c r="A32" s="47">
        <v>32</v>
      </c>
      <c r="B32" s="3" t="s">
        <v>309</v>
      </c>
      <c r="D32" s="534" t="s">
        <v>554</v>
      </c>
      <c r="E32" s="440">
        <f>试算平衡表!E32/10000</f>
        <v>0</v>
      </c>
      <c r="F32" s="440">
        <f>试算平衡表!F32/10000</f>
        <v>0</v>
      </c>
      <c r="G32" s="440">
        <f>试算平衡表!G32/10000</f>
        <v>0</v>
      </c>
      <c r="H32" s="440">
        <f>试算平衡表!H32/10000</f>
        <v>0</v>
      </c>
      <c r="I32" s="440">
        <f>试算平衡表!I32/10000</f>
        <v>0</v>
      </c>
      <c r="J32" s="440">
        <f>试算平衡表!J32/10000</f>
        <v>0</v>
      </c>
      <c r="K32" s="440">
        <f>试算平衡表!K32/10000</f>
        <v>0</v>
      </c>
      <c r="L32" s="440">
        <f>试算平衡表!L32/10000</f>
        <v>0</v>
      </c>
      <c r="M32" s="440">
        <f>试算平衡表!M32/10000</f>
        <v>0</v>
      </c>
      <c r="N32" s="440">
        <f>试算平衡表!N32/10000</f>
        <v>0</v>
      </c>
    </row>
    <row r="33" spans="1:14">
      <c r="A33" s="47">
        <v>33</v>
      </c>
      <c r="B33" s="3" t="s">
        <v>309</v>
      </c>
      <c r="D33" s="534" t="s">
        <v>555</v>
      </c>
      <c r="E33" s="440">
        <f>试算平衡表!E33/10000</f>
        <v>0</v>
      </c>
      <c r="F33" s="440">
        <f>试算平衡表!F33/10000</f>
        <v>0</v>
      </c>
      <c r="G33" s="440">
        <f>试算平衡表!G33/10000</f>
        <v>0</v>
      </c>
      <c r="H33" s="440">
        <f>试算平衡表!H33/10000</f>
        <v>0</v>
      </c>
      <c r="I33" s="440">
        <f>试算平衡表!I33/10000</f>
        <v>0</v>
      </c>
      <c r="J33" s="440">
        <f>试算平衡表!J33/10000</f>
        <v>0</v>
      </c>
      <c r="K33" s="440">
        <f>试算平衡表!K33/10000</f>
        <v>0</v>
      </c>
      <c r="L33" s="440">
        <f>试算平衡表!L33/10000</f>
        <v>0</v>
      </c>
      <c r="M33" s="440">
        <f>试算平衡表!M33/10000</f>
        <v>0</v>
      </c>
      <c r="N33" s="440">
        <f>试算平衡表!N33/10000</f>
        <v>0</v>
      </c>
    </row>
    <row r="34" spans="1:14">
      <c r="A34" s="47">
        <v>34</v>
      </c>
      <c r="B34" s="3" t="s">
        <v>309</v>
      </c>
      <c r="D34" s="534" t="s">
        <v>556</v>
      </c>
      <c r="E34" s="440">
        <f>试算平衡表!E34/10000</f>
        <v>0</v>
      </c>
      <c r="F34" s="440">
        <f>试算平衡表!F34/10000</f>
        <v>0</v>
      </c>
      <c r="G34" s="440">
        <f>试算平衡表!G34/10000</f>
        <v>0</v>
      </c>
      <c r="H34" s="440">
        <f>试算平衡表!H34/10000</f>
        <v>0</v>
      </c>
      <c r="I34" s="440">
        <f>试算平衡表!I34/10000</f>
        <v>0</v>
      </c>
      <c r="J34" s="440">
        <f>试算平衡表!J34/10000</f>
        <v>0</v>
      </c>
      <c r="K34" s="440">
        <f>试算平衡表!K34/10000</f>
        <v>0</v>
      </c>
      <c r="L34" s="440">
        <f>试算平衡表!L34/10000</f>
        <v>0</v>
      </c>
      <c r="M34" s="440">
        <f>试算平衡表!M34/10000</f>
        <v>0</v>
      </c>
      <c r="N34" s="440">
        <f>试算平衡表!N34/10000</f>
        <v>0</v>
      </c>
    </row>
    <row r="35" spans="1:14">
      <c r="A35" s="47">
        <v>35</v>
      </c>
      <c r="B35" s="3" t="s">
        <v>309</v>
      </c>
      <c r="D35" s="535" t="s">
        <v>557</v>
      </c>
      <c r="E35" s="440">
        <f>试算平衡表!E35/10000</f>
        <v>0</v>
      </c>
      <c r="F35" s="440">
        <f>试算平衡表!F35/10000</f>
        <v>0</v>
      </c>
      <c r="G35" s="440">
        <f>试算平衡表!G35/10000</f>
        <v>0</v>
      </c>
      <c r="H35" s="440">
        <f>试算平衡表!H35/10000</f>
        <v>0</v>
      </c>
      <c r="I35" s="440">
        <f>试算平衡表!I35/10000</f>
        <v>0</v>
      </c>
      <c r="J35" s="440">
        <f>试算平衡表!J35/10000</f>
        <v>0</v>
      </c>
      <c r="K35" s="440">
        <f>试算平衡表!K35/10000</f>
        <v>0</v>
      </c>
      <c r="L35" s="440">
        <f>试算平衡表!L35/10000</f>
        <v>0</v>
      </c>
      <c r="M35" s="440">
        <f>试算平衡表!M35/10000</f>
        <v>0</v>
      </c>
      <c r="N35" s="440">
        <f>试算平衡表!N35/10000</f>
        <v>0</v>
      </c>
    </row>
    <row r="36" spans="1:14">
      <c r="A36" s="47">
        <v>36</v>
      </c>
      <c r="B36" s="3" t="s">
        <v>309</v>
      </c>
      <c r="D36" s="534" t="s">
        <v>1761</v>
      </c>
      <c r="E36" s="440">
        <f>试算平衡表!E36/10000</f>
        <v>42.933424000000002</v>
      </c>
      <c r="F36" s="440">
        <f>试算平衡表!F36/10000</f>
        <v>0</v>
      </c>
      <c r="G36" s="440">
        <f>试算平衡表!G36/10000</f>
        <v>1.0286999999999999</v>
      </c>
      <c r="H36" s="440">
        <f>试算平衡表!H36/10000</f>
        <v>-1.0286999999999999</v>
      </c>
      <c r="I36" s="440">
        <f>试算平衡表!I36/10000</f>
        <v>41.904724000000002</v>
      </c>
      <c r="J36" s="440">
        <f>试算平衡表!J36/10000</f>
        <v>42.933424000000002</v>
      </c>
      <c r="K36" s="440">
        <f>试算平衡表!K36/10000</f>
        <v>0</v>
      </c>
      <c r="L36" s="440">
        <f>试算平衡表!L36/10000</f>
        <v>0</v>
      </c>
      <c r="M36" s="440">
        <f>试算平衡表!M36/10000</f>
        <v>0</v>
      </c>
      <c r="N36" s="440">
        <f>试算平衡表!N36/10000</f>
        <v>42.933424000000002</v>
      </c>
    </row>
    <row r="37" spans="1:14">
      <c r="A37" s="47">
        <v>37</v>
      </c>
      <c r="B37" s="3" t="s">
        <v>309</v>
      </c>
      <c r="D37" s="536" t="s">
        <v>1762</v>
      </c>
      <c r="E37" s="440">
        <f>试算平衡表!E37/10000</f>
        <v>31.511946999999996</v>
      </c>
      <c r="F37" s="440">
        <f>试算平衡表!F37/10000</f>
        <v>0.88987099999999997</v>
      </c>
      <c r="G37" s="440">
        <f>试算平衡表!G37/10000</f>
        <v>0</v>
      </c>
      <c r="H37" s="440">
        <f>试算平衡表!H37/10000</f>
        <v>-0.88987100000000208</v>
      </c>
      <c r="I37" s="440">
        <f>试算平衡表!I37/10000</f>
        <v>30.622075999999996</v>
      </c>
      <c r="J37" s="440">
        <f>试算平衡表!J37/10000</f>
        <v>27.780052000000001</v>
      </c>
      <c r="K37" s="440">
        <f>试算平衡表!K37/10000</f>
        <v>0</v>
      </c>
      <c r="L37" s="440">
        <f>试算平衡表!L37/10000</f>
        <v>0</v>
      </c>
      <c r="M37" s="440">
        <f>试算平衡表!M37/10000</f>
        <v>0</v>
      </c>
      <c r="N37" s="440">
        <f>试算平衡表!N37/10000</f>
        <v>27.780052000000001</v>
      </c>
    </row>
    <row r="38" spans="1:14">
      <c r="A38" s="47">
        <v>38</v>
      </c>
      <c r="B38" s="3" t="s">
        <v>309</v>
      </c>
      <c r="D38" s="536" t="s">
        <v>560</v>
      </c>
      <c r="E38" s="440">
        <f>试算平衡表!E38/10000</f>
        <v>11.421477000000001</v>
      </c>
      <c r="F38" s="440">
        <f>试算平衡表!F38/10000</f>
        <v>0.88987099999999997</v>
      </c>
      <c r="G38" s="440">
        <f>试算平衡表!G38/10000</f>
        <v>1.0286999999999999</v>
      </c>
      <c r="H38" s="440">
        <f>试算平衡表!H38/10000</f>
        <v>-0.13882899999999937</v>
      </c>
      <c r="I38" s="440">
        <f>试算平衡表!I38/10000</f>
        <v>11.282648000000002</v>
      </c>
      <c r="J38" s="440">
        <f>试算平衡表!J38/10000</f>
        <v>15.153372000000001</v>
      </c>
      <c r="K38" s="440">
        <f>试算平衡表!K38/10000</f>
        <v>0</v>
      </c>
      <c r="L38" s="440">
        <f>试算平衡表!L38/10000</f>
        <v>0</v>
      </c>
      <c r="M38" s="440">
        <f>试算平衡表!M38/10000</f>
        <v>0</v>
      </c>
      <c r="N38" s="440">
        <f>试算平衡表!N38/10000</f>
        <v>15.153372000000001</v>
      </c>
    </row>
    <row r="39" spans="1:14">
      <c r="A39" s="47">
        <v>39</v>
      </c>
      <c r="B39" s="3" t="s">
        <v>309</v>
      </c>
      <c r="D39" s="536" t="s">
        <v>1763</v>
      </c>
      <c r="E39" s="440">
        <f>试算平衡表!E39/10000</f>
        <v>0</v>
      </c>
      <c r="F39" s="440">
        <f>试算平衡表!F39/10000</f>
        <v>0</v>
      </c>
      <c r="G39" s="440">
        <f>试算平衡表!G39/10000</f>
        <v>0</v>
      </c>
      <c r="H39" s="440">
        <f>试算平衡表!H39/10000</f>
        <v>0</v>
      </c>
      <c r="I39" s="440">
        <f>试算平衡表!I39/10000</f>
        <v>0</v>
      </c>
      <c r="J39" s="440">
        <f>试算平衡表!J39/10000</f>
        <v>0</v>
      </c>
      <c r="K39" s="440">
        <f>试算平衡表!K39/10000</f>
        <v>0</v>
      </c>
      <c r="L39" s="440">
        <f>试算平衡表!L39/10000</f>
        <v>0</v>
      </c>
      <c r="M39" s="440">
        <f>试算平衡表!M39/10000</f>
        <v>0</v>
      </c>
      <c r="N39" s="440">
        <f>试算平衡表!N39/10000</f>
        <v>0</v>
      </c>
    </row>
    <row r="40" spans="1:14">
      <c r="A40" s="47">
        <v>40</v>
      </c>
      <c r="B40" s="3" t="s">
        <v>309</v>
      </c>
      <c r="D40" s="536" t="s">
        <v>562</v>
      </c>
      <c r="E40" s="440">
        <f>试算平衡表!E40/10000</f>
        <v>11.421477000000001</v>
      </c>
      <c r="F40" s="440">
        <f>试算平衡表!F40/10000</f>
        <v>0.88987099999999997</v>
      </c>
      <c r="G40" s="440">
        <f>试算平衡表!G40/10000</f>
        <v>1.0286999999999999</v>
      </c>
      <c r="H40" s="440">
        <f>试算平衡表!H40/10000</f>
        <v>-0.13882899999999937</v>
      </c>
      <c r="I40" s="440">
        <f>试算平衡表!I40/10000</f>
        <v>11.282648000000002</v>
      </c>
      <c r="J40" s="440">
        <f>试算平衡表!J40/10000</f>
        <v>15.153372000000001</v>
      </c>
      <c r="K40" s="440">
        <f>试算平衡表!K40/10000</f>
        <v>0</v>
      </c>
      <c r="L40" s="440">
        <f>试算平衡表!L40/10000</f>
        <v>0</v>
      </c>
      <c r="M40" s="440">
        <f>试算平衡表!M40/10000</f>
        <v>0</v>
      </c>
      <c r="N40" s="440">
        <f>试算平衡表!N40/10000</f>
        <v>15.153372000000001</v>
      </c>
    </row>
    <row r="41" spans="1:14">
      <c r="A41" s="47">
        <v>41</v>
      </c>
      <c r="B41" s="3" t="s">
        <v>309</v>
      </c>
      <c r="D41" s="534" t="s">
        <v>563</v>
      </c>
      <c r="E41" s="440">
        <f>试算平衡表!E41/10000</f>
        <v>0</v>
      </c>
      <c r="F41" s="440">
        <f>试算平衡表!F41/10000</f>
        <v>0</v>
      </c>
      <c r="G41" s="440">
        <f>试算平衡表!G41/10000</f>
        <v>0</v>
      </c>
      <c r="H41" s="440">
        <f>试算平衡表!H41/10000</f>
        <v>0</v>
      </c>
      <c r="I41" s="440">
        <f>试算平衡表!I41/10000</f>
        <v>0</v>
      </c>
      <c r="J41" s="440">
        <f>试算平衡表!J41/10000</f>
        <v>0</v>
      </c>
      <c r="K41" s="440">
        <f>试算平衡表!K41/10000</f>
        <v>0</v>
      </c>
      <c r="L41" s="440">
        <f>试算平衡表!L41/10000</f>
        <v>0</v>
      </c>
      <c r="M41" s="440">
        <f>试算平衡表!M41/10000</f>
        <v>0</v>
      </c>
      <c r="N41" s="440">
        <f>试算平衡表!N41/10000</f>
        <v>0</v>
      </c>
    </row>
    <row r="42" spans="1:14">
      <c r="A42" s="47">
        <v>42</v>
      </c>
      <c r="B42" s="3" t="s">
        <v>309</v>
      </c>
      <c r="D42" s="534" t="s">
        <v>564</v>
      </c>
      <c r="E42" s="440">
        <f>试算平衡表!E42/10000</f>
        <v>0</v>
      </c>
      <c r="F42" s="440">
        <f>试算平衡表!F42/10000</f>
        <v>0</v>
      </c>
      <c r="G42" s="440">
        <f>试算平衡表!G42/10000</f>
        <v>0</v>
      </c>
      <c r="H42" s="440">
        <f>试算平衡表!H42/10000</f>
        <v>0</v>
      </c>
      <c r="I42" s="440">
        <f>试算平衡表!I42/10000</f>
        <v>0</v>
      </c>
      <c r="J42" s="440">
        <f>试算平衡表!J42/10000</f>
        <v>0</v>
      </c>
      <c r="K42" s="440">
        <f>试算平衡表!K42/10000</f>
        <v>0</v>
      </c>
      <c r="L42" s="440">
        <f>试算平衡表!L42/10000</f>
        <v>0</v>
      </c>
      <c r="M42" s="440">
        <f>试算平衡表!M42/10000</f>
        <v>0</v>
      </c>
      <c r="N42" s="440">
        <f>试算平衡表!N42/10000</f>
        <v>0</v>
      </c>
    </row>
    <row r="43" spans="1:14">
      <c r="A43" s="47">
        <v>43</v>
      </c>
      <c r="B43" s="3" t="s">
        <v>309</v>
      </c>
      <c r="D43" s="534" t="s">
        <v>565</v>
      </c>
      <c r="E43" s="440">
        <f>试算平衡表!E43/10000</f>
        <v>0</v>
      </c>
      <c r="F43" s="440">
        <f>试算平衡表!F43/10000</f>
        <v>0</v>
      </c>
      <c r="G43" s="440">
        <f>试算平衡表!G43/10000</f>
        <v>0</v>
      </c>
      <c r="H43" s="440">
        <f>试算平衡表!H43/10000</f>
        <v>0</v>
      </c>
      <c r="I43" s="440">
        <f>试算平衡表!I43/10000</f>
        <v>0</v>
      </c>
      <c r="J43" s="440">
        <f>试算平衡表!J43/10000</f>
        <v>0</v>
      </c>
      <c r="K43" s="440">
        <f>试算平衡表!K43/10000</f>
        <v>0</v>
      </c>
      <c r="L43" s="440">
        <f>试算平衡表!L43/10000</f>
        <v>0</v>
      </c>
      <c r="M43" s="440">
        <f>试算平衡表!M43/10000</f>
        <v>0</v>
      </c>
      <c r="N43" s="440">
        <f>试算平衡表!N43/10000</f>
        <v>0</v>
      </c>
    </row>
    <row r="44" spans="1:14">
      <c r="A44" s="47">
        <v>44</v>
      </c>
      <c r="B44" s="3" t="s">
        <v>309</v>
      </c>
      <c r="D44" s="534" t="s">
        <v>566</v>
      </c>
      <c r="E44" s="440">
        <f>试算平衡表!E44/10000</f>
        <v>0</v>
      </c>
      <c r="F44" s="440">
        <f>试算平衡表!F44/10000</f>
        <v>0</v>
      </c>
      <c r="G44" s="440">
        <f>试算平衡表!G44/10000</f>
        <v>0</v>
      </c>
      <c r="H44" s="440">
        <f>试算平衡表!H44/10000</f>
        <v>0</v>
      </c>
      <c r="I44" s="440">
        <f>试算平衡表!I44/10000</f>
        <v>0</v>
      </c>
      <c r="J44" s="440">
        <f>试算平衡表!J44/10000</f>
        <v>0</v>
      </c>
      <c r="K44" s="440">
        <f>试算平衡表!K44/10000</f>
        <v>0</v>
      </c>
      <c r="L44" s="440">
        <f>试算平衡表!L44/10000</f>
        <v>0</v>
      </c>
      <c r="M44" s="440">
        <f>试算平衡表!M44/10000</f>
        <v>0</v>
      </c>
      <c r="N44" s="440">
        <f>试算平衡表!N44/10000</f>
        <v>0</v>
      </c>
    </row>
    <row r="45" spans="1:14">
      <c r="A45" s="47">
        <v>45</v>
      </c>
      <c r="B45" s="3" t="s">
        <v>309</v>
      </c>
      <c r="D45" s="534" t="s">
        <v>567</v>
      </c>
      <c r="E45" s="440">
        <f>试算平衡表!E45/10000</f>
        <v>0</v>
      </c>
      <c r="F45" s="440">
        <f>试算平衡表!F45/10000</f>
        <v>0</v>
      </c>
      <c r="G45" s="440">
        <f>试算平衡表!G45/10000</f>
        <v>0</v>
      </c>
      <c r="H45" s="440">
        <f>试算平衡表!H45/10000</f>
        <v>0</v>
      </c>
      <c r="I45" s="440">
        <f>试算平衡表!I45/10000</f>
        <v>0</v>
      </c>
      <c r="J45" s="440">
        <f>试算平衡表!J45/10000</f>
        <v>0</v>
      </c>
      <c r="K45" s="440">
        <f>试算平衡表!K45/10000</f>
        <v>0</v>
      </c>
      <c r="L45" s="440">
        <f>试算平衡表!L45/10000</f>
        <v>0</v>
      </c>
      <c r="M45" s="440">
        <f>试算平衡表!M45/10000</f>
        <v>0</v>
      </c>
      <c r="N45" s="440">
        <f>试算平衡表!N45/10000</f>
        <v>0</v>
      </c>
    </row>
    <row r="46" spans="1:14">
      <c r="A46" s="47">
        <v>46</v>
      </c>
      <c r="B46" s="3" t="s">
        <v>309</v>
      </c>
      <c r="D46" s="534" t="s">
        <v>568</v>
      </c>
      <c r="E46" s="440">
        <f>试算平衡表!E46/10000</f>
        <v>0</v>
      </c>
      <c r="F46" s="440">
        <f>试算平衡表!F46/10000</f>
        <v>0</v>
      </c>
      <c r="G46" s="440">
        <f>试算平衡表!G46/10000</f>
        <v>0</v>
      </c>
      <c r="H46" s="440">
        <f>试算平衡表!H46/10000</f>
        <v>0</v>
      </c>
      <c r="I46" s="440">
        <f>试算平衡表!I46/10000</f>
        <v>0</v>
      </c>
      <c r="J46" s="440">
        <f>试算平衡表!J46/10000</f>
        <v>0</v>
      </c>
      <c r="K46" s="440">
        <f>试算平衡表!K46/10000</f>
        <v>0</v>
      </c>
      <c r="L46" s="440">
        <f>试算平衡表!L46/10000</f>
        <v>0</v>
      </c>
      <c r="M46" s="440">
        <f>试算平衡表!M46/10000</f>
        <v>0</v>
      </c>
      <c r="N46" s="440">
        <f>试算平衡表!N46/10000</f>
        <v>0</v>
      </c>
    </row>
    <row r="47" spans="1:14">
      <c r="A47" s="47">
        <v>47</v>
      </c>
      <c r="B47" s="3" t="s">
        <v>309</v>
      </c>
      <c r="D47" s="534" t="s">
        <v>1764</v>
      </c>
      <c r="E47" s="440">
        <f>试算平衡表!E47/10000</f>
        <v>0</v>
      </c>
      <c r="F47" s="440">
        <f>试算平衡表!F47/10000</f>
        <v>0</v>
      </c>
      <c r="G47" s="440">
        <f>试算平衡表!G47/10000</f>
        <v>0</v>
      </c>
      <c r="H47" s="440">
        <f>试算平衡表!H47/10000</f>
        <v>0</v>
      </c>
      <c r="I47" s="440">
        <f>试算平衡表!I47/10000</f>
        <v>0</v>
      </c>
      <c r="J47" s="440">
        <f>试算平衡表!J47/10000</f>
        <v>0</v>
      </c>
      <c r="K47" s="440">
        <f>试算平衡表!K47/10000</f>
        <v>0</v>
      </c>
      <c r="L47" s="440">
        <f>试算平衡表!L47/10000</f>
        <v>0</v>
      </c>
      <c r="M47" s="440">
        <f>试算平衡表!M47/10000</f>
        <v>0</v>
      </c>
      <c r="N47" s="440">
        <f>试算平衡表!N47/10000</f>
        <v>0</v>
      </c>
    </row>
    <row r="48" spans="1:14">
      <c r="A48" s="47">
        <v>48</v>
      </c>
      <c r="B48" s="3" t="s">
        <v>309</v>
      </c>
      <c r="D48" s="534" t="s">
        <v>570</v>
      </c>
      <c r="E48" s="440">
        <f>试算平衡表!E48/10000</f>
        <v>0</v>
      </c>
      <c r="F48" s="440">
        <f>试算平衡表!F48/10000</f>
        <v>0</v>
      </c>
      <c r="G48" s="440">
        <f>试算平衡表!G48/10000</f>
        <v>0</v>
      </c>
      <c r="H48" s="440">
        <f>试算平衡表!H48/10000</f>
        <v>0</v>
      </c>
      <c r="I48" s="440">
        <f>试算平衡表!I48/10000</f>
        <v>0</v>
      </c>
      <c r="J48" s="440">
        <f>试算平衡表!J48/10000</f>
        <v>0</v>
      </c>
      <c r="K48" s="440">
        <f>试算平衡表!K48/10000</f>
        <v>0</v>
      </c>
      <c r="L48" s="440">
        <f>试算平衡表!L48/10000</f>
        <v>0</v>
      </c>
      <c r="M48" s="440">
        <f>试算平衡表!M48/10000</f>
        <v>0</v>
      </c>
      <c r="N48" s="440">
        <f>试算平衡表!N48/10000</f>
        <v>0</v>
      </c>
    </row>
    <row r="49" spans="1:14">
      <c r="A49" s="47">
        <v>49</v>
      </c>
      <c r="B49" s="3" t="s">
        <v>309</v>
      </c>
      <c r="D49" s="534" t="s">
        <v>571</v>
      </c>
      <c r="E49" s="440">
        <f>试算平衡表!E49/10000</f>
        <v>0</v>
      </c>
      <c r="F49" s="440">
        <f>试算平衡表!F49/10000</f>
        <v>0</v>
      </c>
      <c r="G49" s="440">
        <f>试算平衡表!G49/10000</f>
        <v>0</v>
      </c>
      <c r="H49" s="440">
        <f>试算平衡表!H49/10000</f>
        <v>0</v>
      </c>
      <c r="I49" s="440">
        <f>试算平衡表!I49/10000</f>
        <v>0</v>
      </c>
      <c r="J49" s="440">
        <f>试算平衡表!J49/10000</f>
        <v>0.44969999999999999</v>
      </c>
      <c r="K49" s="440">
        <f>试算平衡表!K49/10000</f>
        <v>0</v>
      </c>
      <c r="L49" s="440">
        <f>试算平衡表!L49/10000</f>
        <v>0</v>
      </c>
      <c r="M49" s="440">
        <f>试算平衡表!M49/10000</f>
        <v>0</v>
      </c>
      <c r="N49" s="440">
        <f>试算平衡表!N49/10000</f>
        <v>0.44969999999999999</v>
      </c>
    </row>
    <row r="50" spans="1:14">
      <c r="A50" s="47">
        <v>50</v>
      </c>
      <c r="B50" s="3" t="s">
        <v>309</v>
      </c>
      <c r="D50" s="534" t="s">
        <v>1765</v>
      </c>
      <c r="E50" s="440">
        <f>试算平衡表!E50/10000</f>
        <v>1.0959860000000001</v>
      </c>
      <c r="F50" s="440">
        <f>试算平衡表!F50/10000</f>
        <v>5.75</v>
      </c>
      <c r="G50" s="440">
        <f>试算平衡表!G50/10000</f>
        <v>0.71498499999999998</v>
      </c>
      <c r="H50" s="440">
        <f>试算平衡表!H50/10000</f>
        <v>5.0350150000000005</v>
      </c>
      <c r="I50" s="440">
        <f>试算平衡表!I50/10000</f>
        <v>6.1310010000000004</v>
      </c>
      <c r="J50" s="440">
        <f>试算平衡表!J50/10000</f>
        <v>1.0959860000000001</v>
      </c>
      <c r="K50" s="440">
        <f>试算平衡表!K50/10000</f>
        <v>0</v>
      </c>
      <c r="L50" s="440">
        <f>试算平衡表!L50/10000</f>
        <v>0</v>
      </c>
      <c r="M50" s="440">
        <f>试算平衡表!M50/10000</f>
        <v>0</v>
      </c>
      <c r="N50" s="440">
        <f>试算平衡表!N50/10000</f>
        <v>1.0959860000000001</v>
      </c>
    </row>
    <row r="51" spans="1:14">
      <c r="A51" s="47">
        <v>51</v>
      </c>
      <c r="B51" s="3" t="s">
        <v>309</v>
      </c>
      <c r="D51" s="534" t="s">
        <v>1766</v>
      </c>
      <c r="E51" s="440">
        <f>试算平衡表!E51/10000</f>
        <v>0</v>
      </c>
      <c r="F51" s="440">
        <f>试算平衡表!F51/10000</f>
        <v>0</v>
      </c>
      <c r="G51" s="440">
        <f>试算平衡表!G51/10000</f>
        <v>0</v>
      </c>
      <c r="H51" s="440">
        <f>试算平衡表!H51/10000</f>
        <v>0</v>
      </c>
      <c r="I51" s="440">
        <f>试算平衡表!I51/10000</f>
        <v>0</v>
      </c>
      <c r="J51" s="440">
        <f>试算平衡表!J51/10000</f>
        <v>0</v>
      </c>
      <c r="K51" s="440">
        <f>试算平衡表!K51/10000</f>
        <v>0</v>
      </c>
      <c r="L51" s="440">
        <f>试算平衡表!L51/10000</f>
        <v>0</v>
      </c>
      <c r="M51" s="440">
        <f>试算平衡表!M51/10000</f>
        <v>0</v>
      </c>
      <c r="N51" s="440">
        <f>试算平衡表!N51/10000</f>
        <v>0</v>
      </c>
    </row>
    <row r="52" spans="1:14">
      <c r="A52" s="47">
        <v>52</v>
      </c>
      <c r="B52" s="3" t="s">
        <v>309</v>
      </c>
      <c r="D52" s="534" t="s">
        <v>1767</v>
      </c>
      <c r="E52" s="440">
        <f>试算平衡表!E52/10000</f>
        <v>0</v>
      </c>
      <c r="F52" s="440">
        <f>试算平衡表!F52/10000</f>
        <v>0</v>
      </c>
      <c r="G52" s="440">
        <f>试算平衡表!G52/10000</f>
        <v>0</v>
      </c>
      <c r="H52" s="440">
        <f>试算平衡表!H52/10000</f>
        <v>0</v>
      </c>
      <c r="I52" s="440">
        <f>试算平衡表!I52/10000</f>
        <v>0</v>
      </c>
      <c r="J52" s="440">
        <f>试算平衡表!J52/10000</f>
        <v>0</v>
      </c>
      <c r="K52" s="440">
        <f>试算平衡表!K52/10000</f>
        <v>0</v>
      </c>
      <c r="L52" s="440">
        <f>试算平衡表!L52/10000</f>
        <v>0</v>
      </c>
      <c r="M52" s="440">
        <f>试算平衡表!M52/10000</f>
        <v>0</v>
      </c>
      <c r="N52" s="440">
        <f>试算平衡表!N52/10000</f>
        <v>0</v>
      </c>
    </row>
    <row r="53" spans="1:14">
      <c r="A53" s="47">
        <v>53</v>
      </c>
      <c r="B53" s="3" t="s">
        <v>309</v>
      </c>
      <c r="D53" s="524" t="s">
        <v>1768</v>
      </c>
      <c r="E53" s="440">
        <f>试算平衡表!E53/10000</f>
        <v>83.046863000000002</v>
      </c>
      <c r="F53" s="440">
        <f>试算平衡表!F53/10000</f>
        <v>6.6398710000000003</v>
      </c>
      <c r="G53" s="440">
        <f>试算平衡表!G53/10000</f>
        <v>1.7436849999999999</v>
      </c>
      <c r="H53" s="440">
        <f>试算平衡表!H53/10000</f>
        <v>4.8961859999999984</v>
      </c>
      <c r="I53" s="440">
        <f>试算平衡表!I53/10000</f>
        <v>87.943049000000002</v>
      </c>
      <c r="J53" s="440">
        <f>试算平衡表!J53/10000</f>
        <v>84.228457999999989</v>
      </c>
      <c r="K53" s="440">
        <f>试算平衡表!K53/10000</f>
        <v>0</v>
      </c>
      <c r="L53" s="440">
        <f>试算平衡表!L53/10000</f>
        <v>0</v>
      </c>
      <c r="M53" s="440">
        <f>试算平衡表!M53/10000</f>
        <v>0</v>
      </c>
      <c r="N53" s="440">
        <f>试算平衡表!N53/10000</f>
        <v>84.228457999999989</v>
      </c>
    </row>
    <row r="54" spans="1:14">
      <c r="A54" s="47">
        <v>54</v>
      </c>
      <c r="B54" s="3" t="s">
        <v>311</v>
      </c>
      <c r="D54" s="524" t="s">
        <v>576</v>
      </c>
      <c r="E54" s="440">
        <f>试算平衡表!E54/10000</f>
        <v>293.525081</v>
      </c>
      <c r="F54" s="440">
        <f>试算平衡表!F54/10000</f>
        <v>483.35790700000001</v>
      </c>
      <c r="G54" s="440">
        <f>试算平衡表!G54/10000</f>
        <v>24.743684999999999</v>
      </c>
      <c r="H54" s="440">
        <f>试算平衡表!H54/10000</f>
        <v>458.61422200000004</v>
      </c>
      <c r="I54" s="440">
        <f>试算平衡表!I54/10000</f>
        <v>752.13930300000015</v>
      </c>
      <c r="J54" s="440">
        <f>试算平衡表!J54/10000</f>
        <v>794.547237</v>
      </c>
      <c r="K54" s="440">
        <f>试算平衡表!K54/10000</f>
        <v>8.6363630000000011</v>
      </c>
      <c r="L54" s="440">
        <f>试算平衡表!L54/10000</f>
        <v>0</v>
      </c>
      <c r="M54" s="440">
        <f>试算平衡表!M54/10000</f>
        <v>8.6363629999999887</v>
      </c>
      <c r="N54" s="440">
        <f>试算平衡表!N54/10000</f>
        <v>803.18359999999996</v>
      </c>
    </row>
    <row r="55" spans="1:14">
      <c r="A55" s="47">
        <v>55</v>
      </c>
      <c r="D55" s="535"/>
      <c r="E55" s="535"/>
      <c r="F55" s="537"/>
      <c r="G55" s="537"/>
      <c r="H55" s="403"/>
      <c r="I55" s="537"/>
      <c r="J55" s="535"/>
      <c r="K55" s="537"/>
      <c r="L55" s="537"/>
      <c r="M55" s="403"/>
      <c r="N55" s="537"/>
    </row>
    <row r="56" spans="1:14">
      <c r="A56" s="47">
        <v>56</v>
      </c>
      <c r="D56" s="524"/>
      <c r="E56" s="429"/>
      <c r="F56" s="537"/>
      <c r="G56" s="537"/>
      <c r="H56" s="403"/>
      <c r="I56" s="537"/>
      <c r="J56" s="429"/>
      <c r="K56" s="537"/>
      <c r="L56" s="537"/>
      <c r="M56" s="403"/>
      <c r="N56" s="537"/>
    </row>
    <row r="57" spans="1:14">
      <c r="A57" s="47">
        <v>57</v>
      </c>
      <c r="D57" s="538"/>
      <c r="E57" s="539"/>
      <c r="F57" s="537"/>
      <c r="G57" s="537"/>
      <c r="H57" s="403"/>
      <c r="I57" s="537"/>
      <c r="J57" s="539"/>
      <c r="K57" s="537"/>
      <c r="L57" s="537"/>
      <c r="M57" s="403"/>
      <c r="N57" s="537"/>
    </row>
    <row r="58" spans="1:14">
      <c r="A58" s="47">
        <v>58</v>
      </c>
      <c r="D58" s="529"/>
      <c r="E58" s="534"/>
      <c r="F58" s="537"/>
      <c r="G58" s="537"/>
      <c r="H58" s="403"/>
      <c r="I58" s="537"/>
      <c r="J58" s="540"/>
      <c r="K58" s="537"/>
      <c r="L58" s="537"/>
      <c r="M58" s="403"/>
      <c r="N58" s="537"/>
    </row>
    <row r="59" spans="1:14" s="56" customFormat="1">
      <c r="A59" s="47">
        <v>59</v>
      </c>
      <c r="D59" s="524" t="s">
        <v>529</v>
      </c>
      <c r="E59" s="525" t="str">
        <f>"未审"&amp;未审资产负债表!C58</f>
        <v>未审期末金额</v>
      </c>
      <c r="F59" s="526" t="s">
        <v>1749</v>
      </c>
      <c r="G59" s="526" t="s">
        <v>1769</v>
      </c>
      <c r="H59" s="403"/>
      <c r="I59" s="525" t="str">
        <f>I5</f>
        <v>审定期末金额</v>
      </c>
      <c r="J59" s="525" t="str">
        <f>"未审"&amp;未审资产负债表!D58</f>
        <v>未审年初金额</v>
      </c>
      <c r="K59" s="526" t="s">
        <v>1749</v>
      </c>
      <c r="L59" s="526" t="s">
        <v>1750</v>
      </c>
      <c r="M59" s="403"/>
      <c r="N59" s="525" t="str">
        <f>N5</f>
        <v>审定年初金额</v>
      </c>
    </row>
    <row r="60" spans="1:14">
      <c r="A60" s="47">
        <v>60</v>
      </c>
      <c r="B60" s="3" t="s">
        <v>306</v>
      </c>
      <c r="D60" s="529" t="s">
        <v>1770</v>
      </c>
      <c r="E60" s="434"/>
      <c r="F60" s="434"/>
      <c r="G60" s="434"/>
      <c r="H60" s="403"/>
      <c r="I60" s="434"/>
      <c r="J60" s="434"/>
      <c r="K60" s="434"/>
      <c r="L60" s="434"/>
      <c r="M60" s="403"/>
      <c r="N60" s="434"/>
    </row>
    <row r="61" spans="1:14">
      <c r="A61" s="47">
        <v>61</v>
      </c>
      <c r="B61" s="3" t="s">
        <v>306</v>
      </c>
      <c r="D61" s="530" t="s">
        <v>579</v>
      </c>
      <c r="E61" s="440">
        <f>试算平衡表!E61/10000</f>
        <v>0</v>
      </c>
      <c r="F61" s="440">
        <f>试算平衡表!F61/10000</f>
        <v>0</v>
      </c>
      <c r="G61" s="440">
        <f>试算平衡表!G61/10000</f>
        <v>0</v>
      </c>
      <c r="H61" s="440">
        <f>试算平衡表!H61/10000</f>
        <v>0</v>
      </c>
      <c r="I61" s="440">
        <f>试算平衡表!I61/10000</f>
        <v>0</v>
      </c>
      <c r="J61" s="440">
        <f>试算平衡表!J61/10000</f>
        <v>0</v>
      </c>
      <c r="K61" s="440">
        <f>试算平衡表!K61/10000</f>
        <v>0</v>
      </c>
      <c r="L61" s="440">
        <f>试算平衡表!L61/10000</f>
        <v>0</v>
      </c>
      <c r="M61" s="440">
        <f>试算平衡表!M61/10000</f>
        <v>0</v>
      </c>
      <c r="N61" s="440">
        <f>试算平衡表!N61/10000</f>
        <v>0</v>
      </c>
    </row>
    <row r="62" spans="1:14">
      <c r="A62" s="47">
        <v>62</v>
      </c>
      <c r="B62" s="3" t="s">
        <v>306</v>
      </c>
      <c r="D62" s="530" t="s">
        <v>580</v>
      </c>
      <c r="E62" s="440">
        <f>试算平衡表!E62/10000</f>
        <v>0</v>
      </c>
      <c r="F62" s="440">
        <f>试算平衡表!F62/10000</f>
        <v>0</v>
      </c>
      <c r="G62" s="440">
        <f>试算平衡表!G62/10000</f>
        <v>0</v>
      </c>
      <c r="H62" s="440">
        <f>试算平衡表!H62/10000</f>
        <v>0</v>
      </c>
      <c r="I62" s="440">
        <f>试算平衡表!I62/10000</f>
        <v>0</v>
      </c>
      <c r="J62" s="440">
        <f>试算平衡表!J62/10000</f>
        <v>0</v>
      </c>
      <c r="K62" s="440">
        <f>试算平衡表!K62/10000</f>
        <v>0</v>
      </c>
      <c r="L62" s="440">
        <f>试算平衡表!L62/10000</f>
        <v>0</v>
      </c>
      <c r="M62" s="440">
        <f>试算平衡表!M62/10000</f>
        <v>0</v>
      </c>
      <c r="N62" s="440">
        <f>试算平衡表!N62/10000</f>
        <v>0</v>
      </c>
    </row>
    <row r="63" spans="1:14">
      <c r="A63" s="47">
        <v>63</v>
      </c>
      <c r="B63" s="3" t="s">
        <v>306</v>
      </c>
      <c r="D63" s="530" t="s">
        <v>581</v>
      </c>
      <c r="E63" s="440">
        <f>试算平衡表!E63/10000</f>
        <v>0</v>
      </c>
      <c r="F63" s="440">
        <f>试算平衡表!F63/10000</f>
        <v>0</v>
      </c>
      <c r="G63" s="440">
        <f>试算平衡表!G63/10000</f>
        <v>0</v>
      </c>
      <c r="H63" s="440">
        <f>试算平衡表!H63/10000</f>
        <v>0</v>
      </c>
      <c r="I63" s="440">
        <f>试算平衡表!I63/10000</f>
        <v>0</v>
      </c>
      <c r="J63" s="440">
        <f>试算平衡表!J63/10000</f>
        <v>0</v>
      </c>
      <c r="K63" s="440">
        <f>试算平衡表!K63/10000</f>
        <v>0</v>
      </c>
      <c r="L63" s="440">
        <f>试算平衡表!L63/10000</f>
        <v>0</v>
      </c>
      <c r="M63" s="440">
        <f>试算平衡表!M63/10000</f>
        <v>0</v>
      </c>
      <c r="N63" s="440">
        <f>试算平衡表!N63/10000</f>
        <v>0</v>
      </c>
    </row>
    <row r="64" spans="1:14">
      <c r="A64" s="47">
        <v>64</v>
      </c>
      <c r="B64" s="3" t="s">
        <v>306</v>
      </c>
      <c r="D64" s="530" t="s">
        <v>582</v>
      </c>
      <c r="E64" s="440">
        <f>试算平衡表!E64/10000</f>
        <v>0</v>
      </c>
      <c r="F64" s="440">
        <f>试算平衡表!F64/10000</f>
        <v>0</v>
      </c>
      <c r="G64" s="440">
        <f>试算平衡表!G64/10000</f>
        <v>0</v>
      </c>
      <c r="H64" s="440">
        <f>试算平衡表!H64/10000</f>
        <v>0</v>
      </c>
      <c r="I64" s="440">
        <f>试算平衡表!I64/10000</f>
        <v>0</v>
      </c>
      <c r="J64" s="440">
        <f>试算平衡表!J64/10000</f>
        <v>0</v>
      </c>
      <c r="K64" s="440">
        <f>试算平衡表!K64/10000</f>
        <v>0</v>
      </c>
      <c r="L64" s="440">
        <f>试算平衡表!L64/10000</f>
        <v>0</v>
      </c>
      <c r="M64" s="440">
        <f>试算平衡表!M64/10000</f>
        <v>0</v>
      </c>
      <c r="N64" s="440">
        <f>试算平衡表!N64/10000</f>
        <v>0</v>
      </c>
    </row>
    <row r="65" spans="1:14">
      <c r="A65" s="47">
        <v>65</v>
      </c>
      <c r="B65" s="3" t="s">
        <v>306</v>
      </c>
      <c r="D65" s="530" t="s">
        <v>1771</v>
      </c>
      <c r="E65" s="440">
        <f>试算平衡表!E65/10000</f>
        <v>0</v>
      </c>
      <c r="F65" s="440">
        <f>试算平衡表!F65/10000</f>
        <v>0</v>
      </c>
      <c r="G65" s="440">
        <f>试算平衡表!G65/10000</f>
        <v>0</v>
      </c>
      <c r="H65" s="440">
        <f>试算平衡表!H65/10000</f>
        <v>0</v>
      </c>
      <c r="I65" s="440">
        <f>试算平衡表!I65/10000</f>
        <v>0</v>
      </c>
      <c r="J65" s="440">
        <f>试算平衡表!J65/10000</f>
        <v>0</v>
      </c>
      <c r="K65" s="440">
        <f>试算平衡表!K65/10000</f>
        <v>0</v>
      </c>
      <c r="L65" s="440">
        <f>试算平衡表!L65/10000</f>
        <v>0</v>
      </c>
      <c r="M65" s="440">
        <f>试算平衡表!M65/10000</f>
        <v>0</v>
      </c>
      <c r="N65" s="440">
        <f>试算平衡表!N65/10000</f>
        <v>0</v>
      </c>
    </row>
    <row r="66" spans="1:14">
      <c r="A66" s="47">
        <v>66</v>
      </c>
      <c r="B66" s="3" t="s">
        <v>306</v>
      </c>
      <c r="D66" s="530" t="s">
        <v>1772</v>
      </c>
      <c r="E66" s="440">
        <f>试算平衡表!E66/10000</f>
        <v>0</v>
      </c>
      <c r="F66" s="440">
        <f>试算平衡表!F66/10000</f>
        <v>0</v>
      </c>
      <c r="G66" s="440">
        <f>试算平衡表!G66/10000</f>
        <v>0</v>
      </c>
      <c r="H66" s="440">
        <f>试算平衡表!H66/10000</f>
        <v>0</v>
      </c>
      <c r="I66" s="440">
        <f>试算平衡表!I66/10000</f>
        <v>0</v>
      </c>
      <c r="J66" s="440">
        <f>试算平衡表!J66/10000</f>
        <v>0</v>
      </c>
      <c r="K66" s="440">
        <f>试算平衡表!K66/10000</f>
        <v>0</v>
      </c>
      <c r="L66" s="440">
        <f>试算平衡表!L66/10000</f>
        <v>0</v>
      </c>
      <c r="M66" s="440">
        <f>试算平衡表!M66/10000</f>
        <v>0</v>
      </c>
      <c r="N66" s="440">
        <f>试算平衡表!N66/10000</f>
        <v>0</v>
      </c>
    </row>
    <row r="67" spans="1:14">
      <c r="A67" s="47">
        <v>67</v>
      </c>
      <c r="B67" s="3" t="s">
        <v>306</v>
      </c>
      <c r="D67" s="530" t="s">
        <v>583</v>
      </c>
      <c r="E67" s="440">
        <f>试算平衡表!E67/10000</f>
        <v>0</v>
      </c>
      <c r="F67" s="440">
        <f>试算平衡表!F67/10000</f>
        <v>0</v>
      </c>
      <c r="G67" s="440">
        <f>试算平衡表!G67/10000</f>
        <v>0</v>
      </c>
      <c r="H67" s="440">
        <f>试算平衡表!H67/10000</f>
        <v>0</v>
      </c>
      <c r="I67" s="440">
        <f>试算平衡表!I67/10000</f>
        <v>0</v>
      </c>
      <c r="J67" s="440">
        <f>试算平衡表!J67/10000</f>
        <v>0</v>
      </c>
      <c r="K67" s="440">
        <f>试算平衡表!K67/10000</f>
        <v>0</v>
      </c>
      <c r="L67" s="440">
        <f>试算平衡表!L67/10000</f>
        <v>0</v>
      </c>
      <c r="M67" s="440">
        <f>试算平衡表!M67/10000</f>
        <v>0</v>
      </c>
      <c r="N67" s="440">
        <f>试算平衡表!N67/10000</f>
        <v>0</v>
      </c>
    </row>
    <row r="68" spans="1:14">
      <c r="A68" s="47">
        <v>68</v>
      </c>
      <c r="B68" s="3" t="s">
        <v>306</v>
      </c>
      <c r="D68" s="530" t="s">
        <v>584</v>
      </c>
      <c r="E68" s="440">
        <f>试算平衡表!E68/10000</f>
        <v>0</v>
      </c>
      <c r="F68" s="440">
        <f>试算平衡表!F68/10000</f>
        <v>0</v>
      </c>
      <c r="G68" s="440">
        <f>试算平衡表!G68/10000</f>
        <v>0</v>
      </c>
      <c r="H68" s="440">
        <f>试算平衡表!H68/10000</f>
        <v>0</v>
      </c>
      <c r="I68" s="440">
        <f>试算平衡表!I68/10000</f>
        <v>0</v>
      </c>
      <c r="J68" s="440">
        <f>试算平衡表!J68/10000</f>
        <v>0</v>
      </c>
      <c r="K68" s="440">
        <f>试算平衡表!K68/10000</f>
        <v>0</v>
      </c>
      <c r="L68" s="440">
        <f>试算平衡表!L68/10000</f>
        <v>0</v>
      </c>
      <c r="M68" s="440">
        <f>试算平衡表!M68/10000</f>
        <v>0</v>
      </c>
      <c r="N68" s="440">
        <f>试算平衡表!N68/10000</f>
        <v>0</v>
      </c>
    </row>
    <row r="69" spans="1:14">
      <c r="A69" s="47">
        <v>69</v>
      </c>
      <c r="B69" s="3" t="s">
        <v>306</v>
      </c>
      <c r="D69" s="530" t="s">
        <v>585</v>
      </c>
      <c r="E69" s="440">
        <f>试算平衡表!E69/10000</f>
        <v>0</v>
      </c>
      <c r="F69" s="440">
        <f>试算平衡表!F69/10000</f>
        <v>0</v>
      </c>
      <c r="G69" s="440">
        <f>试算平衡表!G69/10000</f>
        <v>0</v>
      </c>
      <c r="H69" s="440">
        <f>试算平衡表!H69/10000</f>
        <v>0</v>
      </c>
      <c r="I69" s="440">
        <f>试算平衡表!I69/10000</f>
        <v>0</v>
      </c>
      <c r="J69" s="440">
        <f>试算平衡表!J69/10000</f>
        <v>0</v>
      </c>
      <c r="K69" s="440">
        <f>试算平衡表!K69/10000</f>
        <v>0</v>
      </c>
      <c r="L69" s="440">
        <f>试算平衡表!L69/10000</f>
        <v>0</v>
      </c>
      <c r="M69" s="440">
        <f>试算平衡表!M69/10000</f>
        <v>0</v>
      </c>
      <c r="N69" s="440">
        <f>试算平衡表!N69/10000</f>
        <v>0</v>
      </c>
    </row>
    <row r="70" spans="1:14">
      <c r="A70" s="47">
        <v>70</v>
      </c>
      <c r="B70" s="3" t="s">
        <v>306</v>
      </c>
      <c r="D70" s="530" t="s">
        <v>586</v>
      </c>
      <c r="E70" s="440">
        <f>试算平衡表!E70/10000</f>
        <v>0</v>
      </c>
      <c r="F70" s="440">
        <f>试算平衡表!F70/10000</f>
        <v>0</v>
      </c>
      <c r="G70" s="440">
        <f>试算平衡表!G70/10000</f>
        <v>0</v>
      </c>
      <c r="H70" s="440">
        <f>试算平衡表!H70/10000</f>
        <v>0</v>
      </c>
      <c r="I70" s="440">
        <f>试算平衡表!I70/10000</f>
        <v>0</v>
      </c>
      <c r="J70" s="440">
        <f>试算平衡表!J70/10000</f>
        <v>0</v>
      </c>
      <c r="K70" s="440">
        <f>试算平衡表!K70/10000</f>
        <v>0</v>
      </c>
      <c r="L70" s="440">
        <f>试算平衡表!L70/10000</f>
        <v>0</v>
      </c>
      <c r="M70" s="440">
        <f>试算平衡表!M70/10000</f>
        <v>0</v>
      </c>
      <c r="N70" s="440">
        <f>试算平衡表!N70/10000</f>
        <v>0</v>
      </c>
    </row>
    <row r="71" spans="1:14">
      <c r="A71" s="47">
        <v>71</v>
      </c>
      <c r="B71" s="3" t="s">
        <v>306</v>
      </c>
      <c r="D71" s="530" t="s">
        <v>587</v>
      </c>
      <c r="E71" s="440">
        <f>试算平衡表!E71/10000</f>
        <v>0</v>
      </c>
      <c r="F71" s="440">
        <f>试算平衡表!F71/10000</f>
        <v>0</v>
      </c>
      <c r="G71" s="440">
        <f>试算平衡表!G71/10000</f>
        <v>0</v>
      </c>
      <c r="H71" s="440">
        <f>试算平衡表!H71/10000</f>
        <v>0</v>
      </c>
      <c r="I71" s="440">
        <f>试算平衡表!I71/10000</f>
        <v>0</v>
      </c>
      <c r="J71" s="440">
        <f>试算平衡表!J71/10000</f>
        <v>0</v>
      </c>
      <c r="K71" s="440">
        <f>试算平衡表!K71/10000</f>
        <v>0</v>
      </c>
      <c r="L71" s="440">
        <f>试算平衡表!L71/10000</f>
        <v>0</v>
      </c>
      <c r="M71" s="440">
        <f>试算平衡表!M71/10000</f>
        <v>0</v>
      </c>
      <c r="N71" s="440">
        <f>试算平衡表!N71/10000</f>
        <v>0</v>
      </c>
    </row>
    <row r="72" spans="1:14">
      <c r="A72" s="47">
        <v>72</v>
      </c>
      <c r="B72" s="3" t="s">
        <v>306</v>
      </c>
      <c r="D72" s="530" t="s">
        <v>588</v>
      </c>
      <c r="E72" s="440">
        <f>试算平衡表!E72/10000</f>
        <v>4.1819139999999999</v>
      </c>
      <c r="F72" s="440">
        <f>试算平衡表!F72/10000</f>
        <v>0</v>
      </c>
      <c r="G72" s="440">
        <f>试算平衡表!G72/10000</f>
        <v>0</v>
      </c>
      <c r="H72" s="440">
        <f>试算平衡表!H72/10000</f>
        <v>0</v>
      </c>
      <c r="I72" s="440">
        <f>试算平衡表!I72/10000</f>
        <v>4.1819139999999999</v>
      </c>
      <c r="J72" s="440">
        <f>试算平衡表!J72/10000</f>
        <v>4.885389</v>
      </c>
      <c r="K72" s="440">
        <f>试算平衡表!K72/10000</f>
        <v>0</v>
      </c>
      <c r="L72" s="440">
        <f>试算平衡表!L72/10000</f>
        <v>0</v>
      </c>
      <c r="M72" s="440">
        <f>试算平衡表!M72/10000</f>
        <v>0</v>
      </c>
      <c r="N72" s="440">
        <f>试算平衡表!N72/10000</f>
        <v>4.885389</v>
      </c>
    </row>
    <row r="73" spans="1:14">
      <c r="A73" s="47">
        <v>73</v>
      </c>
      <c r="B73" s="3" t="s">
        <v>306</v>
      </c>
      <c r="D73" s="530" t="s">
        <v>1773</v>
      </c>
      <c r="E73" s="440">
        <f>试算平衡表!E73/10000</f>
        <v>0</v>
      </c>
      <c r="F73" s="440">
        <f>试算平衡表!F73/10000</f>
        <v>0</v>
      </c>
      <c r="G73" s="440">
        <f>试算平衡表!G73/10000</f>
        <v>0</v>
      </c>
      <c r="H73" s="440">
        <f>试算平衡表!H73/10000</f>
        <v>0</v>
      </c>
      <c r="I73" s="440">
        <f>试算平衡表!I73/10000</f>
        <v>0</v>
      </c>
      <c r="J73" s="440">
        <f>试算平衡表!J73/10000</f>
        <v>0</v>
      </c>
      <c r="K73" s="440">
        <f>试算平衡表!K73/10000</f>
        <v>0</v>
      </c>
      <c r="L73" s="440">
        <f>试算平衡表!L73/10000</f>
        <v>0</v>
      </c>
      <c r="M73" s="440">
        <f>试算平衡表!M73/10000</f>
        <v>0</v>
      </c>
      <c r="N73" s="440">
        <f>试算平衡表!N73/10000</f>
        <v>0</v>
      </c>
    </row>
    <row r="74" spans="1:14">
      <c r="A74" s="47">
        <v>74</v>
      </c>
      <c r="B74" s="3" t="s">
        <v>306</v>
      </c>
      <c r="D74" s="530" t="s">
        <v>1774</v>
      </c>
      <c r="E74" s="440">
        <f>试算平衡表!E74/10000</f>
        <v>0</v>
      </c>
      <c r="F74" s="440">
        <f>试算平衡表!F74/10000</f>
        <v>0</v>
      </c>
      <c r="G74" s="440">
        <f>试算平衡表!G74/10000</f>
        <v>0</v>
      </c>
      <c r="H74" s="440">
        <f>试算平衡表!H74/10000</f>
        <v>0</v>
      </c>
      <c r="I74" s="440">
        <f>试算平衡表!I74/10000</f>
        <v>0</v>
      </c>
      <c r="J74" s="440">
        <f>试算平衡表!J74/10000</f>
        <v>0</v>
      </c>
      <c r="K74" s="440">
        <f>试算平衡表!K74/10000</f>
        <v>0</v>
      </c>
      <c r="L74" s="440">
        <f>试算平衡表!L74/10000</f>
        <v>0</v>
      </c>
      <c r="M74" s="440">
        <f>试算平衡表!M74/10000</f>
        <v>0</v>
      </c>
      <c r="N74" s="440">
        <f>试算平衡表!N74/10000</f>
        <v>0</v>
      </c>
    </row>
    <row r="75" spans="1:14">
      <c r="A75" s="47">
        <v>75</v>
      </c>
      <c r="B75" s="3" t="s">
        <v>306</v>
      </c>
      <c r="D75" s="530" t="s">
        <v>1775</v>
      </c>
      <c r="E75" s="440">
        <f>试算平衡表!E75/10000</f>
        <v>0</v>
      </c>
      <c r="F75" s="440">
        <f>试算平衡表!F75/10000</f>
        <v>0</v>
      </c>
      <c r="G75" s="440">
        <f>试算平衡表!G75/10000</f>
        <v>0</v>
      </c>
      <c r="H75" s="440">
        <f>试算平衡表!H75/10000</f>
        <v>0</v>
      </c>
      <c r="I75" s="440">
        <f>试算平衡表!I75/10000</f>
        <v>0</v>
      </c>
      <c r="J75" s="440">
        <f>试算平衡表!J75/10000</f>
        <v>0</v>
      </c>
      <c r="K75" s="440">
        <f>试算平衡表!K75/10000</f>
        <v>0</v>
      </c>
      <c r="L75" s="440">
        <f>试算平衡表!L75/10000</f>
        <v>0</v>
      </c>
      <c r="M75" s="440">
        <f>试算平衡表!M75/10000</f>
        <v>0</v>
      </c>
      <c r="N75" s="440">
        <f>试算平衡表!N75/10000</f>
        <v>0</v>
      </c>
    </row>
    <row r="76" spans="1:14">
      <c r="A76" s="47">
        <v>76</v>
      </c>
      <c r="B76" s="3" t="s">
        <v>306</v>
      </c>
      <c r="D76" s="532" t="s">
        <v>1776</v>
      </c>
      <c r="E76" s="440">
        <f>试算平衡表!E76/10000</f>
        <v>-6.6264789999999998</v>
      </c>
      <c r="F76" s="440">
        <f>试算平衡表!F76/10000</f>
        <v>0</v>
      </c>
      <c r="G76" s="440">
        <f>试算平衡表!G76/10000</f>
        <v>51.047259999999994</v>
      </c>
      <c r="H76" s="440">
        <f>试算平衡表!H76/10000</f>
        <v>51.047259999999994</v>
      </c>
      <c r="I76" s="440">
        <f>试算平衡表!I76/10000</f>
        <v>44.420780999999998</v>
      </c>
      <c r="J76" s="440">
        <f>试算平衡表!J76/10000</f>
        <v>93.410547999999991</v>
      </c>
      <c r="K76" s="440">
        <f>试算平衡表!K76/10000</f>
        <v>0</v>
      </c>
      <c r="L76" s="440">
        <f>试算平衡表!L76/10000</f>
        <v>8.6363630000000011</v>
      </c>
      <c r="M76" s="440">
        <f>试算平衡表!M76/10000</f>
        <v>8.6363630000000011</v>
      </c>
      <c r="N76" s="440">
        <f>试算平衡表!N76/10000</f>
        <v>102.04691099999999</v>
      </c>
    </row>
    <row r="77" spans="1:14">
      <c r="A77" s="47">
        <v>77</v>
      </c>
      <c r="B77" s="3" t="s">
        <v>306</v>
      </c>
      <c r="D77" s="532" t="s">
        <v>593</v>
      </c>
      <c r="E77" s="440">
        <f>试算平衡表!E77/10000</f>
        <v>-6.6264789999999998</v>
      </c>
      <c r="F77" s="440">
        <f>试算平衡表!F77/10000</f>
        <v>0</v>
      </c>
      <c r="G77" s="440">
        <f>试算平衡表!G77/10000</f>
        <v>49.745373000000001</v>
      </c>
      <c r="H77" s="440">
        <f>试算平衡表!H77/10000</f>
        <v>49.745373000000001</v>
      </c>
      <c r="I77" s="440">
        <f>试算平衡表!I77/10000</f>
        <v>43.118893999999997</v>
      </c>
      <c r="J77" s="440">
        <f>试算平衡表!J77/10000</f>
        <v>93.410547999999991</v>
      </c>
      <c r="K77" s="440">
        <f>试算平衡表!K77/10000</f>
        <v>0</v>
      </c>
      <c r="L77" s="440">
        <f>试算平衡表!L77/10000</f>
        <v>8.6363630000000011</v>
      </c>
      <c r="M77" s="440">
        <f>试算平衡表!M77/10000</f>
        <v>8.6363630000000011</v>
      </c>
      <c r="N77" s="440">
        <f>试算平衡表!N77/10000</f>
        <v>102.04691099999999</v>
      </c>
    </row>
    <row r="78" spans="1:14">
      <c r="A78" s="47">
        <v>78</v>
      </c>
      <c r="B78" s="3" t="s">
        <v>306</v>
      </c>
      <c r="D78" s="530" t="s">
        <v>594</v>
      </c>
      <c r="E78" s="440">
        <f>试算平衡表!E78/10000</f>
        <v>0</v>
      </c>
      <c r="F78" s="440">
        <f>试算平衡表!F78/10000</f>
        <v>0</v>
      </c>
      <c r="G78" s="440">
        <f>试算平衡表!G78/10000</f>
        <v>0</v>
      </c>
      <c r="H78" s="440">
        <f>试算平衡表!H78/10000</f>
        <v>0</v>
      </c>
      <c r="I78" s="440">
        <f>试算平衡表!I78/10000</f>
        <v>0</v>
      </c>
      <c r="J78" s="440">
        <f>试算平衡表!J78/10000</f>
        <v>0</v>
      </c>
      <c r="K78" s="440">
        <f>试算平衡表!K78/10000</f>
        <v>0</v>
      </c>
      <c r="L78" s="440">
        <f>试算平衡表!L78/10000</f>
        <v>0</v>
      </c>
      <c r="M78" s="440">
        <f>试算平衡表!M78/10000</f>
        <v>0</v>
      </c>
      <c r="N78" s="440">
        <f>试算平衡表!N78/10000</f>
        <v>0</v>
      </c>
    </row>
    <row r="79" spans="1:14">
      <c r="A79" s="47">
        <v>79</v>
      </c>
      <c r="B79" s="3" t="s">
        <v>306</v>
      </c>
      <c r="D79" s="530" t="s">
        <v>1777</v>
      </c>
      <c r="E79" s="440">
        <f>试算平衡表!E79/10000</f>
        <v>0</v>
      </c>
      <c r="F79" s="440">
        <f>试算平衡表!F79/10000</f>
        <v>0</v>
      </c>
      <c r="G79" s="440">
        <f>试算平衡表!G79/10000</f>
        <v>0</v>
      </c>
      <c r="H79" s="440">
        <f>试算平衡表!H79/10000</f>
        <v>0</v>
      </c>
      <c r="I79" s="440">
        <f>试算平衡表!I79/10000</f>
        <v>0</v>
      </c>
      <c r="J79" s="440">
        <f>试算平衡表!J79/10000</f>
        <v>0</v>
      </c>
      <c r="K79" s="440">
        <f>试算平衡表!K79/10000</f>
        <v>0</v>
      </c>
      <c r="L79" s="440">
        <f>试算平衡表!L79/10000</f>
        <v>0</v>
      </c>
      <c r="M79" s="440">
        <f>试算平衡表!M79/10000</f>
        <v>0</v>
      </c>
      <c r="N79" s="440">
        <f>试算平衡表!N79/10000</f>
        <v>0</v>
      </c>
    </row>
    <row r="80" spans="1:14">
      <c r="A80" s="47">
        <v>80</v>
      </c>
      <c r="B80" s="3" t="s">
        <v>306</v>
      </c>
      <c r="D80" s="530" t="s">
        <v>596</v>
      </c>
      <c r="E80" s="440">
        <f>试算平衡表!E80/10000</f>
        <v>3.8381059999999998</v>
      </c>
      <c r="F80" s="440">
        <f>试算平衡表!F80/10000</f>
        <v>0</v>
      </c>
      <c r="G80" s="440">
        <f>试算平衡表!G80/10000</f>
        <v>0</v>
      </c>
      <c r="H80" s="440">
        <f>试算平衡表!H80/10000</f>
        <v>0</v>
      </c>
      <c r="I80" s="440">
        <f>试算平衡表!I80/10000</f>
        <v>3.8381059999999998</v>
      </c>
      <c r="J80" s="440">
        <f>试算平衡表!J80/10000</f>
        <v>4.0678199999999993</v>
      </c>
      <c r="K80" s="440">
        <f>试算平衡表!K80/10000</f>
        <v>0</v>
      </c>
      <c r="L80" s="440">
        <f>试算平衡表!L80/10000</f>
        <v>0</v>
      </c>
      <c r="M80" s="440">
        <f>试算平衡表!M80/10000</f>
        <v>0</v>
      </c>
      <c r="N80" s="440">
        <f>试算平衡表!N80/10000</f>
        <v>4.0678199999999993</v>
      </c>
    </row>
    <row r="81" spans="1:14">
      <c r="A81" s="47">
        <v>81</v>
      </c>
      <c r="B81" s="3" t="s">
        <v>306</v>
      </c>
      <c r="D81" s="530" t="s">
        <v>597</v>
      </c>
      <c r="E81" s="440">
        <f>试算平衡表!E81/10000</f>
        <v>0</v>
      </c>
      <c r="F81" s="440">
        <f>试算平衡表!F81/10000</f>
        <v>0</v>
      </c>
      <c r="G81" s="440">
        <f>试算平衡表!G81/10000</f>
        <v>0</v>
      </c>
      <c r="H81" s="440">
        <f>试算平衡表!H81/10000</f>
        <v>0</v>
      </c>
      <c r="I81" s="440">
        <f>试算平衡表!I81/10000</f>
        <v>0</v>
      </c>
      <c r="J81" s="440">
        <f>试算平衡表!J81/10000</f>
        <v>0</v>
      </c>
      <c r="K81" s="440">
        <f>试算平衡表!K81/10000</f>
        <v>0</v>
      </c>
      <c r="L81" s="440">
        <f>试算平衡表!L81/10000</f>
        <v>0</v>
      </c>
      <c r="M81" s="440">
        <f>试算平衡表!M81/10000</f>
        <v>0</v>
      </c>
      <c r="N81" s="440">
        <f>试算平衡表!N81/10000</f>
        <v>0</v>
      </c>
    </row>
    <row r="82" spans="1:14">
      <c r="A82" s="47">
        <v>82</v>
      </c>
      <c r="B82" s="3" t="s">
        <v>306</v>
      </c>
      <c r="D82" s="530" t="s">
        <v>598</v>
      </c>
      <c r="E82" s="440">
        <f>试算平衡表!E82/10000</f>
        <v>0</v>
      </c>
      <c r="F82" s="440">
        <f>试算平衡表!F82/10000</f>
        <v>0</v>
      </c>
      <c r="G82" s="440">
        <f>试算平衡表!G82/10000</f>
        <v>0</v>
      </c>
      <c r="H82" s="440">
        <f>试算平衡表!H82/10000</f>
        <v>0</v>
      </c>
      <c r="I82" s="440">
        <f>试算平衡表!I82/10000</f>
        <v>0</v>
      </c>
      <c r="J82" s="440">
        <f>试算平衡表!J82/10000</f>
        <v>0</v>
      </c>
      <c r="K82" s="440">
        <f>试算平衡表!K82/10000</f>
        <v>0</v>
      </c>
      <c r="L82" s="440">
        <f>试算平衡表!L82/10000</f>
        <v>0</v>
      </c>
      <c r="M82" s="440">
        <f>试算平衡表!M82/10000</f>
        <v>0</v>
      </c>
      <c r="N82" s="440">
        <f>试算平衡表!N82/10000</f>
        <v>0</v>
      </c>
    </row>
    <row r="83" spans="1:14">
      <c r="A83" s="47">
        <v>83</v>
      </c>
      <c r="B83" s="3" t="s">
        <v>306</v>
      </c>
      <c r="D83" s="530" t="s">
        <v>599</v>
      </c>
      <c r="E83" s="440">
        <f>试算平衡表!E83/10000</f>
        <v>0</v>
      </c>
      <c r="F83" s="440">
        <f>试算平衡表!F83/10000</f>
        <v>0</v>
      </c>
      <c r="G83" s="440">
        <f>试算平衡表!G83/10000</f>
        <v>0</v>
      </c>
      <c r="H83" s="440">
        <f>试算平衡表!H83/10000</f>
        <v>0</v>
      </c>
      <c r="I83" s="440">
        <f>试算平衡表!I83/10000</f>
        <v>0</v>
      </c>
      <c r="J83" s="440">
        <f>试算平衡表!J83/10000</f>
        <v>0</v>
      </c>
      <c r="K83" s="440">
        <f>试算平衡表!K83/10000</f>
        <v>0</v>
      </c>
      <c r="L83" s="440">
        <f>试算平衡表!L83/10000</f>
        <v>0</v>
      </c>
      <c r="M83" s="440">
        <f>试算平衡表!M83/10000</f>
        <v>0</v>
      </c>
      <c r="N83" s="440">
        <f>试算平衡表!N83/10000</f>
        <v>0</v>
      </c>
    </row>
    <row r="84" spans="1:14">
      <c r="A84" s="47">
        <v>84</v>
      </c>
      <c r="B84" s="3" t="s">
        <v>306</v>
      </c>
      <c r="D84" s="530" t="s">
        <v>600</v>
      </c>
      <c r="E84" s="440">
        <f>试算平衡表!E84/10000</f>
        <v>0</v>
      </c>
      <c r="F84" s="440">
        <f>试算平衡表!F84/10000</f>
        <v>0</v>
      </c>
      <c r="G84" s="440">
        <f>试算平衡表!G84/10000</f>
        <v>0</v>
      </c>
      <c r="H84" s="440">
        <f>试算平衡表!H84/10000</f>
        <v>0</v>
      </c>
      <c r="I84" s="440">
        <f>试算平衡表!I84/10000</f>
        <v>0</v>
      </c>
      <c r="J84" s="440">
        <f>试算平衡表!J84/10000</f>
        <v>0</v>
      </c>
      <c r="K84" s="440">
        <f>试算平衡表!K84/10000</f>
        <v>0</v>
      </c>
      <c r="L84" s="440">
        <f>试算平衡表!L84/10000</f>
        <v>0</v>
      </c>
      <c r="M84" s="440">
        <f>试算平衡表!M84/10000</f>
        <v>0</v>
      </c>
      <c r="N84" s="440">
        <f>试算平衡表!N84/10000</f>
        <v>0</v>
      </c>
    </row>
    <row r="85" spans="1:14">
      <c r="A85" s="47">
        <v>85</v>
      </c>
      <c r="B85" s="3" t="s">
        <v>306</v>
      </c>
      <c r="D85" s="1343" t="s">
        <v>4637</v>
      </c>
      <c r="E85" s="440">
        <f>试算平衡表!E85/10000</f>
        <v>0</v>
      </c>
      <c r="F85" s="440">
        <f>试算平衡表!F85/10000</f>
        <v>0</v>
      </c>
      <c r="G85" s="440">
        <f>试算平衡表!G85/10000</f>
        <v>0</v>
      </c>
      <c r="H85" s="440">
        <f>试算平衡表!H85/10000</f>
        <v>0</v>
      </c>
      <c r="I85" s="440">
        <f>试算平衡表!I85/10000</f>
        <v>0</v>
      </c>
      <c r="J85" s="440">
        <f>试算平衡表!J85/10000</f>
        <v>0</v>
      </c>
      <c r="K85" s="440">
        <f>试算平衡表!K85/10000</f>
        <v>0</v>
      </c>
      <c r="L85" s="440">
        <f>试算平衡表!L85/10000</f>
        <v>0</v>
      </c>
      <c r="M85" s="440">
        <f>试算平衡表!M85/10000</f>
        <v>0</v>
      </c>
      <c r="N85" s="440">
        <f>试算平衡表!N85/10000</f>
        <v>0</v>
      </c>
    </row>
    <row r="86" spans="1:14">
      <c r="A86" s="47">
        <v>86</v>
      </c>
      <c r="B86" s="3" t="s">
        <v>306</v>
      </c>
      <c r="D86" s="530" t="s">
        <v>601</v>
      </c>
      <c r="E86" s="440">
        <f>试算平衡表!E86/10000</f>
        <v>0</v>
      </c>
      <c r="F86" s="440">
        <f>试算平衡表!F86/10000</f>
        <v>0</v>
      </c>
      <c r="G86" s="440">
        <f>试算平衡表!G86/10000</f>
        <v>0</v>
      </c>
      <c r="H86" s="440">
        <f>试算平衡表!H86/10000</f>
        <v>0</v>
      </c>
      <c r="I86" s="440">
        <f>试算平衡表!I86/10000</f>
        <v>0</v>
      </c>
      <c r="J86" s="440">
        <f>试算平衡表!J86/10000</f>
        <v>0</v>
      </c>
      <c r="K86" s="440">
        <f>试算平衡表!K86/10000</f>
        <v>0</v>
      </c>
      <c r="L86" s="440">
        <f>试算平衡表!L86/10000</f>
        <v>0</v>
      </c>
      <c r="M86" s="440">
        <f>试算平衡表!M86/10000</f>
        <v>0</v>
      </c>
      <c r="N86" s="440">
        <f>试算平衡表!N86/10000</f>
        <v>0</v>
      </c>
    </row>
    <row r="87" spans="1:14">
      <c r="A87" s="47">
        <v>87</v>
      </c>
      <c r="B87" s="3" t="s">
        <v>306</v>
      </c>
      <c r="D87" s="530" t="s">
        <v>602</v>
      </c>
      <c r="E87" s="440">
        <f>试算平衡表!E87/10000</f>
        <v>0</v>
      </c>
      <c r="F87" s="440">
        <f>试算平衡表!F87/10000</f>
        <v>0</v>
      </c>
      <c r="G87" s="440">
        <f>试算平衡表!G87/10000</f>
        <v>0</v>
      </c>
      <c r="H87" s="440">
        <f>试算平衡表!H87/10000</f>
        <v>0</v>
      </c>
      <c r="I87" s="440">
        <f>试算平衡表!I87/10000</f>
        <v>0</v>
      </c>
      <c r="J87" s="440">
        <f>试算平衡表!J87/10000</f>
        <v>0</v>
      </c>
      <c r="K87" s="440">
        <f>试算平衡表!K87/10000</f>
        <v>0</v>
      </c>
      <c r="L87" s="440">
        <f>试算平衡表!L87/10000</f>
        <v>0</v>
      </c>
      <c r="M87" s="440">
        <f>试算平衡表!M87/10000</f>
        <v>0</v>
      </c>
      <c r="N87" s="440">
        <f>试算平衡表!N87/10000</f>
        <v>0</v>
      </c>
    </row>
    <row r="88" spans="1:14">
      <c r="A88" s="47">
        <v>88</v>
      </c>
      <c r="B88" s="3" t="s">
        <v>306</v>
      </c>
      <c r="D88" s="524" t="s">
        <v>603</v>
      </c>
      <c r="E88" s="440">
        <f>试算平衡表!E88/10000</f>
        <v>1.3935409999999999</v>
      </c>
      <c r="F88" s="440">
        <f>试算平衡表!F88/10000</f>
        <v>0</v>
      </c>
      <c r="G88" s="440">
        <f>试算平衡表!G88/10000</f>
        <v>51.047259999999994</v>
      </c>
      <c r="H88" s="440">
        <f>试算平衡表!H88/10000</f>
        <v>51.047260000000001</v>
      </c>
      <c r="I88" s="440">
        <f>试算平衡表!I88/10000</f>
        <v>52.440801</v>
      </c>
      <c r="J88" s="440">
        <f>试算平衡表!J88/10000</f>
        <v>102.36375699999999</v>
      </c>
      <c r="K88" s="440">
        <f>试算平衡表!K88/10000</f>
        <v>0</v>
      </c>
      <c r="L88" s="440">
        <f>试算平衡表!L88/10000</f>
        <v>8.6363630000000011</v>
      </c>
      <c r="M88" s="440">
        <f>试算平衡表!M88/10000</f>
        <v>8.6363630000000011</v>
      </c>
      <c r="N88" s="440">
        <f>试算平衡表!N88/10000</f>
        <v>111.00012</v>
      </c>
    </row>
    <row r="89" spans="1:14">
      <c r="A89" s="47">
        <v>89</v>
      </c>
      <c r="B89" s="3" t="s">
        <v>289</v>
      </c>
      <c r="D89" s="529" t="s">
        <v>1778</v>
      </c>
      <c r="E89" s="434"/>
      <c r="F89" s="434"/>
      <c r="G89" s="434"/>
      <c r="H89" s="403"/>
      <c r="I89" s="434"/>
      <c r="J89" s="434"/>
      <c r="K89" s="434"/>
      <c r="L89" s="434"/>
      <c r="M89" s="403"/>
      <c r="N89" s="434"/>
    </row>
    <row r="90" spans="1:14">
      <c r="A90" s="47">
        <v>90</v>
      </c>
      <c r="B90" s="3" t="s">
        <v>289</v>
      </c>
      <c r="D90" s="535" t="s">
        <v>605</v>
      </c>
      <c r="E90" s="440">
        <f>试算平衡表!E90/10000</f>
        <v>0</v>
      </c>
      <c r="F90" s="440">
        <f>试算平衡表!F90/10000</f>
        <v>0</v>
      </c>
      <c r="G90" s="440">
        <f>试算平衡表!G90/10000</f>
        <v>0</v>
      </c>
      <c r="H90" s="440">
        <f>试算平衡表!H90/10000</f>
        <v>0</v>
      </c>
      <c r="I90" s="440">
        <f>试算平衡表!I90/10000</f>
        <v>0</v>
      </c>
      <c r="J90" s="440">
        <f>试算平衡表!J90/10000</f>
        <v>0</v>
      </c>
      <c r="K90" s="440">
        <f>试算平衡表!K90/10000</f>
        <v>0</v>
      </c>
      <c r="L90" s="440">
        <f>试算平衡表!L90/10000</f>
        <v>0</v>
      </c>
      <c r="M90" s="440">
        <f>试算平衡表!M90/10000</f>
        <v>0</v>
      </c>
      <c r="N90" s="440">
        <f>试算平衡表!N90/10000</f>
        <v>0</v>
      </c>
    </row>
    <row r="91" spans="1:14">
      <c r="A91" s="47">
        <v>91</v>
      </c>
      <c r="B91" s="3" t="s">
        <v>289</v>
      </c>
      <c r="D91" s="535" t="s">
        <v>1779</v>
      </c>
      <c r="E91" s="440">
        <f>试算平衡表!E91/10000</f>
        <v>0</v>
      </c>
      <c r="F91" s="440">
        <f>试算平衡表!F91/10000</f>
        <v>0</v>
      </c>
      <c r="G91" s="440">
        <f>试算平衡表!G91/10000</f>
        <v>0</v>
      </c>
      <c r="H91" s="440">
        <f>试算平衡表!H91/10000</f>
        <v>0</v>
      </c>
      <c r="I91" s="440">
        <f>试算平衡表!I91/10000</f>
        <v>0</v>
      </c>
      <c r="J91" s="440">
        <f>试算平衡表!J91/10000</f>
        <v>0</v>
      </c>
      <c r="K91" s="440">
        <f>试算平衡表!K91/10000</f>
        <v>0</v>
      </c>
      <c r="L91" s="440">
        <f>试算平衡表!L91/10000</f>
        <v>0</v>
      </c>
      <c r="M91" s="440">
        <f>试算平衡表!M91/10000</f>
        <v>0</v>
      </c>
      <c r="N91" s="440">
        <f>试算平衡表!N91/10000</f>
        <v>0</v>
      </c>
    </row>
    <row r="92" spans="1:14">
      <c r="A92" s="47">
        <v>92</v>
      </c>
      <c r="B92" s="3" t="s">
        <v>289</v>
      </c>
      <c r="D92" s="535" t="s">
        <v>607</v>
      </c>
      <c r="E92" s="440">
        <f>试算平衡表!E92/10000</f>
        <v>0</v>
      </c>
      <c r="F92" s="440">
        <f>试算平衡表!F92/10000</f>
        <v>0</v>
      </c>
      <c r="G92" s="440">
        <f>试算平衡表!G92/10000</f>
        <v>0</v>
      </c>
      <c r="H92" s="440">
        <f>试算平衡表!H92/10000</f>
        <v>0</v>
      </c>
      <c r="I92" s="440">
        <f>试算平衡表!I92/10000</f>
        <v>0</v>
      </c>
      <c r="J92" s="440">
        <f>试算平衡表!J92/10000</f>
        <v>0</v>
      </c>
      <c r="K92" s="440">
        <f>试算平衡表!K92/10000</f>
        <v>0</v>
      </c>
      <c r="L92" s="440">
        <f>试算平衡表!L92/10000</f>
        <v>0</v>
      </c>
      <c r="M92" s="440">
        <f>试算平衡表!M92/10000</f>
        <v>0</v>
      </c>
      <c r="N92" s="440">
        <f>试算平衡表!N92/10000</f>
        <v>0</v>
      </c>
    </row>
    <row r="93" spans="1:14">
      <c r="A93" s="47">
        <v>93</v>
      </c>
      <c r="B93" s="3" t="s">
        <v>289</v>
      </c>
      <c r="D93" s="535" t="s">
        <v>1780</v>
      </c>
      <c r="E93" s="440">
        <f>试算平衡表!E93/10000</f>
        <v>0</v>
      </c>
      <c r="F93" s="440">
        <f>试算平衡表!F93/10000</f>
        <v>0</v>
      </c>
      <c r="G93" s="440">
        <f>试算平衡表!G93/10000</f>
        <v>0</v>
      </c>
      <c r="H93" s="440">
        <f>试算平衡表!H93/10000</f>
        <v>0</v>
      </c>
      <c r="I93" s="440">
        <f>试算平衡表!I93/10000</f>
        <v>0</v>
      </c>
      <c r="J93" s="440">
        <f>试算平衡表!J93/10000</f>
        <v>0</v>
      </c>
      <c r="K93" s="440">
        <f>试算平衡表!K93/10000</f>
        <v>0</v>
      </c>
      <c r="L93" s="440">
        <f>试算平衡表!L93/10000</f>
        <v>0</v>
      </c>
      <c r="M93" s="440">
        <f>试算平衡表!M93/10000</f>
        <v>0</v>
      </c>
      <c r="N93" s="440">
        <f>试算平衡表!N93/10000</f>
        <v>0</v>
      </c>
    </row>
    <row r="94" spans="1:14">
      <c r="A94" s="47">
        <v>94</v>
      </c>
      <c r="B94" s="3" t="s">
        <v>289</v>
      </c>
      <c r="D94" s="535" t="s">
        <v>608</v>
      </c>
      <c r="E94" s="440">
        <f>试算平衡表!E94/10000</f>
        <v>0</v>
      </c>
      <c r="F94" s="440">
        <f>试算平衡表!F94/10000</f>
        <v>0</v>
      </c>
      <c r="G94" s="440">
        <f>试算平衡表!G94/10000</f>
        <v>0</v>
      </c>
      <c r="H94" s="440">
        <f>试算平衡表!H94/10000</f>
        <v>0</v>
      </c>
      <c r="I94" s="440">
        <f>试算平衡表!I94/10000</f>
        <v>0</v>
      </c>
      <c r="J94" s="440">
        <f>试算平衡表!J94/10000</f>
        <v>0</v>
      </c>
      <c r="K94" s="440">
        <f>试算平衡表!K94/10000</f>
        <v>0</v>
      </c>
      <c r="L94" s="440">
        <f>试算平衡表!L94/10000</f>
        <v>0</v>
      </c>
      <c r="M94" s="440">
        <f>试算平衡表!M94/10000</f>
        <v>0</v>
      </c>
      <c r="N94" s="440">
        <f>试算平衡表!N94/10000</f>
        <v>0</v>
      </c>
    </row>
    <row r="95" spans="1:14">
      <c r="A95" s="47">
        <v>95</v>
      </c>
      <c r="B95" s="3" t="s">
        <v>289</v>
      </c>
      <c r="D95" s="535" t="s">
        <v>609</v>
      </c>
      <c r="E95" s="440">
        <f>试算平衡表!E95/10000</f>
        <v>0</v>
      </c>
      <c r="F95" s="440">
        <f>试算平衡表!F95/10000</f>
        <v>0</v>
      </c>
      <c r="G95" s="440">
        <f>试算平衡表!G95/10000</f>
        <v>0</v>
      </c>
      <c r="H95" s="440">
        <f>试算平衡表!H95/10000</f>
        <v>0</v>
      </c>
      <c r="I95" s="440">
        <f>试算平衡表!I95/10000</f>
        <v>0</v>
      </c>
      <c r="J95" s="440">
        <f>试算平衡表!J95/10000</f>
        <v>0</v>
      </c>
      <c r="K95" s="440">
        <f>试算平衡表!K95/10000</f>
        <v>0</v>
      </c>
      <c r="L95" s="440">
        <f>试算平衡表!L95/10000</f>
        <v>0</v>
      </c>
      <c r="M95" s="440">
        <f>试算平衡表!M95/10000</f>
        <v>0</v>
      </c>
      <c r="N95" s="440">
        <f>试算平衡表!N95/10000</f>
        <v>0</v>
      </c>
    </row>
    <row r="96" spans="1:14">
      <c r="A96" s="47">
        <v>96</v>
      </c>
      <c r="B96" s="3" t="s">
        <v>289</v>
      </c>
      <c r="D96" s="535" t="s">
        <v>1781</v>
      </c>
      <c r="E96" s="440">
        <f>试算平衡表!E96/10000</f>
        <v>0</v>
      </c>
      <c r="F96" s="440">
        <f>试算平衡表!F96/10000</f>
        <v>0</v>
      </c>
      <c r="G96" s="440">
        <f>试算平衡表!G96/10000</f>
        <v>0</v>
      </c>
      <c r="H96" s="440">
        <f>试算平衡表!H96/10000</f>
        <v>0</v>
      </c>
      <c r="I96" s="440">
        <f>试算平衡表!I96/10000</f>
        <v>0</v>
      </c>
      <c r="J96" s="440">
        <f>试算平衡表!J96/10000</f>
        <v>0</v>
      </c>
      <c r="K96" s="440">
        <f>试算平衡表!K96/10000</f>
        <v>0</v>
      </c>
      <c r="L96" s="440">
        <f>试算平衡表!L96/10000</f>
        <v>0</v>
      </c>
      <c r="M96" s="440">
        <f>试算平衡表!M96/10000</f>
        <v>0</v>
      </c>
      <c r="N96" s="440">
        <f>试算平衡表!N96/10000</f>
        <v>0</v>
      </c>
    </row>
    <row r="97" spans="1:14">
      <c r="A97" s="47">
        <v>97</v>
      </c>
      <c r="B97" s="3" t="s">
        <v>289</v>
      </c>
      <c r="D97" s="535" t="s">
        <v>610</v>
      </c>
      <c r="E97" s="440">
        <f>试算平衡表!E97/10000</f>
        <v>0</v>
      </c>
      <c r="F97" s="440">
        <f>试算平衡表!F97/10000</f>
        <v>0</v>
      </c>
      <c r="G97" s="440">
        <f>试算平衡表!G97/10000</f>
        <v>0</v>
      </c>
      <c r="H97" s="440">
        <f>试算平衡表!H97/10000</f>
        <v>0</v>
      </c>
      <c r="I97" s="440">
        <f>试算平衡表!I97/10000</f>
        <v>0</v>
      </c>
      <c r="J97" s="440">
        <f>试算平衡表!J97/10000</f>
        <v>0</v>
      </c>
      <c r="K97" s="440">
        <f>试算平衡表!K97/10000</f>
        <v>0</v>
      </c>
      <c r="L97" s="440">
        <f>试算平衡表!L97/10000</f>
        <v>0</v>
      </c>
      <c r="M97" s="440">
        <f>试算平衡表!M97/10000</f>
        <v>0</v>
      </c>
      <c r="N97" s="440">
        <f>试算平衡表!N97/10000</f>
        <v>0</v>
      </c>
    </row>
    <row r="98" spans="1:14">
      <c r="A98" s="47">
        <v>98</v>
      </c>
      <c r="B98" s="3" t="s">
        <v>289</v>
      </c>
      <c r="D98" s="535" t="s">
        <v>611</v>
      </c>
      <c r="E98" s="440">
        <f>试算平衡表!E98/10000</f>
        <v>0</v>
      </c>
      <c r="F98" s="440">
        <f>试算平衡表!F98/10000</f>
        <v>0</v>
      </c>
      <c r="G98" s="440">
        <f>试算平衡表!G98/10000</f>
        <v>0</v>
      </c>
      <c r="H98" s="440">
        <f>试算平衡表!H98/10000</f>
        <v>0</v>
      </c>
      <c r="I98" s="440">
        <f>试算平衡表!I98/10000</f>
        <v>0</v>
      </c>
      <c r="J98" s="440">
        <f>试算平衡表!J98/10000</f>
        <v>0</v>
      </c>
      <c r="K98" s="440">
        <f>试算平衡表!K98/10000</f>
        <v>0</v>
      </c>
      <c r="L98" s="440">
        <f>试算平衡表!L98/10000</f>
        <v>0</v>
      </c>
      <c r="M98" s="440">
        <f>试算平衡表!M98/10000</f>
        <v>0</v>
      </c>
      <c r="N98" s="440">
        <f>试算平衡表!N98/10000</f>
        <v>0</v>
      </c>
    </row>
    <row r="99" spans="1:14">
      <c r="A99" s="47">
        <v>99</v>
      </c>
      <c r="B99" s="3" t="s">
        <v>289</v>
      </c>
      <c r="D99" s="452" t="s">
        <v>612</v>
      </c>
      <c r="E99" s="440">
        <f>试算平衡表!E99/10000</f>
        <v>0</v>
      </c>
      <c r="F99" s="440">
        <f>试算平衡表!F99/10000</f>
        <v>0</v>
      </c>
      <c r="G99" s="440">
        <f>试算平衡表!G99/10000</f>
        <v>0</v>
      </c>
      <c r="H99" s="440">
        <f>试算平衡表!H99/10000</f>
        <v>0</v>
      </c>
      <c r="I99" s="440">
        <f>试算平衡表!I99/10000</f>
        <v>0</v>
      </c>
      <c r="J99" s="440">
        <f>试算平衡表!J99/10000</f>
        <v>0</v>
      </c>
      <c r="K99" s="440">
        <f>试算平衡表!K99/10000</f>
        <v>0</v>
      </c>
      <c r="L99" s="440">
        <f>试算平衡表!L99/10000</f>
        <v>0</v>
      </c>
      <c r="M99" s="440">
        <f>试算平衡表!M99/10000</f>
        <v>0</v>
      </c>
      <c r="N99" s="440">
        <f>试算平衡表!N99/10000</f>
        <v>0</v>
      </c>
    </row>
    <row r="100" spans="1:14">
      <c r="A100" s="47">
        <v>100</v>
      </c>
      <c r="B100" s="3" t="s">
        <v>289</v>
      </c>
      <c r="D100" s="524" t="s">
        <v>613</v>
      </c>
      <c r="E100" s="440">
        <f>试算平衡表!E100/10000</f>
        <v>0</v>
      </c>
      <c r="F100" s="440">
        <f>试算平衡表!F100/10000</f>
        <v>0</v>
      </c>
      <c r="G100" s="440">
        <f>试算平衡表!G100/10000</f>
        <v>0</v>
      </c>
      <c r="H100" s="440">
        <f>试算平衡表!H100/10000</f>
        <v>0</v>
      </c>
      <c r="I100" s="440">
        <f>试算平衡表!I100/10000</f>
        <v>0</v>
      </c>
      <c r="J100" s="440">
        <f>试算平衡表!J100/10000</f>
        <v>0</v>
      </c>
      <c r="K100" s="440">
        <f>试算平衡表!K100/10000</f>
        <v>0</v>
      </c>
      <c r="L100" s="440">
        <f>试算平衡表!L100/10000</f>
        <v>0</v>
      </c>
      <c r="M100" s="440">
        <f>试算平衡表!M100/10000</f>
        <v>0</v>
      </c>
      <c r="N100" s="440">
        <f>试算平衡表!N100/10000</f>
        <v>0</v>
      </c>
    </row>
    <row r="101" spans="1:14">
      <c r="A101" s="47">
        <v>101</v>
      </c>
      <c r="B101" s="3" t="s">
        <v>310</v>
      </c>
      <c r="D101" s="524" t="s">
        <v>614</v>
      </c>
      <c r="E101" s="440">
        <f>试算平衡表!E101/10000</f>
        <v>1.3935409999999999</v>
      </c>
      <c r="F101" s="440">
        <f>试算平衡表!F101/10000</f>
        <v>0</v>
      </c>
      <c r="G101" s="440">
        <f>试算平衡表!G101/10000</f>
        <v>51.047259999999994</v>
      </c>
      <c r="H101" s="440">
        <f>试算平衡表!H101/10000</f>
        <v>51.047260000000001</v>
      </c>
      <c r="I101" s="440">
        <f>试算平衡表!I101/10000</f>
        <v>52.440801</v>
      </c>
      <c r="J101" s="440">
        <f>试算平衡表!J101/10000</f>
        <v>102.36375699999999</v>
      </c>
      <c r="K101" s="440">
        <f>试算平衡表!K101/10000</f>
        <v>0</v>
      </c>
      <c r="L101" s="440">
        <f>试算平衡表!L101/10000</f>
        <v>8.6363630000000011</v>
      </c>
      <c r="M101" s="440">
        <f>试算平衡表!M101/10000</f>
        <v>8.6363630000000011</v>
      </c>
      <c r="N101" s="440">
        <f>试算平衡表!N101/10000</f>
        <v>111.00012</v>
      </c>
    </row>
    <row r="102" spans="1:14">
      <c r="A102" s="47">
        <v>102</v>
      </c>
      <c r="B102" s="3" t="s">
        <v>290</v>
      </c>
      <c r="D102" s="541" t="s">
        <v>615</v>
      </c>
      <c r="E102" s="434"/>
      <c r="F102" s="434"/>
      <c r="G102" s="434"/>
      <c r="H102" s="403"/>
      <c r="I102" s="434"/>
      <c r="J102" s="434"/>
      <c r="K102" s="434"/>
      <c r="L102" s="434"/>
      <c r="M102" s="403"/>
      <c r="N102" s="434"/>
    </row>
    <row r="103" spans="1:14">
      <c r="A103" s="47">
        <v>103</v>
      </c>
      <c r="B103" s="3" t="s">
        <v>290</v>
      </c>
      <c r="D103" s="452" t="s">
        <v>1782</v>
      </c>
      <c r="E103" s="440">
        <f>试算平衡表!E103/10000</f>
        <v>1</v>
      </c>
      <c r="F103" s="440">
        <f>试算平衡表!F103/10000</f>
        <v>0</v>
      </c>
      <c r="G103" s="440">
        <f>试算平衡表!G103/10000</f>
        <v>0</v>
      </c>
      <c r="H103" s="440">
        <f>试算平衡表!H103/10000</f>
        <v>0</v>
      </c>
      <c r="I103" s="440">
        <f>试算平衡表!I103/10000</f>
        <v>1</v>
      </c>
      <c r="J103" s="440">
        <f>试算平衡表!J103/10000</f>
        <v>1</v>
      </c>
      <c r="K103" s="440">
        <f>试算平衡表!K103/10000</f>
        <v>0</v>
      </c>
      <c r="L103" s="440">
        <f>试算平衡表!L103/10000</f>
        <v>0</v>
      </c>
      <c r="M103" s="440">
        <f>试算平衡表!M103/10000</f>
        <v>0</v>
      </c>
      <c r="N103" s="440">
        <f>试算平衡表!N103/10000</f>
        <v>1</v>
      </c>
    </row>
    <row r="104" spans="1:14">
      <c r="A104" s="47">
        <v>104</v>
      </c>
      <c r="B104" s="3" t="s">
        <v>290</v>
      </c>
      <c r="D104" s="452" t="s">
        <v>1783</v>
      </c>
      <c r="E104" s="440">
        <f>试算平衡表!E104/10000</f>
        <v>0</v>
      </c>
      <c r="F104" s="440">
        <f>试算平衡表!F104/10000</f>
        <v>0</v>
      </c>
      <c r="G104" s="440">
        <f>试算平衡表!G104/10000</f>
        <v>0</v>
      </c>
      <c r="H104" s="440">
        <f>试算平衡表!H104/10000</f>
        <v>0</v>
      </c>
      <c r="I104" s="440">
        <f>试算平衡表!I104/10000</f>
        <v>0</v>
      </c>
      <c r="J104" s="440">
        <f>试算平衡表!J104/10000</f>
        <v>0</v>
      </c>
      <c r="K104" s="440">
        <f>试算平衡表!K104/10000</f>
        <v>0</v>
      </c>
      <c r="L104" s="440">
        <f>试算平衡表!L104/10000</f>
        <v>0</v>
      </c>
      <c r="M104" s="440">
        <f>试算平衡表!M104/10000</f>
        <v>0</v>
      </c>
      <c r="N104" s="440">
        <f>试算平衡表!N104/10000</f>
        <v>0</v>
      </c>
    </row>
    <row r="105" spans="1:14">
      <c r="A105" s="47">
        <v>105</v>
      </c>
      <c r="B105" s="3" t="s">
        <v>290</v>
      </c>
      <c r="D105" s="452" t="s">
        <v>1784</v>
      </c>
      <c r="E105" s="440">
        <f>试算平衡表!E105/10000</f>
        <v>0</v>
      </c>
      <c r="F105" s="440">
        <f>试算平衡表!F105/10000</f>
        <v>0</v>
      </c>
      <c r="G105" s="440">
        <f>试算平衡表!G105/10000</f>
        <v>0</v>
      </c>
      <c r="H105" s="440">
        <f>试算平衡表!H105/10000</f>
        <v>0</v>
      </c>
      <c r="I105" s="440">
        <f>试算平衡表!I105/10000</f>
        <v>0</v>
      </c>
      <c r="J105" s="440">
        <f>试算平衡表!J105/10000</f>
        <v>0</v>
      </c>
      <c r="K105" s="440">
        <f>试算平衡表!K105/10000</f>
        <v>0</v>
      </c>
      <c r="L105" s="440">
        <f>试算平衡表!L105/10000</f>
        <v>0</v>
      </c>
      <c r="M105" s="440">
        <f>试算平衡表!M105/10000</f>
        <v>0</v>
      </c>
      <c r="N105" s="440">
        <f>试算平衡表!N105/10000</f>
        <v>0</v>
      </c>
    </row>
    <row r="106" spans="1:14">
      <c r="A106" s="47">
        <v>106</v>
      </c>
      <c r="B106" s="3" t="s">
        <v>290</v>
      </c>
      <c r="D106" s="452" t="s">
        <v>619</v>
      </c>
      <c r="E106" s="440">
        <f>试算平衡表!E106/10000</f>
        <v>0</v>
      </c>
      <c r="F106" s="440">
        <f>试算平衡表!F106/10000</f>
        <v>0</v>
      </c>
      <c r="G106" s="440">
        <f>试算平衡表!G106/10000</f>
        <v>0</v>
      </c>
      <c r="H106" s="440">
        <f>试算平衡表!H106/10000</f>
        <v>0</v>
      </c>
      <c r="I106" s="440">
        <f>试算平衡表!I106/10000</f>
        <v>0</v>
      </c>
      <c r="J106" s="440">
        <f>试算平衡表!J106/10000</f>
        <v>0</v>
      </c>
      <c r="K106" s="440">
        <f>试算平衡表!K106/10000</f>
        <v>0</v>
      </c>
      <c r="L106" s="440">
        <f>试算平衡表!L106/10000</f>
        <v>0</v>
      </c>
      <c r="M106" s="440">
        <f>试算平衡表!M106/10000</f>
        <v>0</v>
      </c>
      <c r="N106" s="440">
        <f>试算平衡表!N106/10000</f>
        <v>0</v>
      </c>
    </row>
    <row r="107" spans="1:14">
      <c r="A107" s="47">
        <v>107</v>
      </c>
      <c r="B107" s="3" t="s">
        <v>290</v>
      </c>
      <c r="D107" s="452" t="s">
        <v>620</v>
      </c>
      <c r="E107" s="440">
        <f>试算平衡表!E107/10000</f>
        <v>1</v>
      </c>
      <c r="F107" s="440">
        <f>试算平衡表!F107/10000</f>
        <v>0</v>
      </c>
      <c r="G107" s="440">
        <f>试算平衡表!G107/10000</f>
        <v>0</v>
      </c>
      <c r="H107" s="440">
        <f>试算平衡表!H107/10000</f>
        <v>0</v>
      </c>
      <c r="I107" s="440">
        <f>试算平衡表!I107/10000</f>
        <v>1</v>
      </c>
      <c r="J107" s="440">
        <f>试算平衡表!J107/10000</f>
        <v>1</v>
      </c>
      <c r="K107" s="440">
        <f>试算平衡表!K107/10000</f>
        <v>0</v>
      </c>
      <c r="L107" s="440">
        <f>试算平衡表!L107/10000</f>
        <v>0</v>
      </c>
      <c r="M107" s="440">
        <f>试算平衡表!M107/10000</f>
        <v>0</v>
      </c>
      <c r="N107" s="440">
        <f>试算平衡表!N107/10000</f>
        <v>1</v>
      </c>
    </row>
    <row r="108" spans="1:14">
      <c r="A108" s="47">
        <v>108</v>
      </c>
      <c r="B108" s="3" t="s">
        <v>290</v>
      </c>
      <c r="D108" s="452" t="s">
        <v>621</v>
      </c>
      <c r="E108" s="440">
        <f>试算平衡表!E108/10000</f>
        <v>0</v>
      </c>
      <c r="F108" s="440">
        <f>试算平衡表!F108/10000</f>
        <v>0</v>
      </c>
      <c r="G108" s="440">
        <f>试算平衡表!G108/10000</f>
        <v>0</v>
      </c>
      <c r="H108" s="440">
        <f>试算平衡表!H108/10000</f>
        <v>0</v>
      </c>
      <c r="I108" s="440">
        <f>试算平衡表!I108/10000</f>
        <v>0</v>
      </c>
      <c r="J108" s="440">
        <f>试算平衡表!J108/10000</f>
        <v>0</v>
      </c>
      <c r="K108" s="440">
        <f>试算平衡表!K108/10000</f>
        <v>0</v>
      </c>
      <c r="L108" s="440">
        <f>试算平衡表!L108/10000</f>
        <v>0</v>
      </c>
      <c r="M108" s="440">
        <f>试算平衡表!M108/10000</f>
        <v>0</v>
      </c>
      <c r="N108" s="440">
        <f>试算平衡表!N108/10000</f>
        <v>0</v>
      </c>
    </row>
    <row r="109" spans="1:14">
      <c r="A109" s="47">
        <v>109</v>
      </c>
      <c r="B109" s="3" t="s">
        <v>290</v>
      </c>
      <c r="D109" s="452" t="s">
        <v>622</v>
      </c>
      <c r="E109" s="440">
        <f>试算平衡表!E109/10000</f>
        <v>0</v>
      </c>
      <c r="F109" s="440">
        <f>试算平衡表!F109/10000</f>
        <v>0</v>
      </c>
      <c r="G109" s="440">
        <f>试算平衡表!G109/10000</f>
        <v>0</v>
      </c>
      <c r="H109" s="440">
        <f>试算平衡表!H109/10000</f>
        <v>0</v>
      </c>
      <c r="I109" s="440">
        <f>试算平衡表!I109/10000</f>
        <v>0</v>
      </c>
      <c r="J109" s="440">
        <f>试算平衡表!J109/10000</f>
        <v>0</v>
      </c>
      <c r="K109" s="440">
        <f>试算平衡表!K109/10000</f>
        <v>0</v>
      </c>
      <c r="L109" s="440">
        <f>试算平衡表!L109/10000</f>
        <v>0</v>
      </c>
      <c r="M109" s="440">
        <f>试算平衡表!M109/10000</f>
        <v>0</v>
      </c>
      <c r="N109" s="440">
        <f>试算平衡表!N109/10000</f>
        <v>0</v>
      </c>
    </row>
    <row r="110" spans="1:14">
      <c r="A110" s="47">
        <v>110</v>
      </c>
      <c r="B110" s="3" t="s">
        <v>290</v>
      </c>
      <c r="D110" s="535" t="s">
        <v>623</v>
      </c>
      <c r="E110" s="440">
        <f>试算平衡表!E110/10000</f>
        <v>0</v>
      </c>
      <c r="F110" s="440">
        <f>试算平衡表!F110/10000</f>
        <v>0</v>
      </c>
      <c r="G110" s="440">
        <f>试算平衡表!G110/10000</f>
        <v>0</v>
      </c>
      <c r="H110" s="440">
        <f>试算平衡表!H110/10000</f>
        <v>0</v>
      </c>
      <c r="I110" s="440">
        <f>试算平衡表!I110/10000</f>
        <v>0</v>
      </c>
      <c r="J110" s="440">
        <f>试算平衡表!J110/10000</f>
        <v>0</v>
      </c>
      <c r="K110" s="440">
        <f>试算平衡表!K110/10000</f>
        <v>0</v>
      </c>
      <c r="L110" s="440">
        <f>试算平衡表!L110/10000</f>
        <v>0</v>
      </c>
      <c r="M110" s="440">
        <f>试算平衡表!M110/10000</f>
        <v>0</v>
      </c>
      <c r="N110" s="440">
        <f>试算平衡表!N110/10000</f>
        <v>0</v>
      </c>
    </row>
    <row r="111" spans="1:14">
      <c r="A111" s="47">
        <v>111</v>
      </c>
      <c r="B111" s="3" t="s">
        <v>290</v>
      </c>
      <c r="D111" s="535" t="s">
        <v>1785</v>
      </c>
      <c r="E111" s="440">
        <f>试算平衡表!E111/10000</f>
        <v>1</v>
      </c>
      <c r="F111" s="440">
        <f>试算平衡表!F111/10000</f>
        <v>0</v>
      </c>
      <c r="G111" s="440">
        <f>试算平衡表!G111/10000</f>
        <v>0</v>
      </c>
      <c r="H111" s="440">
        <f>试算平衡表!H111/10000</f>
        <v>0</v>
      </c>
      <c r="I111" s="440">
        <f>试算平衡表!I111/10000</f>
        <v>1</v>
      </c>
      <c r="J111" s="440">
        <f>试算平衡表!J111/10000</f>
        <v>1</v>
      </c>
      <c r="K111" s="440">
        <f>试算平衡表!K111/10000</f>
        <v>0</v>
      </c>
      <c r="L111" s="440">
        <f>试算平衡表!L111/10000</f>
        <v>0</v>
      </c>
      <c r="M111" s="440">
        <f>试算平衡表!M111/10000</f>
        <v>0</v>
      </c>
      <c r="N111" s="440">
        <f>试算平衡表!N111/10000</f>
        <v>1</v>
      </c>
    </row>
    <row r="112" spans="1:14">
      <c r="A112" s="47">
        <v>112</v>
      </c>
      <c r="B112" s="3" t="s">
        <v>290</v>
      </c>
      <c r="D112" s="535" t="s">
        <v>1786</v>
      </c>
      <c r="E112" s="440">
        <f>试算平衡表!E112/10000</f>
        <v>0</v>
      </c>
      <c r="F112" s="440">
        <f>试算平衡表!F112/10000</f>
        <v>0</v>
      </c>
      <c r="G112" s="440">
        <f>试算平衡表!G112/10000</f>
        <v>0</v>
      </c>
      <c r="H112" s="440">
        <f>试算平衡表!H112/10000</f>
        <v>0</v>
      </c>
      <c r="I112" s="440">
        <f>试算平衡表!I112/10000</f>
        <v>0</v>
      </c>
      <c r="J112" s="440">
        <f>试算平衡表!J112/10000</f>
        <v>0</v>
      </c>
      <c r="K112" s="440">
        <f>试算平衡表!K112/10000</f>
        <v>0</v>
      </c>
      <c r="L112" s="440">
        <f>试算平衡表!L112/10000</f>
        <v>0</v>
      </c>
      <c r="M112" s="440">
        <f>试算平衡表!M112/10000</f>
        <v>0</v>
      </c>
      <c r="N112" s="440">
        <f>试算平衡表!N112/10000</f>
        <v>0</v>
      </c>
    </row>
    <row r="113" spans="1:14">
      <c r="A113" s="47">
        <v>113</v>
      </c>
      <c r="B113" s="3" t="s">
        <v>290</v>
      </c>
      <c r="D113" s="535" t="s">
        <v>1787</v>
      </c>
      <c r="E113" s="440">
        <f>试算平衡表!E113/10000</f>
        <v>0</v>
      </c>
      <c r="F113" s="440">
        <f>试算平衡表!F113/10000</f>
        <v>0</v>
      </c>
      <c r="G113" s="440">
        <f>试算平衡表!G113/10000</f>
        <v>0</v>
      </c>
      <c r="H113" s="440">
        <f>试算平衡表!H113/10000</f>
        <v>0</v>
      </c>
      <c r="I113" s="440">
        <f>试算平衡表!I113/10000</f>
        <v>0</v>
      </c>
      <c r="J113" s="440">
        <f>试算平衡表!J113/10000</f>
        <v>0</v>
      </c>
      <c r="K113" s="440">
        <f>试算平衡表!K113/10000</f>
        <v>0</v>
      </c>
      <c r="L113" s="440">
        <f>试算平衡表!L113/10000</f>
        <v>0</v>
      </c>
      <c r="M113" s="440">
        <f>试算平衡表!M113/10000</f>
        <v>0</v>
      </c>
      <c r="N113" s="440">
        <f>试算平衡表!N113/10000</f>
        <v>0</v>
      </c>
    </row>
    <row r="114" spans="1:14">
      <c r="A114" s="47">
        <v>114</v>
      </c>
      <c r="B114" s="3" t="s">
        <v>290</v>
      </c>
      <c r="D114" s="535" t="s">
        <v>1788</v>
      </c>
      <c r="E114" s="440">
        <f>试算平衡表!E114/10000</f>
        <v>0</v>
      </c>
      <c r="F114" s="440">
        <f>试算平衡表!F114/10000</f>
        <v>0</v>
      </c>
      <c r="G114" s="440">
        <f>试算平衡表!G114/10000</f>
        <v>0</v>
      </c>
      <c r="H114" s="440">
        <f>试算平衡表!H114/10000</f>
        <v>0</v>
      </c>
      <c r="I114" s="440">
        <f>试算平衡表!I114/10000</f>
        <v>0</v>
      </c>
      <c r="J114" s="440">
        <f>试算平衡表!J114/10000</f>
        <v>0</v>
      </c>
      <c r="K114" s="440">
        <f>试算平衡表!K114/10000</f>
        <v>0</v>
      </c>
      <c r="L114" s="440">
        <f>试算平衡表!L114/10000</f>
        <v>0</v>
      </c>
      <c r="M114" s="440">
        <f>试算平衡表!M114/10000</f>
        <v>0</v>
      </c>
      <c r="N114" s="440">
        <f>试算平衡表!N114/10000</f>
        <v>0</v>
      </c>
    </row>
    <row r="115" spans="1:14">
      <c r="A115" s="47">
        <v>115</v>
      </c>
      <c r="B115" s="3" t="s">
        <v>290</v>
      </c>
      <c r="D115" s="535" t="s">
        <v>625</v>
      </c>
      <c r="E115" s="440">
        <f>试算平衡表!E115/10000</f>
        <v>0</v>
      </c>
      <c r="F115" s="440">
        <f>试算平衡表!F115/10000</f>
        <v>0</v>
      </c>
      <c r="G115" s="440">
        <f>试算平衡表!G115/10000</f>
        <v>0</v>
      </c>
      <c r="H115" s="440">
        <f>试算平衡表!H115/10000</f>
        <v>0</v>
      </c>
      <c r="I115" s="440">
        <f>试算平衡表!I115/10000</f>
        <v>0</v>
      </c>
      <c r="J115" s="440">
        <f>试算平衡表!J115/10000</f>
        <v>0</v>
      </c>
      <c r="K115" s="440">
        <f>试算平衡表!K115/10000</f>
        <v>0</v>
      </c>
      <c r="L115" s="440">
        <f>试算平衡表!L115/10000</f>
        <v>0</v>
      </c>
      <c r="M115" s="440">
        <f>试算平衡表!M115/10000</f>
        <v>0</v>
      </c>
      <c r="N115" s="440">
        <f>试算平衡表!N115/10000</f>
        <v>0</v>
      </c>
    </row>
    <row r="116" spans="1:14">
      <c r="A116" s="47">
        <v>116</v>
      </c>
      <c r="B116" s="3" t="s">
        <v>290</v>
      </c>
      <c r="D116" s="535" t="s">
        <v>626</v>
      </c>
      <c r="E116" s="440">
        <f>试算平衡表!E116/10000</f>
        <v>0</v>
      </c>
      <c r="F116" s="440">
        <f>试算平衡表!F116/10000</f>
        <v>0</v>
      </c>
      <c r="G116" s="440">
        <f>试算平衡表!G116/10000</f>
        <v>0</v>
      </c>
      <c r="H116" s="440">
        <f>试算平衡表!H116/10000</f>
        <v>0</v>
      </c>
      <c r="I116" s="440">
        <f>试算平衡表!I116/10000</f>
        <v>0</v>
      </c>
      <c r="J116" s="440">
        <f>试算平衡表!J116/10000</f>
        <v>0</v>
      </c>
      <c r="K116" s="440">
        <f>试算平衡表!K116/10000</f>
        <v>0</v>
      </c>
      <c r="L116" s="440">
        <f>试算平衡表!L116/10000</f>
        <v>0</v>
      </c>
      <c r="M116" s="440">
        <f>试算平衡表!M116/10000</f>
        <v>0</v>
      </c>
      <c r="N116" s="440">
        <f>试算平衡表!N116/10000</f>
        <v>0</v>
      </c>
    </row>
    <row r="117" spans="1:14">
      <c r="A117" s="47">
        <v>117</v>
      </c>
      <c r="B117" s="3" t="s">
        <v>290</v>
      </c>
      <c r="D117" s="535" t="s">
        <v>1789</v>
      </c>
      <c r="E117" s="440">
        <f>试算平衡表!E117/10000</f>
        <v>0</v>
      </c>
      <c r="F117" s="440">
        <f>试算平衡表!F117/10000</f>
        <v>0</v>
      </c>
      <c r="G117" s="440">
        <f>试算平衡表!G117/10000</f>
        <v>0</v>
      </c>
      <c r="H117" s="440">
        <f>试算平衡表!H117/10000</f>
        <v>0</v>
      </c>
      <c r="I117" s="440">
        <f>试算平衡表!I117/10000</f>
        <v>0</v>
      </c>
      <c r="J117" s="440">
        <f>试算平衡表!J117/10000</f>
        <v>0</v>
      </c>
      <c r="K117" s="440">
        <f>试算平衡表!K117/10000</f>
        <v>0</v>
      </c>
      <c r="L117" s="440">
        <f>试算平衡表!L117/10000</f>
        <v>0</v>
      </c>
      <c r="M117" s="440">
        <f>试算平衡表!M117/10000</f>
        <v>0</v>
      </c>
      <c r="N117" s="440">
        <f>试算平衡表!N117/10000</f>
        <v>0</v>
      </c>
    </row>
    <row r="118" spans="1:14">
      <c r="A118" s="47">
        <v>118</v>
      </c>
      <c r="B118" s="3" t="s">
        <v>290</v>
      </c>
      <c r="D118" s="535" t="s">
        <v>1790</v>
      </c>
      <c r="E118" s="440">
        <f>试算平衡表!E118/10000</f>
        <v>0</v>
      </c>
      <c r="F118" s="440">
        <f>试算平衡表!F118/10000</f>
        <v>0</v>
      </c>
      <c r="G118" s="440">
        <f>试算平衡表!G118/10000</f>
        <v>0</v>
      </c>
      <c r="H118" s="440">
        <f>试算平衡表!H118/10000</f>
        <v>0</v>
      </c>
      <c r="I118" s="440">
        <f>试算平衡表!I118/10000</f>
        <v>0</v>
      </c>
      <c r="J118" s="440">
        <f>试算平衡表!J118/10000</f>
        <v>0</v>
      </c>
      <c r="K118" s="440">
        <f>试算平衡表!K118/10000</f>
        <v>0</v>
      </c>
      <c r="L118" s="440">
        <f>试算平衡表!L118/10000</f>
        <v>0</v>
      </c>
      <c r="M118" s="440">
        <f>试算平衡表!M118/10000</f>
        <v>0</v>
      </c>
      <c r="N118" s="440">
        <f>试算平衡表!N118/10000</f>
        <v>0</v>
      </c>
    </row>
    <row r="119" spans="1:14">
      <c r="A119" s="47">
        <v>119</v>
      </c>
      <c r="B119" s="3" t="s">
        <v>290</v>
      </c>
      <c r="D119" s="535" t="s">
        <v>627</v>
      </c>
      <c r="E119" s="440">
        <f>试算平衡表!E119/10000</f>
        <v>0</v>
      </c>
      <c r="F119" s="440">
        <f>试算平衡表!F119/10000</f>
        <v>0</v>
      </c>
      <c r="G119" s="440">
        <f>试算平衡表!G119/10000</f>
        <v>0</v>
      </c>
      <c r="H119" s="440">
        <f>试算平衡表!H119/10000</f>
        <v>0</v>
      </c>
      <c r="I119" s="440">
        <f>试算平衡表!I119/10000</f>
        <v>0</v>
      </c>
      <c r="J119" s="440">
        <f>试算平衡表!J119/10000</f>
        <v>0</v>
      </c>
      <c r="K119" s="440">
        <f>试算平衡表!K119/10000</f>
        <v>0</v>
      </c>
      <c r="L119" s="440">
        <f>试算平衡表!L119/10000</f>
        <v>0</v>
      </c>
      <c r="M119" s="440">
        <f>试算平衡表!M119/10000</f>
        <v>0</v>
      </c>
      <c r="N119" s="440">
        <f>试算平衡表!N119/10000</f>
        <v>0</v>
      </c>
    </row>
    <row r="120" spans="1:14">
      <c r="A120" s="47">
        <v>120</v>
      </c>
      <c r="B120" s="3" t="s">
        <v>290</v>
      </c>
      <c r="D120" s="535" t="s">
        <v>628</v>
      </c>
      <c r="E120" s="440">
        <f>试算平衡表!E120/10000</f>
        <v>351.31834900000001</v>
      </c>
      <c r="F120" s="440">
        <f>试算平衡表!F120/10000</f>
        <v>0</v>
      </c>
      <c r="G120" s="440">
        <f>试算平衡表!G120/10000</f>
        <v>0</v>
      </c>
      <c r="H120" s="440">
        <f>试算平衡表!H120/10000</f>
        <v>0</v>
      </c>
      <c r="I120" s="440">
        <f>试算平衡表!I120/10000</f>
        <v>351.31834900000001</v>
      </c>
      <c r="J120" s="440">
        <f>试算平衡表!J120/10000</f>
        <v>351.31834900000001</v>
      </c>
      <c r="K120" s="440">
        <f>试算平衡表!K120/10000</f>
        <v>0</v>
      </c>
      <c r="L120" s="440">
        <f>试算平衡表!L120/10000</f>
        <v>0</v>
      </c>
      <c r="M120" s="440">
        <f>试算平衡表!M120/10000</f>
        <v>0</v>
      </c>
      <c r="N120" s="440">
        <f>试算平衡表!N120/10000</f>
        <v>351.31834900000001</v>
      </c>
    </row>
    <row r="121" spans="1:14">
      <c r="A121" s="47">
        <v>121</v>
      </c>
      <c r="B121" s="3" t="s">
        <v>290</v>
      </c>
      <c r="D121" s="535" t="s">
        <v>629</v>
      </c>
      <c r="E121" s="440">
        <f>试算平衡表!E121/10000</f>
        <v>351.31834900000001</v>
      </c>
      <c r="F121" s="440">
        <f>试算平衡表!F121/10000</f>
        <v>0</v>
      </c>
      <c r="G121" s="440">
        <f>试算平衡表!G121/10000</f>
        <v>0</v>
      </c>
      <c r="H121" s="440">
        <f>试算平衡表!H121/10000</f>
        <v>0</v>
      </c>
      <c r="I121" s="440">
        <f>试算平衡表!I121/10000</f>
        <v>351.31834900000001</v>
      </c>
      <c r="J121" s="440">
        <f>试算平衡表!J121/10000</f>
        <v>351.31834900000001</v>
      </c>
      <c r="K121" s="440">
        <f>试算平衡表!K121/10000</f>
        <v>0</v>
      </c>
      <c r="L121" s="440">
        <f>试算平衡表!L121/10000</f>
        <v>0</v>
      </c>
      <c r="M121" s="440">
        <f>试算平衡表!M121/10000</f>
        <v>0</v>
      </c>
      <c r="N121" s="440">
        <f>试算平衡表!N121/10000</f>
        <v>351.31834900000001</v>
      </c>
    </row>
    <row r="122" spans="1:14">
      <c r="A122" s="47">
        <v>122</v>
      </c>
      <c r="B122" s="3" t="s">
        <v>290</v>
      </c>
      <c r="D122" s="535" t="s">
        <v>630</v>
      </c>
      <c r="E122" s="440">
        <f>试算平衡表!E122/10000</f>
        <v>0</v>
      </c>
      <c r="F122" s="440">
        <f>试算平衡表!F122/10000</f>
        <v>0</v>
      </c>
      <c r="G122" s="440">
        <f>试算平衡表!G122/10000</f>
        <v>0</v>
      </c>
      <c r="H122" s="440">
        <f>试算平衡表!H122/10000</f>
        <v>0</v>
      </c>
      <c r="I122" s="440">
        <f>试算平衡表!I122/10000</f>
        <v>0</v>
      </c>
      <c r="J122" s="440">
        <f>试算平衡表!J122/10000</f>
        <v>0</v>
      </c>
      <c r="K122" s="440">
        <f>试算平衡表!K122/10000</f>
        <v>0</v>
      </c>
      <c r="L122" s="440">
        <f>试算平衡表!L122/10000</f>
        <v>0</v>
      </c>
      <c r="M122" s="440">
        <f>试算平衡表!M122/10000</f>
        <v>0</v>
      </c>
      <c r="N122" s="440">
        <f>试算平衡表!N122/10000</f>
        <v>0</v>
      </c>
    </row>
    <row r="123" spans="1:14">
      <c r="A123" s="47">
        <v>123</v>
      </c>
      <c r="B123" s="3" t="s">
        <v>290</v>
      </c>
      <c r="D123" s="535" t="s">
        <v>631</v>
      </c>
      <c r="E123" s="440">
        <f>试算平衡表!E123/10000</f>
        <v>0</v>
      </c>
      <c r="F123" s="440">
        <f>试算平衡表!F123/10000</f>
        <v>0</v>
      </c>
      <c r="G123" s="440">
        <f>试算平衡表!G123/10000</f>
        <v>0</v>
      </c>
      <c r="H123" s="440">
        <f>试算平衡表!H123/10000</f>
        <v>0</v>
      </c>
      <c r="I123" s="440">
        <f>试算平衡表!I123/10000</f>
        <v>0</v>
      </c>
      <c r="J123" s="440">
        <f>试算平衡表!J123/10000</f>
        <v>0</v>
      </c>
      <c r="K123" s="440">
        <f>试算平衡表!K123/10000</f>
        <v>0</v>
      </c>
      <c r="L123" s="440">
        <f>试算平衡表!L123/10000</f>
        <v>0</v>
      </c>
      <c r="M123" s="440">
        <f>试算平衡表!M123/10000</f>
        <v>0</v>
      </c>
      <c r="N123" s="440">
        <f>试算平衡表!N123/10000</f>
        <v>0</v>
      </c>
    </row>
    <row r="124" spans="1:14">
      <c r="A124" s="47">
        <v>124</v>
      </c>
      <c r="B124" s="3" t="s">
        <v>290</v>
      </c>
      <c r="D124" s="535" t="s">
        <v>1791</v>
      </c>
      <c r="E124" s="440">
        <f>试算平衡表!E124/10000</f>
        <v>0</v>
      </c>
      <c r="F124" s="440">
        <f>试算平衡表!F124/10000</f>
        <v>0</v>
      </c>
      <c r="G124" s="440">
        <f>试算平衡表!G124/10000</f>
        <v>0</v>
      </c>
      <c r="H124" s="440">
        <f>试算平衡表!H124/10000</f>
        <v>0</v>
      </c>
      <c r="I124" s="440">
        <f>试算平衡表!I124/10000</f>
        <v>0</v>
      </c>
      <c r="J124" s="440">
        <f>试算平衡表!J124/10000</f>
        <v>0</v>
      </c>
      <c r="K124" s="440">
        <f>试算平衡表!K124/10000</f>
        <v>0</v>
      </c>
      <c r="L124" s="440">
        <f>试算平衡表!L124/10000</f>
        <v>0</v>
      </c>
      <c r="M124" s="440">
        <f>试算平衡表!M124/10000</f>
        <v>0</v>
      </c>
      <c r="N124" s="440">
        <f>试算平衡表!N124/10000</f>
        <v>0</v>
      </c>
    </row>
    <row r="125" spans="1:14">
      <c r="A125" s="47">
        <v>125</v>
      </c>
      <c r="B125" s="3" t="s">
        <v>290</v>
      </c>
      <c r="D125" s="535" t="s">
        <v>1792</v>
      </c>
      <c r="E125" s="440">
        <f>试算平衡表!E125/10000</f>
        <v>0</v>
      </c>
      <c r="F125" s="440">
        <f>试算平衡表!F125/10000</f>
        <v>0</v>
      </c>
      <c r="G125" s="440">
        <f>试算平衡表!G125/10000</f>
        <v>0</v>
      </c>
      <c r="H125" s="440">
        <f>试算平衡表!H125/10000</f>
        <v>0</v>
      </c>
      <c r="I125" s="440">
        <f>试算平衡表!I125/10000</f>
        <v>0</v>
      </c>
      <c r="J125" s="440">
        <f>试算平衡表!J125/10000</f>
        <v>0</v>
      </c>
      <c r="K125" s="440">
        <f>试算平衡表!K125/10000</f>
        <v>0</v>
      </c>
      <c r="L125" s="440">
        <f>试算平衡表!L125/10000</f>
        <v>0</v>
      </c>
      <c r="M125" s="440">
        <f>试算平衡表!M125/10000</f>
        <v>0</v>
      </c>
      <c r="N125" s="440">
        <f>试算平衡表!N125/10000</f>
        <v>0</v>
      </c>
    </row>
    <row r="126" spans="1:14">
      <c r="A126" s="47">
        <v>126</v>
      </c>
      <c r="B126" s="3" t="s">
        <v>290</v>
      </c>
      <c r="D126" s="535" t="s">
        <v>634</v>
      </c>
      <c r="E126" s="440">
        <f>试算平衡表!E126/10000</f>
        <v>0</v>
      </c>
      <c r="F126" s="440">
        <f>试算平衡表!F126/10000</f>
        <v>0</v>
      </c>
      <c r="G126" s="440">
        <f>试算平衡表!G126/10000</f>
        <v>0</v>
      </c>
      <c r="H126" s="440">
        <f>试算平衡表!H126/10000</f>
        <v>0</v>
      </c>
      <c r="I126" s="440">
        <f>试算平衡表!I126/10000</f>
        <v>0</v>
      </c>
      <c r="J126" s="440">
        <f>试算平衡表!J126/10000</f>
        <v>0</v>
      </c>
      <c r="K126" s="440">
        <f>试算平衡表!K126/10000</f>
        <v>0</v>
      </c>
      <c r="L126" s="440">
        <f>试算平衡表!L126/10000</f>
        <v>0</v>
      </c>
      <c r="M126" s="440">
        <f>试算平衡表!M126/10000</f>
        <v>0</v>
      </c>
      <c r="N126" s="440">
        <f>试算平衡表!N126/10000</f>
        <v>0</v>
      </c>
    </row>
    <row r="127" spans="1:14">
      <c r="A127" s="47">
        <v>127</v>
      </c>
      <c r="B127" s="3" t="s">
        <v>290</v>
      </c>
      <c r="D127" s="535" t="s">
        <v>635</v>
      </c>
      <c r="E127" s="440">
        <f>试算平衡表!E127/10000</f>
        <v>-60.186808999999997</v>
      </c>
      <c r="F127" s="440">
        <f>试算平衡表!F127/10000</f>
        <v>35.143485999999996</v>
      </c>
      <c r="G127" s="440">
        <f>试算平衡表!G127/10000</f>
        <v>442.71044800000004</v>
      </c>
      <c r="H127" s="440">
        <f>试算平衡表!H127/10000</f>
        <v>407.56696200000005</v>
      </c>
      <c r="I127" s="440">
        <f>试算平衡表!I127/10000</f>
        <v>347.38015300000006</v>
      </c>
      <c r="J127" s="440">
        <f>试算平衡表!J127/10000</f>
        <v>339.86513100000002</v>
      </c>
      <c r="K127" s="440">
        <f>试算平衡表!K127/10000</f>
        <v>4.349342</v>
      </c>
      <c r="L127" s="440">
        <f>试算平衡表!L127/10000</f>
        <v>4.349342</v>
      </c>
      <c r="M127" s="440">
        <f>试算平衡表!M127/10000</f>
        <v>0</v>
      </c>
      <c r="N127" s="440">
        <f>试算平衡表!N127/10000</f>
        <v>339.86513100000002</v>
      </c>
    </row>
    <row r="128" spans="1:14">
      <c r="A128" s="47">
        <v>128</v>
      </c>
      <c r="B128" s="3" t="s">
        <v>290</v>
      </c>
      <c r="D128" s="524" t="s">
        <v>1793</v>
      </c>
      <c r="E128" s="440">
        <f>试算平衡表!E128/10000</f>
        <v>292.13153999999997</v>
      </c>
      <c r="F128" s="440">
        <f>试算平衡表!F128/10000</f>
        <v>35.143485999999996</v>
      </c>
      <c r="G128" s="440">
        <f>试算平衡表!G128/10000</f>
        <v>442.71044800000004</v>
      </c>
      <c r="H128" s="440">
        <f>试算平衡表!H128/10000</f>
        <v>407.56696200000005</v>
      </c>
      <c r="I128" s="440">
        <f>试算平衡表!I128/10000</f>
        <v>699.69850200000008</v>
      </c>
      <c r="J128" s="440">
        <f>试算平衡表!J128/10000</f>
        <v>692.18348000000003</v>
      </c>
      <c r="K128" s="440">
        <f>试算平衡表!K128/10000</f>
        <v>4.349342</v>
      </c>
      <c r="L128" s="440">
        <f>试算平衡表!L128/10000</f>
        <v>4.349342</v>
      </c>
      <c r="M128" s="440">
        <f>试算平衡表!M128/10000</f>
        <v>0</v>
      </c>
      <c r="N128" s="440">
        <f>试算平衡表!N128/10000</f>
        <v>692.18348000000003</v>
      </c>
    </row>
    <row r="129" spans="1:14">
      <c r="A129" s="47">
        <v>129</v>
      </c>
      <c r="B129" s="3" t="s">
        <v>290</v>
      </c>
      <c r="D129" s="535" t="s">
        <v>638</v>
      </c>
      <c r="E129" s="440">
        <f>试算平衡表!E129/10000</f>
        <v>0</v>
      </c>
      <c r="F129" s="440">
        <f>试算平衡表!F129/10000</f>
        <v>0</v>
      </c>
      <c r="G129" s="440">
        <f>试算平衡表!G129/10000</f>
        <v>0</v>
      </c>
      <c r="H129" s="440">
        <f>试算平衡表!H129/10000</f>
        <v>0</v>
      </c>
      <c r="I129" s="440">
        <f>试算平衡表!I129/10000</f>
        <v>0</v>
      </c>
      <c r="J129" s="440">
        <f>试算平衡表!J129/10000</f>
        <v>0</v>
      </c>
      <c r="K129" s="440">
        <f>试算平衡表!K129/10000</f>
        <v>0</v>
      </c>
      <c r="L129" s="440">
        <f>试算平衡表!L129/10000</f>
        <v>0</v>
      </c>
      <c r="M129" s="440">
        <f>试算平衡表!M129/10000</f>
        <v>0</v>
      </c>
      <c r="N129" s="440">
        <f>试算平衡表!N129/10000</f>
        <v>0</v>
      </c>
    </row>
    <row r="130" spans="1:14">
      <c r="A130" s="47">
        <v>130</v>
      </c>
      <c r="B130" s="3" t="s">
        <v>290</v>
      </c>
      <c r="D130" s="524" t="s">
        <v>639</v>
      </c>
      <c r="E130" s="440">
        <f>试算平衡表!E130/10000</f>
        <v>292.13153999999997</v>
      </c>
      <c r="F130" s="440">
        <f>试算平衡表!F130/10000</f>
        <v>35.143485999999996</v>
      </c>
      <c r="G130" s="440">
        <f>试算平衡表!G130/10000</f>
        <v>442.71044800000004</v>
      </c>
      <c r="H130" s="440">
        <f>试算平衡表!H130/10000</f>
        <v>407.56696200000005</v>
      </c>
      <c r="I130" s="440">
        <f>试算平衡表!I130/10000</f>
        <v>699.69850200000008</v>
      </c>
      <c r="J130" s="440">
        <f>试算平衡表!J130/10000</f>
        <v>692.18348000000003</v>
      </c>
      <c r="K130" s="440">
        <f>试算平衡表!K130/10000</f>
        <v>4.349342</v>
      </c>
      <c r="L130" s="440">
        <f>试算平衡表!L130/10000</f>
        <v>4.349342</v>
      </c>
      <c r="M130" s="440">
        <f>试算平衡表!M130/10000</f>
        <v>0</v>
      </c>
      <c r="N130" s="440">
        <f>试算平衡表!N130/10000</f>
        <v>692.18348000000003</v>
      </c>
    </row>
    <row r="131" spans="1:14" s="57" customFormat="1">
      <c r="A131" s="47">
        <v>131</v>
      </c>
      <c r="B131" s="3" t="s">
        <v>290</v>
      </c>
      <c r="C131" s="3"/>
      <c r="D131" s="524" t="s">
        <v>640</v>
      </c>
      <c r="E131" s="440">
        <f>试算平衡表!E131/10000</f>
        <v>293.525081</v>
      </c>
      <c r="F131" s="440">
        <f>试算平衡表!F131/10000</f>
        <v>35.143485999999996</v>
      </c>
      <c r="G131" s="440">
        <f>试算平衡表!G131/10000</f>
        <v>493.75770799999998</v>
      </c>
      <c r="H131" s="440">
        <f>试算平衡表!H131/10000</f>
        <v>458.61422200000004</v>
      </c>
      <c r="I131" s="440">
        <f>试算平衡表!I131/10000</f>
        <v>752.13930300000004</v>
      </c>
      <c r="J131" s="440">
        <f>试算平衡表!J131/10000</f>
        <v>794.547237</v>
      </c>
      <c r="K131" s="440">
        <f>试算平衡表!K131/10000</f>
        <v>4.349342</v>
      </c>
      <c r="L131" s="440">
        <f>试算平衡表!L131/10000</f>
        <v>12.985705000000001</v>
      </c>
      <c r="M131" s="440">
        <f>试算平衡表!M131/10000</f>
        <v>8.6363629999999887</v>
      </c>
      <c r="N131" s="440">
        <f>试算平衡表!N131/10000</f>
        <v>803.18359999999996</v>
      </c>
    </row>
    <row r="132" spans="1:14">
      <c r="A132" s="47">
        <v>132</v>
      </c>
      <c r="D132" s="524"/>
      <c r="E132" s="429"/>
      <c r="F132" s="537"/>
      <c r="G132" s="537"/>
      <c r="H132" s="405">
        <f>I132-E132</f>
        <v>0</v>
      </c>
      <c r="I132" s="537"/>
      <c r="J132" s="429"/>
      <c r="K132" s="537"/>
      <c r="L132" s="537"/>
      <c r="M132" s="405">
        <f>N132-J132</f>
        <v>0</v>
      </c>
      <c r="N132" s="537"/>
    </row>
    <row r="133" spans="1:14">
      <c r="A133" s="47">
        <v>133</v>
      </c>
      <c r="D133" s="524"/>
      <c r="E133" s="429"/>
      <c r="F133" s="537"/>
      <c r="G133" s="537"/>
      <c r="H133" s="405">
        <f>I133-E133</f>
        <v>0</v>
      </c>
      <c r="I133" s="537"/>
      <c r="J133" s="429"/>
      <c r="K133" s="537"/>
      <c r="L133" s="537"/>
      <c r="M133" s="405">
        <f>N133-J133</f>
        <v>0</v>
      </c>
      <c r="N133" s="537"/>
    </row>
    <row r="134" spans="1:14">
      <c r="A134" s="47">
        <v>134</v>
      </c>
      <c r="D134" s="524"/>
      <c r="E134" s="429"/>
      <c r="F134" s="537"/>
      <c r="G134" s="537"/>
      <c r="H134" s="405">
        <f>I134-E134</f>
        <v>0</v>
      </c>
      <c r="I134" s="537"/>
      <c r="J134" s="429"/>
      <c r="K134" s="537"/>
      <c r="L134" s="537"/>
      <c r="M134" s="405">
        <f>N134-J134</f>
        <v>0</v>
      </c>
      <c r="N134" s="537"/>
    </row>
    <row r="135" spans="1:14">
      <c r="A135" s="47">
        <v>135</v>
      </c>
      <c r="D135" s="529"/>
      <c r="E135" s="535"/>
      <c r="F135" s="537"/>
      <c r="G135" s="537"/>
      <c r="H135" s="405">
        <f>I135-E135</f>
        <v>0</v>
      </c>
      <c r="I135" s="537"/>
      <c r="J135" s="535"/>
      <c r="K135" s="537"/>
      <c r="L135" s="537"/>
      <c r="M135" s="405">
        <f>N135-J135</f>
        <v>0</v>
      </c>
      <c r="N135" s="537"/>
    </row>
    <row r="136" spans="1:14" s="58" customFormat="1">
      <c r="A136" s="47">
        <v>136</v>
      </c>
      <c r="D136" s="524" t="s">
        <v>529</v>
      </c>
      <c r="E136" s="528" t="str">
        <f>"未审"&amp;未审利润表!C4</f>
        <v>未审本期金额</v>
      </c>
      <c r="F136" s="542" t="s">
        <v>1749</v>
      </c>
      <c r="G136" s="542" t="s">
        <v>1750</v>
      </c>
      <c r="H136" s="405" t="e">
        <f>I136-E136</f>
        <v>#VALUE!</v>
      </c>
      <c r="I136" s="528" t="str">
        <f>"审定"&amp;未审利润表!C4</f>
        <v>审定本期金额</v>
      </c>
      <c r="J136" s="528" t="str">
        <f>"未审"&amp;未审利润表!D4</f>
        <v>未审上期金额</v>
      </c>
      <c r="K136" s="542" t="s">
        <v>1749</v>
      </c>
      <c r="L136" s="542" t="s">
        <v>1750</v>
      </c>
      <c r="M136" s="405" t="e">
        <f>N136-J136</f>
        <v>#VALUE!</v>
      </c>
      <c r="N136" s="528" t="str">
        <f>"审定"&amp;未审利润表!D4</f>
        <v>审定上期金额</v>
      </c>
    </row>
    <row r="137" spans="1:14">
      <c r="A137" s="47">
        <v>137</v>
      </c>
      <c r="B137" s="3" t="s">
        <v>313</v>
      </c>
      <c r="D137" s="543" t="s">
        <v>1794</v>
      </c>
      <c r="E137" s="440">
        <f>试算平衡表!E137/10000</f>
        <v>0</v>
      </c>
      <c r="F137" s="440">
        <f>试算平衡表!F137/10000</f>
        <v>0</v>
      </c>
      <c r="G137" s="440">
        <f>试算平衡表!G137/10000</f>
        <v>433.96226500000006</v>
      </c>
      <c r="H137" s="440">
        <f>试算平衡表!H137/10000</f>
        <v>433.96226500000006</v>
      </c>
      <c r="I137" s="440">
        <f>试算平衡表!I137/10000</f>
        <v>433.96226500000006</v>
      </c>
      <c r="J137" s="440">
        <f>试算平衡表!J137/10000</f>
        <v>1603.7735910000001</v>
      </c>
      <c r="K137" s="440">
        <f>试算平衡表!K137/10000</f>
        <v>0</v>
      </c>
      <c r="L137" s="440">
        <f>试算平衡表!L137/10000</f>
        <v>0</v>
      </c>
      <c r="M137" s="440">
        <f>试算平衡表!M137/10000</f>
        <v>0</v>
      </c>
      <c r="N137" s="440">
        <f>试算平衡表!N137/10000</f>
        <v>1603.7735910000001</v>
      </c>
    </row>
    <row r="138" spans="1:14">
      <c r="A138" s="47">
        <v>138</v>
      </c>
      <c r="B138" s="3" t="s">
        <v>313</v>
      </c>
      <c r="D138" s="530" t="s">
        <v>645</v>
      </c>
      <c r="E138" s="440">
        <f>试算平衡表!E138/10000</f>
        <v>0</v>
      </c>
      <c r="F138" s="440">
        <f>试算平衡表!F138/10000</f>
        <v>0</v>
      </c>
      <c r="G138" s="440">
        <f>试算平衡表!G138/10000</f>
        <v>433.96226500000006</v>
      </c>
      <c r="H138" s="440">
        <f>试算平衡表!H138/10000</f>
        <v>433.96226500000006</v>
      </c>
      <c r="I138" s="440">
        <f>试算平衡表!I138/10000</f>
        <v>433.96226500000006</v>
      </c>
      <c r="J138" s="440">
        <f>试算平衡表!J138/10000</f>
        <v>1603.7735910000001</v>
      </c>
      <c r="K138" s="440">
        <f>试算平衡表!K138/10000</f>
        <v>0</v>
      </c>
      <c r="L138" s="440">
        <f>试算平衡表!L138/10000</f>
        <v>0</v>
      </c>
      <c r="M138" s="440">
        <f>试算平衡表!M138/10000</f>
        <v>0</v>
      </c>
      <c r="N138" s="440">
        <f>试算平衡表!N138/10000</f>
        <v>1603.7735910000001</v>
      </c>
    </row>
    <row r="139" spans="1:14">
      <c r="A139" s="47">
        <v>139</v>
      </c>
      <c r="B139" s="3" t="s">
        <v>313</v>
      </c>
      <c r="D139" s="544" t="s">
        <v>1795</v>
      </c>
      <c r="E139" s="440">
        <f>试算平衡表!E139/10000</f>
        <v>0</v>
      </c>
      <c r="F139" s="440">
        <f>试算平衡表!F139/10000</f>
        <v>0</v>
      </c>
      <c r="G139" s="440">
        <f>试算平衡表!G139/10000</f>
        <v>433.96226500000006</v>
      </c>
      <c r="H139" s="440">
        <f>试算平衡表!H139/10000</f>
        <v>433.96226500000006</v>
      </c>
      <c r="I139" s="440">
        <f>试算平衡表!I139/10000</f>
        <v>433.96226500000006</v>
      </c>
      <c r="J139" s="440">
        <f>试算平衡表!J139/10000</f>
        <v>1603.7735910000001</v>
      </c>
      <c r="K139" s="440">
        <f>试算平衡表!K139/10000</f>
        <v>0</v>
      </c>
      <c r="L139" s="440">
        <f>试算平衡表!L139/10000</f>
        <v>0</v>
      </c>
      <c r="M139" s="440">
        <f>试算平衡表!M139/10000</f>
        <v>0</v>
      </c>
      <c r="N139" s="440">
        <f>试算平衡表!N139/10000</f>
        <v>1603.7735910000001</v>
      </c>
    </row>
    <row r="140" spans="1:14">
      <c r="A140" s="47">
        <v>140</v>
      </c>
      <c r="B140" s="3" t="s">
        <v>313</v>
      </c>
      <c r="D140" s="544" t="s">
        <v>647</v>
      </c>
      <c r="E140" s="440">
        <f>试算平衡表!E140/10000</f>
        <v>0</v>
      </c>
      <c r="F140" s="440">
        <f>试算平衡表!F140/10000</f>
        <v>0</v>
      </c>
      <c r="G140" s="440">
        <f>试算平衡表!G140/10000</f>
        <v>0</v>
      </c>
      <c r="H140" s="440">
        <f>试算平衡表!H140/10000</f>
        <v>0</v>
      </c>
      <c r="I140" s="440">
        <f>试算平衡表!I140/10000</f>
        <v>0</v>
      </c>
      <c r="J140" s="440">
        <f>试算平衡表!J140/10000</f>
        <v>0</v>
      </c>
      <c r="K140" s="440">
        <f>试算平衡表!K140/10000</f>
        <v>0</v>
      </c>
      <c r="L140" s="440">
        <f>试算平衡表!L140/10000</f>
        <v>0</v>
      </c>
      <c r="M140" s="440">
        <f>试算平衡表!M140/10000</f>
        <v>0</v>
      </c>
      <c r="N140" s="440">
        <f>试算平衡表!N140/10000</f>
        <v>0</v>
      </c>
    </row>
    <row r="141" spans="1:14">
      <c r="A141" s="47">
        <v>141</v>
      </c>
      <c r="B141" s="3" t="s">
        <v>313</v>
      </c>
      <c r="D141" s="545" t="s">
        <v>648</v>
      </c>
      <c r="E141" s="440">
        <f>试算平衡表!E141/10000</f>
        <v>0</v>
      </c>
      <c r="F141" s="440">
        <f>试算平衡表!F141/10000</f>
        <v>0</v>
      </c>
      <c r="G141" s="440">
        <f>试算平衡表!G141/10000</f>
        <v>0</v>
      </c>
      <c r="H141" s="440">
        <f>试算平衡表!H141/10000</f>
        <v>0</v>
      </c>
      <c r="I141" s="440">
        <f>试算平衡表!I141/10000</f>
        <v>0</v>
      </c>
      <c r="J141" s="440">
        <f>试算平衡表!J141/10000</f>
        <v>0</v>
      </c>
      <c r="K141" s="440">
        <f>试算平衡表!K141/10000</f>
        <v>0</v>
      </c>
      <c r="L141" s="440">
        <f>试算平衡表!L141/10000</f>
        <v>0</v>
      </c>
      <c r="M141" s="440">
        <f>试算平衡表!M141/10000</f>
        <v>0</v>
      </c>
      <c r="N141" s="440">
        <f>试算平衡表!N141/10000</f>
        <v>0</v>
      </c>
    </row>
    <row r="142" spans="1:14">
      <c r="A142" s="47">
        <v>142</v>
      </c>
      <c r="B142" s="3" t="s">
        <v>313</v>
      </c>
      <c r="D142" s="545" t="s">
        <v>1796</v>
      </c>
      <c r="E142" s="440">
        <f>试算平衡表!E142/10000</f>
        <v>0</v>
      </c>
      <c r="F142" s="440">
        <f>试算平衡表!F142/10000</f>
        <v>0</v>
      </c>
      <c r="G142" s="440">
        <f>试算平衡表!G142/10000</f>
        <v>0</v>
      </c>
      <c r="H142" s="440">
        <f>试算平衡表!H142/10000</f>
        <v>0</v>
      </c>
      <c r="I142" s="440">
        <f>试算平衡表!I142/10000</f>
        <v>0</v>
      </c>
      <c r="J142" s="440">
        <f>试算平衡表!J142/10000</f>
        <v>0</v>
      </c>
      <c r="K142" s="440">
        <f>试算平衡表!K142/10000</f>
        <v>0</v>
      </c>
      <c r="L142" s="440">
        <f>试算平衡表!L142/10000</f>
        <v>0</v>
      </c>
      <c r="M142" s="440">
        <f>试算平衡表!M142/10000</f>
        <v>0</v>
      </c>
      <c r="N142" s="440">
        <f>试算平衡表!N142/10000</f>
        <v>0</v>
      </c>
    </row>
    <row r="143" spans="1:14">
      <c r="A143" s="47">
        <v>143</v>
      </c>
      <c r="B143" s="3" t="s">
        <v>313</v>
      </c>
      <c r="D143" s="545" t="s">
        <v>1797</v>
      </c>
      <c r="E143" s="440">
        <f>试算平衡表!E143/10000</f>
        <v>0</v>
      </c>
      <c r="F143" s="440">
        <f>试算平衡表!F143/10000</f>
        <v>0</v>
      </c>
      <c r="G143" s="440">
        <f>试算平衡表!G143/10000</f>
        <v>0</v>
      </c>
      <c r="H143" s="440">
        <f>试算平衡表!H143/10000</f>
        <v>0</v>
      </c>
      <c r="I143" s="440">
        <f>试算平衡表!I143/10000</f>
        <v>0</v>
      </c>
      <c r="J143" s="440">
        <f>试算平衡表!J143/10000</f>
        <v>0</v>
      </c>
      <c r="K143" s="440">
        <f>试算平衡表!K143/10000</f>
        <v>0</v>
      </c>
      <c r="L143" s="440">
        <f>试算平衡表!L143/10000</f>
        <v>0</v>
      </c>
      <c r="M143" s="440">
        <f>试算平衡表!M143/10000</f>
        <v>0</v>
      </c>
      <c r="N143" s="440">
        <f>试算平衡表!N143/10000</f>
        <v>0</v>
      </c>
    </row>
    <row r="144" spans="1:14">
      <c r="A144" s="47">
        <v>144</v>
      </c>
      <c r="B144" s="3" t="s">
        <v>314</v>
      </c>
      <c r="D144" s="546" t="s">
        <v>651</v>
      </c>
      <c r="E144" s="440">
        <f>试算平衡表!E144/10000</f>
        <v>397.41961000000003</v>
      </c>
      <c r="F144" s="440">
        <f>试算平衡表!F144/10000</f>
        <v>25.823546</v>
      </c>
      <c r="G144" s="440">
        <f>试算平衡表!G144/10000</f>
        <v>2.998183</v>
      </c>
      <c r="H144" s="440">
        <f>试算平衡表!H144/10000</f>
        <v>22.825363000000035</v>
      </c>
      <c r="I144" s="440">
        <f>试算平衡表!I144/10000</f>
        <v>420.24497300000007</v>
      </c>
      <c r="J144" s="440">
        <f>试算平衡表!J144/10000</f>
        <v>1149.6308529999999</v>
      </c>
      <c r="K144" s="440">
        <f>试算平衡表!K144/10000</f>
        <v>4.349342</v>
      </c>
      <c r="L144" s="440">
        <f>试算平衡表!L144/10000</f>
        <v>4.349342</v>
      </c>
      <c r="M144" s="440">
        <f>试算平衡表!M144/10000</f>
        <v>0</v>
      </c>
      <c r="N144" s="440">
        <f>试算平衡表!N144/10000</f>
        <v>1149.6308529999999</v>
      </c>
    </row>
    <row r="145" spans="1:14">
      <c r="A145" s="47">
        <v>145</v>
      </c>
      <c r="B145" s="3" t="s">
        <v>314</v>
      </c>
      <c r="D145" s="530" t="s">
        <v>652</v>
      </c>
      <c r="E145" s="440">
        <f>试算平衡表!E145/10000</f>
        <v>0</v>
      </c>
      <c r="F145" s="440">
        <f>试算平衡表!F145/10000</f>
        <v>0</v>
      </c>
      <c r="G145" s="440">
        <f>试算平衡表!G145/10000</f>
        <v>0</v>
      </c>
      <c r="H145" s="440">
        <f>试算平衡表!H145/10000</f>
        <v>0</v>
      </c>
      <c r="I145" s="440">
        <f>试算平衡表!I145/10000</f>
        <v>0</v>
      </c>
      <c r="J145" s="440">
        <f>试算平衡表!J145/10000</f>
        <v>0</v>
      </c>
      <c r="K145" s="440">
        <f>试算平衡表!K145/10000</f>
        <v>0</v>
      </c>
      <c r="L145" s="440">
        <f>试算平衡表!L145/10000</f>
        <v>0</v>
      </c>
      <c r="M145" s="440">
        <f>试算平衡表!M145/10000</f>
        <v>0</v>
      </c>
      <c r="N145" s="440">
        <f>试算平衡表!N145/10000</f>
        <v>0</v>
      </c>
    </row>
    <row r="146" spans="1:14">
      <c r="A146" s="47">
        <v>146</v>
      </c>
      <c r="B146" s="3" t="s">
        <v>314</v>
      </c>
      <c r="D146" s="547" t="s">
        <v>653</v>
      </c>
      <c r="E146" s="440">
        <f>试算平衡表!E146/10000</f>
        <v>0</v>
      </c>
      <c r="F146" s="440">
        <f>试算平衡表!F146/10000</f>
        <v>0</v>
      </c>
      <c r="G146" s="440">
        <f>试算平衡表!G146/10000</f>
        <v>0</v>
      </c>
      <c r="H146" s="440">
        <f>试算平衡表!H146/10000</f>
        <v>0</v>
      </c>
      <c r="I146" s="440">
        <f>试算平衡表!I146/10000</f>
        <v>0</v>
      </c>
      <c r="J146" s="440">
        <f>试算平衡表!J146/10000</f>
        <v>0</v>
      </c>
      <c r="K146" s="440">
        <f>试算平衡表!K146/10000</f>
        <v>0</v>
      </c>
      <c r="L146" s="440">
        <f>试算平衡表!L146/10000</f>
        <v>0</v>
      </c>
      <c r="M146" s="440">
        <f>试算平衡表!M146/10000</f>
        <v>0</v>
      </c>
      <c r="N146" s="440">
        <f>试算平衡表!N146/10000</f>
        <v>0</v>
      </c>
    </row>
    <row r="147" spans="1:14">
      <c r="A147" s="47">
        <v>147</v>
      </c>
      <c r="B147" s="3" t="s">
        <v>314</v>
      </c>
      <c r="D147" s="547" t="s">
        <v>654</v>
      </c>
      <c r="E147" s="440">
        <f>试算平衡表!E147/10000</f>
        <v>0</v>
      </c>
      <c r="F147" s="440">
        <f>试算平衡表!F147/10000</f>
        <v>0</v>
      </c>
      <c r="G147" s="440">
        <f>试算平衡表!G147/10000</f>
        <v>0</v>
      </c>
      <c r="H147" s="440">
        <f>试算平衡表!H147/10000</f>
        <v>0</v>
      </c>
      <c r="I147" s="440">
        <f>试算平衡表!I147/10000</f>
        <v>0</v>
      </c>
      <c r="J147" s="440">
        <f>试算平衡表!J147/10000</f>
        <v>0</v>
      </c>
      <c r="K147" s="440">
        <f>试算平衡表!K147/10000</f>
        <v>0</v>
      </c>
      <c r="L147" s="440">
        <f>试算平衡表!L147/10000</f>
        <v>0</v>
      </c>
      <c r="M147" s="440">
        <f>试算平衡表!M147/10000</f>
        <v>0</v>
      </c>
      <c r="N147" s="440">
        <f>试算平衡表!N147/10000</f>
        <v>0</v>
      </c>
    </row>
    <row r="148" spans="1:14">
      <c r="A148" s="47">
        <v>148</v>
      </c>
      <c r="B148" s="3" t="s">
        <v>314</v>
      </c>
      <c r="D148" s="545" t="s">
        <v>1798</v>
      </c>
      <c r="E148" s="440">
        <f>试算平衡表!E148/10000</f>
        <v>0</v>
      </c>
      <c r="F148" s="440">
        <f>试算平衡表!F148/10000</f>
        <v>0</v>
      </c>
      <c r="G148" s="440">
        <f>试算平衡表!G148/10000</f>
        <v>0</v>
      </c>
      <c r="H148" s="440">
        <f>试算平衡表!H148/10000</f>
        <v>0</v>
      </c>
      <c r="I148" s="440">
        <f>试算平衡表!I148/10000</f>
        <v>0</v>
      </c>
      <c r="J148" s="440">
        <f>试算平衡表!J148/10000</f>
        <v>0</v>
      </c>
      <c r="K148" s="440">
        <f>试算平衡表!K148/10000</f>
        <v>0</v>
      </c>
      <c r="L148" s="440">
        <f>试算平衡表!L148/10000</f>
        <v>0</v>
      </c>
      <c r="M148" s="440">
        <f>试算平衡表!M148/10000</f>
        <v>0</v>
      </c>
      <c r="N148" s="440">
        <f>试算平衡表!N148/10000</f>
        <v>0</v>
      </c>
    </row>
    <row r="149" spans="1:14">
      <c r="A149" s="47">
        <v>149</v>
      </c>
      <c r="B149" s="3" t="s">
        <v>314</v>
      </c>
      <c r="D149" s="545" t="s">
        <v>1799</v>
      </c>
      <c r="E149" s="440">
        <f>试算平衡表!E149/10000</f>
        <v>0</v>
      </c>
      <c r="F149" s="440">
        <f>试算平衡表!F149/10000</f>
        <v>0</v>
      </c>
      <c r="G149" s="440">
        <f>试算平衡表!G149/10000</f>
        <v>0</v>
      </c>
      <c r="H149" s="440">
        <f>试算平衡表!H149/10000</f>
        <v>0</v>
      </c>
      <c r="I149" s="440">
        <f>试算平衡表!I149/10000</f>
        <v>0</v>
      </c>
      <c r="J149" s="440">
        <f>试算平衡表!J149/10000</f>
        <v>0</v>
      </c>
      <c r="K149" s="440">
        <f>试算平衡表!K149/10000</f>
        <v>0</v>
      </c>
      <c r="L149" s="440">
        <f>试算平衡表!L149/10000</f>
        <v>0</v>
      </c>
      <c r="M149" s="440">
        <f>试算平衡表!M149/10000</f>
        <v>0</v>
      </c>
      <c r="N149" s="440">
        <f>试算平衡表!N149/10000</f>
        <v>0</v>
      </c>
    </row>
    <row r="150" spans="1:14">
      <c r="A150" s="47">
        <v>150</v>
      </c>
      <c r="B150" s="3" t="s">
        <v>314</v>
      </c>
      <c r="D150" s="545" t="s">
        <v>657</v>
      </c>
      <c r="E150" s="440">
        <f>试算平衡表!E150/10000</f>
        <v>0</v>
      </c>
      <c r="F150" s="440">
        <f>试算平衡表!F150/10000</f>
        <v>0</v>
      </c>
      <c r="G150" s="440">
        <f>试算平衡表!G150/10000</f>
        <v>0</v>
      </c>
      <c r="H150" s="440">
        <f>试算平衡表!H150/10000</f>
        <v>0</v>
      </c>
      <c r="I150" s="440">
        <f>试算平衡表!I150/10000</f>
        <v>0</v>
      </c>
      <c r="J150" s="440">
        <f>试算平衡表!J150/10000</f>
        <v>0</v>
      </c>
      <c r="K150" s="440">
        <f>试算平衡表!K150/10000</f>
        <v>0</v>
      </c>
      <c r="L150" s="440">
        <f>试算平衡表!L150/10000</f>
        <v>0</v>
      </c>
      <c r="M150" s="440">
        <f>试算平衡表!M150/10000</f>
        <v>0</v>
      </c>
      <c r="N150" s="440">
        <f>试算平衡表!N150/10000</f>
        <v>0</v>
      </c>
    </row>
    <row r="151" spans="1:14">
      <c r="A151" s="47">
        <v>151</v>
      </c>
      <c r="B151" s="3" t="s">
        <v>314</v>
      </c>
      <c r="D151" s="545" t="s">
        <v>1800</v>
      </c>
      <c r="E151" s="440">
        <f>试算平衡表!E151/10000</f>
        <v>0</v>
      </c>
      <c r="F151" s="440">
        <f>试算平衡表!F151/10000</f>
        <v>0</v>
      </c>
      <c r="G151" s="440">
        <f>试算平衡表!G151/10000</f>
        <v>0</v>
      </c>
      <c r="H151" s="440">
        <f>试算平衡表!H151/10000</f>
        <v>0</v>
      </c>
      <c r="I151" s="440">
        <f>试算平衡表!I151/10000</f>
        <v>0</v>
      </c>
      <c r="J151" s="440">
        <f>试算平衡表!J151/10000</f>
        <v>0</v>
      </c>
      <c r="K151" s="440">
        <f>试算平衡表!K151/10000</f>
        <v>0</v>
      </c>
      <c r="L151" s="440">
        <f>试算平衡表!L151/10000</f>
        <v>0</v>
      </c>
      <c r="M151" s="440">
        <f>试算平衡表!M151/10000</f>
        <v>0</v>
      </c>
      <c r="N151" s="440">
        <f>试算平衡表!N151/10000</f>
        <v>0</v>
      </c>
    </row>
    <row r="152" spans="1:14">
      <c r="A152" s="47">
        <v>152</v>
      </c>
      <c r="B152" s="3" t="s">
        <v>314</v>
      </c>
      <c r="D152" s="545" t="s">
        <v>659</v>
      </c>
      <c r="E152" s="440">
        <f>试算平衡表!E152/10000</f>
        <v>0</v>
      </c>
      <c r="F152" s="440">
        <f>试算平衡表!F152/10000</f>
        <v>0</v>
      </c>
      <c r="G152" s="440">
        <f>试算平衡表!G152/10000</f>
        <v>0</v>
      </c>
      <c r="H152" s="440">
        <f>试算平衡表!H152/10000</f>
        <v>0</v>
      </c>
      <c r="I152" s="440">
        <f>试算平衡表!I152/10000</f>
        <v>0</v>
      </c>
      <c r="J152" s="440">
        <f>试算平衡表!J152/10000</f>
        <v>0</v>
      </c>
      <c r="K152" s="440">
        <f>试算平衡表!K152/10000</f>
        <v>0</v>
      </c>
      <c r="L152" s="440">
        <f>试算平衡表!L152/10000</f>
        <v>0</v>
      </c>
      <c r="M152" s="440">
        <f>试算平衡表!M152/10000</f>
        <v>0</v>
      </c>
      <c r="N152" s="440">
        <f>试算平衡表!N152/10000</f>
        <v>0</v>
      </c>
    </row>
    <row r="153" spans="1:14">
      <c r="A153" s="47">
        <v>153</v>
      </c>
      <c r="B153" s="3" t="s">
        <v>314</v>
      </c>
      <c r="D153" s="545" t="s">
        <v>660</v>
      </c>
      <c r="E153" s="440">
        <f>试算平衡表!E153/10000</f>
        <v>0</v>
      </c>
      <c r="F153" s="440">
        <f>试算平衡表!F153/10000</f>
        <v>0</v>
      </c>
      <c r="G153" s="440">
        <f>试算平衡表!G153/10000</f>
        <v>0</v>
      </c>
      <c r="H153" s="440">
        <f>试算平衡表!H153/10000</f>
        <v>0</v>
      </c>
      <c r="I153" s="440">
        <f>试算平衡表!I153/10000</f>
        <v>0</v>
      </c>
      <c r="J153" s="440">
        <f>试算平衡表!J153/10000</f>
        <v>0</v>
      </c>
      <c r="K153" s="440">
        <f>试算平衡表!K153/10000</f>
        <v>0</v>
      </c>
      <c r="L153" s="440">
        <f>试算平衡表!L153/10000</f>
        <v>0</v>
      </c>
      <c r="M153" s="440">
        <f>试算平衡表!M153/10000</f>
        <v>0</v>
      </c>
      <c r="N153" s="440">
        <f>试算平衡表!N153/10000</f>
        <v>0</v>
      </c>
    </row>
    <row r="154" spans="1:14">
      <c r="A154" s="47">
        <v>154</v>
      </c>
      <c r="B154" s="3" t="s">
        <v>314</v>
      </c>
      <c r="D154" s="545" t="s">
        <v>661</v>
      </c>
      <c r="E154" s="440">
        <f>试算平衡表!E154/10000</f>
        <v>0</v>
      </c>
      <c r="F154" s="440">
        <f>试算平衡表!F154/10000</f>
        <v>0</v>
      </c>
      <c r="G154" s="440">
        <f>试算平衡表!G154/10000</f>
        <v>0</v>
      </c>
      <c r="H154" s="440">
        <f>试算平衡表!H154/10000</f>
        <v>0</v>
      </c>
      <c r="I154" s="440">
        <f>试算平衡表!I154/10000</f>
        <v>0</v>
      </c>
      <c r="J154" s="440">
        <f>试算平衡表!J154/10000</f>
        <v>0</v>
      </c>
      <c r="K154" s="440">
        <f>试算平衡表!K154/10000</f>
        <v>0</v>
      </c>
      <c r="L154" s="440">
        <f>试算平衡表!L154/10000</f>
        <v>0</v>
      </c>
      <c r="M154" s="440">
        <f>试算平衡表!M154/10000</f>
        <v>0</v>
      </c>
      <c r="N154" s="440">
        <f>试算平衡表!N154/10000</f>
        <v>0</v>
      </c>
    </row>
    <row r="155" spans="1:14">
      <c r="A155" s="47">
        <v>155</v>
      </c>
      <c r="B155" s="3" t="s">
        <v>314</v>
      </c>
      <c r="D155" s="545" t="s">
        <v>4638</v>
      </c>
      <c r="E155" s="440">
        <f>试算平衡表!E155/10000</f>
        <v>0</v>
      </c>
      <c r="F155" s="440">
        <f>试算平衡表!F155/10000</f>
        <v>2.8235459999999999</v>
      </c>
      <c r="G155" s="440">
        <f>试算平衡表!G155/10000</f>
        <v>0</v>
      </c>
      <c r="H155" s="440">
        <f>试算平衡表!H155/10000</f>
        <v>2.8235459999999999</v>
      </c>
      <c r="I155" s="440">
        <f>试算平衡表!I155/10000</f>
        <v>2.8235459999999999</v>
      </c>
      <c r="J155" s="440">
        <f>试算平衡表!J155/10000</f>
        <v>9.3627350000000007</v>
      </c>
      <c r="K155" s="440">
        <f>试算平衡表!K155/10000</f>
        <v>4.349342</v>
      </c>
      <c r="L155" s="440">
        <f>试算平衡表!L155/10000</f>
        <v>0</v>
      </c>
      <c r="M155" s="440">
        <f>试算平衡表!M155/10000</f>
        <v>4.3493420000000009</v>
      </c>
      <c r="N155" s="440">
        <f>试算平衡表!N155/10000</f>
        <v>13.712077000000003</v>
      </c>
    </row>
    <row r="156" spans="1:14">
      <c r="A156" s="47">
        <v>156</v>
      </c>
      <c r="B156" s="3" t="s">
        <v>314</v>
      </c>
      <c r="D156" s="545" t="s">
        <v>663</v>
      </c>
      <c r="E156" s="440">
        <f>试算平衡表!E156/10000</f>
        <v>0</v>
      </c>
      <c r="F156" s="440">
        <f>试算平衡表!F156/10000</f>
        <v>0</v>
      </c>
      <c r="G156" s="440">
        <f>试算平衡表!G156/10000</f>
        <v>0</v>
      </c>
      <c r="H156" s="440">
        <f>试算平衡表!H156/10000</f>
        <v>0</v>
      </c>
      <c r="I156" s="440">
        <f>试算平衡表!I156/10000</f>
        <v>0</v>
      </c>
      <c r="J156" s="440">
        <f>试算平衡表!J156/10000</f>
        <v>0</v>
      </c>
      <c r="K156" s="440">
        <f>试算平衡表!K156/10000</f>
        <v>0</v>
      </c>
      <c r="L156" s="440">
        <f>试算平衡表!L156/10000</f>
        <v>0</v>
      </c>
      <c r="M156" s="440">
        <f>试算平衡表!M156/10000</f>
        <v>0</v>
      </c>
      <c r="N156" s="440">
        <f>试算平衡表!N156/10000</f>
        <v>0</v>
      </c>
    </row>
    <row r="157" spans="1:14">
      <c r="A157" s="47">
        <v>157</v>
      </c>
      <c r="B157" s="3" t="s">
        <v>314</v>
      </c>
      <c r="D157" s="545" t="s">
        <v>664</v>
      </c>
      <c r="E157" s="440">
        <f>试算平衡表!E157/10000</f>
        <v>397.65743100000003</v>
      </c>
      <c r="F157" s="440">
        <f>试算平衡表!F157/10000</f>
        <v>0</v>
      </c>
      <c r="G157" s="440">
        <f>试算平衡表!G157/10000</f>
        <v>0.138243</v>
      </c>
      <c r="H157" s="440">
        <f>试算平衡表!H157/10000</f>
        <v>-0.13824300000001677</v>
      </c>
      <c r="I157" s="440">
        <f>试算平衡表!I157/10000</f>
        <v>397.51918799999999</v>
      </c>
      <c r="J157" s="440">
        <f>试算平衡表!J157/10000</f>
        <v>1145.7286300000001</v>
      </c>
      <c r="K157" s="440">
        <f>试算平衡表!K157/10000</f>
        <v>0</v>
      </c>
      <c r="L157" s="440">
        <f>试算平衡表!L157/10000</f>
        <v>4.349342</v>
      </c>
      <c r="M157" s="440">
        <f>试算平衡表!M157/10000</f>
        <v>-4.3493419999999929</v>
      </c>
      <c r="N157" s="440">
        <f>试算平衡表!N157/10000</f>
        <v>1141.3792880000001</v>
      </c>
    </row>
    <row r="158" spans="1:14">
      <c r="A158" s="47">
        <v>158</v>
      </c>
      <c r="B158" s="3" t="s">
        <v>314</v>
      </c>
      <c r="D158" s="532" t="s">
        <v>665</v>
      </c>
      <c r="E158" s="440">
        <f>试算平衡表!E158/10000</f>
        <v>0</v>
      </c>
      <c r="F158" s="440">
        <f>试算平衡表!F158/10000</f>
        <v>0</v>
      </c>
      <c r="G158" s="440">
        <f>试算平衡表!G158/10000</f>
        <v>0</v>
      </c>
      <c r="H158" s="440">
        <f>试算平衡表!H158/10000</f>
        <v>0</v>
      </c>
      <c r="I158" s="440">
        <f>试算平衡表!I158/10000</f>
        <v>0</v>
      </c>
      <c r="J158" s="440">
        <f>试算平衡表!J158/10000</f>
        <v>0</v>
      </c>
      <c r="K158" s="440">
        <f>试算平衡表!K158/10000</f>
        <v>0</v>
      </c>
      <c r="L158" s="440">
        <f>试算平衡表!L158/10000</f>
        <v>0</v>
      </c>
      <c r="M158" s="440">
        <f>试算平衡表!M158/10000</f>
        <v>0</v>
      </c>
      <c r="N158" s="440">
        <f>试算平衡表!N158/10000</f>
        <v>0</v>
      </c>
    </row>
    <row r="159" spans="1:14">
      <c r="A159" s="47"/>
      <c r="D159" s="1404" t="s">
        <v>4661</v>
      </c>
      <c r="E159" s="440">
        <f>试算平衡表!E159/10000</f>
        <v>0</v>
      </c>
      <c r="F159" s="440">
        <f>试算平衡表!F159/10000</f>
        <v>0</v>
      </c>
      <c r="G159" s="440">
        <f>试算平衡表!G159/10000</f>
        <v>0</v>
      </c>
      <c r="H159" s="440">
        <f>试算平衡表!H159/10000</f>
        <v>0</v>
      </c>
      <c r="I159" s="440">
        <f>试算平衡表!I159/10000</f>
        <v>0</v>
      </c>
      <c r="J159" s="440">
        <f>试算平衡表!J159/10000</f>
        <v>0</v>
      </c>
      <c r="K159" s="440">
        <f>试算平衡表!K159/10000</f>
        <v>0</v>
      </c>
      <c r="L159" s="440">
        <f>试算平衡表!L159/10000</f>
        <v>0</v>
      </c>
      <c r="M159" s="440">
        <f>试算平衡表!M159/10000</f>
        <v>0</v>
      </c>
      <c r="N159" s="440">
        <f>试算平衡表!N159/10000</f>
        <v>0</v>
      </c>
    </row>
    <row r="160" spans="1:14">
      <c r="A160" s="47">
        <v>159</v>
      </c>
      <c r="B160" s="3" t="s">
        <v>314</v>
      </c>
      <c r="D160" s="545" t="s">
        <v>1801</v>
      </c>
      <c r="E160" s="440">
        <f>试算平衡表!E160/10000</f>
        <v>-0.237821</v>
      </c>
      <c r="F160" s="440">
        <f>试算平衡表!F160/10000</f>
        <v>0</v>
      </c>
      <c r="G160" s="440">
        <f>试算平衡表!G160/10000</f>
        <v>0</v>
      </c>
      <c r="H160" s="440">
        <f>试算平衡表!H160/10000</f>
        <v>0</v>
      </c>
      <c r="I160" s="440">
        <f>试算平衡表!I160/10000</f>
        <v>-0.237821</v>
      </c>
      <c r="J160" s="440">
        <f>试算平衡表!J160/10000</f>
        <v>-6.4818300000000004</v>
      </c>
      <c r="K160" s="440">
        <f>试算平衡表!K160/10000</f>
        <v>0</v>
      </c>
      <c r="L160" s="440">
        <f>试算平衡表!L160/10000</f>
        <v>0</v>
      </c>
      <c r="M160" s="440">
        <f>试算平衡表!M160/10000</f>
        <v>0</v>
      </c>
      <c r="N160" s="440">
        <f>试算平衡表!N160/10000</f>
        <v>-6.4818300000000004</v>
      </c>
    </row>
    <row r="161" spans="1:14">
      <c r="A161" s="47">
        <v>160</v>
      </c>
      <c r="B161" s="3" t="s">
        <v>314</v>
      </c>
      <c r="D161" s="547" t="s">
        <v>1802</v>
      </c>
      <c r="E161" s="440">
        <f>试算平衡表!E161/10000</f>
        <v>0</v>
      </c>
      <c r="F161" s="440">
        <f>试算平衡表!F161/10000</f>
        <v>0</v>
      </c>
      <c r="G161" s="440">
        <f>试算平衡表!G161/10000</f>
        <v>0</v>
      </c>
      <c r="H161" s="440">
        <f>试算平衡表!H161/10000</f>
        <v>0</v>
      </c>
      <c r="I161" s="440">
        <f>试算平衡表!I161/10000</f>
        <v>0</v>
      </c>
      <c r="J161" s="440">
        <f>试算平衡表!J161/10000</f>
        <v>0</v>
      </c>
      <c r="K161" s="440">
        <f>试算平衡表!K161/10000</f>
        <v>0</v>
      </c>
      <c r="L161" s="440">
        <f>试算平衡表!L161/10000</f>
        <v>0</v>
      </c>
      <c r="M161" s="440">
        <f>试算平衡表!M161/10000</f>
        <v>0</v>
      </c>
      <c r="N161" s="440">
        <f>试算平衡表!N161/10000</f>
        <v>0</v>
      </c>
    </row>
    <row r="162" spans="1:14">
      <c r="A162" s="47">
        <v>161</v>
      </c>
      <c r="B162" s="3" t="s">
        <v>314</v>
      </c>
      <c r="D162" s="547" t="s">
        <v>1803</v>
      </c>
      <c r="E162" s="440">
        <f>试算平衡表!E162/10000</f>
        <v>0.35012100000000002</v>
      </c>
      <c r="F162" s="440">
        <f>试算平衡表!F162/10000</f>
        <v>0</v>
      </c>
      <c r="G162" s="440">
        <f>试算平衡表!G162/10000</f>
        <v>0</v>
      </c>
      <c r="H162" s="440">
        <f>试算平衡表!H162/10000</f>
        <v>0</v>
      </c>
      <c r="I162" s="440">
        <f>试算平衡表!I162/10000</f>
        <v>0.35012100000000002</v>
      </c>
      <c r="J162" s="440">
        <f>试算平衡表!J162/10000</f>
        <v>6.7742600000000008</v>
      </c>
      <c r="K162" s="440">
        <f>试算平衡表!K162/10000</f>
        <v>0</v>
      </c>
      <c r="L162" s="440">
        <f>试算平衡表!L162/10000</f>
        <v>0</v>
      </c>
      <c r="M162" s="440">
        <f>试算平衡表!M162/10000</f>
        <v>0</v>
      </c>
      <c r="N162" s="440">
        <f>试算平衡表!N162/10000</f>
        <v>6.7742600000000008</v>
      </c>
    </row>
    <row r="163" spans="1:14">
      <c r="A163" s="47">
        <v>162</v>
      </c>
      <c r="B163" s="3" t="s">
        <v>314</v>
      </c>
      <c r="D163" s="547" t="s">
        <v>1804</v>
      </c>
      <c r="E163" s="440">
        <f>试算平衡表!E163/10000</f>
        <v>0</v>
      </c>
      <c r="F163" s="440">
        <f>试算平衡表!F163/10000</f>
        <v>0</v>
      </c>
      <c r="G163" s="440">
        <f>试算平衡表!G163/10000</f>
        <v>0</v>
      </c>
      <c r="H163" s="440">
        <f>试算平衡表!H163/10000</f>
        <v>0</v>
      </c>
      <c r="I163" s="440">
        <f>试算平衡表!I163/10000</f>
        <v>0</v>
      </c>
      <c r="J163" s="440">
        <f>试算平衡表!J163/10000</f>
        <v>0</v>
      </c>
      <c r="K163" s="440">
        <f>试算平衡表!K163/10000</f>
        <v>0</v>
      </c>
      <c r="L163" s="440">
        <f>试算平衡表!L163/10000</f>
        <v>0</v>
      </c>
      <c r="M163" s="440">
        <f>试算平衡表!M163/10000</f>
        <v>0</v>
      </c>
      <c r="N163" s="440">
        <f>试算平衡表!N163/10000</f>
        <v>0</v>
      </c>
    </row>
    <row r="164" spans="1:14">
      <c r="A164" s="47">
        <v>163</v>
      </c>
      <c r="B164" s="3" t="s">
        <v>314</v>
      </c>
      <c r="D164" s="545" t="s">
        <v>670</v>
      </c>
      <c r="E164" s="440">
        <f>试算平衡表!E164/10000</f>
        <v>0</v>
      </c>
      <c r="F164" s="440">
        <f>试算平衡表!F164/10000</f>
        <v>23</v>
      </c>
      <c r="G164" s="440">
        <f>试算平衡表!G164/10000</f>
        <v>2.8599399999999999</v>
      </c>
      <c r="H164" s="440">
        <f>试算平衡表!H164/10000</f>
        <v>20.140060000000002</v>
      </c>
      <c r="I164" s="440">
        <f>试算平衡表!I164/10000</f>
        <v>20.140060000000002</v>
      </c>
      <c r="J164" s="440">
        <f>试算平衡表!J164/10000</f>
        <v>1.0213179999999999</v>
      </c>
      <c r="K164" s="440">
        <f>试算平衡表!K164/10000</f>
        <v>0</v>
      </c>
      <c r="L164" s="440">
        <f>试算平衡表!L164/10000</f>
        <v>0</v>
      </c>
      <c r="M164" s="440">
        <f>试算平衡表!M164/10000</f>
        <v>0</v>
      </c>
      <c r="N164" s="440">
        <f>试算平衡表!N164/10000</f>
        <v>1.0213179999999999</v>
      </c>
    </row>
    <row r="165" spans="1:14">
      <c r="A165" s="47">
        <v>164</v>
      </c>
      <c r="B165" s="3" t="s">
        <v>314</v>
      </c>
      <c r="D165" s="545" t="s">
        <v>671</v>
      </c>
      <c r="E165" s="440">
        <f>试算平衡表!E165/10000</f>
        <v>0</v>
      </c>
      <c r="F165" s="440">
        <f>试算平衡表!F165/10000</f>
        <v>0</v>
      </c>
      <c r="G165" s="440">
        <f>试算平衡表!G165/10000</f>
        <v>0</v>
      </c>
      <c r="H165" s="440">
        <f>试算平衡表!H165/10000</f>
        <v>0</v>
      </c>
      <c r="I165" s="440">
        <f>试算平衡表!I165/10000</f>
        <v>0</v>
      </c>
      <c r="J165" s="440">
        <f>试算平衡表!J165/10000</f>
        <v>0</v>
      </c>
      <c r="K165" s="440">
        <f>试算平衡表!K165/10000</f>
        <v>0</v>
      </c>
      <c r="L165" s="440">
        <f>试算平衡表!L165/10000</f>
        <v>0</v>
      </c>
      <c r="M165" s="440">
        <f>试算平衡表!M165/10000</f>
        <v>0</v>
      </c>
      <c r="N165" s="440">
        <f>试算平衡表!N165/10000</f>
        <v>0</v>
      </c>
    </row>
    <row r="166" spans="1:14">
      <c r="A166" s="47">
        <v>165</v>
      </c>
      <c r="B166" s="3" t="s">
        <v>314</v>
      </c>
      <c r="D166" s="547" t="s">
        <v>672</v>
      </c>
      <c r="E166" s="440">
        <f>试算平衡表!E166/10000</f>
        <v>0</v>
      </c>
      <c r="F166" s="440">
        <f>试算平衡表!F166/10000</f>
        <v>0</v>
      </c>
      <c r="G166" s="440">
        <f>试算平衡表!G166/10000</f>
        <v>0</v>
      </c>
      <c r="H166" s="440">
        <f>试算平衡表!H166/10000</f>
        <v>0</v>
      </c>
      <c r="I166" s="440">
        <f>试算平衡表!I166/10000</f>
        <v>0</v>
      </c>
      <c r="J166" s="440">
        <f>试算平衡表!J166/10000</f>
        <v>0</v>
      </c>
      <c r="K166" s="440">
        <f>试算平衡表!K166/10000</f>
        <v>0</v>
      </c>
      <c r="L166" s="440">
        <f>试算平衡表!L166/10000</f>
        <v>0</v>
      </c>
      <c r="M166" s="440">
        <f>试算平衡表!M166/10000</f>
        <v>0</v>
      </c>
      <c r="N166" s="440">
        <f>试算平衡表!N166/10000</f>
        <v>0</v>
      </c>
    </row>
    <row r="167" spans="1:14">
      <c r="A167" s="47">
        <v>166</v>
      </c>
      <c r="B167" s="3" t="s">
        <v>314</v>
      </c>
      <c r="D167" s="547" t="s">
        <v>1805</v>
      </c>
      <c r="E167" s="440">
        <f>试算平衡表!E167/10000</f>
        <v>0</v>
      </c>
      <c r="F167" s="440">
        <f>试算平衡表!F167/10000</f>
        <v>0</v>
      </c>
      <c r="G167" s="440">
        <f>试算平衡表!G167/10000</f>
        <v>0</v>
      </c>
      <c r="H167" s="440">
        <f>试算平衡表!H167/10000</f>
        <v>0</v>
      </c>
      <c r="I167" s="440">
        <f>试算平衡表!I167/10000</f>
        <v>0</v>
      </c>
      <c r="J167" s="440">
        <f>试算平衡表!J167/10000</f>
        <v>0</v>
      </c>
      <c r="K167" s="440">
        <f>试算平衡表!K167/10000</f>
        <v>0</v>
      </c>
      <c r="L167" s="440">
        <f>试算平衡表!L167/10000</f>
        <v>0</v>
      </c>
      <c r="M167" s="440">
        <f>试算平衡表!M167/10000</f>
        <v>0</v>
      </c>
      <c r="N167" s="440">
        <f>试算平衡表!N167/10000</f>
        <v>0</v>
      </c>
    </row>
    <row r="168" spans="1:14">
      <c r="A168" s="47">
        <v>167</v>
      </c>
      <c r="B168" s="3" t="s">
        <v>314</v>
      </c>
      <c r="D168" s="547" t="s">
        <v>1806</v>
      </c>
      <c r="E168" s="440">
        <f>试算平衡表!E168/10000</f>
        <v>0</v>
      </c>
      <c r="F168" s="440">
        <f>试算平衡表!F168/10000</f>
        <v>0</v>
      </c>
      <c r="G168" s="440">
        <f>试算平衡表!G168/10000</f>
        <v>0</v>
      </c>
      <c r="H168" s="440">
        <f>试算平衡表!H168/10000</f>
        <v>0</v>
      </c>
      <c r="I168" s="440">
        <f>试算平衡表!I168/10000</f>
        <v>0</v>
      </c>
      <c r="J168" s="440">
        <f>试算平衡表!J168/10000</f>
        <v>0</v>
      </c>
      <c r="K168" s="440">
        <f>试算平衡表!K168/10000</f>
        <v>0</v>
      </c>
      <c r="L168" s="440">
        <f>试算平衡表!L168/10000</f>
        <v>0</v>
      </c>
      <c r="M168" s="440">
        <f>试算平衡表!M168/10000</f>
        <v>0</v>
      </c>
      <c r="N168" s="440">
        <f>试算平衡表!N168/10000</f>
        <v>0</v>
      </c>
    </row>
    <row r="169" spans="1:14">
      <c r="A169" s="47"/>
      <c r="D169" s="1405" t="s">
        <v>4662</v>
      </c>
      <c r="E169" s="440">
        <f>试算平衡表!E169/10000</f>
        <v>0</v>
      </c>
      <c r="F169" s="440">
        <f>试算平衡表!F169/10000</f>
        <v>0</v>
      </c>
      <c r="G169" s="440">
        <f>试算平衡表!G169/10000</f>
        <v>0</v>
      </c>
      <c r="H169" s="440">
        <f>试算平衡表!H169/10000</f>
        <v>0</v>
      </c>
      <c r="I169" s="440">
        <f>试算平衡表!I169/10000</f>
        <v>0</v>
      </c>
      <c r="J169" s="440">
        <f>试算平衡表!J169/10000</f>
        <v>0</v>
      </c>
      <c r="K169" s="440">
        <f>试算平衡表!K169/10000</f>
        <v>0</v>
      </c>
      <c r="L169" s="440">
        <f>试算平衡表!L169/10000</f>
        <v>0</v>
      </c>
      <c r="M169" s="440">
        <f>试算平衡表!M169/10000</f>
        <v>0</v>
      </c>
      <c r="N169" s="440">
        <f>试算平衡表!N169/10000</f>
        <v>0</v>
      </c>
    </row>
    <row r="170" spans="1:14">
      <c r="A170" s="47">
        <v>168</v>
      </c>
      <c r="B170" s="3" t="s">
        <v>314</v>
      </c>
      <c r="D170" s="530" t="s">
        <v>4588</v>
      </c>
      <c r="E170" s="440">
        <f>试算平衡表!E171/10000</f>
        <v>0</v>
      </c>
      <c r="F170" s="440">
        <f>试算平衡表!F171/10000</f>
        <v>0</v>
      </c>
      <c r="G170" s="440">
        <f>试算平衡表!G171/10000</f>
        <v>0</v>
      </c>
      <c r="H170" s="440">
        <f>试算平衡表!H171/10000</f>
        <v>0</v>
      </c>
      <c r="I170" s="440">
        <f>试算平衡表!I171/10000</f>
        <v>0</v>
      </c>
      <c r="J170" s="440">
        <f>试算平衡表!J171/10000</f>
        <v>0</v>
      </c>
      <c r="K170" s="440">
        <f>试算平衡表!K171/10000</f>
        <v>0</v>
      </c>
      <c r="L170" s="440">
        <f>试算平衡表!L171/10000</f>
        <v>0</v>
      </c>
      <c r="M170" s="440">
        <f>试算平衡表!M171/10000</f>
        <v>0</v>
      </c>
      <c r="N170" s="440">
        <f>试算平衡表!N171/10000</f>
        <v>0</v>
      </c>
    </row>
    <row r="171" spans="1:14">
      <c r="A171" s="47">
        <v>169</v>
      </c>
      <c r="B171" s="3" t="s">
        <v>314</v>
      </c>
      <c r="D171" s="543" t="s">
        <v>676</v>
      </c>
      <c r="E171" s="440">
        <f>试算平衡表!E172/10000</f>
        <v>-397.41961000000003</v>
      </c>
      <c r="F171" s="440">
        <f>试算平衡表!F172/10000</f>
        <v>25.823546</v>
      </c>
      <c r="G171" s="440">
        <f>试算平衡表!G172/10000</f>
        <v>436.96044800000004</v>
      </c>
      <c r="H171" s="440">
        <f>试算平衡表!H172/10000</f>
        <v>411.13690200000002</v>
      </c>
      <c r="I171" s="440">
        <f>试算平衡表!I172/10000</f>
        <v>13.717292000000036</v>
      </c>
      <c r="J171" s="440">
        <f>试算平衡表!J172/10000</f>
        <v>454.14273800000001</v>
      </c>
      <c r="K171" s="440">
        <f>试算平衡表!K172/10000</f>
        <v>4.349342</v>
      </c>
      <c r="L171" s="440">
        <f>试算平衡表!L172/10000</f>
        <v>4.349342</v>
      </c>
      <c r="M171" s="440">
        <f>试算平衡表!M172/10000</f>
        <v>0</v>
      </c>
      <c r="N171" s="440">
        <f>试算平衡表!N172/10000</f>
        <v>454.14273800000001</v>
      </c>
    </row>
    <row r="172" spans="1:14">
      <c r="A172" s="47">
        <v>170</v>
      </c>
      <c r="B172" s="3" t="s">
        <v>314</v>
      </c>
      <c r="D172" s="547" t="s">
        <v>677</v>
      </c>
      <c r="E172" s="440">
        <f>试算平衡表!E173/10000</f>
        <v>0</v>
      </c>
      <c r="F172" s="440">
        <f>试算平衡表!F173/10000</f>
        <v>0</v>
      </c>
      <c r="G172" s="440">
        <f>试算平衡表!G173/10000</f>
        <v>0</v>
      </c>
      <c r="H172" s="440">
        <f>试算平衡表!H173/10000</f>
        <v>0</v>
      </c>
      <c r="I172" s="440">
        <f>试算平衡表!I173/10000</f>
        <v>0</v>
      </c>
      <c r="J172" s="440">
        <f>试算平衡表!J173/10000</f>
        <v>51.1678</v>
      </c>
      <c r="K172" s="440">
        <f>试算平衡表!K173/10000</f>
        <v>0</v>
      </c>
      <c r="L172" s="440">
        <f>试算平衡表!L173/10000</f>
        <v>0</v>
      </c>
      <c r="M172" s="440">
        <f>试算平衡表!M173/10000</f>
        <v>0</v>
      </c>
      <c r="N172" s="440">
        <f>试算平衡表!N173/10000</f>
        <v>51.1678</v>
      </c>
    </row>
    <row r="173" spans="1:14">
      <c r="A173" s="47">
        <v>171</v>
      </c>
      <c r="B173" s="3" t="s">
        <v>314</v>
      </c>
      <c r="D173" s="547" t="s">
        <v>678</v>
      </c>
      <c r="E173" s="440">
        <f>试算平衡表!E174/10000</f>
        <v>0</v>
      </c>
      <c r="F173" s="440">
        <f>试算平衡表!F174/10000</f>
        <v>0</v>
      </c>
      <c r="G173" s="440">
        <f>试算平衡表!G174/10000</f>
        <v>0</v>
      </c>
      <c r="H173" s="440">
        <f>试算平衡表!H174/10000</f>
        <v>0</v>
      </c>
      <c r="I173" s="440">
        <f>试算平衡表!I174/10000</f>
        <v>0</v>
      </c>
      <c r="J173" s="440">
        <f>试算平衡表!J174/10000</f>
        <v>0</v>
      </c>
      <c r="K173" s="440">
        <f>试算平衡表!K174/10000</f>
        <v>0</v>
      </c>
      <c r="L173" s="440">
        <f>试算平衡表!L174/10000</f>
        <v>0</v>
      </c>
      <c r="M173" s="440">
        <f>试算平衡表!M174/10000</f>
        <v>0</v>
      </c>
      <c r="N173" s="440">
        <f>试算平衡表!N174/10000</f>
        <v>0</v>
      </c>
    </row>
    <row r="174" spans="1:14">
      <c r="A174" s="47">
        <v>172</v>
      </c>
      <c r="B174" s="3" t="s">
        <v>314</v>
      </c>
      <c r="D174" s="548" t="s">
        <v>1807</v>
      </c>
      <c r="E174" s="440">
        <f>试算平衡表!E175/10000</f>
        <v>0</v>
      </c>
      <c r="F174" s="440">
        <f>试算平衡表!F175/10000</f>
        <v>0</v>
      </c>
      <c r="G174" s="440">
        <f>试算平衡表!G175/10000</f>
        <v>0</v>
      </c>
      <c r="H174" s="440">
        <f>试算平衡表!H175/10000</f>
        <v>0</v>
      </c>
      <c r="I174" s="440">
        <f>试算平衡表!I175/10000</f>
        <v>0</v>
      </c>
      <c r="J174" s="440">
        <f>试算平衡表!J175/10000</f>
        <v>0</v>
      </c>
      <c r="K174" s="440">
        <f>试算平衡表!K175/10000</f>
        <v>0</v>
      </c>
      <c r="L174" s="440">
        <f>试算平衡表!L175/10000</f>
        <v>0</v>
      </c>
      <c r="M174" s="440">
        <f>试算平衡表!M175/10000</f>
        <v>0</v>
      </c>
      <c r="N174" s="440">
        <f>试算平衡表!N175/10000</f>
        <v>0</v>
      </c>
    </row>
    <row r="175" spans="1:14">
      <c r="A175" s="47">
        <v>173</v>
      </c>
      <c r="B175" s="3" t="s">
        <v>314</v>
      </c>
      <c r="D175" s="549" t="s">
        <v>1808</v>
      </c>
      <c r="E175" s="440">
        <f>试算平衡表!E176/10000</f>
        <v>0</v>
      </c>
      <c r="F175" s="440">
        <f>试算平衡表!F176/10000</f>
        <v>0</v>
      </c>
      <c r="G175" s="440">
        <f>试算平衡表!G176/10000</f>
        <v>0</v>
      </c>
      <c r="H175" s="440">
        <f>试算平衡表!H176/10000</f>
        <v>0</v>
      </c>
      <c r="I175" s="440">
        <f>试算平衡表!I176/10000</f>
        <v>0</v>
      </c>
      <c r="J175" s="440">
        <f>试算平衡表!J176/10000</f>
        <v>51.1678</v>
      </c>
      <c r="K175" s="440">
        <f>试算平衡表!K176/10000</f>
        <v>0</v>
      </c>
      <c r="L175" s="440">
        <f>试算平衡表!L176/10000</f>
        <v>0</v>
      </c>
      <c r="M175" s="440">
        <f>试算平衡表!M176/10000</f>
        <v>0</v>
      </c>
      <c r="N175" s="440">
        <f>试算平衡表!N176/10000</f>
        <v>51.1678</v>
      </c>
    </row>
    <row r="176" spans="1:14">
      <c r="A176" s="47">
        <v>174</v>
      </c>
      <c r="B176" s="3" t="s">
        <v>314</v>
      </c>
      <c r="D176" s="549" t="s">
        <v>1809</v>
      </c>
      <c r="E176" s="440">
        <f>试算平衡表!E177/10000</f>
        <v>0</v>
      </c>
      <c r="F176" s="440">
        <f>试算平衡表!F177/10000</f>
        <v>0</v>
      </c>
      <c r="G176" s="440">
        <f>试算平衡表!G177/10000</f>
        <v>0</v>
      </c>
      <c r="H176" s="440">
        <f>试算平衡表!H177/10000</f>
        <v>0</v>
      </c>
      <c r="I176" s="440">
        <f>试算平衡表!I177/10000</f>
        <v>0</v>
      </c>
      <c r="J176" s="440">
        <f>试算平衡表!J177/10000</f>
        <v>0</v>
      </c>
      <c r="K176" s="440">
        <f>试算平衡表!K177/10000</f>
        <v>0</v>
      </c>
      <c r="L176" s="440">
        <f>试算平衡表!L177/10000</f>
        <v>0</v>
      </c>
      <c r="M176" s="440">
        <f>试算平衡表!M177/10000</f>
        <v>0</v>
      </c>
      <c r="N176" s="440">
        <f>试算平衡表!N177/10000</f>
        <v>0</v>
      </c>
    </row>
    <row r="177" spans="1:14">
      <c r="A177" s="47">
        <v>175</v>
      </c>
      <c r="B177" s="3" t="s">
        <v>314</v>
      </c>
      <c r="D177" s="547" t="s">
        <v>682</v>
      </c>
      <c r="E177" s="440">
        <f>试算平衡表!E178/10000</f>
        <v>0</v>
      </c>
      <c r="F177" s="440">
        <f>试算平衡表!F178/10000</f>
        <v>0.18748900000000002</v>
      </c>
      <c r="G177" s="440">
        <f>试算平衡表!G178/10000</f>
        <v>0</v>
      </c>
      <c r="H177" s="440">
        <f>试算平衡表!H178/10000</f>
        <v>0.18748900000000002</v>
      </c>
      <c r="I177" s="440">
        <f>试算平衡表!I178/10000</f>
        <v>0.18748900000000002</v>
      </c>
      <c r="J177" s="440">
        <f>试算平衡表!J178/10000</f>
        <v>0</v>
      </c>
      <c r="K177" s="440">
        <f>试算平衡表!K178/10000</f>
        <v>0</v>
      </c>
      <c r="L177" s="440">
        <f>试算平衡表!L178/10000</f>
        <v>0</v>
      </c>
      <c r="M177" s="440">
        <f>试算平衡表!M178/10000</f>
        <v>0</v>
      </c>
      <c r="N177" s="440">
        <f>试算平衡表!N178/10000</f>
        <v>0</v>
      </c>
    </row>
    <row r="178" spans="1:14">
      <c r="A178" s="47">
        <v>176</v>
      </c>
      <c r="B178" s="3" t="s">
        <v>314</v>
      </c>
      <c r="D178" s="547" t="s">
        <v>683</v>
      </c>
      <c r="E178" s="440">
        <f>试算平衡表!E179/10000</f>
        <v>0</v>
      </c>
      <c r="F178" s="440">
        <f>试算平衡表!F179/10000</f>
        <v>0</v>
      </c>
      <c r="G178" s="440">
        <f>试算平衡表!G179/10000</f>
        <v>0</v>
      </c>
      <c r="H178" s="440">
        <f>试算平衡表!H179/10000</f>
        <v>0</v>
      </c>
      <c r="I178" s="440">
        <f>试算平衡表!I179/10000</f>
        <v>0</v>
      </c>
      <c r="J178" s="440">
        <f>试算平衡表!J179/10000</f>
        <v>0</v>
      </c>
      <c r="K178" s="440">
        <f>试算平衡表!K179/10000</f>
        <v>0</v>
      </c>
      <c r="L178" s="440">
        <f>试算平衡表!L179/10000</f>
        <v>0</v>
      </c>
      <c r="M178" s="440">
        <f>试算平衡表!M179/10000</f>
        <v>0</v>
      </c>
      <c r="N178" s="440">
        <f>试算平衡表!N179/10000</f>
        <v>0</v>
      </c>
    </row>
    <row r="179" spans="1:14">
      <c r="A179" s="47">
        <v>177</v>
      </c>
      <c r="B179" s="3" t="s">
        <v>314</v>
      </c>
      <c r="D179" s="549" t="s">
        <v>1810</v>
      </c>
      <c r="E179" s="440">
        <f>试算平衡表!E180/10000</f>
        <v>0</v>
      </c>
      <c r="F179" s="440">
        <f>试算平衡表!F180/10000</f>
        <v>0</v>
      </c>
      <c r="G179" s="440">
        <f>试算平衡表!G180/10000</f>
        <v>0</v>
      </c>
      <c r="H179" s="440">
        <f>试算平衡表!H180/10000</f>
        <v>0</v>
      </c>
      <c r="I179" s="440">
        <f>试算平衡表!I180/10000</f>
        <v>0</v>
      </c>
      <c r="J179" s="440">
        <f>试算平衡表!J180/10000</f>
        <v>0</v>
      </c>
      <c r="K179" s="440">
        <f>试算平衡表!K180/10000</f>
        <v>0</v>
      </c>
      <c r="L179" s="440">
        <f>试算平衡表!L180/10000</f>
        <v>0</v>
      </c>
      <c r="M179" s="440">
        <f>试算平衡表!M180/10000</f>
        <v>0</v>
      </c>
      <c r="N179" s="440">
        <f>试算平衡表!N180/10000</f>
        <v>0</v>
      </c>
    </row>
    <row r="180" spans="1:14">
      <c r="A180" s="47">
        <v>178</v>
      </c>
      <c r="B180" s="3" t="s">
        <v>314</v>
      </c>
      <c r="D180" s="549" t="s">
        <v>1811</v>
      </c>
      <c r="E180" s="440">
        <f>试算平衡表!E181/10000</f>
        <v>0</v>
      </c>
      <c r="F180" s="440">
        <f>试算平衡表!F181/10000</f>
        <v>0</v>
      </c>
      <c r="G180" s="440">
        <f>试算平衡表!G181/10000</f>
        <v>0</v>
      </c>
      <c r="H180" s="440">
        <f>试算平衡表!H181/10000</f>
        <v>0</v>
      </c>
      <c r="I180" s="440">
        <f>试算平衡表!I181/10000</f>
        <v>0</v>
      </c>
      <c r="J180" s="440">
        <f>试算平衡表!J181/10000</f>
        <v>0</v>
      </c>
      <c r="K180" s="440">
        <f>试算平衡表!K181/10000</f>
        <v>0</v>
      </c>
      <c r="L180" s="440">
        <f>试算平衡表!L181/10000</f>
        <v>0</v>
      </c>
      <c r="M180" s="440">
        <f>试算平衡表!M181/10000</f>
        <v>0</v>
      </c>
      <c r="N180" s="440">
        <f>试算平衡表!N181/10000</f>
        <v>0</v>
      </c>
    </row>
    <row r="181" spans="1:14">
      <c r="A181" s="47">
        <v>179</v>
      </c>
      <c r="B181" s="3" t="s">
        <v>314</v>
      </c>
      <c r="D181" s="543" t="s">
        <v>686</v>
      </c>
      <c r="E181" s="440">
        <f>试算平衡表!E182/10000</f>
        <v>-397.41961000000003</v>
      </c>
      <c r="F181" s="440">
        <f>试算平衡表!F182/10000</f>
        <v>26.011035</v>
      </c>
      <c r="G181" s="440">
        <f>试算平衡表!G182/10000</f>
        <v>436.96044800000004</v>
      </c>
      <c r="H181" s="440">
        <f>试算平衡表!H182/10000</f>
        <v>410.94941300000005</v>
      </c>
      <c r="I181" s="440">
        <f>试算平衡表!I182/10000</f>
        <v>13.529803000000035</v>
      </c>
      <c r="J181" s="440">
        <f>试算平衡表!J182/10000</f>
        <v>505.31053800000001</v>
      </c>
      <c r="K181" s="440">
        <f>试算平衡表!K182/10000</f>
        <v>4.349342</v>
      </c>
      <c r="L181" s="440">
        <f>试算平衡表!L182/10000</f>
        <v>4.349342</v>
      </c>
      <c r="M181" s="440">
        <f>试算平衡表!M182/10000</f>
        <v>0</v>
      </c>
      <c r="N181" s="440">
        <f>试算平衡表!N182/10000</f>
        <v>505.31053800000001</v>
      </c>
    </row>
    <row r="182" spans="1:14">
      <c r="A182" s="47">
        <v>180</v>
      </c>
      <c r="B182" s="3" t="s">
        <v>314</v>
      </c>
      <c r="D182" s="547" t="s">
        <v>687</v>
      </c>
      <c r="E182" s="440">
        <f>试算平衡表!E183/10000</f>
        <v>2.6323300000000001</v>
      </c>
      <c r="F182" s="440">
        <f>试算平衡表!F183/10000</f>
        <v>9.1324509999999997</v>
      </c>
      <c r="G182" s="440">
        <f>试算平衡表!G183/10000</f>
        <v>5.75</v>
      </c>
      <c r="H182" s="440">
        <f>试算平衡表!H183/10000</f>
        <v>3.3824509999999997</v>
      </c>
      <c r="I182" s="440">
        <f>试算平衡表!I183/10000</f>
        <v>6.0147810000000002</v>
      </c>
      <c r="J182" s="440">
        <f>试算平衡表!J183/10000</f>
        <v>128.02284699999998</v>
      </c>
      <c r="K182" s="440">
        <f>试算平衡表!K183/10000</f>
        <v>0</v>
      </c>
      <c r="L182" s="440">
        <f>试算平衡表!L183/10000</f>
        <v>0</v>
      </c>
      <c r="M182" s="440">
        <f>试算平衡表!M183/10000</f>
        <v>0</v>
      </c>
      <c r="N182" s="440">
        <f>试算平衡表!N183/10000</f>
        <v>128.02284699999998</v>
      </c>
    </row>
    <row r="183" spans="1:14">
      <c r="A183" s="47">
        <v>181</v>
      </c>
      <c r="B183" s="3" t="s">
        <v>314</v>
      </c>
      <c r="D183" s="543" t="s">
        <v>688</v>
      </c>
      <c r="E183" s="440">
        <f>试算平衡表!E184/10000</f>
        <v>-400.05194</v>
      </c>
      <c r="F183" s="440">
        <f>试算平衡表!F184/10000</f>
        <v>35.143485999999996</v>
      </c>
      <c r="G183" s="440">
        <f>试算平衡表!G184/10000</f>
        <v>442.71044800000004</v>
      </c>
      <c r="H183" s="440">
        <f>试算平衡表!H184/10000</f>
        <v>407.56696200000005</v>
      </c>
      <c r="I183" s="440">
        <f>试算平衡表!I184/10000</f>
        <v>7.5150220000000552</v>
      </c>
      <c r="J183" s="440">
        <f>试算平衡表!J184/10000</f>
        <v>377.287691</v>
      </c>
      <c r="K183" s="440">
        <f>试算平衡表!K184/10000</f>
        <v>4.349342</v>
      </c>
      <c r="L183" s="440">
        <f>试算平衡表!L184/10000</f>
        <v>4.349342</v>
      </c>
      <c r="M183" s="440">
        <f>试算平衡表!M184/10000</f>
        <v>0</v>
      </c>
      <c r="N183" s="440">
        <f>试算平衡表!N184/10000</f>
        <v>377.287691</v>
      </c>
    </row>
    <row r="184" spans="1:14">
      <c r="A184" s="47">
        <v>182</v>
      </c>
      <c r="D184" s="550" t="s">
        <v>1812</v>
      </c>
      <c r="E184" s="440">
        <f>试算平衡表!E185/10000</f>
        <v>-400.05194</v>
      </c>
      <c r="F184" s="440">
        <f>试算平衡表!F185/10000</f>
        <v>35.143485999999996</v>
      </c>
      <c r="G184" s="440">
        <f>试算平衡表!G185/10000</f>
        <v>442.71044800000004</v>
      </c>
      <c r="H184" s="440">
        <f>试算平衡表!H185/10000</f>
        <v>407.56696200000005</v>
      </c>
      <c r="I184" s="440">
        <f>试算平衡表!I185/10000</f>
        <v>7.5150220000000552</v>
      </c>
      <c r="J184" s="440">
        <f>试算平衡表!J185/10000</f>
        <v>377.287691</v>
      </c>
      <c r="K184" s="440">
        <f>试算平衡表!K185/10000</f>
        <v>4.349342</v>
      </c>
      <c r="L184" s="440">
        <f>试算平衡表!L185/10000</f>
        <v>4.349342</v>
      </c>
      <c r="M184" s="440">
        <f>试算平衡表!M185/10000</f>
        <v>0</v>
      </c>
      <c r="N184" s="440">
        <f>试算平衡表!N185/10000</f>
        <v>377.287691</v>
      </c>
    </row>
    <row r="185" spans="1:14">
      <c r="A185" s="47">
        <v>183</v>
      </c>
      <c r="D185" s="550" t="s">
        <v>1813</v>
      </c>
      <c r="E185" s="440">
        <f>试算平衡表!E186/10000</f>
        <v>0</v>
      </c>
      <c r="F185" s="440">
        <f>试算平衡表!F186/10000</f>
        <v>0</v>
      </c>
      <c r="G185" s="440">
        <f>试算平衡表!G186/10000</f>
        <v>0</v>
      </c>
      <c r="H185" s="440">
        <f>试算平衡表!H186/10000</f>
        <v>0</v>
      </c>
      <c r="I185" s="440">
        <f>试算平衡表!I186/10000</f>
        <v>0</v>
      </c>
      <c r="J185" s="440">
        <f>试算平衡表!J186/10000</f>
        <v>0</v>
      </c>
      <c r="K185" s="440">
        <f>试算平衡表!K186/10000</f>
        <v>0</v>
      </c>
      <c r="L185" s="440">
        <f>试算平衡表!L186/10000</f>
        <v>0</v>
      </c>
      <c r="M185" s="440">
        <f>试算平衡表!M186/10000</f>
        <v>0</v>
      </c>
      <c r="N185" s="440">
        <f>试算平衡表!N186/10000</f>
        <v>0</v>
      </c>
    </row>
    <row r="186" spans="1:14">
      <c r="A186" s="47"/>
      <c r="D186" s="1406" t="s">
        <v>4642</v>
      </c>
      <c r="E186" s="440">
        <f>试算平衡表!E187/10000</f>
        <v>0</v>
      </c>
      <c r="F186" s="440">
        <f>试算平衡表!F187/10000</f>
        <v>0</v>
      </c>
      <c r="G186" s="440">
        <f>试算平衡表!G187/10000</f>
        <v>0</v>
      </c>
      <c r="H186" s="440">
        <f>试算平衡表!H187/10000</f>
        <v>0</v>
      </c>
      <c r="I186" s="440">
        <f>试算平衡表!I187/10000</f>
        <v>0</v>
      </c>
      <c r="J186" s="440">
        <f>试算平衡表!J187/10000</f>
        <v>0</v>
      </c>
      <c r="K186" s="440">
        <f>试算平衡表!K187/10000</f>
        <v>0</v>
      </c>
      <c r="L186" s="440">
        <f>试算平衡表!L187/10000</f>
        <v>0</v>
      </c>
      <c r="M186" s="440">
        <f>试算平衡表!M187/10000</f>
        <v>0</v>
      </c>
      <c r="N186" s="440">
        <f>试算平衡表!N187/10000</f>
        <v>0</v>
      </c>
    </row>
    <row r="187" spans="1:14">
      <c r="A187" s="47"/>
      <c r="D187" s="1406" t="s">
        <v>4644</v>
      </c>
      <c r="E187" s="440">
        <f>试算平衡表!E188/10000</f>
        <v>0</v>
      </c>
      <c r="F187" s="440">
        <f>试算平衡表!F188/10000</f>
        <v>0</v>
      </c>
      <c r="G187" s="440">
        <f>试算平衡表!G188/10000</f>
        <v>0</v>
      </c>
      <c r="H187" s="440">
        <f>试算平衡表!H188/10000</f>
        <v>0</v>
      </c>
      <c r="I187" s="440">
        <f>试算平衡表!I188/10000</f>
        <v>0</v>
      </c>
      <c r="J187" s="440">
        <f>试算平衡表!J188/10000</f>
        <v>0</v>
      </c>
      <c r="K187" s="440">
        <f>试算平衡表!K188/10000</f>
        <v>0</v>
      </c>
      <c r="L187" s="440">
        <f>试算平衡表!L188/10000</f>
        <v>0</v>
      </c>
      <c r="M187" s="440">
        <f>试算平衡表!M188/10000</f>
        <v>0</v>
      </c>
      <c r="N187" s="440">
        <f>试算平衡表!N188/10000</f>
        <v>0</v>
      </c>
    </row>
    <row r="188" spans="1:14">
      <c r="A188" s="47">
        <v>184</v>
      </c>
      <c r="D188" s="543" t="s">
        <v>1814</v>
      </c>
      <c r="E188" s="440">
        <f>试算平衡表!E189/10000</f>
        <v>0</v>
      </c>
      <c r="F188" s="440">
        <f>试算平衡表!F189/10000</f>
        <v>0</v>
      </c>
      <c r="G188" s="440">
        <f>试算平衡表!G189/10000</f>
        <v>0</v>
      </c>
      <c r="H188" s="440">
        <f>试算平衡表!H189/10000</f>
        <v>0</v>
      </c>
      <c r="I188" s="440">
        <f>试算平衡表!I189/10000</f>
        <v>0</v>
      </c>
      <c r="J188" s="440">
        <f>试算平衡表!J189/10000</f>
        <v>0</v>
      </c>
      <c r="K188" s="440">
        <f>试算平衡表!K189/10000</f>
        <v>0</v>
      </c>
      <c r="L188" s="440">
        <f>试算平衡表!L189/10000</f>
        <v>0</v>
      </c>
      <c r="M188" s="440">
        <f>试算平衡表!M189/10000</f>
        <v>0</v>
      </c>
      <c r="N188" s="440">
        <f>试算平衡表!N189/10000</f>
        <v>0</v>
      </c>
    </row>
    <row r="189" spans="1:14">
      <c r="A189" s="47"/>
      <c r="D189" s="1475" t="s">
        <v>4821</v>
      </c>
      <c r="E189" s="440">
        <f>试算平衡表!E190/10000</f>
        <v>0</v>
      </c>
      <c r="F189" s="440">
        <f>试算平衡表!F190/10000</f>
        <v>0</v>
      </c>
      <c r="G189" s="440">
        <f>试算平衡表!G190/10000</f>
        <v>0</v>
      </c>
      <c r="H189" s="440">
        <f>试算平衡表!H190/10000</f>
        <v>0</v>
      </c>
      <c r="I189" s="440">
        <f>试算平衡表!I190/10000</f>
        <v>0</v>
      </c>
      <c r="J189" s="440">
        <f>试算平衡表!J190/10000</f>
        <v>0</v>
      </c>
      <c r="K189" s="440">
        <f>试算平衡表!K190/10000</f>
        <v>0</v>
      </c>
      <c r="L189" s="440">
        <f>试算平衡表!L190/10000</f>
        <v>0</v>
      </c>
      <c r="M189" s="440">
        <f>试算平衡表!M190/10000</f>
        <v>0</v>
      </c>
      <c r="N189" s="440">
        <f>试算平衡表!N190/10000</f>
        <v>0</v>
      </c>
    </row>
    <row r="190" spans="1:14">
      <c r="A190" s="47">
        <v>185</v>
      </c>
      <c r="D190" s="547" t="s">
        <v>1815</v>
      </c>
      <c r="E190" s="440">
        <f>试算平衡表!E191/10000</f>
        <v>0</v>
      </c>
      <c r="F190" s="440">
        <f>试算平衡表!F191/10000</f>
        <v>0</v>
      </c>
      <c r="G190" s="440">
        <f>试算平衡表!G191/10000</f>
        <v>0</v>
      </c>
      <c r="H190" s="440">
        <f>试算平衡表!H191/10000</f>
        <v>0</v>
      </c>
      <c r="I190" s="440">
        <f>试算平衡表!I191/10000</f>
        <v>0</v>
      </c>
      <c r="J190" s="440">
        <f>试算平衡表!J191/10000</f>
        <v>0</v>
      </c>
      <c r="K190" s="440">
        <f>试算平衡表!K191/10000</f>
        <v>0</v>
      </c>
      <c r="L190" s="440">
        <f>试算平衡表!L191/10000</f>
        <v>0</v>
      </c>
      <c r="M190" s="440">
        <f>试算平衡表!M191/10000</f>
        <v>0</v>
      </c>
      <c r="N190" s="440">
        <f>试算平衡表!N191/10000</f>
        <v>0</v>
      </c>
    </row>
    <row r="191" spans="1:14">
      <c r="A191" s="47">
        <v>186</v>
      </c>
      <c r="D191" s="550" t="s">
        <v>1816</v>
      </c>
      <c r="E191" s="440">
        <f>试算平衡表!E192/10000</f>
        <v>0</v>
      </c>
      <c r="F191" s="440">
        <f>试算平衡表!F192/10000</f>
        <v>0</v>
      </c>
      <c r="G191" s="440">
        <f>试算平衡表!G192/10000</f>
        <v>0</v>
      </c>
      <c r="H191" s="440">
        <f>试算平衡表!H192/10000</f>
        <v>0</v>
      </c>
      <c r="I191" s="440">
        <f>试算平衡表!I192/10000</f>
        <v>0</v>
      </c>
      <c r="J191" s="440">
        <f>试算平衡表!J192/10000</f>
        <v>0</v>
      </c>
      <c r="K191" s="440">
        <f>试算平衡表!K192/10000</f>
        <v>0</v>
      </c>
      <c r="L191" s="440">
        <f>试算平衡表!L192/10000</f>
        <v>0</v>
      </c>
      <c r="M191" s="440">
        <f>试算平衡表!M192/10000</f>
        <v>0</v>
      </c>
      <c r="N191" s="440">
        <f>试算平衡表!N192/10000</f>
        <v>0</v>
      </c>
    </row>
    <row r="192" spans="1:14">
      <c r="A192" s="47">
        <v>187</v>
      </c>
      <c r="D192" s="550" t="s">
        <v>1817</v>
      </c>
      <c r="E192" s="440">
        <f>试算平衡表!E193/10000</f>
        <v>0</v>
      </c>
      <c r="F192" s="440">
        <f>试算平衡表!F193/10000</f>
        <v>0</v>
      </c>
      <c r="G192" s="440">
        <f>试算平衡表!G193/10000</f>
        <v>0</v>
      </c>
      <c r="H192" s="440">
        <f>试算平衡表!H193/10000</f>
        <v>0</v>
      </c>
      <c r="I192" s="440">
        <f>试算平衡表!I193/10000</f>
        <v>0</v>
      </c>
      <c r="J192" s="440">
        <f>试算平衡表!J193/10000</f>
        <v>0</v>
      </c>
      <c r="K192" s="440">
        <f>试算平衡表!K193/10000</f>
        <v>0</v>
      </c>
      <c r="L192" s="440">
        <f>试算平衡表!L193/10000</f>
        <v>0</v>
      </c>
      <c r="M192" s="440">
        <f>试算平衡表!M193/10000</f>
        <v>0</v>
      </c>
      <c r="N192" s="440">
        <f>试算平衡表!N193/10000</f>
        <v>0</v>
      </c>
    </row>
    <row r="193" spans="1:14">
      <c r="A193" s="47">
        <v>188</v>
      </c>
      <c r="D193" s="547" t="s">
        <v>1818</v>
      </c>
      <c r="E193" s="440">
        <f>试算平衡表!E194/10000</f>
        <v>0</v>
      </c>
      <c r="F193" s="440">
        <f>试算平衡表!F194/10000</f>
        <v>0</v>
      </c>
      <c r="G193" s="440">
        <f>试算平衡表!G194/10000</f>
        <v>0</v>
      </c>
      <c r="H193" s="440">
        <f>试算平衡表!H194/10000</f>
        <v>0</v>
      </c>
      <c r="I193" s="440">
        <f>试算平衡表!I194/10000</f>
        <v>0</v>
      </c>
      <c r="J193" s="440">
        <f>试算平衡表!J194/10000</f>
        <v>0</v>
      </c>
      <c r="K193" s="440">
        <f>试算平衡表!K194/10000</f>
        <v>0</v>
      </c>
      <c r="L193" s="440">
        <f>试算平衡表!L194/10000</f>
        <v>0</v>
      </c>
      <c r="M193" s="440">
        <f>试算平衡表!M194/10000</f>
        <v>0</v>
      </c>
      <c r="N193" s="440">
        <f>试算平衡表!N194/10000</f>
        <v>0</v>
      </c>
    </row>
    <row r="194" spans="1:14">
      <c r="A194" s="47">
        <v>189</v>
      </c>
      <c r="D194" s="550" t="s">
        <v>1819</v>
      </c>
      <c r="E194" s="440">
        <f>试算平衡表!E195/10000</f>
        <v>0</v>
      </c>
      <c r="F194" s="440">
        <f>试算平衡表!F195/10000</f>
        <v>0</v>
      </c>
      <c r="G194" s="440">
        <f>试算平衡表!G195/10000</f>
        <v>0</v>
      </c>
      <c r="H194" s="440">
        <f>试算平衡表!H195/10000</f>
        <v>0</v>
      </c>
      <c r="I194" s="440">
        <f>试算平衡表!I195/10000</f>
        <v>0</v>
      </c>
      <c r="J194" s="440">
        <f>试算平衡表!J195/10000</f>
        <v>0</v>
      </c>
      <c r="K194" s="440">
        <f>试算平衡表!K195/10000</f>
        <v>0</v>
      </c>
      <c r="L194" s="440">
        <f>试算平衡表!L195/10000</f>
        <v>0</v>
      </c>
      <c r="M194" s="440">
        <f>试算平衡表!M195/10000</f>
        <v>0</v>
      </c>
      <c r="N194" s="440">
        <f>试算平衡表!N195/10000</f>
        <v>0</v>
      </c>
    </row>
    <row r="195" spans="1:14">
      <c r="A195" s="47">
        <v>190</v>
      </c>
      <c r="D195" s="550" t="s">
        <v>1820</v>
      </c>
      <c r="E195" s="440">
        <f>试算平衡表!E196/10000</f>
        <v>0</v>
      </c>
      <c r="F195" s="440">
        <f>试算平衡表!F196/10000</f>
        <v>0</v>
      </c>
      <c r="G195" s="440">
        <f>试算平衡表!G196/10000</f>
        <v>0</v>
      </c>
      <c r="H195" s="440">
        <f>试算平衡表!H196/10000</f>
        <v>0</v>
      </c>
      <c r="I195" s="440">
        <f>试算平衡表!I196/10000</f>
        <v>0</v>
      </c>
      <c r="J195" s="440">
        <f>试算平衡表!J196/10000</f>
        <v>0</v>
      </c>
      <c r="K195" s="440">
        <f>试算平衡表!K196/10000</f>
        <v>0</v>
      </c>
      <c r="L195" s="440">
        <f>试算平衡表!L196/10000</f>
        <v>0</v>
      </c>
      <c r="M195" s="440">
        <f>试算平衡表!M196/10000</f>
        <v>0</v>
      </c>
      <c r="N195" s="440">
        <f>试算平衡表!N196/10000</f>
        <v>0</v>
      </c>
    </row>
    <row r="196" spans="1:14">
      <c r="A196" s="47">
        <v>191</v>
      </c>
      <c r="D196" s="550" t="s">
        <v>1821</v>
      </c>
      <c r="E196" s="440">
        <f>试算平衡表!E197/10000</f>
        <v>0</v>
      </c>
      <c r="F196" s="440">
        <f>试算平衡表!F197/10000</f>
        <v>0</v>
      </c>
      <c r="G196" s="440">
        <f>试算平衡表!G197/10000</f>
        <v>0</v>
      </c>
      <c r="H196" s="440">
        <f>试算平衡表!H197/10000</f>
        <v>0</v>
      </c>
      <c r="I196" s="440">
        <f>试算平衡表!I197/10000</f>
        <v>0</v>
      </c>
      <c r="J196" s="440">
        <f>试算平衡表!J197/10000</f>
        <v>0</v>
      </c>
      <c r="K196" s="440">
        <f>试算平衡表!K197/10000</f>
        <v>0</v>
      </c>
      <c r="L196" s="440">
        <f>试算平衡表!L197/10000</f>
        <v>0</v>
      </c>
      <c r="M196" s="440">
        <f>试算平衡表!M197/10000</f>
        <v>0</v>
      </c>
      <c r="N196" s="440">
        <f>试算平衡表!N197/10000</f>
        <v>0</v>
      </c>
    </row>
    <row r="197" spans="1:14">
      <c r="A197" s="47">
        <v>192</v>
      </c>
      <c r="D197" s="550" t="s">
        <v>1822</v>
      </c>
      <c r="E197" s="440">
        <f>试算平衡表!E198/10000</f>
        <v>0</v>
      </c>
      <c r="F197" s="440">
        <f>试算平衡表!F198/10000</f>
        <v>0</v>
      </c>
      <c r="G197" s="440">
        <f>试算平衡表!G198/10000</f>
        <v>0</v>
      </c>
      <c r="H197" s="440">
        <f>试算平衡表!H198/10000</f>
        <v>0</v>
      </c>
      <c r="I197" s="440">
        <f>试算平衡表!I198/10000</f>
        <v>0</v>
      </c>
      <c r="J197" s="440">
        <f>试算平衡表!J198/10000</f>
        <v>0</v>
      </c>
      <c r="K197" s="440">
        <f>试算平衡表!K198/10000</f>
        <v>0</v>
      </c>
      <c r="L197" s="440">
        <f>试算平衡表!L198/10000</f>
        <v>0</v>
      </c>
      <c r="M197" s="440">
        <f>试算平衡表!M198/10000</f>
        <v>0</v>
      </c>
      <c r="N197" s="440">
        <f>试算平衡表!N198/10000</f>
        <v>0</v>
      </c>
    </row>
    <row r="198" spans="1:14">
      <c r="A198" s="47">
        <v>193</v>
      </c>
      <c r="D198" s="550" t="s">
        <v>1823</v>
      </c>
      <c r="E198" s="440">
        <f>试算平衡表!E199/10000</f>
        <v>0</v>
      </c>
      <c r="F198" s="440">
        <f>试算平衡表!F199/10000</f>
        <v>0</v>
      </c>
      <c r="G198" s="440">
        <f>试算平衡表!G199/10000</f>
        <v>0</v>
      </c>
      <c r="H198" s="440">
        <f>试算平衡表!H199/10000</f>
        <v>0</v>
      </c>
      <c r="I198" s="440">
        <f>试算平衡表!I199/10000</f>
        <v>0</v>
      </c>
      <c r="J198" s="440">
        <f>试算平衡表!J199/10000</f>
        <v>0</v>
      </c>
      <c r="K198" s="440">
        <f>试算平衡表!K199/10000</f>
        <v>0</v>
      </c>
      <c r="L198" s="440">
        <f>试算平衡表!L199/10000</f>
        <v>0</v>
      </c>
      <c r="M198" s="440">
        <f>试算平衡表!M199/10000</f>
        <v>0</v>
      </c>
      <c r="N198" s="440">
        <f>试算平衡表!N199/10000</f>
        <v>0</v>
      </c>
    </row>
    <row r="199" spans="1:14">
      <c r="A199" s="47"/>
      <c r="D199" s="1476" t="s">
        <v>4822</v>
      </c>
      <c r="E199" s="440">
        <f>试算平衡表!E200/10000</f>
        <v>0</v>
      </c>
      <c r="F199" s="440">
        <f>试算平衡表!F200/10000</f>
        <v>0</v>
      </c>
      <c r="G199" s="440">
        <f>试算平衡表!G200/10000</f>
        <v>0</v>
      </c>
      <c r="H199" s="440">
        <f>试算平衡表!H200/10000</f>
        <v>0</v>
      </c>
      <c r="I199" s="440">
        <f>试算平衡表!I200/10000</f>
        <v>0</v>
      </c>
      <c r="J199" s="440">
        <f>试算平衡表!J200/10000</f>
        <v>0</v>
      </c>
      <c r="K199" s="440">
        <f>试算平衡表!K200/10000</f>
        <v>0</v>
      </c>
      <c r="L199" s="440">
        <f>试算平衡表!L200/10000</f>
        <v>0</v>
      </c>
      <c r="M199" s="440">
        <f>试算平衡表!M200/10000</f>
        <v>0</v>
      </c>
      <c r="N199" s="440">
        <f>试算平衡表!N200/10000</f>
        <v>0</v>
      </c>
    </row>
    <row r="200" spans="1:14">
      <c r="A200" s="47">
        <v>194</v>
      </c>
      <c r="D200" s="551" t="s">
        <v>1824</v>
      </c>
      <c r="E200" s="440">
        <f>试算平衡表!E201/10000</f>
        <v>-400.05194</v>
      </c>
      <c r="F200" s="440">
        <f>试算平衡表!F201/10000</f>
        <v>35.143485999999996</v>
      </c>
      <c r="G200" s="440">
        <f>试算平衡表!G201/10000</f>
        <v>442.71044800000004</v>
      </c>
      <c r="H200" s="440">
        <f>试算平衡表!H201/10000</f>
        <v>407.56696200000005</v>
      </c>
      <c r="I200" s="440">
        <f>试算平衡表!I201/10000</f>
        <v>7.5150220000000552</v>
      </c>
      <c r="J200" s="440">
        <f>试算平衡表!J201/10000</f>
        <v>377.287691</v>
      </c>
      <c r="K200" s="440">
        <f>试算平衡表!K201/10000</f>
        <v>4.349342</v>
      </c>
      <c r="L200" s="440">
        <f>试算平衡表!L201/10000</f>
        <v>4.349342</v>
      </c>
      <c r="M200" s="440">
        <f>试算平衡表!M201/10000</f>
        <v>0</v>
      </c>
      <c r="N200" s="440">
        <f>试算平衡表!N201/10000</f>
        <v>377.287691</v>
      </c>
    </row>
    <row r="201" spans="1:14">
      <c r="A201" s="47">
        <v>195</v>
      </c>
      <c r="D201" s="550" t="s">
        <v>696</v>
      </c>
      <c r="E201" s="440">
        <f>试算平衡表!E202/10000</f>
        <v>-400.05194</v>
      </c>
      <c r="F201" s="440">
        <f>试算平衡表!F202/10000</f>
        <v>35.143485999999996</v>
      </c>
      <c r="G201" s="440">
        <f>试算平衡表!G202/10000</f>
        <v>442.71044800000004</v>
      </c>
      <c r="H201" s="440">
        <f>试算平衡表!H202/10000</f>
        <v>407.56696200000005</v>
      </c>
      <c r="I201" s="440">
        <f>试算平衡表!I202/10000</f>
        <v>7.5150220000000552</v>
      </c>
      <c r="J201" s="440">
        <f>试算平衡表!J202/10000</f>
        <v>377.287691</v>
      </c>
      <c r="K201" s="440">
        <f>试算平衡表!K202/10000</f>
        <v>4.349342</v>
      </c>
      <c r="L201" s="440">
        <f>试算平衡表!L202/10000</f>
        <v>4.349342</v>
      </c>
      <c r="M201" s="440">
        <f>试算平衡表!M202/10000</f>
        <v>0</v>
      </c>
      <c r="N201" s="440">
        <f>试算平衡表!N202/10000</f>
        <v>377.287691</v>
      </c>
    </row>
    <row r="202" spans="1:14">
      <c r="A202" s="47">
        <v>196</v>
      </c>
      <c r="D202" s="550" t="s">
        <v>1825</v>
      </c>
      <c r="E202" s="440">
        <f>试算平衡表!E203/10000</f>
        <v>0</v>
      </c>
      <c r="F202" s="440">
        <f>试算平衡表!F203/10000</f>
        <v>0</v>
      </c>
      <c r="G202" s="440">
        <f>试算平衡表!G203/10000</f>
        <v>0</v>
      </c>
      <c r="H202" s="440">
        <f>试算平衡表!H203/10000</f>
        <v>0</v>
      </c>
      <c r="I202" s="440">
        <f>试算平衡表!I203/10000</f>
        <v>0</v>
      </c>
      <c r="J202" s="440">
        <f>试算平衡表!J203/10000</f>
        <v>0</v>
      </c>
      <c r="K202" s="440">
        <f>试算平衡表!K203/10000</f>
        <v>0</v>
      </c>
      <c r="L202" s="440">
        <f>试算平衡表!L203/10000</f>
        <v>0</v>
      </c>
      <c r="M202" s="440">
        <f>试算平衡表!M203/10000</f>
        <v>0</v>
      </c>
      <c r="N202" s="440">
        <f>试算平衡表!N203/10000</f>
        <v>0</v>
      </c>
    </row>
    <row r="203" spans="1:14">
      <c r="A203" s="47">
        <v>197</v>
      </c>
      <c r="D203" s="543" t="s">
        <v>1826</v>
      </c>
      <c r="E203" s="430"/>
      <c r="F203" s="434"/>
      <c r="G203" s="434"/>
      <c r="H203" s="403"/>
      <c r="I203" s="434"/>
      <c r="J203" s="430"/>
      <c r="K203" s="434"/>
      <c r="L203" s="434"/>
      <c r="M203" s="403"/>
      <c r="N203" s="434"/>
    </row>
    <row r="204" spans="1:14">
      <c r="A204" s="47">
        <v>198</v>
      </c>
      <c r="D204" s="550" t="s">
        <v>692</v>
      </c>
      <c r="E204" s="440">
        <f>试算平衡表!E205</f>
        <v>0</v>
      </c>
      <c r="F204" s="440">
        <f>试算平衡表!F205</f>
        <v>0</v>
      </c>
      <c r="G204" s="440">
        <f>试算平衡表!G205</f>
        <v>0</v>
      </c>
      <c r="H204" s="440">
        <f>试算平衡表!H205</f>
        <v>0</v>
      </c>
      <c r="I204" s="440">
        <f>试算平衡表!I205</f>
        <v>0</v>
      </c>
      <c r="J204" s="440">
        <f>试算平衡表!J205</f>
        <v>0</v>
      </c>
      <c r="K204" s="440">
        <f>试算平衡表!K205</f>
        <v>0</v>
      </c>
      <c r="L204" s="440">
        <f>试算平衡表!L205</f>
        <v>0</v>
      </c>
      <c r="M204" s="440">
        <f>试算平衡表!M205</f>
        <v>0</v>
      </c>
      <c r="N204" s="440">
        <f>试算平衡表!N205</f>
        <v>0</v>
      </c>
    </row>
    <row r="205" spans="1:14">
      <c r="A205" s="47">
        <v>199</v>
      </c>
      <c r="D205" s="550" t="s">
        <v>693</v>
      </c>
      <c r="E205" s="440">
        <f>试算平衡表!E206</f>
        <v>0</v>
      </c>
      <c r="F205" s="440">
        <f>试算平衡表!F206</f>
        <v>0</v>
      </c>
      <c r="G205" s="440">
        <f>试算平衡表!G206</f>
        <v>0</v>
      </c>
      <c r="H205" s="440">
        <f>试算平衡表!H206</f>
        <v>0</v>
      </c>
      <c r="I205" s="440">
        <f>试算平衡表!I206</f>
        <v>0</v>
      </c>
      <c r="J205" s="440">
        <f>试算平衡表!J206</f>
        <v>0</v>
      </c>
      <c r="K205" s="440">
        <f>试算平衡表!K206</f>
        <v>0</v>
      </c>
      <c r="L205" s="440">
        <f>试算平衡表!L206</f>
        <v>0</v>
      </c>
      <c r="M205" s="440">
        <f>试算平衡表!M206</f>
        <v>0</v>
      </c>
      <c r="N205" s="440">
        <f>试算平衡表!N206</f>
        <v>0</v>
      </c>
    </row>
    <row r="206" spans="1:14">
      <c r="A206" s="47"/>
    </row>
    <row r="207" spans="1:14">
      <c r="A207" s="47"/>
    </row>
    <row r="208" spans="1:14">
      <c r="A208" s="47"/>
    </row>
  </sheetData>
  <sheetProtection formatCells="0" formatColumns="0" formatRows="0" autoFilter="0"/>
  <autoFilter ref="B5:R54" xr:uid="{00000000-0009-0000-0000-000009000000}"/>
  <mergeCells count="12">
    <mergeCell ref="P13:P15"/>
    <mergeCell ref="P16:P18"/>
    <mergeCell ref="P19:P21"/>
    <mergeCell ref="P22:P24"/>
    <mergeCell ref="P7:P9"/>
    <mergeCell ref="Q7:Q9"/>
    <mergeCell ref="R7:R9"/>
    <mergeCell ref="S7:S9"/>
    <mergeCell ref="P10:P12"/>
    <mergeCell ref="Q10:Q12"/>
    <mergeCell ref="R10:R12"/>
    <mergeCell ref="S10:S12"/>
  </mergeCells>
  <phoneticPr fontId="5" type="noConversion"/>
  <conditionalFormatting sqref="D160 D88 D40 D38 D107 D144:D145 D100:D101 D171:D172 D72 D137:D138 D177 D111 D98 D51 D53:D54 D28 D120 D157 D22 D181 D183:D184 D167 D127:D131 D74 D103:D104 D76 D204:N205 D200:D202">
    <cfRule type="cellIs" dxfId="173" priority="19" stopIfTrue="1" operator="notEqual">
      <formula>0</formula>
    </cfRule>
    <cfRule type="cellIs" dxfId="172" priority="20" stopIfTrue="1" operator="equal">
      <formula>0</formula>
    </cfRule>
  </conditionalFormatting>
  <conditionalFormatting sqref="D188:D189">
    <cfRule type="cellIs" dxfId="171" priority="1" stopIfTrue="1" operator="notEqual">
      <formula>0</formula>
    </cfRule>
    <cfRule type="cellIs" dxfId="170" priority="2" stopIfTrue="1" operator="equal">
      <formula>0</formula>
    </cfRule>
  </conditionalFormatting>
  <hyperlinks>
    <hyperlink ref="O2:Q3" location="附注填写封面!B3" display="返回目录" xr:uid="{00000000-0004-0000-0900-000000000000}"/>
  </hyperlinks>
  <printOptions horizontalCentered="1"/>
  <pageMargins left="0.82677165354330717" right="0.35433070866141736" top="0.82677165354330717" bottom="0.51181102362204722" header="0.51181102362204722" footer="0.23622047244094491"/>
  <pageSetup paperSize="9" scale="68" fitToHeight="7" orientation="landscape" blackAndWhite="1" useFirstPageNumber="1" r:id="rId1"/>
  <headerFooter alignWithMargins="0">
    <oddFooter>&amp;C&amp;"Times New Roman,常规"&amp;P</oddFooter>
  </headerFooter>
  <rowBreaks count="2" manualBreakCount="2">
    <brk id="58" min="3" max="13" man="1"/>
    <brk id="135" min="3" max="13" man="1"/>
  </rowBreaks>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pageSetUpPr autoPageBreaks="0" fitToPage="1"/>
  </sheetPr>
  <dimension ref="A1:Q206"/>
  <sheetViews>
    <sheetView showGridLines="0" showZeros="0" zoomScale="90" zoomScaleNormal="90" zoomScaleSheetLayoutView="75" zoomScalePageLayoutView="90" workbookViewId="0">
      <pane xSplit="1" ySplit="5" topLeftCell="F144" activePane="bottomRight" state="frozen"/>
      <selection activeCell="A5" sqref="A5:A6"/>
      <selection pane="topRight" activeCell="A5" sqref="A5:A6"/>
      <selection pane="bottomLeft" activeCell="A5" sqref="A5:A6"/>
      <selection pane="bottomRight" activeCell="A164" sqref="A164:XFD164"/>
    </sheetView>
  </sheetViews>
  <sheetFormatPr defaultColWidth="20.375" defaultRowHeight="12.75"/>
  <cols>
    <col min="1" max="1" width="35" style="127" customWidth="1"/>
    <col min="2" max="2" width="29.625" style="127" customWidth="1"/>
    <col min="3" max="3" width="41.875" style="572" customWidth="1"/>
    <col min="4" max="4" width="10.125" style="573" customWidth="1"/>
    <col min="5" max="5" width="13.5" style="127" customWidth="1"/>
    <col min="6" max="6" width="15.625" style="127" customWidth="1"/>
    <col min="7" max="7" width="18.625" style="127" customWidth="1"/>
    <col min="8" max="8" width="15.5" style="127" bestFit="1" customWidth="1"/>
    <col min="9" max="9" width="21.875" style="127" bestFit="1" customWidth="1"/>
    <col min="10" max="10" width="15.125" style="127" customWidth="1"/>
    <col min="11" max="11" width="20.625" style="127" customWidth="1"/>
    <col min="12" max="12" width="16.875" style="127" customWidth="1"/>
    <col min="13" max="13" width="14" style="127" bestFit="1" customWidth="1"/>
    <col min="14" max="14" width="16" style="127" bestFit="1" customWidth="1"/>
    <col min="15" max="15" width="15.875" style="127" customWidth="1"/>
    <col min="16" max="17" width="9" style="127" customWidth="1"/>
    <col min="18" max="16384" width="20.375" style="127"/>
  </cols>
  <sheetData>
    <row r="1" spans="1:17">
      <c r="A1" s="518" t="s">
        <v>1828</v>
      </c>
      <c r="B1" s="518"/>
      <c r="C1" s="519"/>
      <c r="D1" s="519"/>
      <c r="E1" s="519"/>
      <c r="F1" s="519"/>
      <c r="G1" s="519"/>
      <c r="H1" s="519"/>
      <c r="I1" s="519"/>
      <c r="J1" s="519"/>
      <c r="K1" s="520"/>
      <c r="L1" s="520"/>
      <c r="M1" s="520"/>
      <c r="N1" s="520"/>
    </row>
    <row r="2" spans="1:17">
      <c r="A2" s="521"/>
      <c r="B2" s="521"/>
      <c r="C2" s="564"/>
      <c r="D2" s="522"/>
      <c r="E2" s="522"/>
      <c r="F2" s="522"/>
      <c r="G2" s="522"/>
      <c r="H2" s="522"/>
      <c r="I2" s="516" t="s">
        <v>1829</v>
      </c>
      <c r="J2" s="522"/>
      <c r="N2" s="523" t="s">
        <v>1830</v>
      </c>
      <c r="O2" s="565"/>
      <c r="P2" s="516" t="s">
        <v>1829</v>
      </c>
      <c r="Q2" s="565"/>
    </row>
    <row r="3" spans="1:17" s="516" customFormat="1">
      <c r="A3" s="512" t="str">
        <f>封面!$E$4</f>
        <v>被审计单位：华鼎资本（北京）有限公司</v>
      </c>
      <c r="B3" s="556"/>
      <c r="C3" s="556"/>
      <c r="D3" s="513"/>
      <c r="E3" s="513"/>
      <c r="F3" s="513"/>
      <c r="G3" s="512" t="str">
        <f>"编制人："&amp;封面!C8</f>
        <v>编制人：王咲晨</v>
      </c>
      <c r="H3" s="556"/>
      <c r="I3" s="513"/>
      <c r="J3" s="513"/>
      <c r="K3" s="557" t="str">
        <f>调整分录!H3</f>
        <v>编制时间：</v>
      </c>
      <c r="L3" s="558">
        <f>封面!C10</f>
        <v>0</v>
      </c>
      <c r="M3" s="559"/>
      <c r="N3" s="560">
        <f>K103</f>
        <v>0</v>
      </c>
      <c r="O3" s="516" t="s">
        <v>1829</v>
      </c>
      <c r="P3" s="565"/>
      <c r="Q3" s="565"/>
    </row>
    <row r="4" spans="1:17" s="516" customFormat="1">
      <c r="A4" s="423" t="str">
        <f>"所审期间："&amp;封面!C6</f>
        <v>所审期间：2019年1-5月</v>
      </c>
      <c r="B4" s="521">
        <v>1</v>
      </c>
      <c r="C4" s="521">
        <v>2</v>
      </c>
      <c r="D4" s="521">
        <v>3</v>
      </c>
      <c r="E4" s="521">
        <v>4</v>
      </c>
      <c r="F4" s="521">
        <v>5</v>
      </c>
      <c r="G4" s="561" t="str">
        <f>"编制人："&amp;封面!C9</f>
        <v>编制人：逯敏</v>
      </c>
      <c r="H4" s="521">
        <v>7</v>
      </c>
      <c r="I4" s="521">
        <v>8</v>
      </c>
      <c r="J4" s="521">
        <v>9</v>
      </c>
      <c r="K4" s="557" t="str">
        <f>调整分录!H4</f>
        <v>复核时间：</v>
      </c>
      <c r="L4" s="558">
        <f>封面!C11</f>
        <v>0</v>
      </c>
      <c r="M4" s="562">
        <v>12</v>
      </c>
      <c r="N4" s="563">
        <v>13</v>
      </c>
    </row>
    <row r="5" spans="1:17" s="565" customFormat="1">
      <c r="A5" s="524" t="s">
        <v>1831</v>
      </c>
      <c r="B5" s="526" t="s">
        <v>1832</v>
      </c>
      <c r="C5" s="526" t="s">
        <v>1743</v>
      </c>
      <c r="D5" s="526" t="s">
        <v>1833</v>
      </c>
      <c r="E5" s="525" t="str">
        <f>"未审"&amp;未审资产负债表!C4</f>
        <v>未审期末金额</v>
      </c>
      <c r="F5" s="526" t="s">
        <v>1834</v>
      </c>
      <c r="G5" s="526" t="s">
        <v>1750</v>
      </c>
      <c r="H5" s="527" t="s">
        <v>1751</v>
      </c>
      <c r="I5" s="525" t="str">
        <f>"审定"&amp;未审资产负债表!C4</f>
        <v>审定期末金额</v>
      </c>
      <c r="J5" s="528" t="str">
        <f>"未审"&amp;未审资产负债表!D4</f>
        <v>未审年初金额</v>
      </c>
      <c r="K5" s="526" t="s">
        <v>1835</v>
      </c>
      <c r="L5" s="526" t="s">
        <v>1836</v>
      </c>
      <c r="M5" s="527" t="s">
        <v>1837</v>
      </c>
      <c r="N5" s="525" t="str">
        <f>"审定"&amp;未审资产负债表!D4</f>
        <v>审定年初金额</v>
      </c>
    </row>
    <row r="6" spans="1:17">
      <c r="A6" s="529" t="s">
        <v>532</v>
      </c>
      <c r="B6" s="529"/>
      <c r="C6" s="535"/>
      <c r="D6" s="429"/>
      <c r="E6" s="434"/>
      <c r="F6" s="434"/>
      <c r="G6" s="434"/>
      <c r="H6" s="403"/>
      <c r="I6" s="434"/>
      <c r="J6" s="434"/>
      <c r="K6" s="434"/>
      <c r="L6" s="434"/>
      <c r="M6" s="403"/>
      <c r="N6" s="434"/>
    </row>
    <row r="7" spans="1:17">
      <c r="A7" s="530" t="s">
        <v>533</v>
      </c>
      <c r="B7" s="530" t="s">
        <v>1838</v>
      </c>
      <c r="C7" s="535" t="s">
        <v>1838</v>
      </c>
      <c r="D7" s="566" t="s">
        <v>1839</v>
      </c>
      <c r="E7" s="440">
        <f>ROUND(未审资产负债表!C6,2)</f>
        <v>1273033.68</v>
      </c>
      <c r="F7" s="440">
        <f>ROUND(SUMIF(调整分录!D:D,试算平衡表!C7,调整分录!H:H),2)</f>
        <v>0</v>
      </c>
      <c r="G7" s="440">
        <f>ROUND(SUMIF(调整分录!D:D,试算平衡表!C7,调整分录!I:I),2)</f>
        <v>0</v>
      </c>
      <c r="H7" s="405">
        <f>I7-E7</f>
        <v>0</v>
      </c>
      <c r="I7" s="440">
        <f>IF(D7="借",E7+F7-G7,IF(D7="贷",E7+G7-F7,IF(D7="",0,0)))</f>
        <v>1273033.68</v>
      </c>
      <c r="J7" s="440">
        <f>ROUND(未审资产负债表!D6,2)</f>
        <v>6270239.29</v>
      </c>
      <c r="K7" s="440">
        <f>ROUND(SUMIF(调整分录!D:D,试算平衡表!C7,调整分录!F:F),2)</f>
        <v>0</v>
      </c>
      <c r="L7" s="440">
        <f>ROUND(SUMIF(调整分录!D:D,试算平衡表!C7,调整分录!G:G),2)</f>
        <v>0</v>
      </c>
      <c r="M7" s="405">
        <f>N7-J7</f>
        <v>0</v>
      </c>
      <c r="N7" s="440">
        <f>IF(D7="借",J7+K7-L7,IF(D7="贷",J7+L7-K7,IF(D7="",0,0)))</f>
        <v>6270239.29</v>
      </c>
    </row>
    <row r="8" spans="1:17">
      <c r="A8" s="530" t="s">
        <v>534</v>
      </c>
      <c r="B8" s="530" t="s">
        <v>1840</v>
      </c>
      <c r="C8" s="535" t="s">
        <v>1840</v>
      </c>
      <c r="D8" s="566" t="s">
        <v>1839</v>
      </c>
      <c r="E8" s="440">
        <f>ROUND(未审资产负债表!C7,2)</f>
        <v>0</v>
      </c>
      <c r="F8" s="440">
        <f>ROUND(SUMIF(调整分录!D:D,试算平衡表!C8,调整分录!H:H),2)</f>
        <v>0</v>
      </c>
      <c r="G8" s="440">
        <f>ROUND(SUMIF(调整分录!D:D,试算平衡表!C8,调整分录!I:I),2)</f>
        <v>0</v>
      </c>
      <c r="H8" s="405">
        <f t="shared" ref="H8:H52" si="0">I8-E8</f>
        <v>0</v>
      </c>
      <c r="I8" s="440">
        <f t="shared" ref="I8:I74" si="1">IF(D8="借",E8+F8-G8,IF(D8="贷",E8+G8-F8,IF(D8="",0,0)))</f>
        <v>0</v>
      </c>
      <c r="J8" s="440">
        <f>ROUND(未审资产负债表!D7,2)</f>
        <v>0</v>
      </c>
      <c r="K8" s="440">
        <f>ROUND(SUMIF(调整分录!D:D,试算平衡表!C8,调整分录!F:F),2)</f>
        <v>0</v>
      </c>
      <c r="L8" s="440">
        <f>ROUND(SUMIF(调整分录!D:D,试算平衡表!C8,调整分录!G:G),2)</f>
        <v>0</v>
      </c>
      <c r="M8" s="405">
        <f t="shared" ref="M8:M54" si="2">N8-J8</f>
        <v>0</v>
      </c>
      <c r="N8" s="440">
        <f t="shared" ref="N8:N74" si="3">IF(D8="借",J8+K8-L8,IF(D8="贷",J8+L8-K8,IF(D8="",0,0)))</f>
        <v>0</v>
      </c>
    </row>
    <row r="9" spans="1:17">
      <c r="A9" s="530" t="s">
        <v>535</v>
      </c>
      <c r="B9" s="530" t="s">
        <v>1841</v>
      </c>
      <c r="C9" s="535" t="s">
        <v>1841</v>
      </c>
      <c r="D9" s="566" t="s">
        <v>1839</v>
      </c>
      <c r="E9" s="440">
        <f>ROUND(未审资产负债表!C8,2)</f>
        <v>0</v>
      </c>
      <c r="F9" s="440">
        <f>ROUND(SUMIF(调整分录!D:D,试算平衡表!C9,调整分录!H:H),2)</f>
        <v>0</v>
      </c>
      <c r="G9" s="440">
        <f>ROUND(SUMIF(调整分录!D:D,试算平衡表!C9,调整分录!I:I),2)</f>
        <v>0</v>
      </c>
      <c r="H9" s="405">
        <f t="shared" si="0"/>
        <v>0</v>
      </c>
      <c r="I9" s="440">
        <f t="shared" si="1"/>
        <v>0</v>
      </c>
      <c r="J9" s="440">
        <f>ROUND(未审资产负债表!D8,2)</f>
        <v>0</v>
      </c>
      <c r="K9" s="440">
        <f>ROUND(SUMIF(调整分录!D:D,试算平衡表!C9,调整分录!F:F),2)</f>
        <v>0</v>
      </c>
      <c r="L9" s="440">
        <f>ROUND(SUMIF(调整分录!D:D,试算平衡表!C9,调整分录!G:G),2)</f>
        <v>0</v>
      </c>
      <c r="M9" s="405">
        <f t="shared" si="2"/>
        <v>0</v>
      </c>
      <c r="N9" s="440">
        <f t="shared" si="3"/>
        <v>0</v>
      </c>
    </row>
    <row r="10" spans="1:17">
      <c r="A10" s="530" t="s">
        <v>1842</v>
      </c>
      <c r="B10" s="530" t="s">
        <v>1843</v>
      </c>
      <c r="C10" s="535" t="s">
        <v>1843</v>
      </c>
      <c r="D10" s="566" t="s">
        <v>1839</v>
      </c>
      <c r="E10" s="440">
        <f>ROUND(未审资产负债表!C9,2)</f>
        <v>0</v>
      </c>
      <c r="F10" s="440">
        <f>ROUND(SUMIF(调整分录!D:D,试算平衡表!C10,调整分录!H:H),2)</f>
        <v>0</v>
      </c>
      <c r="G10" s="440">
        <f>ROUND(SUMIF(调整分录!D:D,试算平衡表!C10,调整分录!I:I),2)</f>
        <v>0</v>
      </c>
      <c r="H10" s="405">
        <f>I10-E10</f>
        <v>0</v>
      </c>
      <c r="I10" s="440">
        <f>IF(D10="借",E10+F10-G10,IF(D10="贷",E10+G10-F10,IF(D10="",0,0)))</f>
        <v>0</v>
      </c>
      <c r="J10" s="440">
        <f>ROUND(未审资产负债表!D9,2)</f>
        <v>0</v>
      </c>
      <c r="K10" s="440">
        <f>ROUND(SUMIF(调整分录!D:D,试算平衡表!C10,调整分录!F:F),2)</f>
        <v>0</v>
      </c>
      <c r="L10" s="440">
        <f>ROUND(SUMIF(调整分录!D:D,试算平衡表!C10,调整分录!G:G),2)</f>
        <v>0</v>
      </c>
      <c r="M10" s="405">
        <f>N10-J10</f>
        <v>0</v>
      </c>
      <c r="N10" s="440">
        <f>IF(D10="借",J10+K10-L10,IF(D10="贷",J10+L10-K10,IF(D10="",0,0)))</f>
        <v>0</v>
      </c>
    </row>
    <row r="11" spans="1:17">
      <c r="A11" s="530" t="s">
        <v>1844</v>
      </c>
      <c r="B11" s="530" t="s">
        <v>1845</v>
      </c>
      <c r="C11" s="535" t="s">
        <v>1845</v>
      </c>
      <c r="D11" s="566" t="s">
        <v>1839</v>
      </c>
      <c r="E11" s="440">
        <f>ROUND(未审资产负债表!C10,2)</f>
        <v>0</v>
      </c>
      <c r="F11" s="440">
        <f>ROUND(SUMIF(调整分录!D:D,试算平衡表!C11,调整分录!H:H),2)</f>
        <v>0</v>
      </c>
      <c r="G11" s="440">
        <f>ROUND(SUMIF(调整分录!D:D,试算平衡表!C11,调整分录!I:I),2)</f>
        <v>0</v>
      </c>
      <c r="H11" s="405">
        <f t="shared" si="0"/>
        <v>0</v>
      </c>
      <c r="I11" s="440">
        <f t="shared" si="1"/>
        <v>0</v>
      </c>
      <c r="J11" s="440">
        <f>ROUND(未审资产负债表!D10,2)</f>
        <v>0</v>
      </c>
      <c r="K11" s="440">
        <f>ROUND(SUMIF(调整分录!D:D,试算平衡表!C11,调整分录!F:F),2)</f>
        <v>0</v>
      </c>
      <c r="L11" s="440">
        <f>ROUND(SUMIF(调整分录!D:D,试算平衡表!C11,调整分录!G:G),2)</f>
        <v>0</v>
      </c>
      <c r="M11" s="405">
        <f t="shared" si="2"/>
        <v>0</v>
      </c>
      <c r="N11" s="440">
        <f t="shared" si="3"/>
        <v>0</v>
      </c>
    </row>
    <row r="12" spans="1:17">
      <c r="A12" s="530" t="s">
        <v>536</v>
      </c>
      <c r="B12" s="530" t="s">
        <v>1846</v>
      </c>
      <c r="C12" s="535" t="s">
        <v>1846</v>
      </c>
      <c r="D12" s="566" t="s">
        <v>1839</v>
      </c>
      <c r="E12" s="440">
        <f>ROUND(未审资产负债表!C11,2)</f>
        <v>0</v>
      </c>
      <c r="F12" s="440">
        <f>ROUND(SUMIF(调整分录!D:D,试算平衡表!C12,调整分录!H:H),2)</f>
        <v>0</v>
      </c>
      <c r="G12" s="440">
        <f>ROUND(SUMIF(调整分录!D:D,试算平衡表!C12,调整分录!I:I),2)</f>
        <v>0</v>
      </c>
      <c r="H12" s="405">
        <f t="shared" si="0"/>
        <v>0</v>
      </c>
      <c r="I12" s="440">
        <f t="shared" si="1"/>
        <v>0</v>
      </c>
      <c r="J12" s="440">
        <f>ROUND(未审资产负债表!D11,2)</f>
        <v>0</v>
      </c>
      <c r="K12" s="440">
        <f>ROUND(SUMIF(调整分录!D:D,试算平衡表!C12,调整分录!F:F),2)</f>
        <v>0</v>
      </c>
      <c r="L12" s="440">
        <f>ROUND(SUMIF(调整分录!D:D,试算平衡表!C12,调整分录!G:G),2)</f>
        <v>0</v>
      </c>
      <c r="M12" s="405">
        <f t="shared" si="2"/>
        <v>0</v>
      </c>
      <c r="N12" s="440">
        <f t="shared" si="3"/>
        <v>0</v>
      </c>
    </row>
    <row r="13" spans="1:17">
      <c r="A13" s="530" t="s">
        <v>537</v>
      </c>
      <c r="B13" s="530" t="s">
        <v>1847</v>
      </c>
      <c r="C13" s="535" t="s">
        <v>1847</v>
      </c>
      <c r="D13" s="566" t="s">
        <v>1839</v>
      </c>
      <c r="E13" s="440">
        <f>ROUND(未审资产负债表!C12,2)</f>
        <v>0</v>
      </c>
      <c r="F13" s="440">
        <f>ROUND(SUMIF(调整分录!D:D,试算平衡表!C13,调整分录!H:H),2)</f>
        <v>4600000</v>
      </c>
      <c r="G13" s="440">
        <f>ROUND(SUMIF(调整分录!D:D,试算平衡表!C13,调整分录!I:I),2)</f>
        <v>230000</v>
      </c>
      <c r="H13" s="405">
        <f t="shared" si="0"/>
        <v>4370000</v>
      </c>
      <c r="I13" s="440">
        <f t="shared" si="1"/>
        <v>4370000</v>
      </c>
      <c r="J13" s="440">
        <f>ROUND(未审资产负债表!D12,2)</f>
        <v>0</v>
      </c>
      <c r="K13" s="440">
        <f>ROUND(SUMIF(调整分录!D:D,试算平衡表!C13,调整分录!F:F),2)</f>
        <v>0</v>
      </c>
      <c r="L13" s="440">
        <f>ROUND(SUMIF(调整分录!D:D,试算平衡表!C13,调整分录!G:G),2)</f>
        <v>0</v>
      </c>
      <c r="M13" s="405">
        <f t="shared" si="2"/>
        <v>0</v>
      </c>
      <c r="N13" s="440">
        <f t="shared" si="3"/>
        <v>0</v>
      </c>
    </row>
    <row r="14" spans="1:17">
      <c r="A14" s="530" t="s">
        <v>538</v>
      </c>
      <c r="B14" s="530" t="s">
        <v>1848</v>
      </c>
      <c r="C14" s="535" t="s">
        <v>1848</v>
      </c>
      <c r="D14" s="566" t="s">
        <v>1839</v>
      </c>
      <c r="E14" s="440">
        <f>ROUND(未审资产负债表!C13,2)</f>
        <v>0</v>
      </c>
      <c r="F14" s="440">
        <f>ROUND(SUMIF(调整分录!D:D,试算平衡表!C14,调整分录!H:H),2)</f>
        <v>0</v>
      </c>
      <c r="G14" s="440">
        <f>ROUND(SUMIF(调整分录!D:D,试算平衡表!C14,调整分录!I:I),2)</f>
        <v>0</v>
      </c>
      <c r="H14" s="405">
        <f t="shared" si="0"/>
        <v>0</v>
      </c>
      <c r="I14" s="440">
        <f t="shared" si="1"/>
        <v>0</v>
      </c>
      <c r="J14" s="440">
        <f>ROUND(未审资产负债表!D13,2)</f>
        <v>0</v>
      </c>
      <c r="K14" s="440">
        <f>ROUND(SUMIF(调整分录!D:D,试算平衡表!C14,调整分录!F:F),2)</f>
        <v>0</v>
      </c>
      <c r="L14" s="440">
        <f>ROUND(SUMIF(调整分录!D:D,试算平衡表!C14,调整分录!G:G),2)</f>
        <v>0</v>
      </c>
      <c r="M14" s="405">
        <f t="shared" si="2"/>
        <v>0</v>
      </c>
      <c r="N14" s="440">
        <f t="shared" si="3"/>
        <v>0</v>
      </c>
    </row>
    <row r="15" spans="1:17">
      <c r="A15" s="530" t="s">
        <v>539</v>
      </c>
      <c r="B15" s="530" t="s">
        <v>1849</v>
      </c>
      <c r="C15" s="535" t="s">
        <v>1849</v>
      </c>
      <c r="D15" s="566" t="s">
        <v>1839</v>
      </c>
      <c r="E15" s="440">
        <f>ROUND(未审资产负债表!C14,2)</f>
        <v>0</v>
      </c>
      <c r="F15" s="440">
        <f>ROUND(SUMIF(调整分录!D:D,试算平衡表!C15,调整分录!H:H),2)</f>
        <v>0</v>
      </c>
      <c r="G15" s="440">
        <f>ROUND(SUMIF(调整分录!D:D,试算平衡表!C15,调整分录!I:I),2)</f>
        <v>0</v>
      </c>
      <c r="H15" s="405">
        <f t="shared" si="0"/>
        <v>0</v>
      </c>
      <c r="I15" s="440">
        <f t="shared" si="1"/>
        <v>0</v>
      </c>
      <c r="J15" s="440">
        <f>ROUND(未审资产负债表!D14,2)</f>
        <v>0</v>
      </c>
      <c r="K15" s="440">
        <f>ROUND(SUMIF(调整分录!D:D,试算平衡表!C15,调整分录!F:F),2)</f>
        <v>0</v>
      </c>
      <c r="L15" s="440">
        <f>ROUND(SUMIF(调整分录!D:D,试算平衡表!C15,调整分录!G:G),2)</f>
        <v>0</v>
      </c>
      <c r="M15" s="405">
        <f t="shared" si="2"/>
        <v>0</v>
      </c>
      <c r="N15" s="440">
        <f t="shared" si="3"/>
        <v>0</v>
      </c>
    </row>
    <row r="16" spans="1:17">
      <c r="A16" s="530" t="s">
        <v>540</v>
      </c>
      <c r="B16" s="530" t="s">
        <v>1850</v>
      </c>
      <c r="C16" s="535" t="s">
        <v>1850</v>
      </c>
      <c r="D16" s="566" t="s">
        <v>1839</v>
      </c>
      <c r="E16" s="440">
        <f>ROUND(未审资产负债表!C15,2)</f>
        <v>0</v>
      </c>
      <c r="F16" s="440">
        <f>ROUND(SUMIF(调整分录!D:D,试算平衡表!C16,调整分录!H:H),2)</f>
        <v>0</v>
      </c>
      <c r="G16" s="440">
        <f>ROUND(SUMIF(调整分录!D:D,试算平衡表!C16,调整分录!I:I),2)</f>
        <v>0</v>
      </c>
      <c r="H16" s="405">
        <f t="shared" si="0"/>
        <v>0</v>
      </c>
      <c r="I16" s="440">
        <f t="shared" si="1"/>
        <v>0</v>
      </c>
      <c r="J16" s="440">
        <f>ROUND(未审资产负债表!D15,2)</f>
        <v>0</v>
      </c>
      <c r="K16" s="440">
        <f>ROUND(SUMIF(调整分录!D:D,试算平衡表!C16,调整分录!F:F),2)</f>
        <v>0</v>
      </c>
      <c r="L16" s="440">
        <f>ROUND(SUMIF(调整分录!D:D,试算平衡表!C16,调整分录!G:G),2)</f>
        <v>0</v>
      </c>
      <c r="M16" s="405">
        <f t="shared" si="2"/>
        <v>0</v>
      </c>
      <c r="N16" s="440">
        <f t="shared" si="3"/>
        <v>0</v>
      </c>
    </row>
    <row r="17" spans="1:14">
      <c r="A17" s="530" t="s">
        <v>1755</v>
      </c>
      <c r="B17" s="530" t="s">
        <v>1851</v>
      </c>
      <c r="C17" s="535" t="s">
        <v>1851</v>
      </c>
      <c r="D17" s="566" t="s">
        <v>1839</v>
      </c>
      <c r="E17" s="440">
        <f>ROUND(未审资产负债表!C16,2)</f>
        <v>0</v>
      </c>
      <c r="F17" s="440">
        <f>ROUND(SUMIF(调整分录!D:D,试算平衡表!C17,调整分录!H:H),2)</f>
        <v>0</v>
      </c>
      <c r="G17" s="440">
        <f>ROUND(SUMIF(调整分录!D:D,试算平衡表!C17,调整分录!I:I),2)</f>
        <v>0</v>
      </c>
      <c r="H17" s="405">
        <f t="shared" si="0"/>
        <v>0</v>
      </c>
      <c r="I17" s="440">
        <f t="shared" si="1"/>
        <v>0</v>
      </c>
      <c r="J17" s="440">
        <f>ROUND(未审资产负债表!D16,2)</f>
        <v>0</v>
      </c>
      <c r="K17" s="440">
        <f>ROUND(SUMIF(调整分录!D:D,试算平衡表!C17,调整分录!F:F),2)</f>
        <v>0</v>
      </c>
      <c r="L17" s="440">
        <f>ROUND(SUMIF(调整分录!D:D,试算平衡表!C17,调整分录!G:G),2)</f>
        <v>0</v>
      </c>
      <c r="M17" s="405">
        <f t="shared" si="2"/>
        <v>0</v>
      </c>
      <c r="N17" s="440">
        <f t="shared" si="3"/>
        <v>0</v>
      </c>
    </row>
    <row r="18" spans="1:14">
      <c r="A18" s="530" t="s">
        <v>541</v>
      </c>
      <c r="B18" s="530" t="s">
        <v>1852</v>
      </c>
      <c r="C18" s="535" t="s">
        <v>1852</v>
      </c>
      <c r="D18" s="566" t="s">
        <v>1839</v>
      </c>
      <c r="E18" s="440">
        <f>ROUND(未审资产负债表!C17,2)</f>
        <v>0</v>
      </c>
      <c r="F18" s="440">
        <f>ROUND(SUMIF(调整分录!D:D,试算平衡表!C18,调整分录!H:H),2)</f>
        <v>0</v>
      </c>
      <c r="G18" s="440">
        <f>ROUND(SUMIF(调整分录!D:D,试算平衡表!C18,调整分录!I:I),2)</f>
        <v>0</v>
      </c>
      <c r="H18" s="405">
        <f t="shared" si="0"/>
        <v>0</v>
      </c>
      <c r="I18" s="440">
        <f t="shared" si="1"/>
        <v>0</v>
      </c>
      <c r="J18" s="440">
        <f>ROUND(未审资产负债表!D17,2)</f>
        <v>0</v>
      </c>
      <c r="K18" s="440">
        <f>ROUND(SUMIF(调整分录!D:D,试算平衡表!C18,调整分录!F:F),2)</f>
        <v>0</v>
      </c>
      <c r="L18" s="440">
        <f>ROUND(SUMIF(调整分录!D:D,试算平衡表!C18,调整分录!G:G),2)</f>
        <v>0</v>
      </c>
      <c r="M18" s="405">
        <f t="shared" si="2"/>
        <v>0</v>
      </c>
      <c r="N18" s="440">
        <f t="shared" si="3"/>
        <v>0</v>
      </c>
    </row>
    <row r="19" spans="1:14">
      <c r="A19" s="531" t="s">
        <v>542</v>
      </c>
      <c r="B19" s="531" t="s">
        <v>1853</v>
      </c>
      <c r="C19" s="535" t="s">
        <v>1853</v>
      </c>
      <c r="D19" s="566" t="s">
        <v>1839</v>
      </c>
      <c r="E19" s="440">
        <f>ROUND(未审资产负债表!C18,2)</f>
        <v>0</v>
      </c>
      <c r="F19" s="440">
        <f>ROUND(SUMIF(调整分录!D:D,试算平衡表!C19,调整分录!H:H),2)</f>
        <v>0</v>
      </c>
      <c r="G19" s="440">
        <f>ROUND(SUMIF(调整分录!D:D,试算平衡表!C19,调整分录!I:I),2)</f>
        <v>0</v>
      </c>
      <c r="H19" s="405">
        <f t="shared" si="0"/>
        <v>0</v>
      </c>
      <c r="I19" s="440">
        <f t="shared" si="1"/>
        <v>0</v>
      </c>
      <c r="J19" s="440">
        <f>ROUND(未审资产负债表!D18,2)</f>
        <v>0</v>
      </c>
      <c r="K19" s="440">
        <f>ROUND(SUMIF(调整分录!D:D,试算平衡表!C19,调整分录!F:F),2)</f>
        <v>0</v>
      </c>
      <c r="L19" s="440">
        <f>ROUND(SUMIF(调整分录!D:D,试算平衡表!C19,调整分录!G:G),2)</f>
        <v>0</v>
      </c>
      <c r="M19" s="405">
        <f t="shared" si="2"/>
        <v>0</v>
      </c>
      <c r="N19" s="440">
        <f t="shared" si="3"/>
        <v>0</v>
      </c>
    </row>
    <row r="20" spans="1:14">
      <c r="A20" s="530" t="s">
        <v>543</v>
      </c>
      <c r="B20" s="530" t="s">
        <v>1854</v>
      </c>
      <c r="C20" s="535" t="s">
        <v>1854</v>
      </c>
      <c r="D20" s="566" t="s">
        <v>1839</v>
      </c>
      <c r="E20" s="440">
        <f>ROUND(未审资产负债表!C19,2)</f>
        <v>831748.5</v>
      </c>
      <c r="F20" s="440">
        <f>ROUND(SUMIF(调整分录!D:D,试算平衡表!C20,调整分录!H:H),2)</f>
        <v>28599.4</v>
      </c>
      <c r="G20" s="440">
        <f>ROUND(SUMIF(调整分录!D:D,试算平衡表!C20,调整分录!I:I),2)</f>
        <v>0</v>
      </c>
      <c r="H20" s="405">
        <f t="shared" si="0"/>
        <v>28599.400000000023</v>
      </c>
      <c r="I20" s="440">
        <f t="shared" si="1"/>
        <v>860347.9</v>
      </c>
      <c r="J20" s="440">
        <f>ROUND(未审资产负债表!D19,2)</f>
        <v>832948.5</v>
      </c>
      <c r="K20" s="440">
        <f>ROUND(SUMIF(调整分录!D:D,试算平衡表!C20,调整分录!F:F),2)</f>
        <v>0</v>
      </c>
      <c r="L20" s="440">
        <f>ROUND(SUMIF(调整分录!D:D,试算平衡表!C20,调整分录!G:G),2)</f>
        <v>0</v>
      </c>
      <c r="M20" s="405">
        <f t="shared" si="2"/>
        <v>0</v>
      </c>
      <c r="N20" s="440">
        <f t="shared" si="3"/>
        <v>832948.5</v>
      </c>
    </row>
    <row r="21" spans="1:14">
      <c r="A21" s="530" t="s">
        <v>544</v>
      </c>
      <c r="B21" s="530" t="s">
        <v>1855</v>
      </c>
      <c r="C21" s="535" t="s">
        <v>1855</v>
      </c>
      <c r="D21" s="566" t="s">
        <v>1839</v>
      </c>
      <c r="E21" s="440">
        <f>ROUND(未审资产负债表!C20,2)</f>
        <v>0</v>
      </c>
      <c r="F21" s="440">
        <f>ROUND(SUMIF(调整分录!D:D,试算平衡表!C21,调整分录!H:H),2)</f>
        <v>0</v>
      </c>
      <c r="G21" s="440">
        <f>ROUND(SUMIF(调整分录!D:D,试算平衡表!C21,调整分录!I:I),2)</f>
        <v>0</v>
      </c>
      <c r="H21" s="405">
        <f t="shared" si="0"/>
        <v>0</v>
      </c>
      <c r="I21" s="440">
        <f t="shared" si="1"/>
        <v>0</v>
      </c>
      <c r="J21" s="440">
        <f>ROUND(未审资产负债表!D20,2)</f>
        <v>0</v>
      </c>
      <c r="K21" s="440">
        <f>ROUND(SUMIF(调整分录!D:D,试算平衡表!C21,调整分录!F:F),2)</f>
        <v>0</v>
      </c>
      <c r="L21" s="440">
        <f>ROUND(SUMIF(调整分录!D:D,试算平衡表!C21,调整分录!G:G),2)</f>
        <v>0</v>
      </c>
      <c r="M21" s="405">
        <f t="shared" si="2"/>
        <v>0</v>
      </c>
      <c r="N21" s="440">
        <f t="shared" si="3"/>
        <v>0</v>
      </c>
    </row>
    <row r="22" spans="1:14">
      <c r="A22" s="530" t="s">
        <v>545</v>
      </c>
      <c r="B22" s="530" t="s">
        <v>1856</v>
      </c>
      <c r="C22" s="535" t="s">
        <v>1857</v>
      </c>
      <c r="D22" s="566" t="s">
        <v>1839</v>
      </c>
      <c r="E22" s="440">
        <f>ROUND(未审资产负债表!C21,2)</f>
        <v>0</v>
      </c>
      <c r="F22" s="440">
        <f>ROUND(SUMIF(调整分录!D:D,试算平衡表!C22,调整分录!H:H)+F23+F24,2)</f>
        <v>0</v>
      </c>
      <c r="G22" s="440">
        <f>ROUND(SUMIF(调整分录!D:D,试算平衡表!C22,调整分录!I:I)+G23+G24,2)</f>
        <v>0</v>
      </c>
      <c r="H22" s="405">
        <f t="shared" si="0"/>
        <v>0</v>
      </c>
      <c r="I22" s="440">
        <f t="shared" si="1"/>
        <v>0</v>
      </c>
      <c r="J22" s="440">
        <f>ROUND(未审资产负债表!D21,2)</f>
        <v>0</v>
      </c>
      <c r="K22" s="440">
        <f>ROUND(SUMIF(调整分录!D:D,试算平衡表!C22,调整分录!F:F)+K23+K24,2)</f>
        <v>0</v>
      </c>
      <c r="L22" s="440">
        <f>ROUND(SUMIF(调整分录!D:D,试算平衡表!C22,调整分录!G:G)+L23+L24,2)</f>
        <v>0</v>
      </c>
      <c r="M22" s="405">
        <f t="shared" si="2"/>
        <v>0</v>
      </c>
      <c r="N22" s="440">
        <f t="shared" si="3"/>
        <v>0</v>
      </c>
    </row>
    <row r="23" spans="1:14">
      <c r="A23" s="532" t="s">
        <v>1858</v>
      </c>
      <c r="B23" s="532"/>
      <c r="C23" s="535" t="s">
        <v>1859</v>
      </c>
      <c r="D23" s="566" t="s">
        <v>1839</v>
      </c>
      <c r="E23" s="440">
        <f>ROUND(未审资产负债表!C22,2)</f>
        <v>0</v>
      </c>
      <c r="F23" s="440">
        <f>ROUND(SUMIF(调整分录!D:D,试算平衡表!C23,调整分录!H:H),2)</f>
        <v>0</v>
      </c>
      <c r="G23" s="440">
        <f>ROUND(SUMIF(调整分录!D:D,试算平衡表!C23,调整分录!I:I),2)</f>
        <v>0</v>
      </c>
      <c r="H23" s="405">
        <f t="shared" si="0"/>
        <v>0</v>
      </c>
      <c r="I23" s="440">
        <f t="shared" si="1"/>
        <v>0</v>
      </c>
      <c r="J23" s="440">
        <f>ROUND(未审资产负债表!D22,2)</f>
        <v>0</v>
      </c>
      <c r="K23" s="440">
        <f>ROUND(SUMIF(调整分录!D:D,试算平衡表!C23,调整分录!F:F),2)</f>
        <v>0</v>
      </c>
      <c r="L23" s="440">
        <f>ROUND(SUMIF(调整分录!D:D,试算平衡表!C23,调整分录!G:G),2)</f>
        <v>0</v>
      </c>
      <c r="M23" s="405">
        <f t="shared" si="2"/>
        <v>0</v>
      </c>
      <c r="N23" s="440">
        <f t="shared" si="3"/>
        <v>0</v>
      </c>
    </row>
    <row r="24" spans="1:14">
      <c r="A24" s="532" t="s">
        <v>1860</v>
      </c>
      <c r="B24" s="532"/>
      <c r="C24" s="535" t="s">
        <v>1861</v>
      </c>
      <c r="D24" s="566" t="s">
        <v>1839</v>
      </c>
      <c r="E24" s="440">
        <f>ROUND(未审资产负债表!C23,2)</f>
        <v>0</v>
      </c>
      <c r="F24" s="440">
        <f>ROUND(SUMIF(调整分录!D:D,试算平衡表!C24,调整分录!H:H),2)</f>
        <v>0</v>
      </c>
      <c r="G24" s="440">
        <f>ROUND(SUMIF(调整分录!D:D,试算平衡表!C24,调整分录!I:I),2)</f>
        <v>0</v>
      </c>
      <c r="H24" s="405">
        <f t="shared" si="0"/>
        <v>0</v>
      </c>
      <c r="I24" s="440">
        <f t="shared" si="1"/>
        <v>0</v>
      </c>
      <c r="J24" s="440">
        <f>ROUND(未审资产负债表!D23,2)</f>
        <v>0</v>
      </c>
      <c r="K24" s="440">
        <f>ROUND(SUMIF(调整分录!D:D,试算平衡表!C24,调整分录!F:F),2)</f>
        <v>0</v>
      </c>
      <c r="L24" s="440">
        <f>ROUND(SUMIF(调整分录!D:D,试算平衡表!C24,调整分录!G:G),2)</f>
        <v>0</v>
      </c>
      <c r="M24" s="405">
        <f t="shared" si="2"/>
        <v>0</v>
      </c>
      <c r="N24" s="440">
        <f t="shared" si="3"/>
        <v>0</v>
      </c>
    </row>
    <row r="25" spans="1:14">
      <c r="A25" s="1340" t="s">
        <v>4636</v>
      </c>
      <c r="B25" s="1340" t="s">
        <v>4663</v>
      </c>
      <c r="C25" s="1341" t="s">
        <v>4663</v>
      </c>
      <c r="D25" s="566" t="s">
        <v>1839</v>
      </c>
      <c r="E25" s="440">
        <f>ROUND(未审资产负债表!C24,2)</f>
        <v>0</v>
      </c>
      <c r="F25" s="440">
        <f>ROUND(SUMIF(调整分录!D:D,试算平衡表!C25,调整分录!H:H),2)</f>
        <v>0</v>
      </c>
      <c r="G25" s="440">
        <f>ROUND(SUMIF(调整分录!D:D,试算平衡表!C25,调整分录!I:I),2)</f>
        <v>0</v>
      </c>
      <c r="H25" s="405">
        <f>I25-E25</f>
        <v>0</v>
      </c>
      <c r="I25" s="440">
        <f>IF(D25="借",E25+F25-G25,IF(D25="贷",E25+G25-F25,IF(D25="",0,0)))</f>
        <v>0</v>
      </c>
      <c r="J25" s="440">
        <f>ROUND(未审资产负债表!D24,2)</f>
        <v>0</v>
      </c>
      <c r="K25" s="440">
        <f>ROUND(SUMIF(调整分录!D:D,试算平衡表!C25,调整分录!F:F),2)</f>
        <v>0</v>
      </c>
      <c r="L25" s="440">
        <f>ROUND(SUMIF(调整分录!D:D,试算平衡表!C25,调整分录!G:G),2)</f>
        <v>0</v>
      </c>
      <c r="M25" s="405">
        <f>N25-J25</f>
        <v>0</v>
      </c>
      <c r="N25" s="440">
        <f>IF(D25="借",J25+K25-L25,IF(D25="贷",J25+L25-K25,IF(D25="",0,0)))</f>
        <v>0</v>
      </c>
    </row>
    <row r="26" spans="1:14">
      <c r="A26" s="530" t="s">
        <v>548</v>
      </c>
      <c r="B26" s="530" t="s">
        <v>1862</v>
      </c>
      <c r="C26" s="535" t="s">
        <v>1862</v>
      </c>
      <c r="D26" s="566" t="s">
        <v>1863</v>
      </c>
      <c r="E26" s="440">
        <f>ROUND(未审资产负债表!C25,2)</f>
        <v>0</v>
      </c>
      <c r="F26" s="440">
        <f>ROUND(SUMIF(调整分录!D:D,试算平衡表!C26,调整分录!H:H),2)</f>
        <v>0</v>
      </c>
      <c r="G26" s="440">
        <f>ROUND(SUMIF(调整分录!D:D,试算平衡表!C26,调整分录!I:I),2)</f>
        <v>0</v>
      </c>
      <c r="H26" s="405">
        <f t="shared" si="0"/>
        <v>0</v>
      </c>
      <c r="I26" s="440">
        <f t="shared" si="1"/>
        <v>0</v>
      </c>
      <c r="J26" s="440">
        <f>ROUND(未审资产负债表!D25,2)</f>
        <v>0</v>
      </c>
      <c r="K26" s="440">
        <f>ROUND(SUMIF(调整分录!D:D,试算平衡表!C26,调整分录!F:F),2)</f>
        <v>0</v>
      </c>
      <c r="L26" s="440">
        <f>ROUND(SUMIF(调整分录!D:D,试算平衡表!C26,调整分录!G:G),2)</f>
        <v>0</v>
      </c>
      <c r="M26" s="405">
        <f t="shared" si="2"/>
        <v>0</v>
      </c>
      <c r="N26" s="440">
        <f t="shared" si="3"/>
        <v>0</v>
      </c>
    </row>
    <row r="27" spans="1:14">
      <c r="A27" s="530" t="s">
        <v>549</v>
      </c>
      <c r="B27" s="530" t="s">
        <v>1864</v>
      </c>
      <c r="C27" s="535" t="s">
        <v>1864</v>
      </c>
      <c r="D27" s="566" t="s">
        <v>1839</v>
      </c>
      <c r="E27" s="440">
        <f>ROUND(未审资产负债表!C26,2)</f>
        <v>0</v>
      </c>
      <c r="F27" s="440">
        <f>ROUND(SUMIF(调整分录!D:D,试算平衡表!C27,调整分录!H:H),2)</f>
        <v>138580.96</v>
      </c>
      <c r="G27" s="440">
        <f>ROUND(SUMIF(调整分录!D:D,试算平衡表!C27,调整分录!I:I),2)</f>
        <v>0</v>
      </c>
      <c r="H27" s="405">
        <f t="shared" si="0"/>
        <v>138580.96</v>
      </c>
      <c r="I27" s="440">
        <f t="shared" si="1"/>
        <v>138580.96</v>
      </c>
      <c r="J27" s="440">
        <f>ROUND(未审资产负债表!D26,2)</f>
        <v>0</v>
      </c>
      <c r="K27" s="440">
        <f>ROUND(SUMIF(调整分录!D:D,试算平衡表!C27,调整分录!F:F),2)</f>
        <v>86363.63</v>
      </c>
      <c r="L27" s="440">
        <f>ROUND(SUMIF(调整分录!D:D,试算平衡表!C27,调整分录!G:G),2)</f>
        <v>0</v>
      </c>
      <c r="M27" s="405">
        <f t="shared" si="2"/>
        <v>86363.63</v>
      </c>
      <c r="N27" s="440">
        <f t="shared" si="3"/>
        <v>86363.63</v>
      </c>
    </row>
    <row r="28" spans="1:14">
      <c r="A28" s="524" t="s">
        <v>550</v>
      </c>
      <c r="B28" s="524"/>
      <c r="C28" s="535"/>
      <c r="D28" s="429" t="s">
        <v>1839</v>
      </c>
      <c r="E28" s="440">
        <f>ROUND(未审资产负债表!C27,2)</f>
        <v>2104782.1800000002</v>
      </c>
      <c r="F28" s="440">
        <f>ROUND(SUM(F7:F27)-F23-F24,2)</f>
        <v>4767180.3600000003</v>
      </c>
      <c r="G28" s="440">
        <f>ROUND(SUM(G7:G27)-G23-G24,2)</f>
        <v>230000</v>
      </c>
      <c r="H28" s="405">
        <f t="shared" si="0"/>
        <v>4537180.3600000013</v>
      </c>
      <c r="I28" s="440">
        <f t="shared" si="1"/>
        <v>6641962.540000001</v>
      </c>
      <c r="J28" s="440">
        <f>ROUND(未审资产负债表!D27,2)</f>
        <v>7103187.79</v>
      </c>
      <c r="K28" s="440">
        <f>ROUND(SUM(K7:K27)-K23-K24,2)</f>
        <v>86363.63</v>
      </c>
      <c r="L28" s="440">
        <f>ROUND(SUM(L7:L27)-L23-L24,2)</f>
        <v>0</v>
      </c>
      <c r="M28" s="405">
        <f t="shared" si="2"/>
        <v>86363.629999999888</v>
      </c>
      <c r="N28" s="440">
        <f t="shared" si="3"/>
        <v>7189551.4199999999</v>
      </c>
    </row>
    <row r="29" spans="1:14">
      <c r="A29" s="533" t="s">
        <v>551</v>
      </c>
      <c r="B29" s="533"/>
      <c r="C29" s="535"/>
      <c r="D29" s="429"/>
      <c r="E29" s="434"/>
      <c r="F29" s="434"/>
      <c r="G29" s="434"/>
      <c r="H29" s="405">
        <f t="shared" si="0"/>
        <v>0</v>
      </c>
      <c r="I29" s="434"/>
      <c r="J29" s="434"/>
      <c r="K29" s="434"/>
      <c r="L29" s="434"/>
      <c r="M29" s="405">
        <f t="shared" si="2"/>
        <v>0</v>
      </c>
      <c r="N29" s="434"/>
    </row>
    <row r="30" spans="1:14">
      <c r="A30" s="534" t="s">
        <v>552</v>
      </c>
      <c r="B30" s="534" t="s">
        <v>1865</v>
      </c>
      <c r="C30" s="535" t="s">
        <v>1865</v>
      </c>
      <c r="D30" s="566" t="s">
        <v>1839</v>
      </c>
      <c r="E30" s="440">
        <f>ROUND(未审资产负债表!C29,2)</f>
        <v>0</v>
      </c>
      <c r="F30" s="440">
        <f>ROUND(SUMIF(调整分录!D:D,试算平衡表!C30,调整分录!H:H),2)</f>
        <v>0</v>
      </c>
      <c r="G30" s="440">
        <f>ROUND(SUMIF(调整分录!D:D,试算平衡表!C30,调整分录!I:I),2)</f>
        <v>0</v>
      </c>
      <c r="H30" s="405">
        <f t="shared" si="0"/>
        <v>0</v>
      </c>
      <c r="I30" s="440">
        <f t="shared" si="1"/>
        <v>0</v>
      </c>
      <c r="J30" s="440">
        <f>ROUND(未审资产负债表!D29,2)</f>
        <v>0</v>
      </c>
      <c r="K30" s="440">
        <f>ROUND(SUMIF(调整分录!D:D,试算平衡表!C30,调整分录!F:F),2)</f>
        <v>0</v>
      </c>
      <c r="L30" s="440">
        <f>ROUND(SUMIF(调整分录!D:D,试算平衡表!C30,调整分录!G:G),2)</f>
        <v>0</v>
      </c>
      <c r="M30" s="405">
        <f t="shared" si="2"/>
        <v>0</v>
      </c>
      <c r="N30" s="440">
        <f t="shared" si="3"/>
        <v>0</v>
      </c>
    </row>
    <row r="31" spans="1:14">
      <c r="A31" s="534" t="s">
        <v>553</v>
      </c>
      <c r="B31" s="534" t="s">
        <v>1866</v>
      </c>
      <c r="C31" s="535" t="s">
        <v>1866</v>
      </c>
      <c r="D31" s="566" t="s">
        <v>1839</v>
      </c>
      <c r="E31" s="440">
        <f>ROUND(未审资产负债表!C30,2)</f>
        <v>705294</v>
      </c>
      <c r="F31" s="440">
        <f>ROUND(SUMIF(调整分录!D:D,试算平衡表!C31,调整分录!H:H),2)</f>
        <v>0</v>
      </c>
      <c r="G31" s="440">
        <f>ROUND(SUMIF(调整分录!D:D,试算平衡表!C31,调整分录!I:I),2)</f>
        <v>0</v>
      </c>
      <c r="H31" s="405">
        <f t="shared" si="0"/>
        <v>0</v>
      </c>
      <c r="I31" s="440">
        <f t="shared" si="1"/>
        <v>705294</v>
      </c>
      <c r="J31" s="440">
        <f>ROUND(未审资产负债表!D30,2)</f>
        <v>675294</v>
      </c>
      <c r="K31" s="440">
        <f>ROUND(SUMIF(调整分录!D:D,试算平衡表!C31,调整分录!F:F),2)</f>
        <v>0</v>
      </c>
      <c r="L31" s="440">
        <f>ROUND(SUMIF(调整分录!D:D,试算平衡表!C31,调整分录!G:G),2)</f>
        <v>0</v>
      </c>
      <c r="M31" s="405">
        <f t="shared" si="2"/>
        <v>0</v>
      </c>
      <c r="N31" s="440">
        <f t="shared" si="3"/>
        <v>675294</v>
      </c>
    </row>
    <row r="32" spans="1:14">
      <c r="A32" s="534" t="s">
        <v>554</v>
      </c>
      <c r="B32" s="534" t="s">
        <v>1867</v>
      </c>
      <c r="C32" s="535" t="s">
        <v>1867</v>
      </c>
      <c r="D32" s="566" t="s">
        <v>1839</v>
      </c>
      <c r="E32" s="440">
        <f>ROUND(未审资产负债表!C31,2)</f>
        <v>0</v>
      </c>
      <c r="F32" s="440">
        <f>ROUND(SUMIF(调整分录!D:D,试算平衡表!C32,调整分录!H:H),2)</f>
        <v>0</v>
      </c>
      <c r="G32" s="440">
        <f>ROUND(SUMIF(调整分录!D:D,试算平衡表!C32,调整分录!I:I),2)</f>
        <v>0</v>
      </c>
      <c r="H32" s="405">
        <f t="shared" si="0"/>
        <v>0</v>
      </c>
      <c r="I32" s="440">
        <f t="shared" si="1"/>
        <v>0</v>
      </c>
      <c r="J32" s="440">
        <f>ROUND(未审资产负债表!D31,2)</f>
        <v>0</v>
      </c>
      <c r="K32" s="440">
        <f>ROUND(SUMIF(调整分录!D:D,试算平衡表!C32,调整分录!F:F),2)</f>
        <v>0</v>
      </c>
      <c r="L32" s="440">
        <f>ROUND(SUMIF(调整分录!D:D,试算平衡表!C32,调整分录!G:G),2)</f>
        <v>0</v>
      </c>
      <c r="M32" s="405">
        <f t="shared" si="2"/>
        <v>0</v>
      </c>
      <c r="N32" s="440">
        <f t="shared" si="3"/>
        <v>0</v>
      </c>
    </row>
    <row r="33" spans="1:14">
      <c r="A33" s="534" t="s">
        <v>555</v>
      </c>
      <c r="B33" s="534" t="s">
        <v>1868</v>
      </c>
      <c r="C33" s="535" t="s">
        <v>1868</v>
      </c>
      <c r="D33" s="566" t="s">
        <v>1839</v>
      </c>
      <c r="E33" s="440">
        <f>ROUND(未审资产负债表!C32,2)</f>
        <v>0</v>
      </c>
      <c r="F33" s="440">
        <f>ROUND(SUMIF(调整分录!D:D,试算平衡表!C33,调整分录!H:H),2)</f>
        <v>0</v>
      </c>
      <c r="G33" s="440">
        <f>ROUND(SUMIF(调整分录!D:D,试算平衡表!C33,调整分录!I:I),2)</f>
        <v>0</v>
      </c>
      <c r="H33" s="405">
        <f t="shared" si="0"/>
        <v>0</v>
      </c>
      <c r="I33" s="440">
        <f t="shared" si="1"/>
        <v>0</v>
      </c>
      <c r="J33" s="440">
        <f>ROUND(未审资产负债表!D32,2)</f>
        <v>0</v>
      </c>
      <c r="K33" s="440">
        <f>ROUND(SUMIF(调整分录!D:D,试算平衡表!C33,调整分录!F:F),2)</f>
        <v>0</v>
      </c>
      <c r="L33" s="440">
        <f>ROUND(SUMIF(调整分录!D:D,试算平衡表!C33,调整分录!G:G),2)</f>
        <v>0</v>
      </c>
      <c r="M33" s="405">
        <f t="shared" si="2"/>
        <v>0</v>
      </c>
      <c r="N33" s="440">
        <f t="shared" si="3"/>
        <v>0</v>
      </c>
    </row>
    <row r="34" spans="1:14">
      <c r="A34" s="534" t="s">
        <v>1869</v>
      </c>
      <c r="B34" s="534" t="s">
        <v>1870</v>
      </c>
      <c r="C34" s="535" t="s">
        <v>1870</v>
      </c>
      <c r="D34" s="566" t="s">
        <v>1839</v>
      </c>
      <c r="E34" s="440">
        <f>ROUND(未审资产负债表!C33,2)</f>
        <v>0</v>
      </c>
      <c r="F34" s="440">
        <f>ROUND(SUMIF(调整分录!D:D,试算平衡表!C34,调整分录!H:H),2)</f>
        <v>0</v>
      </c>
      <c r="G34" s="440">
        <f>ROUND(SUMIF(调整分录!D:D,试算平衡表!C34,调整分录!I:I),2)</f>
        <v>0</v>
      </c>
      <c r="H34" s="405">
        <f t="shared" si="0"/>
        <v>0</v>
      </c>
      <c r="I34" s="440">
        <f t="shared" si="1"/>
        <v>0</v>
      </c>
      <c r="J34" s="440">
        <f>ROUND(未审资产负债表!D33,2)</f>
        <v>0</v>
      </c>
      <c r="K34" s="440">
        <f>ROUND(SUMIF(调整分录!D:D,试算平衡表!C34,调整分录!F:F),2)</f>
        <v>0</v>
      </c>
      <c r="L34" s="440">
        <f>ROUND(SUMIF(调整分录!D:D,试算平衡表!C34,调整分录!G:G),2)</f>
        <v>0</v>
      </c>
      <c r="M34" s="405">
        <f t="shared" si="2"/>
        <v>0</v>
      </c>
      <c r="N34" s="440">
        <f t="shared" si="3"/>
        <v>0</v>
      </c>
    </row>
    <row r="35" spans="1:14">
      <c r="A35" s="535" t="s">
        <v>557</v>
      </c>
      <c r="B35" s="535" t="s">
        <v>1871</v>
      </c>
      <c r="C35" s="535" t="s">
        <v>1871</v>
      </c>
      <c r="D35" s="566" t="s">
        <v>1839</v>
      </c>
      <c r="E35" s="440">
        <f>ROUND(未审资产负债表!C34,2)</f>
        <v>0</v>
      </c>
      <c r="F35" s="440">
        <f>ROUND(SUMIF(调整分录!D:D,试算平衡表!C35,调整分录!H:H),2)</f>
        <v>0</v>
      </c>
      <c r="G35" s="440">
        <f>ROUND(SUMIF(调整分录!D:D,试算平衡表!C35,调整分录!I:I),2)</f>
        <v>0</v>
      </c>
      <c r="H35" s="405">
        <f t="shared" si="0"/>
        <v>0</v>
      </c>
      <c r="I35" s="440">
        <f t="shared" si="1"/>
        <v>0</v>
      </c>
      <c r="J35" s="440">
        <f>ROUND(未审资产负债表!D34,2)</f>
        <v>0</v>
      </c>
      <c r="K35" s="440">
        <f>ROUND(SUMIF(调整分录!D:D,试算平衡表!C35,调整分录!F:F),2)</f>
        <v>0</v>
      </c>
      <c r="L35" s="440">
        <f>ROUND(SUMIF(调整分录!D:D,试算平衡表!C35,调整分录!G:G),2)</f>
        <v>0</v>
      </c>
      <c r="M35" s="405">
        <f t="shared" si="2"/>
        <v>0</v>
      </c>
      <c r="N35" s="440">
        <f t="shared" si="3"/>
        <v>0</v>
      </c>
    </row>
    <row r="36" spans="1:14">
      <c r="A36" s="534" t="s">
        <v>558</v>
      </c>
      <c r="B36" s="534" t="s">
        <v>1872</v>
      </c>
      <c r="C36" s="535" t="s">
        <v>1872</v>
      </c>
      <c r="D36" s="566" t="s">
        <v>1839</v>
      </c>
      <c r="E36" s="440">
        <f>ROUND(未审资产负债表!C35,2)</f>
        <v>429334.24</v>
      </c>
      <c r="F36" s="440">
        <f>ROUND(SUMIF(调整分录!D:D,试算平衡表!C36,调整分录!H:H),2)</f>
        <v>0</v>
      </c>
      <c r="G36" s="440">
        <f>ROUND(SUMIF(调整分录!D:D,试算平衡表!C36,调整分录!I:I),2)</f>
        <v>10287</v>
      </c>
      <c r="H36" s="405">
        <f t="shared" si="0"/>
        <v>-10287</v>
      </c>
      <c r="I36" s="440">
        <f t="shared" si="1"/>
        <v>419047.24</v>
      </c>
      <c r="J36" s="440">
        <f>ROUND(未审资产负债表!D35,2)</f>
        <v>429334.24</v>
      </c>
      <c r="K36" s="440">
        <f>ROUND(SUMIF(调整分录!D:D,试算平衡表!C36,调整分录!F:F),2)</f>
        <v>0</v>
      </c>
      <c r="L36" s="440">
        <f>ROUND(SUMIF(调整分录!D:D,试算平衡表!C36,调整分录!G:G),2)</f>
        <v>0</v>
      </c>
      <c r="M36" s="405">
        <f t="shared" si="2"/>
        <v>0</v>
      </c>
      <c r="N36" s="440">
        <f t="shared" si="3"/>
        <v>429334.24</v>
      </c>
    </row>
    <row r="37" spans="1:14">
      <c r="A37" s="536" t="s">
        <v>1762</v>
      </c>
      <c r="B37" s="536" t="s">
        <v>1873</v>
      </c>
      <c r="C37" s="535" t="s">
        <v>1874</v>
      </c>
      <c r="D37" s="485" t="s">
        <v>1875</v>
      </c>
      <c r="E37" s="440">
        <f>ROUND(未审资产负债表!C36,2)</f>
        <v>315119.46999999997</v>
      </c>
      <c r="F37" s="440">
        <f>ROUND(SUMIF(调整分录!D:D,试算平衡表!C37,调整分录!H:H),2)</f>
        <v>8898.7099999999991</v>
      </c>
      <c r="G37" s="440">
        <f>ROUND(SUMIF(调整分录!D:D,试算平衡表!C37,调整分录!I:I),2)</f>
        <v>0</v>
      </c>
      <c r="H37" s="405">
        <f t="shared" si="0"/>
        <v>-8898.710000000021</v>
      </c>
      <c r="I37" s="440">
        <f t="shared" si="1"/>
        <v>306220.75999999995</v>
      </c>
      <c r="J37" s="440">
        <f>ROUND(未审资产负债表!D36,2)</f>
        <v>277800.52</v>
      </c>
      <c r="K37" s="440">
        <f>ROUND(SUMIF(调整分录!D:D,试算平衡表!C37,调整分录!F:F),2)</f>
        <v>0</v>
      </c>
      <c r="L37" s="440">
        <f>ROUND(SUMIF(调整分录!D:D,试算平衡表!C37,调整分录!G:G),2)</f>
        <v>0</v>
      </c>
      <c r="M37" s="405">
        <f t="shared" si="2"/>
        <v>0</v>
      </c>
      <c r="N37" s="440">
        <f t="shared" si="3"/>
        <v>277800.52</v>
      </c>
    </row>
    <row r="38" spans="1:14">
      <c r="A38" s="536" t="s">
        <v>560</v>
      </c>
      <c r="B38" s="536"/>
      <c r="C38" s="535"/>
      <c r="D38" s="485" t="s">
        <v>1839</v>
      </c>
      <c r="E38" s="440">
        <f>ROUND(未审资产负债表!C37,2)</f>
        <v>114214.77</v>
      </c>
      <c r="F38" s="440">
        <f>ROUND(F36+F37,2)</f>
        <v>8898.7099999999991</v>
      </c>
      <c r="G38" s="440">
        <f>ROUND(G36+G37,2)</f>
        <v>10287</v>
      </c>
      <c r="H38" s="405">
        <f t="shared" si="0"/>
        <v>-1388.2899999999936</v>
      </c>
      <c r="I38" s="440">
        <f t="shared" si="1"/>
        <v>112826.48000000001</v>
      </c>
      <c r="J38" s="440">
        <f>ROUND(未审资产负债表!D37,2)</f>
        <v>151533.72</v>
      </c>
      <c r="K38" s="440">
        <f>ROUND(K36+K37,2)</f>
        <v>0</v>
      </c>
      <c r="L38" s="440">
        <f>ROUND(L36+L37,2)</f>
        <v>0</v>
      </c>
      <c r="M38" s="405">
        <f t="shared" si="2"/>
        <v>0</v>
      </c>
      <c r="N38" s="440">
        <f t="shared" si="3"/>
        <v>151533.72</v>
      </c>
    </row>
    <row r="39" spans="1:14">
      <c r="A39" s="536" t="s">
        <v>1763</v>
      </c>
      <c r="B39" s="536" t="s">
        <v>1876</v>
      </c>
      <c r="C39" s="535" t="s">
        <v>1876</v>
      </c>
      <c r="D39" s="485" t="s">
        <v>1875</v>
      </c>
      <c r="E39" s="440">
        <f>ROUND(未审资产负债表!C38,2)</f>
        <v>0</v>
      </c>
      <c r="F39" s="440">
        <f>ROUND(SUMIF(调整分录!D:D,试算平衡表!C39,调整分录!H:H),2)</f>
        <v>0</v>
      </c>
      <c r="G39" s="440">
        <f>ROUND(SUMIF(调整分录!D:D,试算平衡表!C39,调整分录!I:I),2)</f>
        <v>0</v>
      </c>
      <c r="H39" s="405">
        <f t="shared" si="0"/>
        <v>0</v>
      </c>
      <c r="I39" s="440">
        <f t="shared" si="1"/>
        <v>0</v>
      </c>
      <c r="J39" s="440">
        <f>ROUND(未审资产负债表!D38,2)</f>
        <v>0</v>
      </c>
      <c r="K39" s="440">
        <f>ROUND(SUMIF(调整分录!D:D,试算平衡表!C39,调整分录!F:F),2)</f>
        <v>0</v>
      </c>
      <c r="L39" s="440">
        <f>ROUND(SUMIF(调整分录!D:D,试算平衡表!C39,调整分录!G:G),2)</f>
        <v>0</v>
      </c>
      <c r="M39" s="405">
        <f t="shared" si="2"/>
        <v>0</v>
      </c>
      <c r="N39" s="440">
        <f t="shared" si="3"/>
        <v>0</v>
      </c>
    </row>
    <row r="40" spans="1:14">
      <c r="A40" s="536" t="s">
        <v>562</v>
      </c>
      <c r="B40" s="536"/>
      <c r="C40" s="535"/>
      <c r="D40" s="485" t="s">
        <v>1839</v>
      </c>
      <c r="E40" s="440">
        <f>ROUND(未审资产负债表!C39,2)</f>
        <v>114214.77</v>
      </c>
      <c r="F40" s="440">
        <f>ROUND(F38+F39,2)</f>
        <v>8898.7099999999991</v>
      </c>
      <c r="G40" s="440">
        <f>ROUND(G38+G39,2)</f>
        <v>10287</v>
      </c>
      <c r="H40" s="405">
        <f t="shared" si="0"/>
        <v>-1388.2899999999936</v>
      </c>
      <c r="I40" s="440">
        <f t="shared" si="1"/>
        <v>112826.48000000001</v>
      </c>
      <c r="J40" s="440">
        <f>ROUND(未审资产负债表!D39,2)</f>
        <v>151533.72</v>
      </c>
      <c r="K40" s="440">
        <f>ROUND(K38+K39,2)</f>
        <v>0</v>
      </c>
      <c r="L40" s="440">
        <f>ROUND(L38+L39,2)</f>
        <v>0</v>
      </c>
      <c r="M40" s="405">
        <f t="shared" si="2"/>
        <v>0</v>
      </c>
      <c r="N40" s="440">
        <f t="shared" si="3"/>
        <v>151533.72</v>
      </c>
    </row>
    <row r="41" spans="1:14">
      <c r="A41" s="534" t="s">
        <v>563</v>
      </c>
      <c r="B41" s="534" t="s">
        <v>1877</v>
      </c>
      <c r="C41" s="535" t="s">
        <v>1877</v>
      </c>
      <c r="D41" s="566" t="s">
        <v>1839</v>
      </c>
      <c r="E41" s="440">
        <f>ROUND(未审资产负债表!C40,2)</f>
        <v>0</v>
      </c>
      <c r="F41" s="440">
        <f>ROUND(SUMIF(调整分录!D:D,试算平衡表!C41,调整分录!H:H),2)</f>
        <v>0</v>
      </c>
      <c r="G41" s="440">
        <f>ROUND(SUMIF(调整分录!D:D,试算平衡表!C41,调整分录!I:I),2)</f>
        <v>0</v>
      </c>
      <c r="H41" s="405">
        <f t="shared" si="0"/>
        <v>0</v>
      </c>
      <c r="I41" s="440">
        <f t="shared" si="1"/>
        <v>0</v>
      </c>
      <c r="J41" s="440">
        <f>ROUND(未审资产负债表!D40,2)</f>
        <v>0</v>
      </c>
      <c r="K41" s="440">
        <f>ROUND(SUMIF(调整分录!D:D,试算平衡表!C41,调整分录!F:F),2)</f>
        <v>0</v>
      </c>
      <c r="L41" s="440">
        <f>ROUND(SUMIF(调整分录!D:D,试算平衡表!C41,调整分录!G:G),2)</f>
        <v>0</v>
      </c>
      <c r="M41" s="405">
        <f t="shared" si="2"/>
        <v>0</v>
      </c>
      <c r="N41" s="440">
        <f t="shared" si="3"/>
        <v>0</v>
      </c>
    </row>
    <row r="42" spans="1:14">
      <c r="A42" s="534" t="s">
        <v>564</v>
      </c>
      <c r="B42" s="534" t="s">
        <v>1878</v>
      </c>
      <c r="C42" s="535" t="s">
        <v>1878</v>
      </c>
      <c r="D42" s="566" t="s">
        <v>1839</v>
      </c>
      <c r="E42" s="440">
        <f>ROUND(未审资产负债表!C41,2)</f>
        <v>0</v>
      </c>
      <c r="F42" s="440">
        <f>ROUND(SUMIF(调整分录!D:D,试算平衡表!C42,调整分录!H:H),2)</f>
        <v>0</v>
      </c>
      <c r="G42" s="440">
        <f>ROUND(SUMIF(调整分录!D:D,试算平衡表!C42,调整分录!I:I),2)</f>
        <v>0</v>
      </c>
      <c r="H42" s="405">
        <f t="shared" si="0"/>
        <v>0</v>
      </c>
      <c r="I42" s="440">
        <f t="shared" si="1"/>
        <v>0</v>
      </c>
      <c r="J42" s="440">
        <f>ROUND(未审资产负债表!D41,2)</f>
        <v>0</v>
      </c>
      <c r="K42" s="440">
        <f>ROUND(SUMIF(调整分录!D:D,试算平衡表!C42,调整分录!F:F),2)</f>
        <v>0</v>
      </c>
      <c r="L42" s="440">
        <f>ROUND(SUMIF(调整分录!D:D,试算平衡表!C42,调整分录!G:G),2)</f>
        <v>0</v>
      </c>
      <c r="M42" s="405">
        <f t="shared" si="2"/>
        <v>0</v>
      </c>
      <c r="N42" s="440">
        <f t="shared" si="3"/>
        <v>0</v>
      </c>
    </row>
    <row r="43" spans="1:14">
      <c r="A43" s="534" t="s">
        <v>565</v>
      </c>
      <c r="B43" s="534" t="s">
        <v>1879</v>
      </c>
      <c r="C43" s="535" t="s">
        <v>1879</v>
      </c>
      <c r="D43" s="566" t="s">
        <v>1839</v>
      </c>
      <c r="E43" s="440">
        <f>ROUND(未审资产负债表!C42,2)</f>
        <v>0</v>
      </c>
      <c r="F43" s="440">
        <f>ROUND(SUMIF(调整分录!D:D,试算平衡表!C43,调整分录!H:H),2)</f>
        <v>0</v>
      </c>
      <c r="G43" s="440">
        <f>ROUND(SUMIF(调整分录!D:D,试算平衡表!C43,调整分录!I:I),2)</f>
        <v>0</v>
      </c>
      <c r="H43" s="405">
        <f t="shared" si="0"/>
        <v>0</v>
      </c>
      <c r="I43" s="440">
        <f t="shared" si="1"/>
        <v>0</v>
      </c>
      <c r="J43" s="440">
        <f>ROUND(未审资产负债表!D42,2)</f>
        <v>0</v>
      </c>
      <c r="K43" s="440">
        <f>ROUND(SUMIF(调整分录!D:D,试算平衡表!C43,调整分录!F:F),2)</f>
        <v>0</v>
      </c>
      <c r="L43" s="440">
        <f>ROUND(SUMIF(调整分录!D:D,试算平衡表!C43,调整分录!G:G),2)</f>
        <v>0</v>
      </c>
      <c r="M43" s="405">
        <f t="shared" si="2"/>
        <v>0</v>
      </c>
      <c r="N43" s="440">
        <f t="shared" si="3"/>
        <v>0</v>
      </c>
    </row>
    <row r="44" spans="1:14">
      <c r="A44" s="534" t="s">
        <v>566</v>
      </c>
      <c r="B44" s="534" t="s">
        <v>1880</v>
      </c>
      <c r="C44" s="535" t="s">
        <v>1880</v>
      </c>
      <c r="D44" s="566" t="s">
        <v>1839</v>
      </c>
      <c r="E44" s="440">
        <f>ROUND(未审资产负债表!C43,2)</f>
        <v>0</v>
      </c>
      <c r="F44" s="440">
        <f>ROUND(SUMIF(调整分录!D:D,试算平衡表!C44,调整分录!H:H),2)</f>
        <v>0</v>
      </c>
      <c r="G44" s="440">
        <f>ROUND(SUMIF(调整分录!D:D,试算平衡表!C44,调整分录!I:I),2)</f>
        <v>0</v>
      </c>
      <c r="H44" s="405">
        <f t="shared" si="0"/>
        <v>0</v>
      </c>
      <c r="I44" s="440">
        <f t="shared" si="1"/>
        <v>0</v>
      </c>
      <c r="J44" s="440">
        <f>ROUND(未审资产负债表!D43,2)</f>
        <v>0</v>
      </c>
      <c r="K44" s="440">
        <f>ROUND(SUMIF(调整分录!D:D,试算平衡表!C44,调整分录!F:F),2)</f>
        <v>0</v>
      </c>
      <c r="L44" s="440">
        <f>ROUND(SUMIF(调整分录!D:D,试算平衡表!C44,调整分录!G:G),2)</f>
        <v>0</v>
      </c>
      <c r="M44" s="405">
        <f t="shared" si="2"/>
        <v>0</v>
      </c>
      <c r="N44" s="440">
        <f t="shared" si="3"/>
        <v>0</v>
      </c>
    </row>
    <row r="45" spans="1:14">
      <c r="A45" s="534" t="s">
        <v>567</v>
      </c>
      <c r="B45" s="534" t="s">
        <v>1881</v>
      </c>
      <c r="C45" s="535" t="s">
        <v>1881</v>
      </c>
      <c r="D45" s="566" t="s">
        <v>1839</v>
      </c>
      <c r="E45" s="440">
        <f>ROUND(未审资产负债表!C44,2)</f>
        <v>0</v>
      </c>
      <c r="F45" s="440">
        <f>ROUND(SUMIF(调整分录!D:D,试算平衡表!C45,调整分录!H:H),2)</f>
        <v>0</v>
      </c>
      <c r="G45" s="440">
        <f>ROUND(SUMIF(调整分录!D:D,试算平衡表!C45,调整分录!I:I),2)</f>
        <v>0</v>
      </c>
      <c r="H45" s="405">
        <f t="shared" si="0"/>
        <v>0</v>
      </c>
      <c r="I45" s="440">
        <f t="shared" si="1"/>
        <v>0</v>
      </c>
      <c r="J45" s="440">
        <f>ROUND(未审资产负债表!D44,2)</f>
        <v>0</v>
      </c>
      <c r="K45" s="440">
        <f>ROUND(SUMIF(调整分录!D:D,试算平衡表!C45,调整分录!F:F),2)</f>
        <v>0</v>
      </c>
      <c r="L45" s="440">
        <f>ROUND(SUMIF(调整分录!D:D,试算平衡表!C45,调整分录!G:G),2)</f>
        <v>0</v>
      </c>
      <c r="M45" s="405">
        <f t="shared" si="2"/>
        <v>0</v>
      </c>
      <c r="N45" s="440">
        <f t="shared" si="3"/>
        <v>0</v>
      </c>
    </row>
    <row r="46" spans="1:14">
      <c r="A46" s="534" t="s">
        <v>568</v>
      </c>
      <c r="B46" s="534" t="s">
        <v>1882</v>
      </c>
      <c r="C46" s="535" t="s">
        <v>1882</v>
      </c>
      <c r="D46" s="566" t="s">
        <v>1839</v>
      </c>
      <c r="E46" s="440">
        <f>ROUND(未审资产负债表!C45,2)</f>
        <v>0</v>
      </c>
      <c r="F46" s="440">
        <f>ROUND(SUMIF(调整分录!D:D,试算平衡表!C46,调整分录!H:H),2)</f>
        <v>0</v>
      </c>
      <c r="G46" s="440">
        <f>ROUND(SUMIF(调整分录!D:D,试算平衡表!C46,调整分录!I:I),2)</f>
        <v>0</v>
      </c>
      <c r="H46" s="405">
        <f t="shared" si="0"/>
        <v>0</v>
      </c>
      <c r="I46" s="440">
        <f t="shared" si="1"/>
        <v>0</v>
      </c>
      <c r="J46" s="440">
        <f>ROUND(未审资产负债表!D45,2)</f>
        <v>0</v>
      </c>
      <c r="K46" s="440">
        <f>ROUND(SUMIF(调整分录!D:D,试算平衡表!C46,调整分录!F:F),2)</f>
        <v>0</v>
      </c>
      <c r="L46" s="440">
        <f>ROUND(SUMIF(调整分录!D:D,试算平衡表!C46,调整分录!G:G),2)</f>
        <v>0</v>
      </c>
      <c r="M46" s="405">
        <f t="shared" si="2"/>
        <v>0</v>
      </c>
      <c r="N46" s="440">
        <f t="shared" si="3"/>
        <v>0</v>
      </c>
    </row>
    <row r="47" spans="1:14">
      <c r="A47" s="534" t="s">
        <v>569</v>
      </c>
      <c r="B47" s="534" t="s">
        <v>1883</v>
      </c>
      <c r="C47" s="535" t="s">
        <v>1883</v>
      </c>
      <c r="D47" s="566" t="s">
        <v>1839</v>
      </c>
      <c r="E47" s="440">
        <f>ROUND(未审资产负债表!C46,2)</f>
        <v>0</v>
      </c>
      <c r="F47" s="440">
        <f>ROUND(SUMIF(调整分录!D:D,试算平衡表!C47,调整分录!H:H),2)</f>
        <v>0</v>
      </c>
      <c r="G47" s="440">
        <f>ROUND(SUMIF(调整分录!D:D,试算平衡表!C47,调整分录!I:I),2)</f>
        <v>0</v>
      </c>
      <c r="H47" s="405">
        <f t="shared" si="0"/>
        <v>0</v>
      </c>
      <c r="I47" s="440">
        <f t="shared" si="1"/>
        <v>0</v>
      </c>
      <c r="J47" s="440">
        <f>ROUND(未审资产负债表!D46,2)</f>
        <v>0</v>
      </c>
      <c r="K47" s="440">
        <f>ROUND(SUMIF(调整分录!D:D,试算平衡表!C47,调整分录!F:F),2)</f>
        <v>0</v>
      </c>
      <c r="L47" s="440">
        <f>ROUND(SUMIF(调整分录!D:D,试算平衡表!C47,调整分录!G:G),2)</f>
        <v>0</v>
      </c>
      <c r="M47" s="405">
        <f t="shared" si="2"/>
        <v>0</v>
      </c>
      <c r="N47" s="440">
        <f t="shared" si="3"/>
        <v>0</v>
      </c>
    </row>
    <row r="48" spans="1:14">
      <c r="A48" s="534" t="s">
        <v>570</v>
      </c>
      <c r="B48" s="534" t="s">
        <v>1884</v>
      </c>
      <c r="C48" s="535" t="s">
        <v>1884</v>
      </c>
      <c r="D48" s="566" t="s">
        <v>1839</v>
      </c>
      <c r="E48" s="440">
        <f>ROUND(未审资产负债表!C47,2)</f>
        <v>0</v>
      </c>
      <c r="F48" s="440">
        <f>ROUND(SUMIF(调整分录!D:D,试算平衡表!C48,调整分录!H:H),2)</f>
        <v>0</v>
      </c>
      <c r="G48" s="440">
        <f>ROUND(SUMIF(调整分录!D:D,试算平衡表!C48,调整分录!I:I),2)</f>
        <v>0</v>
      </c>
      <c r="H48" s="405">
        <f t="shared" si="0"/>
        <v>0</v>
      </c>
      <c r="I48" s="440">
        <f t="shared" si="1"/>
        <v>0</v>
      </c>
      <c r="J48" s="440">
        <f>ROUND(未审资产负债表!D47,2)</f>
        <v>0</v>
      </c>
      <c r="K48" s="440">
        <f>ROUND(SUMIF(调整分录!D:D,试算平衡表!C48,调整分录!F:F),2)</f>
        <v>0</v>
      </c>
      <c r="L48" s="440">
        <f>ROUND(SUMIF(调整分录!D:D,试算平衡表!C48,调整分录!G:G),2)</f>
        <v>0</v>
      </c>
      <c r="M48" s="405">
        <f t="shared" si="2"/>
        <v>0</v>
      </c>
      <c r="N48" s="440">
        <f t="shared" si="3"/>
        <v>0</v>
      </c>
    </row>
    <row r="49" spans="1:14">
      <c r="A49" s="534" t="s">
        <v>571</v>
      </c>
      <c r="B49" s="534" t="s">
        <v>1885</v>
      </c>
      <c r="C49" s="535" t="s">
        <v>1885</v>
      </c>
      <c r="D49" s="566" t="s">
        <v>1839</v>
      </c>
      <c r="E49" s="440">
        <f>ROUND(未审资产负债表!C48,2)</f>
        <v>0</v>
      </c>
      <c r="F49" s="440">
        <f>ROUND(SUMIF(调整分录!D:D,试算平衡表!C49,调整分录!H:H),2)</f>
        <v>0</v>
      </c>
      <c r="G49" s="440">
        <f>ROUND(SUMIF(调整分录!D:D,试算平衡表!C49,调整分录!I:I),2)</f>
        <v>0</v>
      </c>
      <c r="H49" s="405">
        <f t="shared" si="0"/>
        <v>0</v>
      </c>
      <c r="I49" s="440">
        <f t="shared" si="1"/>
        <v>0</v>
      </c>
      <c r="J49" s="440">
        <f>ROUND(未审资产负债表!D48,2)</f>
        <v>4497</v>
      </c>
      <c r="K49" s="440">
        <f>ROUND(SUMIF(调整分录!D:D,试算平衡表!C49,调整分录!F:F),2)</f>
        <v>0</v>
      </c>
      <c r="L49" s="440">
        <f>ROUND(SUMIF(调整分录!D:D,试算平衡表!C49,调整分录!G:G),2)</f>
        <v>0</v>
      </c>
      <c r="M49" s="405">
        <f t="shared" si="2"/>
        <v>0</v>
      </c>
      <c r="N49" s="440">
        <f t="shared" si="3"/>
        <v>4497</v>
      </c>
    </row>
    <row r="50" spans="1:14">
      <c r="A50" s="534" t="s">
        <v>572</v>
      </c>
      <c r="B50" s="534" t="s">
        <v>1886</v>
      </c>
      <c r="C50" s="535" t="s">
        <v>1886</v>
      </c>
      <c r="D50" s="566" t="s">
        <v>1839</v>
      </c>
      <c r="E50" s="440">
        <f>ROUND(未审资产负债表!C49,2)</f>
        <v>10959.86</v>
      </c>
      <c r="F50" s="440">
        <f>ROUND(SUMIF(调整分录!D:D,试算平衡表!C50,调整分录!H:H),2)</f>
        <v>57500</v>
      </c>
      <c r="G50" s="440">
        <f>ROUND(SUMIF(调整分录!D:D,试算平衡表!C50,调整分录!I:I),2)</f>
        <v>7149.85</v>
      </c>
      <c r="H50" s="405">
        <f t="shared" si="0"/>
        <v>50350.15</v>
      </c>
      <c r="I50" s="440">
        <f t="shared" si="1"/>
        <v>61310.01</v>
      </c>
      <c r="J50" s="440">
        <f>ROUND(未审资产负债表!D49,2)</f>
        <v>10959.86</v>
      </c>
      <c r="K50" s="440">
        <f>ROUND(SUMIF(调整分录!D:D,试算平衡表!C50,调整分录!F:F),2)</f>
        <v>0</v>
      </c>
      <c r="L50" s="440">
        <f>ROUND(SUMIF(调整分录!D:D,试算平衡表!C50,调整分录!G:G),2)</f>
        <v>0</v>
      </c>
      <c r="M50" s="405">
        <f t="shared" si="2"/>
        <v>0</v>
      </c>
      <c r="N50" s="440">
        <f t="shared" si="3"/>
        <v>10959.86</v>
      </c>
    </row>
    <row r="51" spans="1:14">
      <c r="A51" s="534" t="s">
        <v>573</v>
      </c>
      <c r="B51" s="534" t="s">
        <v>1887</v>
      </c>
      <c r="C51" s="535" t="s">
        <v>1888</v>
      </c>
      <c r="D51" s="566" t="s">
        <v>1839</v>
      </c>
      <c r="E51" s="440">
        <f>ROUND(未审资产负债表!C50,2)</f>
        <v>0</v>
      </c>
      <c r="F51" s="440">
        <f>ROUND(SUMIF(调整分录!D:D,试算平衡表!C51,调整分录!H:H),2)</f>
        <v>0</v>
      </c>
      <c r="G51" s="440">
        <f>ROUND(SUMIF(调整分录!D:D,试算平衡表!C51,调整分录!I:I)+G52,2)</f>
        <v>0</v>
      </c>
      <c r="H51" s="405">
        <f t="shared" si="0"/>
        <v>0</v>
      </c>
      <c r="I51" s="440">
        <f t="shared" si="1"/>
        <v>0</v>
      </c>
      <c r="J51" s="440">
        <f>ROUND(未审资产负债表!D50,2)</f>
        <v>0</v>
      </c>
      <c r="K51" s="440">
        <f>ROUND(SUMIF(调整分录!D:D,试算平衡表!C51,调整分录!F:F)+K52,2)</f>
        <v>0</v>
      </c>
      <c r="L51" s="440">
        <f>ROUND(SUMIF(调整分录!D:D,试算平衡表!C51,调整分录!G:G)+L52,2)</f>
        <v>0</v>
      </c>
      <c r="M51" s="405">
        <f t="shared" si="2"/>
        <v>0</v>
      </c>
      <c r="N51" s="440">
        <f t="shared" si="3"/>
        <v>0</v>
      </c>
    </row>
    <row r="52" spans="1:14">
      <c r="A52" s="534" t="s">
        <v>1767</v>
      </c>
      <c r="B52" s="534"/>
      <c r="C52" s="535" t="s">
        <v>1889</v>
      </c>
      <c r="D52" s="566" t="s">
        <v>1839</v>
      </c>
      <c r="E52" s="440">
        <f>ROUND(未审资产负债表!C51,2)</f>
        <v>0</v>
      </c>
      <c r="F52" s="440">
        <f>ROUND(SUMIF(调整分录!D:D,试算平衡表!C52,调整分录!H:H),2)</f>
        <v>0</v>
      </c>
      <c r="G52" s="440">
        <f>ROUND(SUMIF(调整分录!D:D,试算平衡表!C52,调整分录!I:I),2)</f>
        <v>0</v>
      </c>
      <c r="H52" s="405">
        <f t="shared" si="0"/>
        <v>0</v>
      </c>
      <c r="I52" s="440">
        <f t="shared" si="1"/>
        <v>0</v>
      </c>
      <c r="J52" s="440">
        <f>ROUND(未审资产负债表!D51,2)</f>
        <v>0</v>
      </c>
      <c r="K52" s="440">
        <f>ROUND(SUMIF(调整分录!D:D,试算平衡表!C52,调整分录!F:F),2)</f>
        <v>0</v>
      </c>
      <c r="L52" s="440">
        <f>ROUND(SUMIF(调整分录!D:D,试算平衡表!C52,调整分录!G:G),2)</f>
        <v>0</v>
      </c>
      <c r="M52" s="405">
        <f t="shared" si="2"/>
        <v>0</v>
      </c>
      <c r="N52" s="440">
        <f t="shared" si="3"/>
        <v>0</v>
      </c>
    </row>
    <row r="53" spans="1:14">
      <c r="A53" s="524" t="s">
        <v>575</v>
      </c>
      <c r="B53" s="524"/>
      <c r="C53" s="535"/>
      <c r="D53" s="429" t="s">
        <v>1839</v>
      </c>
      <c r="E53" s="440">
        <f>ROUND(未审资产负债表!C52,2)</f>
        <v>830468.63</v>
      </c>
      <c r="F53" s="440">
        <f>ROUND(SUM(F30:F52)-F36-F37-F38-F39-F52,2)</f>
        <v>66398.710000000006</v>
      </c>
      <c r="G53" s="440">
        <f>ROUND(SUM(G30:G52)-G36-G37-G38-G39-G52,2)</f>
        <v>17436.849999999999</v>
      </c>
      <c r="H53" s="405">
        <f>I53-E53</f>
        <v>48961.859999999986</v>
      </c>
      <c r="I53" s="440">
        <f t="shared" si="1"/>
        <v>879430.49</v>
      </c>
      <c r="J53" s="440">
        <f>ROUND(未审资产负债表!D52,2)</f>
        <v>842284.58</v>
      </c>
      <c r="K53" s="440">
        <f>ROUND(SUM(K30:K52)-K36-K37-K38-K39-K52,2)</f>
        <v>0</v>
      </c>
      <c r="L53" s="440">
        <f>ROUND(SUM(L30:L52)-L36-L37-L38-L39-L52,2)</f>
        <v>0</v>
      </c>
      <c r="M53" s="405">
        <f t="shared" si="2"/>
        <v>0</v>
      </c>
      <c r="N53" s="440">
        <f t="shared" si="3"/>
        <v>842284.58</v>
      </c>
    </row>
    <row r="54" spans="1:14">
      <c r="A54" s="524" t="s">
        <v>576</v>
      </c>
      <c r="B54" s="524"/>
      <c r="C54" s="535"/>
      <c r="D54" s="429" t="s">
        <v>1839</v>
      </c>
      <c r="E54" s="440">
        <f>ROUND(未审资产负债表!C53,2)</f>
        <v>2935250.81</v>
      </c>
      <c r="F54" s="440">
        <f>ROUND(F53+F28,2)</f>
        <v>4833579.07</v>
      </c>
      <c r="G54" s="440">
        <f>ROUND(G53+G28,2)</f>
        <v>247436.85</v>
      </c>
      <c r="H54" s="405">
        <f>I54-E54</f>
        <v>4586142.2200000007</v>
      </c>
      <c r="I54" s="440">
        <f t="shared" si="1"/>
        <v>7521393.0300000012</v>
      </c>
      <c r="J54" s="440">
        <f>ROUND(未审资产负债表!D53,2)</f>
        <v>7945472.3700000001</v>
      </c>
      <c r="K54" s="440">
        <f>ROUND(K53+K28,2)</f>
        <v>86363.63</v>
      </c>
      <c r="L54" s="440">
        <f>ROUND(L53+L28,2)</f>
        <v>0</v>
      </c>
      <c r="M54" s="405">
        <f t="shared" si="2"/>
        <v>86363.629999999888</v>
      </c>
      <c r="N54" s="440">
        <f t="shared" si="3"/>
        <v>8031836</v>
      </c>
    </row>
    <row r="55" spans="1:14">
      <c r="A55" s="535"/>
      <c r="B55" s="535"/>
      <c r="C55" s="535"/>
      <c r="D55" s="429"/>
      <c r="E55" s="535"/>
      <c r="F55" s="537"/>
      <c r="G55" s="537"/>
      <c r="H55" s="403"/>
      <c r="I55" s="537"/>
      <c r="J55" s="535"/>
      <c r="K55" s="537"/>
      <c r="L55" s="537"/>
      <c r="M55" s="403"/>
      <c r="N55" s="537"/>
    </row>
    <row r="56" spans="1:14">
      <c r="A56" s="524"/>
      <c r="B56" s="524"/>
      <c r="C56" s="535"/>
      <c r="D56" s="429"/>
      <c r="E56" s="429"/>
      <c r="F56" s="537"/>
      <c r="G56" s="537"/>
      <c r="H56" s="403"/>
      <c r="I56" s="537"/>
      <c r="J56" s="429"/>
      <c r="K56" s="537"/>
      <c r="L56" s="537"/>
      <c r="M56" s="403"/>
      <c r="N56" s="537"/>
    </row>
    <row r="57" spans="1:14">
      <c r="A57" s="538"/>
      <c r="B57" s="538"/>
      <c r="C57" s="535"/>
      <c r="D57" s="539"/>
      <c r="E57" s="539"/>
      <c r="F57" s="537"/>
      <c r="G57" s="537"/>
      <c r="H57" s="403"/>
      <c r="I57" s="537"/>
      <c r="J57" s="539"/>
      <c r="K57" s="537"/>
      <c r="L57" s="537"/>
      <c r="M57" s="403"/>
      <c r="N57" s="537"/>
    </row>
    <row r="58" spans="1:14">
      <c r="A58" s="529"/>
      <c r="B58" s="529"/>
      <c r="C58" s="535"/>
      <c r="D58" s="429"/>
      <c r="E58" s="534"/>
      <c r="F58" s="537"/>
      <c r="G58" s="537"/>
      <c r="H58" s="403"/>
      <c r="I58" s="537"/>
      <c r="J58" s="540"/>
      <c r="K58" s="537"/>
      <c r="L58" s="537"/>
      <c r="M58" s="403"/>
      <c r="N58" s="537"/>
    </row>
    <row r="59" spans="1:14" s="565" customFormat="1">
      <c r="A59" s="524" t="s">
        <v>529</v>
      </c>
      <c r="B59" s="526"/>
      <c r="C59" s="526"/>
      <c r="D59" s="526"/>
      <c r="E59" s="525" t="str">
        <f>"未审"&amp;未审资产负债表!C58</f>
        <v>未审期末金额</v>
      </c>
      <c r="F59" s="526" t="s">
        <v>1749</v>
      </c>
      <c r="G59" s="526" t="s">
        <v>1750</v>
      </c>
      <c r="H59" s="403"/>
      <c r="I59" s="525" t="str">
        <f>I5</f>
        <v>审定期末金额</v>
      </c>
      <c r="J59" s="525" t="str">
        <f>"未审"&amp;未审资产负债表!D58</f>
        <v>未审年初金额</v>
      </c>
      <c r="K59" s="526" t="s">
        <v>1749</v>
      </c>
      <c r="L59" s="526" t="s">
        <v>1750</v>
      </c>
      <c r="M59" s="403"/>
      <c r="N59" s="525" t="str">
        <f>N5</f>
        <v>审定年初金额</v>
      </c>
    </row>
    <row r="60" spans="1:14">
      <c r="A60" s="529" t="s">
        <v>578</v>
      </c>
      <c r="B60" s="529"/>
      <c r="C60" s="535"/>
      <c r="D60" s="429"/>
      <c r="E60" s="434"/>
      <c r="F60" s="434"/>
      <c r="G60" s="434"/>
      <c r="H60" s="403"/>
      <c r="I60" s="434"/>
      <c r="J60" s="434"/>
      <c r="K60" s="434"/>
      <c r="L60" s="434"/>
      <c r="M60" s="403"/>
      <c r="N60" s="434"/>
    </row>
    <row r="61" spans="1:14">
      <c r="A61" s="530" t="s">
        <v>579</v>
      </c>
      <c r="B61" s="530" t="s">
        <v>1890</v>
      </c>
      <c r="C61" s="535" t="s">
        <v>1890</v>
      </c>
      <c r="D61" s="566" t="s">
        <v>1875</v>
      </c>
      <c r="E61" s="440">
        <f>ROUND(未审资产负债表!C60,2)</f>
        <v>0</v>
      </c>
      <c r="F61" s="440">
        <f>ROUND(SUMIF(调整分录!D:D,试算平衡表!C61,调整分录!H:H),2)</f>
        <v>0</v>
      </c>
      <c r="G61" s="440">
        <f>ROUND(SUMIF(调整分录!D:D,试算平衡表!C61,调整分录!I:I),2)</f>
        <v>0</v>
      </c>
      <c r="H61" s="405">
        <f t="shared" ref="H61:H88" si="4">I61-E61</f>
        <v>0</v>
      </c>
      <c r="I61" s="440">
        <f t="shared" si="1"/>
        <v>0</v>
      </c>
      <c r="J61" s="440">
        <f>ROUND(未审资产负债表!D60,2)</f>
        <v>0</v>
      </c>
      <c r="K61" s="440">
        <f>ROUND(SUMIF(调整分录!D:D,试算平衡表!C61,调整分录!F:F),2)</f>
        <v>0</v>
      </c>
      <c r="L61" s="440">
        <f>ROUND(SUMIF(调整分录!D:D,试算平衡表!C61,调整分录!G:G),2)</f>
        <v>0</v>
      </c>
      <c r="M61" s="405">
        <f t="shared" ref="M61:M88" si="5">N61-J61</f>
        <v>0</v>
      </c>
      <c r="N61" s="440">
        <f t="shared" si="3"/>
        <v>0</v>
      </c>
    </row>
    <row r="62" spans="1:14">
      <c r="A62" s="530" t="s">
        <v>580</v>
      </c>
      <c r="B62" s="530" t="s">
        <v>1891</v>
      </c>
      <c r="C62" s="535" t="s">
        <v>1891</v>
      </c>
      <c r="D62" s="566" t="s">
        <v>1875</v>
      </c>
      <c r="E62" s="440">
        <f>ROUND(未审资产负债表!C61,2)</f>
        <v>0</v>
      </c>
      <c r="F62" s="440">
        <f>ROUND(SUMIF(调整分录!D:D,试算平衡表!C62,调整分录!H:H),2)</f>
        <v>0</v>
      </c>
      <c r="G62" s="440">
        <f>ROUND(SUMIF(调整分录!D:D,试算平衡表!C62,调整分录!I:I),2)</f>
        <v>0</v>
      </c>
      <c r="H62" s="405">
        <f t="shared" si="4"/>
        <v>0</v>
      </c>
      <c r="I62" s="440">
        <f t="shared" si="1"/>
        <v>0</v>
      </c>
      <c r="J62" s="440">
        <f>ROUND(未审资产负债表!D61,2)</f>
        <v>0</v>
      </c>
      <c r="K62" s="440">
        <f>ROUND(SUMIF(调整分录!D:D,试算平衡表!C62,调整分录!F:F),2)</f>
        <v>0</v>
      </c>
      <c r="L62" s="440">
        <f>ROUND(SUMIF(调整分录!D:D,试算平衡表!C62,调整分录!G:G),2)</f>
        <v>0</v>
      </c>
      <c r="M62" s="405">
        <f t="shared" si="5"/>
        <v>0</v>
      </c>
      <c r="N62" s="440">
        <f t="shared" si="3"/>
        <v>0</v>
      </c>
    </row>
    <row r="63" spans="1:14">
      <c r="A63" s="530" t="s">
        <v>581</v>
      </c>
      <c r="B63" s="530" t="s">
        <v>1892</v>
      </c>
      <c r="C63" s="535" t="s">
        <v>1892</v>
      </c>
      <c r="D63" s="566" t="s">
        <v>1875</v>
      </c>
      <c r="E63" s="440">
        <f>ROUND(未审资产负债表!C62,2)</f>
        <v>0</v>
      </c>
      <c r="F63" s="440">
        <f>ROUND(SUMIF(调整分录!D:D,试算平衡表!C63,调整分录!H:H),2)</f>
        <v>0</v>
      </c>
      <c r="G63" s="440">
        <f>ROUND(SUMIF(调整分录!D:D,试算平衡表!C63,调整分录!I:I),2)</f>
        <v>0</v>
      </c>
      <c r="H63" s="405">
        <f t="shared" si="4"/>
        <v>0</v>
      </c>
      <c r="I63" s="440">
        <f t="shared" si="1"/>
        <v>0</v>
      </c>
      <c r="J63" s="440">
        <f>ROUND(未审资产负债表!D62,2)</f>
        <v>0</v>
      </c>
      <c r="K63" s="440">
        <f>ROUND(SUMIF(调整分录!D:D,试算平衡表!C63,调整分录!F:F),2)</f>
        <v>0</v>
      </c>
      <c r="L63" s="440">
        <f>ROUND(SUMIF(调整分录!D:D,试算平衡表!C63,调整分录!G:G),2)</f>
        <v>0</v>
      </c>
      <c r="M63" s="405">
        <f t="shared" si="5"/>
        <v>0</v>
      </c>
      <c r="N63" s="440">
        <f t="shared" si="3"/>
        <v>0</v>
      </c>
    </row>
    <row r="64" spans="1:14">
      <c r="A64" s="530" t="s">
        <v>582</v>
      </c>
      <c r="B64" s="530" t="s">
        <v>1893</v>
      </c>
      <c r="C64" s="535" t="s">
        <v>1893</v>
      </c>
      <c r="D64" s="566" t="s">
        <v>1875</v>
      </c>
      <c r="E64" s="440">
        <f>ROUND(未审资产负债表!C63,2)</f>
        <v>0</v>
      </c>
      <c r="F64" s="440">
        <f>ROUND(SUMIF(调整分录!D:D,试算平衡表!C64,调整分录!H:H),2)</f>
        <v>0</v>
      </c>
      <c r="G64" s="440">
        <f>ROUND(SUMIF(调整分录!D:D,试算平衡表!C64,调整分录!I:I),2)</f>
        <v>0</v>
      </c>
      <c r="H64" s="405">
        <f t="shared" si="4"/>
        <v>0</v>
      </c>
      <c r="I64" s="440">
        <f t="shared" si="1"/>
        <v>0</v>
      </c>
      <c r="J64" s="440">
        <f>ROUND(未审资产负债表!D63,2)</f>
        <v>0</v>
      </c>
      <c r="K64" s="440">
        <f>ROUND(SUMIF(调整分录!D:D,试算平衡表!C64,调整分录!F:F),2)</f>
        <v>0</v>
      </c>
      <c r="L64" s="440">
        <f>ROUND(SUMIF(调整分录!D:D,试算平衡表!C64,调整分录!G:G),2)</f>
        <v>0</v>
      </c>
      <c r="M64" s="405">
        <f t="shared" si="5"/>
        <v>0</v>
      </c>
      <c r="N64" s="440">
        <f t="shared" si="3"/>
        <v>0</v>
      </c>
    </row>
    <row r="65" spans="1:14">
      <c r="A65" s="530" t="s">
        <v>1894</v>
      </c>
      <c r="B65" s="530" t="s">
        <v>1895</v>
      </c>
      <c r="C65" s="535" t="s">
        <v>1896</v>
      </c>
      <c r="D65" s="566" t="s">
        <v>1875</v>
      </c>
      <c r="E65" s="440">
        <f>ROUND(未审资产负债表!C64,2)</f>
        <v>0</v>
      </c>
      <c r="F65" s="440">
        <f>ROUND(SUMIF(调整分录!D:D,试算平衡表!C65,调整分录!H:H),2)</f>
        <v>0</v>
      </c>
      <c r="G65" s="440">
        <f>ROUND(SUMIF(调整分录!D:D,试算平衡表!C65,调整分录!I:I),2)</f>
        <v>0</v>
      </c>
      <c r="H65" s="405">
        <f>I65-E65</f>
        <v>0</v>
      </c>
      <c r="I65" s="440">
        <f>IF(D65="借",E65+F65-G65,IF(D65="贷",E65+G65-F65,IF(D65="",0,0)))</f>
        <v>0</v>
      </c>
      <c r="J65" s="440">
        <f>ROUND(未审资产负债表!D64,2)</f>
        <v>0</v>
      </c>
      <c r="K65" s="440">
        <f>ROUND(SUMIF(调整分录!D:D,试算平衡表!C65,调整分录!F:F),2)</f>
        <v>0</v>
      </c>
      <c r="L65" s="440">
        <f>ROUND(SUMIF(调整分录!D:D,试算平衡表!C65,调整分录!G:G),2)</f>
        <v>0</v>
      </c>
      <c r="M65" s="405">
        <f>N65-J65</f>
        <v>0</v>
      </c>
      <c r="N65" s="440">
        <f>IF(D65="借",J65+K65-L65,IF(D65="贷",J65+L65-K65,IF(D65="",0,0)))</f>
        <v>0</v>
      </c>
    </row>
    <row r="66" spans="1:14">
      <c r="A66" s="530" t="s">
        <v>1897</v>
      </c>
      <c r="B66" s="530" t="s">
        <v>1898</v>
      </c>
      <c r="C66" s="535" t="s">
        <v>1898</v>
      </c>
      <c r="D66" s="566" t="s">
        <v>1875</v>
      </c>
      <c r="E66" s="440">
        <f>ROUND(未审资产负债表!C65,2)</f>
        <v>0</v>
      </c>
      <c r="F66" s="440">
        <f>ROUND(SUMIF(调整分录!D:D,试算平衡表!C66,调整分录!H:H),2)</f>
        <v>0</v>
      </c>
      <c r="G66" s="440">
        <f>ROUND(SUMIF(调整分录!D:D,试算平衡表!C66,调整分录!I:I),2)</f>
        <v>0</v>
      </c>
      <c r="H66" s="405">
        <f t="shared" si="4"/>
        <v>0</v>
      </c>
      <c r="I66" s="440">
        <f t="shared" si="1"/>
        <v>0</v>
      </c>
      <c r="J66" s="440">
        <f>ROUND(未审资产负债表!D65,2)</f>
        <v>0</v>
      </c>
      <c r="K66" s="440">
        <f>ROUND(SUMIF(调整分录!D:D,试算平衡表!C66,调整分录!F:F),2)</f>
        <v>0</v>
      </c>
      <c r="L66" s="440">
        <f>ROUND(SUMIF(调整分录!D:D,试算平衡表!C66,调整分录!G:G),2)</f>
        <v>0</v>
      </c>
      <c r="M66" s="405">
        <f t="shared" si="5"/>
        <v>0</v>
      </c>
      <c r="N66" s="440">
        <f t="shared" si="3"/>
        <v>0</v>
      </c>
    </row>
    <row r="67" spans="1:14">
      <c r="A67" s="530" t="s">
        <v>583</v>
      </c>
      <c r="B67" s="530" t="s">
        <v>1899</v>
      </c>
      <c r="C67" s="535" t="s">
        <v>1899</v>
      </c>
      <c r="D67" s="566" t="s">
        <v>1875</v>
      </c>
      <c r="E67" s="440">
        <f>ROUND(未审资产负债表!C66,2)</f>
        <v>0</v>
      </c>
      <c r="F67" s="440">
        <f>ROUND(SUMIF(调整分录!D:D,试算平衡表!C67,调整分录!H:H),2)</f>
        <v>0</v>
      </c>
      <c r="G67" s="440">
        <f>ROUND(SUMIF(调整分录!D:D,试算平衡表!C67,调整分录!I:I),2)</f>
        <v>0</v>
      </c>
      <c r="H67" s="405">
        <f t="shared" si="4"/>
        <v>0</v>
      </c>
      <c r="I67" s="440">
        <f t="shared" si="1"/>
        <v>0</v>
      </c>
      <c r="J67" s="440">
        <f>ROUND(未审资产负债表!D66,2)</f>
        <v>0</v>
      </c>
      <c r="K67" s="440">
        <f>ROUND(SUMIF(调整分录!D:D,试算平衡表!C67,调整分录!F:F),2)</f>
        <v>0</v>
      </c>
      <c r="L67" s="440">
        <f>ROUND(SUMIF(调整分录!D:D,试算平衡表!C67,调整分录!G:G),2)</f>
        <v>0</v>
      </c>
      <c r="M67" s="405">
        <f t="shared" si="5"/>
        <v>0</v>
      </c>
      <c r="N67" s="440">
        <f t="shared" si="3"/>
        <v>0</v>
      </c>
    </row>
    <row r="68" spans="1:14">
      <c r="A68" s="530" t="s">
        <v>584</v>
      </c>
      <c r="B68" s="530" t="s">
        <v>1900</v>
      </c>
      <c r="C68" s="535" t="s">
        <v>1900</v>
      </c>
      <c r="D68" s="566" t="s">
        <v>1875</v>
      </c>
      <c r="E68" s="440">
        <f>ROUND(未审资产负债表!C67,2)</f>
        <v>0</v>
      </c>
      <c r="F68" s="440">
        <f>ROUND(SUMIF(调整分录!D:D,试算平衡表!C68,调整分录!H:H),2)</f>
        <v>0</v>
      </c>
      <c r="G68" s="440">
        <f>ROUND(SUMIF(调整分录!D:D,试算平衡表!C68,调整分录!I:I),2)</f>
        <v>0</v>
      </c>
      <c r="H68" s="405">
        <f t="shared" si="4"/>
        <v>0</v>
      </c>
      <c r="I68" s="440">
        <f t="shared" si="1"/>
        <v>0</v>
      </c>
      <c r="J68" s="440">
        <f>ROUND(未审资产负债表!D67,2)</f>
        <v>0</v>
      </c>
      <c r="K68" s="440">
        <f>ROUND(SUMIF(调整分录!D:D,试算平衡表!C68,调整分录!F:F),2)</f>
        <v>0</v>
      </c>
      <c r="L68" s="440">
        <f>ROUND(SUMIF(调整分录!D:D,试算平衡表!C68,调整分录!G:G),2)</f>
        <v>0</v>
      </c>
      <c r="M68" s="405">
        <f t="shared" si="5"/>
        <v>0</v>
      </c>
      <c r="N68" s="440">
        <f t="shared" si="3"/>
        <v>0</v>
      </c>
    </row>
    <row r="69" spans="1:14">
      <c r="A69" s="530" t="s">
        <v>585</v>
      </c>
      <c r="B69" s="530" t="s">
        <v>1901</v>
      </c>
      <c r="C69" s="535" t="s">
        <v>1901</v>
      </c>
      <c r="D69" s="566" t="s">
        <v>1875</v>
      </c>
      <c r="E69" s="440">
        <f>ROUND(未审资产负债表!C68,2)</f>
        <v>0</v>
      </c>
      <c r="F69" s="440">
        <f>ROUND(SUMIF(调整分录!D:D,试算平衡表!C69,调整分录!H:H),2)</f>
        <v>0</v>
      </c>
      <c r="G69" s="440">
        <f>ROUND(SUMIF(调整分录!D:D,试算平衡表!C69,调整分录!I:I),2)</f>
        <v>0</v>
      </c>
      <c r="H69" s="405">
        <f t="shared" si="4"/>
        <v>0</v>
      </c>
      <c r="I69" s="440">
        <f t="shared" si="1"/>
        <v>0</v>
      </c>
      <c r="J69" s="440">
        <f>ROUND(未审资产负债表!D68,2)</f>
        <v>0</v>
      </c>
      <c r="K69" s="440">
        <f>ROUND(SUMIF(调整分录!D:D,试算平衡表!C69,调整分录!F:F),2)</f>
        <v>0</v>
      </c>
      <c r="L69" s="440">
        <f>ROUND(SUMIF(调整分录!D:D,试算平衡表!C69,调整分录!G:G),2)</f>
        <v>0</v>
      </c>
      <c r="M69" s="405">
        <f t="shared" si="5"/>
        <v>0</v>
      </c>
      <c r="N69" s="440">
        <f t="shared" si="3"/>
        <v>0</v>
      </c>
    </row>
    <row r="70" spans="1:14">
      <c r="A70" s="530" t="s">
        <v>586</v>
      </c>
      <c r="B70" s="530" t="s">
        <v>1902</v>
      </c>
      <c r="C70" s="535" t="s">
        <v>1902</v>
      </c>
      <c r="D70" s="566" t="s">
        <v>1875</v>
      </c>
      <c r="E70" s="440">
        <f>ROUND(未审资产负债表!C69,2)</f>
        <v>0</v>
      </c>
      <c r="F70" s="440">
        <f>ROUND(SUMIF(调整分录!D:D,试算平衡表!C70,调整分录!H:H),2)</f>
        <v>0</v>
      </c>
      <c r="G70" s="440">
        <f>ROUND(SUMIF(调整分录!D:D,试算平衡表!C70,调整分录!I:I),2)</f>
        <v>0</v>
      </c>
      <c r="H70" s="405">
        <f t="shared" si="4"/>
        <v>0</v>
      </c>
      <c r="I70" s="440">
        <f t="shared" si="1"/>
        <v>0</v>
      </c>
      <c r="J70" s="440">
        <f>ROUND(未审资产负债表!D69,2)</f>
        <v>0</v>
      </c>
      <c r="K70" s="440">
        <f>ROUND(SUMIF(调整分录!D:D,试算平衡表!C70,调整分录!F:F),2)</f>
        <v>0</v>
      </c>
      <c r="L70" s="440">
        <f>ROUND(SUMIF(调整分录!D:D,试算平衡表!C70,调整分录!G:G),2)</f>
        <v>0</v>
      </c>
      <c r="M70" s="405">
        <f t="shared" si="5"/>
        <v>0</v>
      </c>
      <c r="N70" s="440">
        <f t="shared" si="3"/>
        <v>0</v>
      </c>
    </row>
    <row r="71" spans="1:14">
      <c r="A71" s="530" t="s">
        <v>587</v>
      </c>
      <c r="B71" s="530" t="s">
        <v>1903</v>
      </c>
      <c r="C71" s="535" t="s">
        <v>1903</v>
      </c>
      <c r="D71" s="566" t="s">
        <v>1875</v>
      </c>
      <c r="E71" s="440">
        <f>ROUND(未审资产负债表!C70,2)</f>
        <v>0</v>
      </c>
      <c r="F71" s="440">
        <f>ROUND(SUMIF(调整分录!D:D,试算平衡表!C71,调整分录!H:H),2)</f>
        <v>0</v>
      </c>
      <c r="G71" s="440">
        <f>ROUND(SUMIF(调整分录!D:D,试算平衡表!C71,调整分录!I:I),2)</f>
        <v>0</v>
      </c>
      <c r="H71" s="405">
        <f t="shared" si="4"/>
        <v>0</v>
      </c>
      <c r="I71" s="440">
        <f t="shared" si="1"/>
        <v>0</v>
      </c>
      <c r="J71" s="440">
        <f>ROUND(未审资产负债表!D70,2)</f>
        <v>0</v>
      </c>
      <c r="K71" s="440">
        <f>ROUND(SUMIF(调整分录!D:D,试算平衡表!C71,调整分录!F:F),2)</f>
        <v>0</v>
      </c>
      <c r="L71" s="440">
        <f>ROUND(SUMIF(调整分录!D:D,试算平衡表!C71,调整分录!G:G),2)</f>
        <v>0</v>
      </c>
      <c r="M71" s="405">
        <f t="shared" si="5"/>
        <v>0</v>
      </c>
      <c r="N71" s="440">
        <f t="shared" si="3"/>
        <v>0</v>
      </c>
    </row>
    <row r="72" spans="1:14">
      <c r="A72" s="530" t="s">
        <v>588</v>
      </c>
      <c r="B72" s="530" t="s">
        <v>1904</v>
      </c>
      <c r="C72" s="535" t="s">
        <v>1905</v>
      </c>
      <c r="D72" s="566" t="s">
        <v>1906</v>
      </c>
      <c r="E72" s="440">
        <f>ROUND(未审资产负债表!C71,2)</f>
        <v>41819.14</v>
      </c>
      <c r="F72" s="440">
        <f>ROUND(SUMIF(调整分录!D:D,试算平衡表!C72,调整分录!H:H)+F73+F74,2)</f>
        <v>0</v>
      </c>
      <c r="G72" s="440">
        <f>ROUND(SUMIF(调整分录!D:D,试算平衡表!C72,调整分录!I:I)+G73+G74,2)</f>
        <v>0</v>
      </c>
      <c r="H72" s="405">
        <f t="shared" si="4"/>
        <v>0</v>
      </c>
      <c r="I72" s="440">
        <f t="shared" si="1"/>
        <v>41819.14</v>
      </c>
      <c r="J72" s="440">
        <f>ROUND(未审资产负债表!D71,2)</f>
        <v>48853.89</v>
      </c>
      <c r="K72" s="440">
        <f>ROUND(SUMIF(调整分录!D:D,试算平衡表!C72,调整分录!F:F)+K73+K74,2)</f>
        <v>0</v>
      </c>
      <c r="L72" s="440">
        <f>ROUND(SUMIF(调整分录!D:D,试算平衡表!C72,调整分录!G:G)+L73+L74,2)</f>
        <v>0</v>
      </c>
      <c r="M72" s="405">
        <f t="shared" si="5"/>
        <v>0</v>
      </c>
      <c r="N72" s="440">
        <f t="shared" si="3"/>
        <v>48853.89</v>
      </c>
    </row>
    <row r="73" spans="1:14">
      <c r="A73" s="530" t="s">
        <v>1773</v>
      </c>
      <c r="B73" s="530"/>
      <c r="C73" s="535" t="s">
        <v>1907</v>
      </c>
      <c r="D73" s="566" t="s">
        <v>1906</v>
      </c>
      <c r="E73" s="440">
        <f>ROUND(未审资产负债表!C72,2)</f>
        <v>0</v>
      </c>
      <c r="F73" s="440">
        <f>ROUND(SUMIF(调整分录!D:D,试算平衡表!C73,调整分录!H:H),2)</f>
        <v>0</v>
      </c>
      <c r="G73" s="440">
        <f>ROUND(SUMIF(调整分录!D:D,试算平衡表!C73,调整分录!I:I),2)</f>
        <v>0</v>
      </c>
      <c r="H73" s="405">
        <f t="shared" si="4"/>
        <v>0</v>
      </c>
      <c r="I73" s="440">
        <f t="shared" si="1"/>
        <v>0</v>
      </c>
      <c r="J73" s="440">
        <f>ROUND(未审资产负债表!D72,2)</f>
        <v>0</v>
      </c>
      <c r="K73" s="440">
        <f>ROUND(SUMIF(调整分录!D:D,试算平衡表!C73,调整分录!F:F),2)</f>
        <v>0</v>
      </c>
      <c r="L73" s="440">
        <f>ROUND(SUMIF(调整分录!D:D,试算平衡表!C73,调整分录!G:G),2)</f>
        <v>0</v>
      </c>
      <c r="M73" s="405">
        <f t="shared" si="5"/>
        <v>0</v>
      </c>
      <c r="N73" s="440">
        <f t="shared" si="3"/>
        <v>0</v>
      </c>
    </row>
    <row r="74" spans="1:14">
      <c r="A74" s="530" t="s">
        <v>1774</v>
      </c>
      <c r="B74" s="530"/>
      <c r="C74" s="535" t="s">
        <v>1908</v>
      </c>
      <c r="D74" s="566" t="s">
        <v>1875</v>
      </c>
      <c r="E74" s="440">
        <f>ROUND(未审资产负债表!C73,2)</f>
        <v>0</v>
      </c>
      <c r="F74" s="440">
        <f>ROUND(SUMIF(调整分录!D:D,试算平衡表!C74,调整分录!H:H)+F75,2)</f>
        <v>0</v>
      </c>
      <c r="G74" s="440">
        <f>ROUND(SUMIF(调整分录!D:D,试算平衡表!C74,调整分录!I:I)+G75,2)</f>
        <v>0</v>
      </c>
      <c r="H74" s="405">
        <f t="shared" si="4"/>
        <v>0</v>
      </c>
      <c r="I74" s="440">
        <f t="shared" si="1"/>
        <v>0</v>
      </c>
      <c r="J74" s="440">
        <f>ROUND(未审资产负债表!D73,2)</f>
        <v>0</v>
      </c>
      <c r="K74" s="440">
        <f>ROUND(SUMIF(调整分录!D:D,试算平衡表!C74,调整分录!F:F)+K75,2)</f>
        <v>0</v>
      </c>
      <c r="L74" s="440">
        <f>ROUND(SUMIF(调整分录!D:D,试算平衡表!C74,调整分录!G:G)+L75,2)</f>
        <v>0</v>
      </c>
      <c r="M74" s="405">
        <f t="shared" si="5"/>
        <v>0</v>
      </c>
      <c r="N74" s="440">
        <f t="shared" si="3"/>
        <v>0</v>
      </c>
    </row>
    <row r="75" spans="1:14">
      <c r="A75" s="530" t="s">
        <v>1775</v>
      </c>
      <c r="B75" s="530"/>
      <c r="C75" s="535" t="s">
        <v>1909</v>
      </c>
      <c r="D75" s="566" t="s">
        <v>1875</v>
      </c>
      <c r="E75" s="440">
        <f>ROUND(未审资产负债表!C74,2)</f>
        <v>0</v>
      </c>
      <c r="F75" s="440">
        <f>ROUND(SUMIF(调整分录!D:D,试算平衡表!C75,调整分录!H:H),2)</f>
        <v>0</v>
      </c>
      <c r="G75" s="440">
        <f>ROUND(SUMIF(调整分录!D:D,试算平衡表!C75,调整分录!I:I),2)</f>
        <v>0</v>
      </c>
      <c r="H75" s="405">
        <f t="shared" si="4"/>
        <v>0</v>
      </c>
      <c r="I75" s="440">
        <f t="shared" ref="I75:I144" si="6">IF(D75="借",E75+F75-G75,IF(D75="贷",E75+G75-F75,IF(D75="",0,0)))</f>
        <v>0</v>
      </c>
      <c r="J75" s="440">
        <f>ROUND(未审资产负债表!D74,2)</f>
        <v>0</v>
      </c>
      <c r="K75" s="440">
        <f>ROUND(SUMIF(调整分录!D:D,试算平衡表!C75,调整分录!F:F),2)</f>
        <v>0</v>
      </c>
      <c r="L75" s="440">
        <f>ROUND(SUMIF(调整分录!D:D,试算平衡表!C75,调整分录!G:G),2)</f>
        <v>0</v>
      </c>
      <c r="M75" s="405">
        <f t="shared" si="5"/>
        <v>0</v>
      </c>
      <c r="N75" s="440">
        <f t="shared" ref="N75:N144" si="7">IF(D75="借",J75+K75-L75,IF(D75="贷",J75+L75-K75,IF(D75="",0,0)))</f>
        <v>0</v>
      </c>
    </row>
    <row r="76" spans="1:14">
      <c r="A76" s="532" t="s">
        <v>592</v>
      </c>
      <c r="B76" s="532" t="s">
        <v>1910</v>
      </c>
      <c r="C76" s="535" t="s">
        <v>1911</v>
      </c>
      <c r="D76" s="566" t="s">
        <v>1875</v>
      </c>
      <c r="E76" s="440">
        <f>ROUND(未审资产负债表!C75,2)</f>
        <v>-66264.789999999994</v>
      </c>
      <c r="F76" s="440">
        <f>ROUND(SUMIF(调整分录!D:D,试算平衡表!C76,调整分录!H:H)+F77,2)</f>
        <v>0</v>
      </c>
      <c r="G76" s="440">
        <f>ROUND(SUMIF(调整分录!D:D,试算平衡表!C76,调整分录!I:I)+G77,2)</f>
        <v>510472.6</v>
      </c>
      <c r="H76" s="405">
        <f t="shared" si="4"/>
        <v>510472.6</v>
      </c>
      <c r="I76" s="440">
        <f t="shared" si="6"/>
        <v>444207.81</v>
      </c>
      <c r="J76" s="440">
        <f>ROUND(未审资产负债表!D75,2)</f>
        <v>934105.48</v>
      </c>
      <c r="K76" s="440">
        <f>ROUND(SUMIF(调整分录!D:D,试算平衡表!C76,调整分录!F:F)+K77,2)</f>
        <v>0</v>
      </c>
      <c r="L76" s="440">
        <f>ROUND(SUMIF(调整分录!D:D,试算平衡表!C76,调整分录!G:G)+L77,2)</f>
        <v>86363.63</v>
      </c>
      <c r="M76" s="405">
        <f t="shared" si="5"/>
        <v>86363.63</v>
      </c>
      <c r="N76" s="440">
        <f t="shared" si="7"/>
        <v>1020469.11</v>
      </c>
    </row>
    <row r="77" spans="1:14">
      <c r="A77" s="532" t="s">
        <v>593</v>
      </c>
      <c r="B77" s="532"/>
      <c r="C77" s="535" t="s">
        <v>1912</v>
      </c>
      <c r="D77" s="566" t="s">
        <v>1875</v>
      </c>
      <c r="E77" s="440">
        <f>ROUND(未审资产负债表!C76,2)</f>
        <v>-66264.789999999994</v>
      </c>
      <c r="F77" s="440">
        <f>ROUND(SUMIF(调整分录!D:D,试算平衡表!C77,调整分录!H:H),2)</f>
        <v>0</v>
      </c>
      <c r="G77" s="440">
        <f>ROUND(SUMIF(调整分录!D:D,试算平衡表!C77,调整分录!I:I),2)</f>
        <v>497453.73</v>
      </c>
      <c r="H77" s="405">
        <f t="shared" si="4"/>
        <v>497453.73</v>
      </c>
      <c r="I77" s="440">
        <f t="shared" si="6"/>
        <v>431188.94</v>
      </c>
      <c r="J77" s="440">
        <f>ROUND(未审资产负债表!D76,2)</f>
        <v>934105.48</v>
      </c>
      <c r="K77" s="440">
        <f>ROUND(SUMIF(调整分录!D:D,试算平衡表!C77,调整分录!F:F),2)</f>
        <v>0</v>
      </c>
      <c r="L77" s="440">
        <f>ROUND(SUMIF(调整分录!D:D,试算平衡表!C77,调整分录!G:G),2)</f>
        <v>86363.63</v>
      </c>
      <c r="M77" s="405">
        <f t="shared" si="5"/>
        <v>86363.63</v>
      </c>
      <c r="N77" s="440">
        <f t="shared" si="7"/>
        <v>1020469.11</v>
      </c>
    </row>
    <row r="78" spans="1:14">
      <c r="A78" s="530" t="s">
        <v>1913</v>
      </c>
      <c r="B78" s="530" t="s">
        <v>1914</v>
      </c>
      <c r="C78" s="535" t="s">
        <v>1914</v>
      </c>
      <c r="D78" s="566" t="s">
        <v>1875</v>
      </c>
      <c r="E78" s="440">
        <f>ROUND(未审资产负债表!C77,2)</f>
        <v>0</v>
      </c>
      <c r="F78" s="440">
        <f>ROUND(SUMIF(调整分录!D:D,试算平衡表!C78,调整分录!H:H),2)</f>
        <v>0</v>
      </c>
      <c r="G78" s="440">
        <f>ROUND(SUMIF(调整分录!D:D,试算平衡表!C78,调整分录!I:I),2)</f>
        <v>0</v>
      </c>
      <c r="H78" s="405">
        <f t="shared" si="4"/>
        <v>0</v>
      </c>
      <c r="I78" s="440">
        <f t="shared" si="6"/>
        <v>0</v>
      </c>
      <c r="J78" s="440">
        <f>ROUND(未审资产负债表!D77,2)</f>
        <v>0</v>
      </c>
      <c r="K78" s="440">
        <f>ROUND(SUMIF(调整分录!D:D,试算平衡表!C78,调整分录!F:F),2)</f>
        <v>0</v>
      </c>
      <c r="L78" s="440">
        <f>ROUND(SUMIF(调整分录!D:D,试算平衡表!C78,调整分录!G:G),2)</f>
        <v>0</v>
      </c>
      <c r="M78" s="405">
        <f t="shared" si="5"/>
        <v>0</v>
      </c>
      <c r="N78" s="440">
        <f t="shared" si="7"/>
        <v>0</v>
      </c>
    </row>
    <row r="79" spans="1:14">
      <c r="A79" s="530" t="s">
        <v>595</v>
      </c>
      <c r="B79" s="530" t="s">
        <v>1915</v>
      </c>
      <c r="C79" s="535" t="s">
        <v>1915</v>
      </c>
      <c r="D79" s="566" t="s">
        <v>1875</v>
      </c>
      <c r="E79" s="440">
        <f>ROUND(未审资产负债表!C78,2)</f>
        <v>0</v>
      </c>
      <c r="F79" s="440">
        <f>ROUND(SUMIF(调整分录!D:D,试算平衡表!C79,调整分录!H:H),2)</f>
        <v>0</v>
      </c>
      <c r="G79" s="440">
        <f>ROUND(SUMIF(调整分录!D:D,试算平衡表!C79,调整分录!I:I),2)</f>
        <v>0</v>
      </c>
      <c r="H79" s="405">
        <f t="shared" si="4"/>
        <v>0</v>
      </c>
      <c r="I79" s="440">
        <f t="shared" si="6"/>
        <v>0</v>
      </c>
      <c r="J79" s="440">
        <f>ROUND(未审资产负债表!D78,2)</f>
        <v>0</v>
      </c>
      <c r="K79" s="440">
        <f>ROUND(SUMIF(调整分录!D:D,试算平衡表!C79,调整分录!F:F),2)</f>
        <v>0</v>
      </c>
      <c r="L79" s="440">
        <f>ROUND(SUMIF(调整分录!D:D,试算平衡表!C79,调整分录!G:G),2)</f>
        <v>0</v>
      </c>
      <c r="M79" s="405">
        <f t="shared" si="5"/>
        <v>0</v>
      </c>
      <c r="N79" s="440">
        <f t="shared" si="7"/>
        <v>0</v>
      </c>
    </row>
    <row r="80" spans="1:14">
      <c r="A80" s="530" t="s">
        <v>596</v>
      </c>
      <c r="B80" s="530" t="s">
        <v>1916</v>
      </c>
      <c r="C80" s="535" t="s">
        <v>1916</v>
      </c>
      <c r="D80" s="566" t="s">
        <v>1875</v>
      </c>
      <c r="E80" s="440">
        <f>ROUND(未审资产负债表!C79,2)</f>
        <v>38381.06</v>
      </c>
      <c r="F80" s="440">
        <f>ROUND(SUMIF(调整分录!D:D,试算平衡表!C80,调整分录!H:H),2)</f>
        <v>0</v>
      </c>
      <c r="G80" s="440">
        <f>ROUND(SUMIF(调整分录!D:D,试算平衡表!C80,调整分录!I:I),2)</f>
        <v>0</v>
      </c>
      <c r="H80" s="405">
        <f t="shared" si="4"/>
        <v>0</v>
      </c>
      <c r="I80" s="440">
        <f t="shared" si="6"/>
        <v>38381.06</v>
      </c>
      <c r="J80" s="440">
        <f>ROUND(未审资产负债表!D79,2)</f>
        <v>40678.199999999997</v>
      </c>
      <c r="K80" s="440">
        <f>ROUND(SUMIF(调整分录!D:D,试算平衡表!C80,调整分录!F:F),2)</f>
        <v>0</v>
      </c>
      <c r="L80" s="440">
        <f>ROUND(SUMIF(调整分录!D:D,试算平衡表!C80,调整分录!G:G),2)</f>
        <v>0</v>
      </c>
      <c r="M80" s="405">
        <f t="shared" si="5"/>
        <v>0</v>
      </c>
      <c r="N80" s="440">
        <f t="shared" si="7"/>
        <v>40678.199999999997</v>
      </c>
    </row>
    <row r="81" spans="1:14">
      <c r="A81" s="530" t="s">
        <v>597</v>
      </c>
      <c r="B81" s="530" t="s">
        <v>1917</v>
      </c>
      <c r="C81" s="535" t="s">
        <v>1917</v>
      </c>
      <c r="D81" s="566" t="s">
        <v>1875</v>
      </c>
      <c r="E81" s="440">
        <f>ROUND(未审资产负债表!C80,2)</f>
        <v>0</v>
      </c>
      <c r="F81" s="440">
        <f>ROUND(SUMIF(调整分录!D:D,试算平衡表!C81,调整分录!H:H),2)</f>
        <v>0</v>
      </c>
      <c r="G81" s="440">
        <f>ROUND(SUMIF(调整分录!D:D,试算平衡表!C81,调整分录!I:I),2)</f>
        <v>0</v>
      </c>
      <c r="H81" s="405">
        <f t="shared" si="4"/>
        <v>0</v>
      </c>
      <c r="I81" s="440">
        <f t="shared" si="6"/>
        <v>0</v>
      </c>
      <c r="J81" s="440">
        <f>ROUND(未审资产负债表!D80,2)</f>
        <v>0</v>
      </c>
      <c r="K81" s="440">
        <f>ROUND(SUMIF(调整分录!D:D,试算平衡表!C81,调整分录!F:F),2)</f>
        <v>0</v>
      </c>
      <c r="L81" s="440">
        <f>ROUND(SUMIF(调整分录!D:D,试算平衡表!C81,调整分录!G:G),2)</f>
        <v>0</v>
      </c>
      <c r="M81" s="405">
        <f t="shared" si="5"/>
        <v>0</v>
      </c>
      <c r="N81" s="440">
        <f t="shared" si="7"/>
        <v>0</v>
      </c>
    </row>
    <row r="82" spans="1:14">
      <c r="A82" s="530" t="s">
        <v>598</v>
      </c>
      <c r="B82" s="530" t="s">
        <v>1918</v>
      </c>
      <c r="C82" s="535" t="s">
        <v>1918</v>
      </c>
      <c r="D82" s="566" t="s">
        <v>1875</v>
      </c>
      <c r="E82" s="440">
        <f>ROUND(未审资产负债表!C81,2)</f>
        <v>0</v>
      </c>
      <c r="F82" s="440">
        <f>ROUND(SUMIF(调整分录!D:D,试算平衡表!C82,调整分录!H:H),2)</f>
        <v>0</v>
      </c>
      <c r="G82" s="440">
        <f>ROUND(SUMIF(调整分录!D:D,试算平衡表!C82,调整分录!I:I),2)</f>
        <v>0</v>
      </c>
      <c r="H82" s="405">
        <f t="shared" si="4"/>
        <v>0</v>
      </c>
      <c r="I82" s="440">
        <f t="shared" si="6"/>
        <v>0</v>
      </c>
      <c r="J82" s="440">
        <f>ROUND(未审资产负债表!D81,2)</f>
        <v>0</v>
      </c>
      <c r="K82" s="440">
        <f>ROUND(SUMIF(调整分录!D:D,试算平衡表!C82,调整分录!F:F),2)</f>
        <v>0</v>
      </c>
      <c r="L82" s="440">
        <f>ROUND(SUMIF(调整分录!D:D,试算平衡表!C82,调整分录!G:G),2)</f>
        <v>0</v>
      </c>
      <c r="M82" s="405">
        <f t="shared" si="5"/>
        <v>0</v>
      </c>
      <c r="N82" s="440">
        <f t="shared" si="7"/>
        <v>0</v>
      </c>
    </row>
    <row r="83" spans="1:14">
      <c r="A83" s="530" t="s">
        <v>599</v>
      </c>
      <c r="B83" s="530" t="s">
        <v>1919</v>
      </c>
      <c r="C83" s="535" t="s">
        <v>1919</v>
      </c>
      <c r="D83" s="566" t="s">
        <v>1875</v>
      </c>
      <c r="E83" s="440">
        <f>ROUND(未审资产负债表!C82,2)</f>
        <v>0</v>
      </c>
      <c r="F83" s="440">
        <f>ROUND(SUMIF(调整分录!D:D,试算平衡表!C83,调整分录!H:H),2)</f>
        <v>0</v>
      </c>
      <c r="G83" s="440">
        <f>ROUND(SUMIF(调整分录!D:D,试算平衡表!C83,调整分录!I:I),2)</f>
        <v>0</v>
      </c>
      <c r="H83" s="405">
        <f t="shared" si="4"/>
        <v>0</v>
      </c>
      <c r="I83" s="440">
        <f t="shared" si="6"/>
        <v>0</v>
      </c>
      <c r="J83" s="440">
        <f>ROUND(未审资产负债表!D82,2)</f>
        <v>0</v>
      </c>
      <c r="K83" s="440">
        <f>ROUND(SUMIF(调整分录!D:D,试算平衡表!C83,调整分录!F:F),2)</f>
        <v>0</v>
      </c>
      <c r="L83" s="440">
        <f>ROUND(SUMIF(调整分录!D:D,试算平衡表!C83,调整分录!G:G),2)</f>
        <v>0</v>
      </c>
      <c r="M83" s="405">
        <f t="shared" si="5"/>
        <v>0</v>
      </c>
      <c r="N83" s="440">
        <f t="shared" si="7"/>
        <v>0</v>
      </c>
    </row>
    <row r="84" spans="1:14">
      <c r="A84" s="530" t="s">
        <v>600</v>
      </c>
      <c r="B84" s="530" t="s">
        <v>1920</v>
      </c>
      <c r="C84" s="535" t="s">
        <v>1920</v>
      </c>
      <c r="D84" s="566" t="s">
        <v>1875</v>
      </c>
      <c r="E84" s="440">
        <f>ROUND(未审资产负债表!C83,2)</f>
        <v>0</v>
      </c>
      <c r="F84" s="440">
        <f>ROUND(SUMIF(调整分录!D:D,试算平衡表!C84,调整分录!H:H),2)</f>
        <v>0</v>
      </c>
      <c r="G84" s="440">
        <f>ROUND(SUMIF(调整分录!D:D,试算平衡表!C84,调整分录!I:I),2)</f>
        <v>0</v>
      </c>
      <c r="H84" s="405">
        <f t="shared" si="4"/>
        <v>0</v>
      </c>
      <c r="I84" s="440">
        <f t="shared" si="6"/>
        <v>0</v>
      </c>
      <c r="J84" s="440">
        <f>ROUND(未审资产负债表!D83,2)</f>
        <v>0</v>
      </c>
      <c r="K84" s="440">
        <f>ROUND(SUMIF(调整分录!D:D,试算平衡表!C84,调整分录!F:F),2)</f>
        <v>0</v>
      </c>
      <c r="L84" s="440">
        <f>ROUND(SUMIF(调整分录!D:D,试算平衡表!C84,调整分录!G:G),2)</f>
        <v>0</v>
      </c>
      <c r="M84" s="405">
        <f t="shared" si="5"/>
        <v>0</v>
      </c>
      <c r="N84" s="440">
        <f t="shared" si="7"/>
        <v>0</v>
      </c>
    </row>
    <row r="85" spans="1:14">
      <c r="A85" s="1343" t="s">
        <v>4637</v>
      </c>
      <c r="B85" s="1343" t="s">
        <v>4664</v>
      </c>
      <c r="C85" s="1341" t="s">
        <v>4664</v>
      </c>
      <c r="D85" s="566" t="s">
        <v>1875</v>
      </c>
      <c r="E85" s="440">
        <f>ROUND(未审资产负债表!C84,2)</f>
        <v>0</v>
      </c>
      <c r="F85" s="440">
        <f>ROUND(SUMIF(调整分录!D:D,试算平衡表!C85,调整分录!H:H),2)</f>
        <v>0</v>
      </c>
      <c r="G85" s="440">
        <f>ROUND(SUMIF(调整分录!D:D,试算平衡表!C85,调整分录!I:I),2)</f>
        <v>0</v>
      </c>
      <c r="H85" s="405">
        <f>I85-E85</f>
        <v>0</v>
      </c>
      <c r="I85" s="440">
        <f>IF(D85="借",E85+F85-G85,IF(D85="贷",E85+G85-F85,IF(D85="",0,0)))</f>
        <v>0</v>
      </c>
      <c r="J85" s="440">
        <f>ROUND(未审资产负债表!D84,2)</f>
        <v>0</v>
      </c>
      <c r="K85" s="440">
        <f>ROUND(SUMIF(调整分录!D:D,试算平衡表!C85,调整分录!F:F),2)</f>
        <v>0</v>
      </c>
      <c r="L85" s="440">
        <f>ROUND(SUMIF(调整分录!D:D,试算平衡表!C85,调整分录!G:G),2)</f>
        <v>0</v>
      </c>
      <c r="M85" s="405">
        <f>N85-J85</f>
        <v>0</v>
      </c>
      <c r="N85" s="440">
        <f>IF(D85="借",J85+K85-L85,IF(D85="贷",J85+L85-K85,IF(D85="",0,0)))</f>
        <v>0</v>
      </c>
    </row>
    <row r="86" spans="1:14">
      <c r="A86" s="530" t="s">
        <v>601</v>
      </c>
      <c r="B86" s="530" t="s">
        <v>1921</v>
      </c>
      <c r="C86" s="535" t="s">
        <v>1921</v>
      </c>
      <c r="D86" s="566" t="s">
        <v>1875</v>
      </c>
      <c r="E86" s="440">
        <f>ROUND(未审资产负债表!C85,2)</f>
        <v>0</v>
      </c>
      <c r="F86" s="440">
        <f>ROUND(SUMIF(调整分录!D:D,试算平衡表!C86,调整分录!H:H),2)</f>
        <v>0</v>
      </c>
      <c r="G86" s="440">
        <f>ROUND(SUMIF(调整分录!D:D,试算平衡表!C86,调整分录!I:I),2)</f>
        <v>0</v>
      </c>
      <c r="H86" s="405">
        <f t="shared" si="4"/>
        <v>0</v>
      </c>
      <c r="I86" s="440">
        <f t="shared" si="6"/>
        <v>0</v>
      </c>
      <c r="J86" s="440">
        <f>ROUND(未审资产负债表!D85,2)</f>
        <v>0</v>
      </c>
      <c r="K86" s="440">
        <f>ROUND(SUMIF(调整分录!D:D,试算平衡表!C86,调整分录!F:F),2)</f>
        <v>0</v>
      </c>
      <c r="L86" s="440">
        <f>ROUND(SUMIF(调整分录!D:D,试算平衡表!C86,调整分录!G:G),2)</f>
        <v>0</v>
      </c>
      <c r="M86" s="405">
        <f t="shared" si="5"/>
        <v>0</v>
      </c>
      <c r="N86" s="440">
        <f t="shared" si="7"/>
        <v>0</v>
      </c>
    </row>
    <row r="87" spans="1:14">
      <c r="A87" s="530" t="s">
        <v>602</v>
      </c>
      <c r="B87" s="530" t="s">
        <v>1922</v>
      </c>
      <c r="C87" s="535" t="s">
        <v>1922</v>
      </c>
      <c r="D87" s="566" t="s">
        <v>1875</v>
      </c>
      <c r="E87" s="440">
        <f>ROUND(未审资产负债表!C86,2)</f>
        <v>0</v>
      </c>
      <c r="F87" s="440">
        <f>ROUND(SUMIF(调整分录!D:D,试算平衡表!C87,调整分录!H:H),2)</f>
        <v>0</v>
      </c>
      <c r="G87" s="440">
        <f>ROUND(SUMIF(调整分录!D:D,试算平衡表!C87,调整分录!I:I),2)</f>
        <v>0</v>
      </c>
      <c r="H87" s="405">
        <f t="shared" si="4"/>
        <v>0</v>
      </c>
      <c r="I87" s="440">
        <f t="shared" si="6"/>
        <v>0</v>
      </c>
      <c r="J87" s="440">
        <f>ROUND(未审资产负债表!D86,2)</f>
        <v>0</v>
      </c>
      <c r="K87" s="440">
        <f>ROUND(SUMIF(调整分录!D:D,试算平衡表!C87,调整分录!F:F),2)</f>
        <v>0</v>
      </c>
      <c r="L87" s="440">
        <f>ROUND(SUMIF(调整分录!D:D,试算平衡表!C87,调整分录!G:G),2)</f>
        <v>0</v>
      </c>
      <c r="M87" s="405">
        <f t="shared" si="5"/>
        <v>0</v>
      </c>
      <c r="N87" s="440">
        <f t="shared" si="7"/>
        <v>0</v>
      </c>
    </row>
    <row r="88" spans="1:14">
      <c r="A88" s="524" t="s">
        <v>603</v>
      </c>
      <c r="B88" s="524"/>
      <c r="C88" s="535"/>
      <c r="D88" s="429" t="s">
        <v>1875</v>
      </c>
      <c r="E88" s="440">
        <f>ROUND(未审资产负债表!C87,2)</f>
        <v>13935.41</v>
      </c>
      <c r="F88" s="440">
        <f>ROUND(SUM(F61:F87)-F73-F74-F75-F77,2)</f>
        <v>0</v>
      </c>
      <c r="G88" s="440">
        <f>ROUND(SUM(G61:G87)-G73-G74-G75-G77,2)</f>
        <v>510472.6</v>
      </c>
      <c r="H88" s="405">
        <f t="shared" si="4"/>
        <v>510472.60000000003</v>
      </c>
      <c r="I88" s="440">
        <f t="shared" si="6"/>
        <v>524408.01</v>
      </c>
      <c r="J88" s="440">
        <f>ROUND(未审资产负债表!D87,2)</f>
        <v>1023637.57</v>
      </c>
      <c r="K88" s="440">
        <f>ROUND(SUM(K61:K87)-K73-K74-K75-K77,2)</f>
        <v>0</v>
      </c>
      <c r="L88" s="440">
        <f>ROUND(SUM(L61:L87)-L73-L74-L75-L77,2)</f>
        <v>86363.63</v>
      </c>
      <c r="M88" s="405">
        <f t="shared" si="5"/>
        <v>86363.63</v>
      </c>
      <c r="N88" s="440">
        <f t="shared" si="7"/>
        <v>1110001.2</v>
      </c>
    </row>
    <row r="89" spans="1:14">
      <c r="A89" s="529" t="s">
        <v>604</v>
      </c>
      <c r="B89" s="529"/>
      <c r="C89" s="535"/>
      <c r="D89" s="429"/>
      <c r="E89" s="434"/>
      <c r="F89" s="434"/>
      <c r="G89" s="434"/>
      <c r="H89" s="403"/>
      <c r="I89" s="434"/>
      <c r="J89" s="434"/>
      <c r="K89" s="434"/>
      <c r="L89" s="434"/>
      <c r="M89" s="403"/>
      <c r="N89" s="434"/>
    </row>
    <row r="90" spans="1:14">
      <c r="A90" s="535" t="s">
        <v>605</v>
      </c>
      <c r="B90" s="535" t="s">
        <v>1923</v>
      </c>
      <c r="C90" s="535" t="s">
        <v>1923</v>
      </c>
      <c r="D90" s="566" t="s">
        <v>1875</v>
      </c>
      <c r="E90" s="440">
        <f>ROUND(未审资产负债表!C89,2)</f>
        <v>0</v>
      </c>
      <c r="F90" s="440">
        <f>ROUND(SUMIF(调整分录!D:D,试算平衡表!C90,调整分录!H:H),2)</f>
        <v>0</v>
      </c>
      <c r="G90" s="440">
        <f>ROUND(SUMIF(调整分录!D:D,试算平衡表!C90,调整分录!I:I),2)</f>
        <v>0</v>
      </c>
      <c r="H90" s="405">
        <f t="shared" ref="H90:H160" si="8">I90-E90</f>
        <v>0</v>
      </c>
      <c r="I90" s="440">
        <f t="shared" si="6"/>
        <v>0</v>
      </c>
      <c r="J90" s="440">
        <f>ROUND(未审资产负债表!D89,2)</f>
        <v>0</v>
      </c>
      <c r="K90" s="440">
        <f>ROUND(SUMIF(调整分录!D:D,试算平衡表!C90,调整分录!F:F),2)</f>
        <v>0</v>
      </c>
      <c r="L90" s="440">
        <f>ROUND(SUMIF(调整分录!D:D,试算平衡表!C90,调整分录!G:G),2)</f>
        <v>0</v>
      </c>
      <c r="M90" s="405">
        <f t="shared" ref="M90:M160" si="9">N90-J90</f>
        <v>0</v>
      </c>
      <c r="N90" s="440">
        <f t="shared" si="7"/>
        <v>0</v>
      </c>
    </row>
    <row r="91" spans="1:14">
      <c r="A91" s="535" t="s">
        <v>606</v>
      </c>
      <c r="B91" s="535" t="s">
        <v>1924</v>
      </c>
      <c r="C91" s="535" t="s">
        <v>1924</v>
      </c>
      <c r="D91" s="566" t="s">
        <v>1875</v>
      </c>
      <c r="E91" s="440">
        <f>ROUND(未审资产负债表!C90,2)</f>
        <v>0</v>
      </c>
      <c r="F91" s="440">
        <f>ROUND(SUMIF(调整分录!D:D,试算平衡表!C91,调整分录!H:H),2)</f>
        <v>0</v>
      </c>
      <c r="G91" s="440">
        <f>ROUND(SUMIF(调整分录!D:D,试算平衡表!C91,调整分录!I:I),2)</f>
        <v>0</v>
      </c>
      <c r="H91" s="405">
        <f t="shared" si="8"/>
        <v>0</v>
      </c>
      <c r="I91" s="440">
        <f t="shared" si="6"/>
        <v>0</v>
      </c>
      <c r="J91" s="440">
        <f>ROUND(未审资产负债表!D90,2)</f>
        <v>0</v>
      </c>
      <c r="K91" s="440">
        <f>ROUND(SUMIF(调整分录!D:D,试算平衡表!C91,调整分录!F:F),2)</f>
        <v>0</v>
      </c>
      <c r="L91" s="440">
        <f>ROUND(SUMIF(调整分录!D:D,试算平衡表!C91,调整分录!G:G),2)</f>
        <v>0</v>
      </c>
      <c r="M91" s="405">
        <f t="shared" si="9"/>
        <v>0</v>
      </c>
      <c r="N91" s="440">
        <f t="shared" si="7"/>
        <v>0</v>
      </c>
    </row>
    <row r="92" spans="1:14">
      <c r="A92" s="535" t="s">
        <v>607</v>
      </c>
      <c r="B92" s="535" t="s">
        <v>1925</v>
      </c>
      <c r="C92" s="535" t="s">
        <v>1925</v>
      </c>
      <c r="D92" s="566" t="s">
        <v>1875</v>
      </c>
      <c r="E92" s="440">
        <f>ROUND(未审资产负债表!C91,2)</f>
        <v>0</v>
      </c>
      <c r="F92" s="440">
        <f>ROUND(SUMIF(调整分录!D:D,试算平衡表!C92,调整分录!H:H),2)</f>
        <v>0</v>
      </c>
      <c r="G92" s="440">
        <f>ROUND(SUMIF(调整分录!D:D,试算平衡表!C92,调整分录!I:I),2)</f>
        <v>0</v>
      </c>
      <c r="H92" s="405">
        <f t="shared" si="8"/>
        <v>0</v>
      </c>
      <c r="I92" s="440">
        <f t="shared" si="6"/>
        <v>0</v>
      </c>
      <c r="J92" s="440">
        <f>ROUND(未审资产负债表!D91,2)</f>
        <v>0</v>
      </c>
      <c r="K92" s="440">
        <f>ROUND(SUMIF(调整分录!D:D,试算平衡表!C92,调整分录!F:F),2)</f>
        <v>0</v>
      </c>
      <c r="L92" s="440">
        <f>ROUND(SUMIF(调整分录!D:D,试算平衡表!C92,调整分录!G:G),2)</f>
        <v>0</v>
      </c>
      <c r="M92" s="405">
        <f t="shared" si="9"/>
        <v>0</v>
      </c>
      <c r="N92" s="440">
        <f t="shared" si="7"/>
        <v>0</v>
      </c>
    </row>
    <row r="93" spans="1:14">
      <c r="A93" s="535" t="s">
        <v>1780</v>
      </c>
      <c r="B93" s="535" t="s">
        <v>1926</v>
      </c>
      <c r="C93" s="535" t="s">
        <v>1926</v>
      </c>
      <c r="D93" s="566" t="s">
        <v>1875</v>
      </c>
      <c r="E93" s="440">
        <f>ROUND(未审资产负债表!C92,2)</f>
        <v>0</v>
      </c>
      <c r="F93" s="440">
        <f>ROUND(SUMIF(调整分录!D:D,试算平衡表!C93,调整分录!H:H),2)</f>
        <v>0</v>
      </c>
      <c r="G93" s="440">
        <f>ROUND(SUMIF(调整分录!D:D,试算平衡表!C93,调整分录!I:I),2)</f>
        <v>0</v>
      </c>
      <c r="H93" s="405">
        <f>I93-E93</f>
        <v>0</v>
      </c>
      <c r="I93" s="440">
        <f>IF(D93="借",E93+F93-G93,IF(D93="贷",E93+G93-F93,IF(D93="",0,0)))</f>
        <v>0</v>
      </c>
      <c r="J93" s="440">
        <f>ROUND(未审资产负债表!D92,2)</f>
        <v>0</v>
      </c>
      <c r="K93" s="440">
        <f>ROUND(SUMIF(调整分录!D:D,试算平衡表!C93,调整分录!F:F),2)</f>
        <v>0</v>
      </c>
      <c r="L93" s="440">
        <f>ROUND(SUMIF(调整分录!D:D,试算平衡表!C93,调整分录!G:G),2)</f>
        <v>0</v>
      </c>
      <c r="M93" s="405">
        <f>N93-J93</f>
        <v>0</v>
      </c>
      <c r="N93" s="440">
        <f>IF(D93="借",J93+K93-L93,IF(D93="贷",J93+L93-K93,IF(D93="",0,0)))</f>
        <v>0</v>
      </c>
    </row>
    <row r="94" spans="1:14">
      <c r="A94" s="535" t="s">
        <v>608</v>
      </c>
      <c r="B94" s="535" t="s">
        <v>1927</v>
      </c>
      <c r="C94" s="535" t="s">
        <v>1927</v>
      </c>
      <c r="D94" s="566" t="s">
        <v>1875</v>
      </c>
      <c r="E94" s="440">
        <f>ROUND(未审资产负债表!C93,2)</f>
        <v>0</v>
      </c>
      <c r="F94" s="440">
        <f>ROUND(SUMIF(调整分录!D:D,试算平衡表!C94,调整分录!H:H),2)</f>
        <v>0</v>
      </c>
      <c r="G94" s="440">
        <f>ROUND(SUMIF(调整分录!D:D,试算平衡表!C94,调整分录!I:I),2)</f>
        <v>0</v>
      </c>
      <c r="H94" s="405">
        <f t="shared" si="8"/>
        <v>0</v>
      </c>
      <c r="I94" s="440">
        <f t="shared" si="6"/>
        <v>0</v>
      </c>
      <c r="J94" s="440">
        <f>ROUND(未审资产负债表!D93,2)</f>
        <v>0</v>
      </c>
      <c r="K94" s="440">
        <f>ROUND(SUMIF(调整分录!D:D,试算平衡表!C94,调整分录!F:F),2)</f>
        <v>0</v>
      </c>
      <c r="L94" s="440">
        <f>ROUND(SUMIF(调整分录!D:D,试算平衡表!C94,调整分录!G:G),2)</f>
        <v>0</v>
      </c>
      <c r="M94" s="405">
        <f t="shared" si="9"/>
        <v>0</v>
      </c>
      <c r="N94" s="440">
        <f t="shared" si="7"/>
        <v>0</v>
      </c>
    </row>
    <row r="95" spans="1:14">
      <c r="A95" s="535" t="s">
        <v>609</v>
      </c>
      <c r="B95" s="535" t="s">
        <v>1928</v>
      </c>
      <c r="C95" s="535" t="s">
        <v>1928</v>
      </c>
      <c r="D95" s="566" t="s">
        <v>1875</v>
      </c>
      <c r="E95" s="440">
        <f>ROUND(未审资产负债表!C94,2)</f>
        <v>0</v>
      </c>
      <c r="F95" s="440">
        <f>ROUND(SUMIF(调整分录!D:D,试算平衡表!C95,调整分录!H:H),2)</f>
        <v>0</v>
      </c>
      <c r="G95" s="440">
        <f>ROUND(SUMIF(调整分录!D:D,试算平衡表!C95,调整分录!I:I),2)</f>
        <v>0</v>
      </c>
      <c r="H95" s="405">
        <f t="shared" si="8"/>
        <v>0</v>
      </c>
      <c r="I95" s="440">
        <f t="shared" si="6"/>
        <v>0</v>
      </c>
      <c r="J95" s="440">
        <f>ROUND(未审资产负债表!D94,2)</f>
        <v>0</v>
      </c>
      <c r="K95" s="440">
        <f>ROUND(SUMIF(调整分录!D:D,试算平衡表!C95,调整分录!F:F),2)</f>
        <v>0</v>
      </c>
      <c r="L95" s="440">
        <f>ROUND(SUMIF(调整分录!D:D,试算平衡表!C95,调整分录!G:G),2)</f>
        <v>0</v>
      </c>
      <c r="M95" s="405">
        <f t="shared" si="9"/>
        <v>0</v>
      </c>
      <c r="N95" s="440">
        <f t="shared" si="7"/>
        <v>0</v>
      </c>
    </row>
    <row r="96" spans="1:14">
      <c r="A96" s="535" t="s">
        <v>1781</v>
      </c>
      <c r="B96" s="535" t="s">
        <v>1929</v>
      </c>
      <c r="C96" s="535" t="s">
        <v>1929</v>
      </c>
      <c r="D96" s="566" t="s">
        <v>1875</v>
      </c>
      <c r="E96" s="440">
        <f>ROUND(未审资产负债表!C95,2)</f>
        <v>0</v>
      </c>
      <c r="F96" s="440">
        <f>ROUND(SUMIF(调整分录!D:D,试算平衡表!C96,调整分录!H:H),2)</f>
        <v>0</v>
      </c>
      <c r="G96" s="440">
        <f>ROUND(SUMIF(调整分录!D:D,试算平衡表!C96,调整分录!I:I),2)</f>
        <v>0</v>
      </c>
      <c r="H96" s="405">
        <f>I96-E96</f>
        <v>0</v>
      </c>
      <c r="I96" s="440">
        <f>IF(D96="借",E96+F96-G96,IF(D96="贷",E96+G96-F96,IF(D96="",0,0)))</f>
        <v>0</v>
      </c>
      <c r="J96" s="440">
        <f>ROUND(未审资产负债表!D95,2)</f>
        <v>0</v>
      </c>
      <c r="K96" s="440">
        <f>ROUND(SUMIF(调整分录!D:D,试算平衡表!C96,调整分录!F:F),2)</f>
        <v>0</v>
      </c>
      <c r="L96" s="440">
        <f>ROUND(SUMIF(调整分录!D:D,试算平衡表!C96,调整分录!G:G),2)</f>
        <v>0</v>
      </c>
      <c r="M96" s="405">
        <f>N96-J96</f>
        <v>0</v>
      </c>
      <c r="N96" s="440">
        <f>IF(D96="借",J96+K96-L96,IF(D96="贷",J96+L96-K96,IF(D96="",0,0)))</f>
        <v>0</v>
      </c>
    </row>
    <row r="97" spans="1:14">
      <c r="A97" s="535" t="s">
        <v>610</v>
      </c>
      <c r="B97" s="535" t="s">
        <v>1930</v>
      </c>
      <c r="C97" s="535" t="s">
        <v>1930</v>
      </c>
      <c r="D97" s="566" t="s">
        <v>1875</v>
      </c>
      <c r="E97" s="440">
        <f>ROUND(未审资产负债表!C96,2)</f>
        <v>0</v>
      </c>
      <c r="F97" s="440">
        <f>ROUND(SUMIF(调整分录!D:D,试算平衡表!C97,调整分录!H:H),2)</f>
        <v>0</v>
      </c>
      <c r="G97" s="440">
        <f>ROUND(SUMIF(调整分录!D:D,试算平衡表!C97,调整分录!I:I),2)</f>
        <v>0</v>
      </c>
      <c r="H97" s="405">
        <f t="shared" si="8"/>
        <v>0</v>
      </c>
      <c r="I97" s="440">
        <f t="shared" si="6"/>
        <v>0</v>
      </c>
      <c r="J97" s="440">
        <f>ROUND(未审资产负债表!D96,2)</f>
        <v>0</v>
      </c>
      <c r="K97" s="440">
        <f>ROUND(SUMIF(调整分录!D:D,试算平衡表!C97,调整分录!F:F),2)</f>
        <v>0</v>
      </c>
      <c r="L97" s="440">
        <f>ROUND(SUMIF(调整分录!D:D,试算平衡表!C97,调整分录!G:G),2)</f>
        <v>0</v>
      </c>
      <c r="M97" s="405">
        <f t="shared" si="9"/>
        <v>0</v>
      </c>
      <c r="N97" s="440">
        <f t="shared" si="7"/>
        <v>0</v>
      </c>
    </row>
    <row r="98" spans="1:14">
      <c r="A98" s="535" t="s">
        <v>611</v>
      </c>
      <c r="B98" s="535" t="s">
        <v>1931</v>
      </c>
      <c r="C98" s="535" t="s">
        <v>1932</v>
      </c>
      <c r="D98" s="566" t="s">
        <v>1875</v>
      </c>
      <c r="E98" s="440">
        <f>ROUND(未审资产负债表!C97,2)</f>
        <v>0</v>
      </c>
      <c r="F98" s="440">
        <f>ROUND(SUMIF(调整分录!D:D,试算平衡表!C98,调整分录!H:H)+F99,2)</f>
        <v>0</v>
      </c>
      <c r="G98" s="440">
        <f>ROUND(SUMIF(调整分录!D:D,试算平衡表!C98,调整分录!I:I)+G99,2)</f>
        <v>0</v>
      </c>
      <c r="H98" s="405">
        <f t="shared" si="8"/>
        <v>0</v>
      </c>
      <c r="I98" s="440">
        <f t="shared" si="6"/>
        <v>0</v>
      </c>
      <c r="J98" s="440">
        <f>ROUND(未审资产负债表!D97,2)</f>
        <v>0</v>
      </c>
      <c r="K98" s="440">
        <f>ROUND(SUMIF(调整分录!D:D,试算平衡表!C98,调整分录!F:F)+K99,2)</f>
        <v>0</v>
      </c>
      <c r="L98" s="440">
        <f>ROUND(SUMIF(调整分录!D:D,试算平衡表!C98,调整分录!G:G)+L99,2)</f>
        <v>0</v>
      </c>
      <c r="M98" s="405">
        <f t="shared" si="9"/>
        <v>0</v>
      </c>
      <c r="N98" s="440">
        <f t="shared" si="7"/>
        <v>0</v>
      </c>
    </row>
    <row r="99" spans="1:14">
      <c r="A99" s="452" t="s">
        <v>612</v>
      </c>
      <c r="B99" s="452"/>
      <c r="C99" s="535" t="s">
        <v>1933</v>
      </c>
      <c r="D99" s="566" t="s">
        <v>1875</v>
      </c>
      <c r="E99" s="440">
        <f>ROUND(未审资产负债表!C98,2)</f>
        <v>0</v>
      </c>
      <c r="F99" s="440">
        <f>ROUND(SUMIF(调整分录!D:D,试算平衡表!C99,调整分录!H:H),2)</f>
        <v>0</v>
      </c>
      <c r="G99" s="440">
        <f>ROUND(SUMIF(调整分录!D:D,试算平衡表!C99,调整分录!I:I),2)</f>
        <v>0</v>
      </c>
      <c r="H99" s="405">
        <f t="shared" si="8"/>
        <v>0</v>
      </c>
      <c r="I99" s="440">
        <f t="shared" si="6"/>
        <v>0</v>
      </c>
      <c r="J99" s="440">
        <f>ROUND(未审资产负债表!D98,2)</f>
        <v>0</v>
      </c>
      <c r="K99" s="440">
        <f>ROUND(SUMIF(调整分录!D:D,试算平衡表!C99,调整分录!F:F),2)</f>
        <v>0</v>
      </c>
      <c r="L99" s="440">
        <f>ROUND(SUMIF(调整分录!D:D,试算平衡表!C99,调整分录!G:G),2)</f>
        <v>0</v>
      </c>
      <c r="M99" s="405">
        <f t="shared" si="9"/>
        <v>0</v>
      </c>
      <c r="N99" s="440">
        <f t="shared" si="7"/>
        <v>0</v>
      </c>
    </row>
    <row r="100" spans="1:14">
      <c r="A100" s="524" t="s">
        <v>613</v>
      </c>
      <c r="B100" s="524"/>
      <c r="C100" s="535"/>
      <c r="D100" s="429" t="s">
        <v>1875</v>
      </c>
      <c r="E100" s="440">
        <f>ROUND(未审资产负债表!C99,2)</f>
        <v>0</v>
      </c>
      <c r="F100" s="440">
        <f>ROUND(SUM(F90:F99)-F99,2)</f>
        <v>0</v>
      </c>
      <c r="G100" s="440">
        <f>ROUND(SUM(G90:G99)-G99,2)</f>
        <v>0</v>
      </c>
      <c r="H100" s="405">
        <f t="shared" si="8"/>
        <v>0</v>
      </c>
      <c r="I100" s="440">
        <f t="shared" si="6"/>
        <v>0</v>
      </c>
      <c r="J100" s="440">
        <f>ROUND(未审资产负债表!D99,2)</f>
        <v>0</v>
      </c>
      <c r="K100" s="440">
        <f>ROUND(SUM(K90:K99)-K99,2)</f>
        <v>0</v>
      </c>
      <c r="L100" s="440">
        <f>ROUND(SUM(L90:L99)-L99,2)</f>
        <v>0</v>
      </c>
      <c r="M100" s="405">
        <f t="shared" si="9"/>
        <v>0</v>
      </c>
      <c r="N100" s="440">
        <f t="shared" si="7"/>
        <v>0</v>
      </c>
    </row>
    <row r="101" spans="1:14">
      <c r="A101" s="524" t="s">
        <v>614</v>
      </c>
      <c r="B101" s="524"/>
      <c r="C101" s="535"/>
      <c r="D101" s="429" t="s">
        <v>1875</v>
      </c>
      <c r="E101" s="440">
        <f>ROUND(未审资产负债表!C100,2)</f>
        <v>13935.41</v>
      </c>
      <c r="F101" s="440">
        <f>ROUND(F100+F88,2)</f>
        <v>0</v>
      </c>
      <c r="G101" s="440">
        <f>ROUND(G100+G88,2)</f>
        <v>510472.6</v>
      </c>
      <c r="H101" s="405">
        <f t="shared" si="8"/>
        <v>510472.60000000003</v>
      </c>
      <c r="I101" s="440">
        <f t="shared" si="6"/>
        <v>524408.01</v>
      </c>
      <c r="J101" s="440">
        <f>ROUND(未审资产负债表!D100,2)</f>
        <v>1023637.57</v>
      </c>
      <c r="K101" s="440">
        <f>ROUND(K100+K88,2)</f>
        <v>0</v>
      </c>
      <c r="L101" s="440">
        <f>ROUND(L100+L88,2)</f>
        <v>86363.63</v>
      </c>
      <c r="M101" s="405">
        <f t="shared" si="9"/>
        <v>86363.63</v>
      </c>
      <c r="N101" s="440">
        <f t="shared" si="7"/>
        <v>1110001.2</v>
      </c>
    </row>
    <row r="102" spans="1:14">
      <c r="A102" s="541" t="s">
        <v>615</v>
      </c>
      <c r="B102" s="541"/>
      <c r="C102" s="535"/>
      <c r="D102" s="485"/>
      <c r="E102" s="434"/>
      <c r="F102" s="434"/>
      <c r="G102" s="434"/>
      <c r="H102" s="403"/>
      <c r="I102" s="434"/>
      <c r="J102" s="434"/>
      <c r="K102" s="434"/>
      <c r="L102" s="434"/>
      <c r="M102" s="403"/>
      <c r="N102" s="434"/>
    </row>
    <row r="103" spans="1:14">
      <c r="A103" s="452" t="s">
        <v>616</v>
      </c>
      <c r="B103" s="452" t="s">
        <v>1934</v>
      </c>
      <c r="C103" s="535" t="s">
        <v>1935</v>
      </c>
      <c r="D103" s="485" t="s">
        <v>1875</v>
      </c>
      <c r="E103" s="440">
        <f>ROUND(未审资产负债表!C102,2)</f>
        <v>10000</v>
      </c>
      <c r="F103" s="440">
        <f>ROUND(SUMIF(调整分录!D:D,试算平衡表!C103,调整分录!H:H)+F104+F106+F107+F109,2)</f>
        <v>0</v>
      </c>
      <c r="G103" s="440">
        <f>ROUND(SUMIF(调整分录!D:D,试算平衡表!C103,调整分录!I:I)+G104+G106+G107+G109,2)</f>
        <v>0</v>
      </c>
      <c r="H103" s="405">
        <f t="shared" si="8"/>
        <v>0</v>
      </c>
      <c r="I103" s="440">
        <f t="shared" si="6"/>
        <v>10000</v>
      </c>
      <c r="J103" s="440">
        <f>ROUND(未审资产负债表!D102,2)</f>
        <v>10000</v>
      </c>
      <c r="K103" s="440">
        <f>ROUND(SUMIF(调整分录!D:D,试算平衡表!C103,调整分录!F:F)+K104+K106+K107+K109,2)</f>
        <v>0</v>
      </c>
      <c r="L103" s="440">
        <f>ROUND(SUMIF(调整分录!D:D,试算平衡表!C103,调整分录!G:G)+L104+L106+L107+L109,2)</f>
        <v>0</v>
      </c>
      <c r="M103" s="405">
        <f t="shared" si="9"/>
        <v>0</v>
      </c>
      <c r="N103" s="440">
        <f t="shared" si="7"/>
        <v>10000</v>
      </c>
    </row>
    <row r="104" spans="1:14">
      <c r="A104" s="452" t="s">
        <v>1936</v>
      </c>
      <c r="B104" s="452"/>
      <c r="C104" s="452" t="s">
        <v>1937</v>
      </c>
      <c r="D104" s="485" t="s">
        <v>1875</v>
      </c>
      <c r="E104" s="440">
        <f>ROUND(未审资产负债表!C103,2)</f>
        <v>0</v>
      </c>
      <c r="F104" s="440">
        <f>ROUND(SUMIF(调整分录!D:D,试算平衡表!C104,调整分录!H:H)+F105,2)</f>
        <v>0</v>
      </c>
      <c r="G104" s="440">
        <f>ROUND(SUMIF(调整分录!D:D,试算平衡表!C104,调整分录!I:I)+G105,2)</f>
        <v>0</v>
      </c>
      <c r="H104" s="405">
        <f t="shared" si="8"/>
        <v>0</v>
      </c>
      <c r="I104" s="440">
        <f t="shared" si="6"/>
        <v>0</v>
      </c>
      <c r="J104" s="440">
        <f>ROUND(未审资产负债表!D103,2)</f>
        <v>0</v>
      </c>
      <c r="K104" s="440">
        <f>ROUND(SUMIF(调整分录!D:D,试算平衡表!C104,调整分录!F:F)+K105,2)</f>
        <v>0</v>
      </c>
      <c r="L104" s="440">
        <f>ROUND(SUMIF(调整分录!D:D,试算平衡表!C104,调整分录!G:G)+L105,2)</f>
        <v>0</v>
      </c>
      <c r="M104" s="405">
        <f t="shared" si="9"/>
        <v>0</v>
      </c>
      <c r="N104" s="440">
        <f t="shared" si="7"/>
        <v>0</v>
      </c>
    </row>
    <row r="105" spans="1:14">
      <c r="A105" s="452" t="s">
        <v>1784</v>
      </c>
      <c r="B105" s="452"/>
      <c r="C105" s="535" t="s">
        <v>1938</v>
      </c>
      <c r="D105" s="485" t="s">
        <v>1875</v>
      </c>
      <c r="E105" s="440">
        <f>ROUND(未审资产负债表!C104,2)</f>
        <v>0</v>
      </c>
      <c r="F105" s="440">
        <f>ROUND(SUMIF(调整分录!D:D,试算平衡表!C105,调整分录!H:H),2)</f>
        <v>0</v>
      </c>
      <c r="G105" s="440">
        <f>ROUND(SUMIF(调整分录!D:D,试算平衡表!C105,调整分录!I:I),2)</f>
        <v>0</v>
      </c>
      <c r="H105" s="405">
        <f t="shared" si="8"/>
        <v>0</v>
      </c>
      <c r="I105" s="440">
        <f t="shared" si="6"/>
        <v>0</v>
      </c>
      <c r="J105" s="440">
        <f>ROUND(未审资产负债表!D104,2)</f>
        <v>0</v>
      </c>
      <c r="K105" s="440">
        <f>ROUND(SUMIF(调整分录!D:D,试算平衡表!C105,调整分录!F:F),2)</f>
        <v>0</v>
      </c>
      <c r="L105" s="440">
        <f>ROUND(SUMIF(调整分录!D:D,试算平衡表!C105,调整分录!G:G),2)</f>
        <v>0</v>
      </c>
      <c r="M105" s="405">
        <f t="shared" si="9"/>
        <v>0</v>
      </c>
      <c r="N105" s="440">
        <f t="shared" si="7"/>
        <v>0</v>
      </c>
    </row>
    <row r="106" spans="1:14">
      <c r="A106" s="452" t="s">
        <v>619</v>
      </c>
      <c r="B106" s="452"/>
      <c r="C106" s="452" t="s">
        <v>1939</v>
      </c>
      <c r="D106" s="485" t="s">
        <v>1875</v>
      </c>
      <c r="E106" s="440">
        <f>ROUND(未审资产负债表!C105,2)</f>
        <v>0</v>
      </c>
      <c r="F106" s="440">
        <f>ROUND(SUMIF(调整分录!D:D,试算平衡表!C106,调整分录!H:H),2)</f>
        <v>0</v>
      </c>
      <c r="G106" s="440">
        <f>ROUND(SUMIF(调整分录!D:D,试算平衡表!C106,调整分录!I:I),2)</f>
        <v>0</v>
      </c>
      <c r="H106" s="405">
        <f t="shared" si="8"/>
        <v>0</v>
      </c>
      <c r="I106" s="440">
        <f t="shared" si="6"/>
        <v>0</v>
      </c>
      <c r="J106" s="440">
        <f>ROUND(未审资产负债表!D105,2)</f>
        <v>0</v>
      </c>
      <c r="K106" s="440">
        <f>ROUND(SUMIF(调整分录!D:D,试算平衡表!C106,调整分录!F:F),2)</f>
        <v>0</v>
      </c>
      <c r="L106" s="440">
        <f>ROUND(SUMIF(调整分录!D:D,试算平衡表!C106,调整分录!G:G),2)</f>
        <v>0</v>
      </c>
      <c r="M106" s="405">
        <f t="shared" si="9"/>
        <v>0</v>
      </c>
      <c r="N106" s="440">
        <f>IF(D106="借",J106+K106-L106,IF(D106="贷",J106+L106-K106,IF(D106="",0,0)))</f>
        <v>0</v>
      </c>
    </row>
    <row r="107" spans="1:14">
      <c r="A107" s="452" t="s">
        <v>620</v>
      </c>
      <c r="B107" s="452"/>
      <c r="C107" s="452" t="s">
        <v>1940</v>
      </c>
      <c r="D107" s="485" t="s">
        <v>1875</v>
      </c>
      <c r="E107" s="440">
        <f>ROUND(未审资产负债表!C106,2)</f>
        <v>10000</v>
      </c>
      <c r="F107" s="440">
        <f>ROUND(SUMIF(调整分录!D:D,试算平衡表!C107,调整分录!H:H)+F108,2)</f>
        <v>0</v>
      </c>
      <c r="G107" s="440">
        <f>ROUND(SUMIF(调整分录!D:D,试算平衡表!C107,调整分录!I:I)+G108,2)</f>
        <v>0</v>
      </c>
      <c r="H107" s="405">
        <f t="shared" si="8"/>
        <v>0</v>
      </c>
      <c r="I107" s="440">
        <f t="shared" si="6"/>
        <v>10000</v>
      </c>
      <c r="J107" s="440">
        <f>ROUND(未审资产负债表!D106,2)</f>
        <v>10000</v>
      </c>
      <c r="K107" s="440">
        <f>ROUND(SUMIF(调整分录!D:D,试算平衡表!C107,调整分录!F:F)+K108,2)</f>
        <v>0</v>
      </c>
      <c r="L107" s="440">
        <f>ROUND(SUMIF(调整分录!D:D,试算平衡表!C107,调整分录!G:G)+L108,2)</f>
        <v>0</v>
      </c>
      <c r="M107" s="405">
        <f t="shared" si="9"/>
        <v>0</v>
      </c>
      <c r="N107" s="440">
        <f t="shared" si="7"/>
        <v>10000</v>
      </c>
    </row>
    <row r="108" spans="1:14">
      <c r="A108" s="452" t="s">
        <v>621</v>
      </c>
      <c r="B108" s="452"/>
      <c r="C108" s="535" t="s">
        <v>1941</v>
      </c>
      <c r="D108" s="485" t="s">
        <v>1875</v>
      </c>
      <c r="E108" s="440">
        <f>ROUND(未审资产负债表!C107,2)</f>
        <v>0</v>
      </c>
      <c r="F108" s="440">
        <f>ROUND(SUMIF(调整分录!D:D,试算平衡表!C108,调整分录!H:H),2)</f>
        <v>0</v>
      </c>
      <c r="G108" s="440">
        <f>ROUND(SUMIF(调整分录!D:D,试算平衡表!C108,调整分录!I:I),2)</f>
        <v>0</v>
      </c>
      <c r="H108" s="405">
        <f t="shared" si="8"/>
        <v>0</v>
      </c>
      <c r="I108" s="440">
        <f t="shared" si="6"/>
        <v>0</v>
      </c>
      <c r="J108" s="440">
        <f>ROUND(未审资产负债表!D107,2)</f>
        <v>0</v>
      </c>
      <c r="K108" s="440">
        <f>ROUND(SUMIF(调整分录!D:D,试算平衡表!C108,调整分录!F:F),2)</f>
        <v>0</v>
      </c>
      <c r="L108" s="440">
        <f>ROUND(SUMIF(调整分录!D:D,试算平衡表!C108,调整分录!G:G),2)</f>
        <v>0</v>
      </c>
      <c r="M108" s="405">
        <f t="shared" si="9"/>
        <v>0</v>
      </c>
      <c r="N108" s="440">
        <f t="shared" si="7"/>
        <v>0</v>
      </c>
    </row>
    <row r="109" spans="1:14">
      <c r="A109" s="452" t="s">
        <v>622</v>
      </c>
      <c r="B109" s="452"/>
      <c r="C109" s="452" t="s">
        <v>1942</v>
      </c>
      <c r="D109" s="485" t="s">
        <v>1875</v>
      </c>
      <c r="E109" s="440">
        <f>ROUND(未审资产负债表!C108,2)</f>
        <v>0</v>
      </c>
      <c r="F109" s="440">
        <f>ROUND(SUMIF(调整分录!D:D,试算平衡表!C109,调整分录!H:H),2)</f>
        <v>0</v>
      </c>
      <c r="G109" s="440">
        <f>ROUND(SUMIF(调整分录!D:D,试算平衡表!C109,调整分录!I:I),2)</f>
        <v>0</v>
      </c>
      <c r="H109" s="405">
        <f t="shared" si="8"/>
        <v>0</v>
      </c>
      <c r="I109" s="440">
        <f t="shared" si="6"/>
        <v>0</v>
      </c>
      <c r="J109" s="440">
        <f>ROUND(未审资产负债表!D108,2)</f>
        <v>0</v>
      </c>
      <c r="K109" s="440">
        <f>ROUND(SUMIF(调整分录!D:D,试算平衡表!C109,调整分录!F:F),2)</f>
        <v>0</v>
      </c>
      <c r="L109" s="440">
        <f>ROUND(SUMIF(调整分录!D:D,试算平衡表!C109,调整分录!G:G),2)</f>
        <v>0</v>
      </c>
      <c r="M109" s="405">
        <f t="shared" si="9"/>
        <v>0</v>
      </c>
      <c r="N109" s="440">
        <f t="shared" si="7"/>
        <v>0</v>
      </c>
    </row>
    <row r="110" spans="1:14">
      <c r="A110" s="535" t="s">
        <v>623</v>
      </c>
      <c r="B110" s="535"/>
      <c r="C110" s="535" t="s">
        <v>1943</v>
      </c>
      <c r="D110" s="429" t="s">
        <v>1839</v>
      </c>
      <c r="E110" s="440">
        <f>ROUND(未审资产负债表!C109,2)</f>
        <v>0</v>
      </c>
      <c r="F110" s="440">
        <f>ROUND(SUMIF(调整分录!D:D,试算平衡表!C110,调整分录!H:H),2)</f>
        <v>0</v>
      </c>
      <c r="G110" s="440">
        <f>ROUND(SUMIF(调整分录!D:D,试算平衡表!C110,调整分录!I:I),2)</f>
        <v>0</v>
      </c>
      <c r="H110" s="405">
        <f t="shared" si="8"/>
        <v>0</v>
      </c>
      <c r="I110" s="440">
        <f t="shared" si="6"/>
        <v>0</v>
      </c>
      <c r="J110" s="440">
        <f>ROUND(未审资产负债表!D109,2)</f>
        <v>0</v>
      </c>
      <c r="K110" s="440">
        <f>ROUND(SUMIF(调整分录!D:D,试算平衡表!C110,调整分录!F:F),2)</f>
        <v>0</v>
      </c>
      <c r="L110" s="440">
        <f>ROUND(SUMIF(调整分录!D:D,试算平衡表!C110,调整分录!G:G),2)</f>
        <v>0</v>
      </c>
      <c r="M110" s="405">
        <f t="shared" si="9"/>
        <v>0</v>
      </c>
      <c r="N110" s="440">
        <f t="shared" si="7"/>
        <v>0</v>
      </c>
    </row>
    <row r="111" spans="1:14">
      <c r="A111" s="535" t="s">
        <v>624</v>
      </c>
      <c r="B111" s="535"/>
      <c r="C111" s="535"/>
      <c r="D111" s="485" t="s">
        <v>1875</v>
      </c>
      <c r="E111" s="440">
        <f>ROUND(未审资产负债表!C110,2)</f>
        <v>10000</v>
      </c>
      <c r="F111" s="440">
        <f>ROUND(F110+F103,2)</f>
        <v>0</v>
      </c>
      <c r="G111" s="440">
        <f>ROUND(G110+G103,2)</f>
        <v>0</v>
      </c>
      <c r="H111" s="405">
        <f t="shared" si="8"/>
        <v>0</v>
      </c>
      <c r="I111" s="440">
        <f t="shared" si="6"/>
        <v>10000</v>
      </c>
      <c r="J111" s="440">
        <f>ROUND(未审资产负债表!D110,2)</f>
        <v>10000</v>
      </c>
      <c r="K111" s="440">
        <f>ROUND(K110+K103,2)</f>
        <v>0</v>
      </c>
      <c r="L111" s="440">
        <f>ROUND(L110+L103,2)</f>
        <v>0</v>
      </c>
      <c r="M111" s="405">
        <f t="shared" si="9"/>
        <v>0</v>
      </c>
      <c r="N111" s="440">
        <f t="shared" si="7"/>
        <v>10000</v>
      </c>
    </row>
    <row r="112" spans="1:14">
      <c r="A112" s="535" t="s">
        <v>1944</v>
      </c>
      <c r="B112" s="535" t="s">
        <v>1945</v>
      </c>
      <c r="C112" s="535" t="s">
        <v>1946</v>
      </c>
      <c r="D112" s="566" t="s">
        <v>1875</v>
      </c>
      <c r="E112" s="440">
        <f>ROUND(未审资产负债表!C111,2)</f>
        <v>0</v>
      </c>
      <c r="F112" s="440">
        <f>ROUND(SUMIF(调整分录!D:D,试算平衡表!C112,调整分录!H:H)+F113+F114,2)</f>
        <v>0</v>
      </c>
      <c r="G112" s="440">
        <f>ROUND(SUMIF(调整分录!D:D,试算平衡表!C112,调整分录!I:I)+G113+G114,2)</f>
        <v>0</v>
      </c>
      <c r="H112" s="405">
        <f t="shared" si="8"/>
        <v>0</v>
      </c>
      <c r="I112" s="440">
        <f t="shared" si="6"/>
        <v>0</v>
      </c>
      <c r="J112" s="440">
        <f>ROUND(未审资产负债表!D111,2)</f>
        <v>0</v>
      </c>
      <c r="K112" s="440">
        <f>ROUND(SUMIF(调整分录!D:D,试算平衡表!C112,调整分录!F:F)+K113+K114,2)</f>
        <v>0</v>
      </c>
      <c r="L112" s="440">
        <f>ROUND(SUMIF(调整分录!D:D,试算平衡表!C112,调整分录!G:G)+L113+L114,2)</f>
        <v>0</v>
      </c>
      <c r="M112" s="405">
        <f t="shared" si="9"/>
        <v>0</v>
      </c>
      <c r="N112" s="440">
        <f t="shared" si="7"/>
        <v>0</v>
      </c>
    </row>
    <row r="113" spans="1:14">
      <c r="A113" s="535" t="s">
        <v>1947</v>
      </c>
      <c r="B113" s="535"/>
      <c r="C113" s="535" t="s">
        <v>1948</v>
      </c>
      <c r="D113" s="566" t="s">
        <v>1875</v>
      </c>
      <c r="E113" s="440">
        <f>ROUND(未审资产负债表!C112,2)</f>
        <v>0</v>
      </c>
      <c r="F113" s="440">
        <f>ROUND(SUMIF(调整分录!D:D,试算平衡表!C113,调整分录!H:H),2)</f>
        <v>0</v>
      </c>
      <c r="G113" s="440">
        <f>ROUND(SUMIF(调整分录!D:D,试算平衡表!C113,调整分录!I:I),2)</f>
        <v>0</v>
      </c>
      <c r="H113" s="405">
        <f t="shared" si="8"/>
        <v>0</v>
      </c>
      <c r="I113" s="440">
        <f t="shared" si="6"/>
        <v>0</v>
      </c>
      <c r="J113" s="440">
        <f>ROUND(未审资产负债表!D112,2)</f>
        <v>0</v>
      </c>
      <c r="K113" s="440">
        <f>ROUND(SUMIF(调整分录!D:D,试算平衡表!C113,调整分录!F:F),2)</f>
        <v>0</v>
      </c>
      <c r="L113" s="440">
        <f>ROUND(SUMIF(调整分录!D:D,试算平衡表!C113,调整分录!G:G),2)</f>
        <v>0</v>
      </c>
      <c r="M113" s="405">
        <f t="shared" si="9"/>
        <v>0</v>
      </c>
      <c r="N113" s="440">
        <f t="shared" si="7"/>
        <v>0</v>
      </c>
    </row>
    <row r="114" spans="1:14">
      <c r="A114" s="535" t="s">
        <v>1788</v>
      </c>
      <c r="B114" s="535"/>
      <c r="C114" s="535" t="s">
        <v>1949</v>
      </c>
      <c r="D114" s="566" t="s">
        <v>1875</v>
      </c>
      <c r="E114" s="440">
        <f>ROUND(未审资产负债表!C113,2)</f>
        <v>0</v>
      </c>
      <c r="F114" s="440">
        <f>ROUND(SUMIF(调整分录!D:D,试算平衡表!C114,调整分录!H:H),2)</f>
        <v>0</v>
      </c>
      <c r="G114" s="440">
        <f>ROUND(SUMIF(调整分录!D:D,试算平衡表!C114,调整分录!I:I),2)</f>
        <v>0</v>
      </c>
      <c r="H114" s="405">
        <f>I114-E114</f>
        <v>0</v>
      </c>
      <c r="I114" s="440">
        <f>IF(D114="借",E114+F114-G114,IF(D114="贷",E114+G114-F114,IF(D114="",0,0)))</f>
        <v>0</v>
      </c>
      <c r="J114" s="440">
        <f>ROUND(未审资产负债表!D113,2)</f>
        <v>0</v>
      </c>
      <c r="K114" s="440">
        <f>ROUND(SUMIF(调整分录!D:D,试算平衡表!C114,调整分录!F:F),2)</f>
        <v>0</v>
      </c>
      <c r="L114" s="440">
        <f>ROUND(SUMIF(调整分录!D:D,试算平衡表!C114,调整分录!G:G),2)</f>
        <v>0</v>
      </c>
      <c r="M114" s="405">
        <f>N114-J114</f>
        <v>0</v>
      </c>
      <c r="N114" s="440">
        <f>IF(D114="借",J114+K114-L114,IF(D114="贷",J114+L114-K114,IF(D114="",0,0)))</f>
        <v>0</v>
      </c>
    </row>
    <row r="115" spans="1:14">
      <c r="A115" s="535" t="s">
        <v>1950</v>
      </c>
      <c r="B115" s="535" t="s">
        <v>1951</v>
      </c>
      <c r="C115" s="535" t="s">
        <v>1951</v>
      </c>
      <c r="D115" s="429" t="s">
        <v>1875</v>
      </c>
      <c r="E115" s="440">
        <f>ROUND(未审资产负债表!C114,2)</f>
        <v>0</v>
      </c>
      <c r="F115" s="440">
        <f>ROUND(SUMIF(调整分录!D:D,试算平衡表!C115,调整分录!H:H),2)</f>
        <v>0</v>
      </c>
      <c r="G115" s="440">
        <f>ROUND(SUMIF(调整分录!D:D,试算平衡表!C115,调整分录!I:I),2)</f>
        <v>0</v>
      </c>
      <c r="H115" s="405">
        <f t="shared" si="8"/>
        <v>0</v>
      </c>
      <c r="I115" s="440">
        <f t="shared" si="6"/>
        <v>0</v>
      </c>
      <c r="J115" s="440">
        <f>ROUND(未审资产负债表!D114,2)</f>
        <v>0</v>
      </c>
      <c r="K115" s="440">
        <f>ROUND(SUMIF(调整分录!D:D,试算平衡表!C115,调整分录!F:F),2)</f>
        <v>0</v>
      </c>
      <c r="L115" s="440">
        <f>ROUND(SUMIF(调整分录!D:D,试算平衡表!C115,调整分录!G:G),2)</f>
        <v>0</v>
      </c>
      <c r="M115" s="405">
        <f t="shared" si="9"/>
        <v>0</v>
      </c>
      <c r="N115" s="440">
        <f t="shared" si="7"/>
        <v>0</v>
      </c>
    </row>
    <row r="116" spans="1:14">
      <c r="A116" s="535" t="s">
        <v>626</v>
      </c>
      <c r="B116" s="535" t="s">
        <v>1952</v>
      </c>
      <c r="C116" s="535" t="s">
        <v>1952</v>
      </c>
      <c r="D116" s="429" t="s">
        <v>1839</v>
      </c>
      <c r="E116" s="440">
        <f>ROUND(未审资产负债表!C115,2)</f>
        <v>0</v>
      </c>
      <c r="F116" s="440">
        <f>ROUND(SUMIF(调整分录!D:D,试算平衡表!C116,调整分录!H:H),2)</f>
        <v>0</v>
      </c>
      <c r="G116" s="440">
        <f>ROUND(SUMIF(调整分录!D:D,试算平衡表!C116,调整分录!I:I),2)</f>
        <v>0</v>
      </c>
      <c r="H116" s="405">
        <f t="shared" si="8"/>
        <v>0</v>
      </c>
      <c r="I116" s="440">
        <f t="shared" si="6"/>
        <v>0</v>
      </c>
      <c r="J116" s="440">
        <f>ROUND(未审资产负债表!D115,2)</f>
        <v>0</v>
      </c>
      <c r="K116" s="440">
        <f>ROUND(SUMIF(调整分录!D:D,试算平衡表!C116,调整分录!F:F),2)</f>
        <v>0</v>
      </c>
      <c r="L116" s="440">
        <f>ROUND(SUMIF(调整分录!D:D,试算平衡表!C116,调整分录!G:G),2)</f>
        <v>0</v>
      </c>
      <c r="M116" s="405">
        <f t="shared" si="9"/>
        <v>0</v>
      </c>
      <c r="N116" s="440">
        <f t="shared" si="7"/>
        <v>0</v>
      </c>
    </row>
    <row r="117" spans="1:14">
      <c r="A117" s="535" t="s">
        <v>1953</v>
      </c>
      <c r="B117" s="535" t="s">
        <v>1954</v>
      </c>
      <c r="C117" s="535" t="s">
        <v>1955</v>
      </c>
      <c r="D117" s="566" t="s">
        <v>1875</v>
      </c>
      <c r="E117" s="440">
        <f>ROUND(未审资产负债表!C116,2)</f>
        <v>0</v>
      </c>
      <c r="F117" s="440">
        <f>ROUND(SUMIF(调整分录!D:D,试算平衡表!C117,调整分录!H:H)+F202-F185,2)</f>
        <v>0</v>
      </c>
      <c r="G117" s="440">
        <f>ROUND(SUMIF(调整分录!D:D,试算平衡表!C117,调整分录!I:I)+G202-G185,2)</f>
        <v>0</v>
      </c>
      <c r="H117" s="405">
        <f t="shared" si="8"/>
        <v>0</v>
      </c>
      <c r="I117" s="440">
        <f>IF(D117="借",E117+F117-G117,IF(D117="贷",E117+G117-F117,IF(D117="",0,0)))</f>
        <v>0</v>
      </c>
      <c r="J117" s="440">
        <f>ROUND(未审资产负债表!D116,2)</f>
        <v>0</v>
      </c>
      <c r="K117" s="440">
        <f>ROUND(SUMIF(调整分录!D:D,试算平衡表!C117,调整分录!F:F)+K202-K185,2)</f>
        <v>0</v>
      </c>
      <c r="L117" s="440">
        <f>ROUND(SUMIF(调整分录!D:D,试算平衡表!C117,调整分录!G:G)+L202-L185,2)</f>
        <v>0</v>
      </c>
      <c r="M117" s="405">
        <f t="shared" si="9"/>
        <v>0</v>
      </c>
      <c r="N117" s="440">
        <f>IF(D117="借",J117+K117-L117,IF(D117="贷",J117+L117-K117,IF(D117="",0,0)))</f>
        <v>0</v>
      </c>
    </row>
    <row r="118" spans="1:14">
      <c r="A118" s="535" t="s">
        <v>1956</v>
      </c>
      <c r="B118" s="535"/>
      <c r="C118" s="535" t="s">
        <v>1957</v>
      </c>
      <c r="D118" s="566" t="s">
        <v>1875</v>
      </c>
      <c r="E118" s="440">
        <f>ROUND(未审资产负债表!C117,2)</f>
        <v>0</v>
      </c>
      <c r="F118" s="440">
        <f>ROUND(SUMIF(调整分录!D:D,试算平衡表!C118,调整分录!H:H)+F199,2)</f>
        <v>0</v>
      </c>
      <c r="G118" s="440">
        <f>ROUND(SUMIF(调整分录!D:D,试算平衡表!C118,调整分录!I:I)+G199,2)</f>
        <v>0</v>
      </c>
      <c r="H118" s="405">
        <f t="shared" si="8"/>
        <v>0</v>
      </c>
      <c r="I118" s="440">
        <f>IF(D118="借",E118+F118-G118,IF(D118="贷",E118+G118-F118,IF(D118="",0,0)))</f>
        <v>0</v>
      </c>
      <c r="J118" s="440">
        <f>ROUND(未审资产负债表!D117,2)</f>
        <v>0</v>
      </c>
      <c r="K118" s="440">
        <f>ROUND(SUMIF(调整分录!D:D,试算平衡表!C118,调整分录!F:F)+K199,2)</f>
        <v>0</v>
      </c>
      <c r="L118" s="440">
        <f>ROUND(SUMIF(调整分录!D:D,试算平衡表!C118,调整分录!G:G)+L199,2)</f>
        <v>0</v>
      </c>
      <c r="M118" s="405">
        <f t="shared" si="9"/>
        <v>0</v>
      </c>
      <c r="N118" s="440">
        <f>IF(D118="借",J118+K118-L118,IF(D118="贷",J118+L118-K118,IF(D118="",0,0)))</f>
        <v>0</v>
      </c>
    </row>
    <row r="119" spans="1:14">
      <c r="A119" s="535" t="s">
        <v>627</v>
      </c>
      <c r="B119" s="535" t="s">
        <v>1958</v>
      </c>
      <c r="C119" s="535" t="s">
        <v>1958</v>
      </c>
      <c r="D119" s="429" t="s">
        <v>1875</v>
      </c>
      <c r="E119" s="440">
        <f>ROUND(未审资产负债表!C118,2)</f>
        <v>0</v>
      </c>
      <c r="F119" s="440">
        <f>ROUND(SUMIF(调整分录!D:D,试算平衡表!C119,调整分录!H:H),2)</f>
        <v>0</v>
      </c>
      <c r="G119" s="440">
        <f>ROUND(SUMIF(调整分录!D:D,试算平衡表!C119,调整分录!I:I),2)</f>
        <v>0</v>
      </c>
      <c r="H119" s="405">
        <f t="shared" si="8"/>
        <v>0</v>
      </c>
      <c r="I119" s="440">
        <f t="shared" si="6"/>
        <v>0</v>
      </c>
      <c r="J119" s="440">
        <f>ROUND(未审资产负债表!D118,2)</f>
        <v>0</v>
      </c>
      <c r="K119" s="440">
        <f>ROUND(SUMIF(调整分录!D:D,试算平衡表!C119,调整分录!F:F),2)</f>
        <v>0</v>
      </c>
      <c r="L119" s="440">
        <f>ROUND(SUMIF(调整分录!D:D,试算平衡表!C119,调整分录!G:G),2)</f>
        <v>0</v>
      </c>
      <c r="M119" s="405">
        <f t="shared" si="9"/>
        <v>0</v>
      </c>
      <c r="N119" s="440">
        <f t="shared" si="7"/>
        <v>0</v>
      </c>
    </row>
    <row r="120" spans="1:14">
      <c r="A120" s="535" t="s">
        <v>628</v>
      </c>
      <c r="B120" s="535" t="s">
        <v>1959</v>
      </c>
      <c r="C120" s="535" t="s">
        <v>1960</v>
      </c>
      <c r="D120" s="429" t="s">
        <v>1875</v>
      </c>
      <c r="E120" s="440">
        <f>ROUND(未审资产负债表!C119,2)</f>
        <v>3513183.49</v>
      </c>
      <c r="F120" s="440">
        <f>ROUND(SUMIF(调整分录!D:D,试算平衡表!C120,调整分录!H:H)+F121+F122+F123+F124+F125,2)</f>
        <v>0</v>
      </c>
      <c r="G120" s="440">
        <f>ROUND(SUMIF(调整分录!D:D,试算平衡表!C120,调整分录!I:I)+G121+G122+G123+G124+G125,2)</f>
        <v>0</v>
      </c>
      <c r="H120" s="405">
        <f t="shared" si="8"/>
        <v>0</v>
      </c>
      <c r="I120" s="440">
        <f t="shared" si="6"/>
        <v>3513183.49</v>
      </c>
      <c r="J120" s="440">
        <f>ROUND(未审资产负债表!D119,2)</f>
        <v>3513183.49</v>
      </c>
      <c r="K120" s="440">
        <f>ROUND(SUMIF(调整分录!D:D,试算平衡表!C120,调整分录!F:F)+K121+K122+K123+K124+K125,2)</f>
        <v>0</v>
      </c>
      <c r="L120" s="440">
        <f>ROUND(SUMIF(调整分录!D:D,试算平衡表!C120,调整分录!G:G)+L121+L122+L123+L124+L125,2)</f>
        <v>0</v>
      </c>
      <c r="M120" s="405">
        <f t="shared" si="9"/>
        <v>0</v>
      </c>
      <c r="N120" s="440">
        <f t="shared" si="7"/>
        <v>3513183.49</v>
      </c>
    </row>
    <row r="121" spans="1:14">
      <c r="A121" s="535" t="s">
        <v>629</v>
      </c>
      <c r="B121" s="535"/>
      <c r="C121" s="535" t="s">
        <v>1961</v>
      </c>
      <c r="D121" s="429" t="s">
        <v>1875</v>
      </c>
      <c r="E121" s="440">
        <f>ROUND(未审资产负债表!C120,2)</f>
        <v>3513183.49</v>
      </c>
      <c r="F121" s="440">
        <f>ROUND(SUMIF(调整分录!D:D,试算平衡表!C121,调整分录!H:H),2)</f>
        <v>0</v>
      </c>
      <c r="G121" s="440">
        <f>ROUND(SUMIF(调整分录!D:D,试算平衡表!C121,调整分录!I:I),2)</f>
        <v>0</v>
      </c>
      <c r="H121" s="405">
        <f t="shared" si="8"/>
        <v>0</v>
      </c>
      <c r="I121" s="440">
        <f t="shared" si="6"/>
        <v>3513183.49</v>
      </c>
      <c r="J121" s="440">
        <f>ROUND(未审资产负债表!D120,2)</f>
        <v>3513183.49</v>
      </c>
      <c r="K121" s="440">
        <f>ROUND(SUMIF(调整分录!D:D,试算平衡表!C121,调整分录!F:F),2)</f>
        <v>0</v>
      </c>
      <c r="L121" s="440">
        <f>ROUND(SUMIF(调整分录!D:D,试算平衡表!C121,调整分录!G:G),2)</f>
        <v>0</v>
      </c>
      <c r="M121" s="405">
        <f t="shared" si="9"/>
        <v>0</v>
      </c>
      <c r="N121" s="440">
        <f t="shared" si="7"/>
        <v>3513183.49</v>
      </c>
    </row>
    <row r="122" spans="1:14">
      <c r="A122" s="535" t="s">
        <v>630</v>
      </c>
      <c r="B122" s="535"/>
      <c r="C122" s="535" t="s">
        <v>1962</v>
      </c>
      <c r="D122" s="429" t="s">
        <v>1875</v>
      </c>
      <c r="E122" s="440">
        <f>ROUND(未审资产负债表!C121,2)</f>
        <v>0</v>
      </c>
      <c r="F122" s="440">
        <f>ROUND(SUMIF(调整分录!D:D,试算平衡表!C122,调整分录!H:H),2)</f>
        <v>0</v>
      </c>
      <c r="G122" s="440">
        <f>ROUND(SUMIF(调整分录!D:D,试算平衡表!C122,调整分录!I:I),2)</f>
        <v>0</v>
      </c>
      <c r="H122" s="405">
        <f t="shared" si="8"/>
        <v>0</v>
      </c>
      <c r="I122" s="440">
        <f t="shared" si="6"/>
        <v>0</v>
      </c>
      <c r="J122" s="440">
        <f>ROUND(未审资产负债表!D121,2)</f>
        <v>0</v>
      </c>
      <c r="K122" s="440">
        <f>ROUND(SUMIF(调整分录!D:D,试算平衡表!C122,调整分录!F:F),2)</f>
        <v>0</v>
      </c>
      <c r="L122" s="440">
        <f>ROUND(SUMIF(调整分录!D:D,试算平衡表!C122,调整分录!G:G),2)</f>
        <v>0</v>
      </c>
      <c r="M122" s="405">
        <f t="shared" si="9"/>
        <v>0</v>
      </c>
      <c r="N122" s="440">
        <f t="shared" si="7"/>
        <v>0</v>
      </c>
    </row>
    <row r="123" spans="1:14">
      <c r="A123" s="535" t="s">
        <v>631</v>
      </c>
      <c r="B123" s="535"/>
      <c r="C123" s="535" t="s">
        <v>1963</v>
      </c>
      <c r="D123" s="429" t="s">
        <v>1875</v>
      </c>
      <c r="E123" s="440">
        <f>ROUND(未审资产负债表!C122,2)</f>
        <v>0</v>
      </c>
      <c r="F123" s="440">
        <f>ROUND(SUMIF(调整分录!D:D,试算平衡表!C123,调整分录!H:H),2)</f>
        <v>0</v>
      </c>
      <c r="G123" s="440">
        <f>ROUND(SUMIF(调整分录!D:D,试算平衡表!C123,调整分录!I:I),2)</f>
        <v>0</v>
      </c>
      <c r="H123" s="405">
        <f t="shared" si="8"/>
        <v>0</v>
      </c>
      <c r="I123" s="440">
        <f t="shared" si="6"/>
        <v>0</v>
      </c>
      <c r="J123" s="440">
        <f>ROUND(未审资产负债表!D122,2)</f>
        <v>0</v>
      </c>
      <c r="K123" s="440">
        <f>ROUND(SUMIF(调整分录!D:D,试算平衡表!C123,调整分录!F:F),2)</f>
        <v>0</v>
      </c>
      <c r="L123" s="440">
        <f>ROUND(SUMIF(调整分录!D:D,试算平衡表!C123,调整分录!G:G),2)</f>
        <v>0</v>
      </c>
      <c r="M123" s="405">
        <f t="shared" si="9"/>
        <v>0</v>
      </c>
      <c r="N123" s="440">
        <f t="shared" si="7"/>
        <v>0</v>
      </c>
    </row>
    <row r="124" spans="1:14">
      <c r="A124" s="535" t="s">
        <v>632</v>
      </c>
      <c r="B124" s="535"/>
      <c r="C124" s="535" t="s">
        <v>1964</v>
      </c>
      <c r="D124" s="429" t="s">
        <v>1875</v>
      </c>
      <c r="E124" s="440">
        <f>ROUND(未审资产负债表!C123,2)</f>
        <v>0</v>
      </c>
      <c r="F124" s="440">
        <f>ROUND(SUMIF(调整分录!D:D,试算平衡表!C124,调整分录!H:H),2)</f>
        <v>0</v>
      </c>
      <c r="G124" s="440">
        <f>ROUND(SUMIF(调整分录!D:D,试算平衡表!C124,调整分录!I:I),2)</f>
        <v>0</v>
      </c>
      <c r="H124" s="405">
        <f t="shared" si="8"/>
        <v>0</v>
      </c>
      <c r="I124" s="440">
        <f t="shared" si="6"/>
        <v>0</v>
      </c>
      <c r="J124" s="440">
        <f>ROUND(未审资产负债表!D123,2)</f>
        <v>0</v>
      </c>
      <c r="K124" s="440">
        <f>ROUND(SUMIF(调整分录!D:D,试算平衡表!C124,调整分录!F:F),2)</f>
        <v>0</v>
      </c>
      <c r="L124" s="440">
        <f>ROUND(SUMIF(调整分录!D:D,试算平衡表!C124,调整分录!G:G),2)</f>
        <v>0</v>
      </c>
      <c r="M124" s="405">
        <f t="shared" si="9"/>
        <v>0</v>
      </c>
      <c r="N124" s="440">
        <f t="shared" si="7"/>
        <v>0</v>
      </c>
    </row>
    <row r="125" spans="1:14">
      <c r="A125" s="535" t="s">
        <v>633</v>
      </c>
      <c r="B125" s="535"/>
      <c r="C125" s="535" t="s">
        <v>1965</v>
      </c>
      <c r="D125" s="429" t="s">
        <v>1875</v>
      </c>
      <c r="E125" s="440">
        <f>ROUND(未审资产负债表!C124,2)</f>
        <v>0</v>
      </c>
      <c r="F125" s="440">
        <f>ROUND(SUMIF(调整分录!D:D,试算平衡表!C125,调整分录!H:H),2)</f>
        <v>0</v>
      </c>
      <c r="G125" s="440">
        <f>ROUND(SUMIF(调整分录!D:D,试算平衡表!C125,调整分录!I:I),2)</f>
        <v>0</v>
      </c>
      <c r="H125" s="405">
        <f t="shared" si="8"/>
        <v>0</v>
      </c>
      <c r="I125" s="440">
        <f t="shared" si="6"/>
        <v>0</v>
      </c>
      <c r="J125" s="440">
        <f>ROUND(未审资产负债表!D124,2)</f>
        <v>0</v>
      </c>
      <c r="K125" s="440">
        <f>ROUND(SUMIF(调整分录!D:D,试算平衡表!C125,调整分录!F:F),2)</f>
        <v>0</v>
      </c>
      <c r="L125" s="440">
        <f>ROUND(SUMIF(调整分录!D:D,试算平衡表!C125,调整分录!G:G),2)</f>
        <v>0</v>
      </c>
      <c r="M125" s="405">
        <f t="shared" si="9"/>
        <v>0</v>
      </c>
      <c r="N125" s="440">
        <f t="shared" si="7"/>
        <v>0</v>
      </c>
    </row>
    <row r="126" spans="1:14">
      <c r="A126" s="535" t="s">
        <v>634</v>
      </c>
      <c r="B126" s="535" t="s">
        <v>1966</v>
      </c>
      <c r="C126" s="535" t="s">
        <v>1966</v>
      </c>
      <c r="D126" s="429" t="s">
        <v>1875</v>
      </c>
      <c r="E126" s="440">
        <f>ROUND(未审资产负债表!C125,2)</f>
        <v>0</v>
      </c>
      <c r="F126" s="440">
        <f>ROUND(SUMIF(调整分录!D:D,试算平衡表!C126,调整分录!H:H),2)</f>
        <v>0</v>
      </c>
      <c r="G126" s="440">
        <f>ROUND(SUMIF(调整分录!D:D,试算平衡表!C126,调整分录!I:I),2)</f>
        <v>0</v>
      </c>
      <c r="H126" s="405">
        <f t="shared" si="8"/>
        <v>0</v>
      </c>
      <c r="I126" s="440">
        <f t="shared" si="6"/>
        <v>0</v>
      </c>
      <c r="J126" s="440">
        <f>ROUND(未审资产负债表!D125,2)</f>
        <v>0</v>
      </c>
      <c r="K126" s="440">
        <f>ROUND(SUMIF(调整分录!D:D,试算平衡表!C126,调整分录!F:F),2)</f>
        <v>0</v>
      </c>
      <c r="L126" s="440">
        <f>ROUND(SUMIF(调整分录!D:D,试算平衡表!C126,调整分录!G:G),2)</f>
        <v>0</v>
      </c>
      <c r="M126" s="405">
        <f t="shared" si="9"/>
        <v>0</v>
      </c>
      <c r="N126" s="440">
        <f t="shared" si="7"/>
        <v>0</v>
      </c>
    </row>
    <row r="127" spans="1:14">
      <c r="A127" s="535" t="s">
        <v>635</v>
      </c>
      <c r="B127" s="535" t="s">
        <v>1967</v>
      </c>
      <c r="C127" s="535" t="s">
        <v>1968</v>
      </c>
      <c r="D127" s="429" t="s">
        <v>1875</v>
      </c>
      <c r="E127" s="440">
        <f>ROUND(未审资产负债表!C126,2)</f>
        <v>-601868.09</v>
      </c>
      <c r="F127" s="440">
        <f>ROUND(SUMIF(调整分录!D:D,试算平衡表!C127,调整分录!H:H)+F185,2)</f>
        <v>351434.86</v>
      </c>
      <c r="G127" s="440">
        <f>ROUND(SUMIF(调整分录!D:D,试算平衡表!C127,调整分录!I:I)+G185,2)</f>
        <v>4427104.4800000004</v>
      </c>
      <c r="H127" s="405">
        <f t="shared" si="8"/>
        <v>4075669.6200000006</v>
      </c>
      <c r="I127" s="440">
        <f t="shared" si="6"/>
        <v>3473801.5300000007</v>
      </c>
      <c r="J127" s="440">
        <f>ROUND(未审资产负债表!D126,2)</f>
        <v>3398651.31</v>
      </c>
      <c r="K127" s="440">
        <f>ROUND(SUMIF(调整分录!D:D,试算平衡表!C127,调整分录!F:F)+K185,2)</f>
        <v>43493.42</v>
      </c>
      <c r="L127" s="440">
        <f>ROUND(SUMIF(调整分录!D:D,试算平衡表!C127,调整分录!G:G)+L185,2)</f>
        <v>43493.42</v>
      </c>
      <c r="M127" s="405">
        <f t="shared" si="9"/>
        <v>0</v>
      </c>
      <c r="N127" s="440">
        <f t="shared" si="7"/>
        <v>3398651.31</v>
      </c>
    </row>
    <row r="128" spans="1:14">
      <c r="A128" s="524" t="s">
        <v>637</v>
      </c>
      <c r="B128" s="524"/>
      <c r="C128" s="535"/>
      <c r="D128" s="429" t="s">
        <v>1875</v>
      </c>
      <c r="E128" s="440">
        <f>ROUND(未审资产负债表!C127,2)</f>
        <v>2921315.4</v>
      </c>
      <c r="F128" s="440">
        <f>ROUND(F111+F112+F115+F116+F117+F119+F120+F126+F127,2)</f>
        <v>351434.86</v>
      </c>
      <c r="G128" s="440">
        <f>ROUND(G111+G112+G115+G116+G117+G119+G120+G126+G127,2)</f>
        <v>4427104.4800000004</v>
      </c>
      <c r="H128" s="405">
        <f t="shared" si="8"/>
        <v>4075669.6200000006</v>
      </c>
      <c r="I128" s="440">
        <f t="shared" si="6"/>
        <v>6996985.0200000005</v>
      </c>
      <c r="J128" s="440">
        <f>ROUND(未审资产负债表!D127,2)</f>
        <v>6921834.7999999998</v>
      </c>
      <c r="K128" s="440">
        <f>ROUND(K111+K112+K115+K116+K117+K119+K120+K126+K127,2)</f>
        <v>43493.42</v>
      </c>
      <c r="L128" s="440">
        <f>ROUND(L111+L112+L115+L116+L117+L119+L120+L126+L127,2)</f>
        <v>43493.42</v>
      </c>
      <c r="M128" s="405">
        <f t="shared" si="9"/>
        <v>0</v>
      </c>
      <c r="N128" s="440">
        <f t="shared" si="7"/>
        <v>6921834.7999999998</v>
      </c>
    </row>
    <row r="129" spans="1:14">
      <c r="A129" s="535" t="s">
        <v>638</v>
      </c>
      <c r="B129" s="535" t="s">
        <v>1969</v>
      </c>
      <c r="C129" s="535" t="s">
        <v>1970</v>
      </c>
      <c r="D129" s="429" t="s">
        <v>1875</v>
      </c>
      <c r="E129" s="440">
        <f>ROUND(未审资产负债表!C128,2)</f>
        <v>0</v>
      </c>
      <c r="F129" s="567">
        <f>ROUND(SUMIF(调整分录!D:D,试算平衡表!C129,调整分录!H:H),2)</f>
        <v>0</v>
      </c>
      <c r="G129" s="567">
        <f>ROUND(SUMIF(调整分录!D:D,试算平衡表!C129,调整分录!I:I),2)</f>
        <v>0</v>
      </c>
      <c r="H129" s="405">
        <f t="shared" si="8"/>
        <v>0</v>
      </c>
      <c r="I129" s="440">
        <f t="shared" si="6"/>
        <v>0</v>
      </c>
      <c r="J129" s="440">
        <f>ROUND(未审资产负债表!D128,2)</f>
        <v>0</v>
      </c>
      <c r="K129" s="567">
        <f>ROUND(SUMIF(调整分录!D:D,试算平衡表!C129,调整分录!F:F),2)</f>
        <v>0</v>
      </c>
      <c r="L129" s="567">
        <f>ROUND(SUMIF(调整分录!D:D,试算平衡表!C129,调整分录!G:G),2)</f>
        <v>0</v>
      </c>
      <c r="M129" s="405">
        <f t="shared" si="9"/>
        <v>0</v>
      </c>
      <c r="N129" s="440">
        <f t="shared" si="7"/>
        <v>0</v>
      </c>
    </row>
    <row r="130" spans="1:14">
      <c r="A130" s="524" t="s">
        <v>639</v>
      </c>
      <c r="B130" s="524"/>
      <c r="C130" s="535"/>
      <c r="D130" s="429" t="s">
        <v>1875</v>
      </c>
      <c r="E130" s="440">
        <f>ROUND(未审资产负债表!C129,2)</f>
        <v>2921315.4</v>
      </c>
      <c r="F130" s="440">
        <f>ROUND(F128+F129,2)</f>
        <v>351434.86</v>
      </c>
      <c r="G130" s="440">
        <f>ROUND(G128+G129,2)</f>
        <v>4427104.4800000004</v>
      </c>
      <c r="H130" s="405">
        <f t="shared" si="8"/>
        <v>4075669.6200000006</v>
      </c>
      <c r="I130" s="440">
        <f t="shared" si="6"/>
        <v>6996985.0200000005</v>
      </c>
      <c r="J130" s="440">
        <f>ROUND(未审资产负债表!D129,2)</f>
        <v>6921834.7999999998</v>
      </c>
      <c r="K130" s="440">
        <f>ROUND(K128+K129,2)</f>
        <v>43493.42</v>
      </c>
      <c r="L130" s="440">
        <f>ROUND(L128+L129,2)</f>
        <v>43493.42</v>
      </c>
      <c r="M130" s="405">
        <f t="shared" si="9"/>
        <v>0</v>
      </c>
      <c r="N130" s="440">
        <f t="shared" si="7"/>
        <v>6921834.7999999998</v>
      </c>
    </row>
    <row r="131" spans="1:14" s="422" customFormat="1">
      <c r="A131" s="524" t="s">
        <v>640</v>
      </c>
      <c r="B131" s="524"/>
      <c r="C131" s="535"/>
      <c r="D131" s="429" t="s">
        <v>1875</v>
      </c>
      <c r="E131" s="440">
        <f>ROUND(未审资产负债表!C130,2)</f>
        <v>2935250.81</v>
      </c>
      <c r="F131" s="440">
        <f>ROUND(F130+F101,2)</f>
        <v>351434.86</v>
      </c>
      <c r="G131" s="440">
        <f>ROUND(G130+G101,2)</f>
        <v>4937577.08</v>
      </c>
      <c r="H131" s="405">
        <f t="shared" si="8"/>
        <v>4586142.2200000007</v>
      </c>
      <c r="I131" s="440">
        <f t="shared" si="6"/>
        <v>7521393.0300000003</v>
      </c>
      <c r="J131" s="440">
        <f>ROUND(未审资产负债表!D130,2)</f>
        <v>7945472.3700000001</v>
      </c>
      <c r="K131" s="440">
        <f>ROUND(K130+K101,2)</f>
        <v>43493.42</v>
      </c>
      <c r="L131" s="440">
        <f>ROUND(L130+L101,2)</f>
        <v>129857.05</v>
      </c>
      <c r="M131" s="405">
        <f t="shared" si="9"/>
        <v>86363.629999999888</v>
      </c>
      <c r="N131" s="440">
        <f t="shared" si="7"/>
        <v>8031836</v>
      </c>
    </row>
    <row r="132" spans="1:14">
      <c r="A132" s="524"/>
      <c r="B132" s="524"/>
      <c r="C132" s="535"/>
      <c r="D132" s="429"/>
      <c r="E132" s="429"/>
      <c r="F132" s="537"/>
      <c r="G132" s="537"/>
      <c r="H132" s="405">
        <f t="shared" si="8"/>
        <v>0</v>
      </c>
      <c r="I132" s="537"/>
      <c r="J132" s="429"/>
      <c r="K132" s="537"/>
      <c r="L132" s="537"/>
      <c r="M132" s="405">
        <f t="shared" si="9"/>
        <v>0</v>
      </c>
      <c r="N132" s="537"/>
    </row>
    <row r="133" spans="1:14">
      <c r="A133" s="524"/>
      <c r="B133" s="524"/>
      <c r="C133" s="535"/>
      <c r="D133" s="429"/>
      <c r="E133" s="429"/>
      <c r="F133" s="537"/>
      <c r="G133" s="537"/>
      <c r="H133" s="405">
        <f t="shared" si="8"/>
        <v>0</v>
      </c>
      <c r="I133" s="537"/>
      <c r="J133" s="429"/>
      <c r="K133" s="537"/>
      <c r="L133" s="537"/>
      <c r="M133" s="405">
        <f t="shared" si="9"/>
        <v>0</v>
      </c>
      <c r="N133" s="537"/>
    </row>
    <row r="134" spans="1:14">
      <c r="A134" s="524"/>
      <c r="B134" s="524"/>
      <c r="C134" s="535"/>
      <c r="D134" s="429"/>
      <c r="E134" s="429"/>
      <c r="F134" s="537"/>
      <c r="G134" s="537"/>
      <c r="H134" s="405">
        <f t="shared" si="8"/>
        <v>0</v>
      </c>
      <c r="I134" s="537"/>
      <c r="J134" s="429"/>
      <c r="K134" s="537"/>
      <c r="L134" s="537"/>
      <c r="M134" s="405">
        <f t="shared" si="9"/>
        <v>0</v>
      </c>
      <c r="N134" s="537"/>
    </row>
    <row r="135" spans="1:14">
      <c r="A135" s="529"/>
      <c r="B135" s="529"/>
      <c r="C135" s="535"/>
      <c r="D135" s="429"/>
      <c r="E135" s="535"/>
      <c r="F135" s="537"/>
      <c r="G135" s="537"/>
      <c r="H135" s="405">
        <f t="shared" si="8"/>
        <v>0</v>
      </c>
      <c r="I135" s="537"/>
      <c r="J135" s="535"/>
      <c r="K135" s="537"/>
      <c r="L135" s="537"/>
      <c r="M135" s="405">
        <f t="shared" si="9"/>
        <v>0</v>
      </c>
      <c r="N135" s="537"/>
    </row>
    <row r="136" spans="1:14" s="568" customFormat="1">
      <c r="A136" s="524" t="s">
        <v>529</v>
      </c>
      <c r="B136" s="526"/>
      <c r="C136" s="526"/>
      <c r="D136" s="526"/>
      <c r="E136" s="528" t="str">
        <f>"未审"&amp;未审利润表!C4</f>
        <v>未审本期金额</v>
      </c>
      <c r="F136" s="542" t="s">
        <v>1749</v>
      </c>
      <c r="G136" s="542" t="s">
        <v>1749</v>
      </c>
      <c r="H136" s="527" t="s">
        <v>1751</v>
      </c>
      <c r="I136" s="528" t="str">
        <f>"审定"&amp;未审利润表!C4</f>
        <v>审定本期金额</v>
      </c>
      <c r="J136" s="528" t="str">
        <f>"未审"&amp;未审利润表!D4</f>
        <v>未审上期金额</v>
      </c>
      <c r="K136" s="542" t="s">
        <v>1749</v>
      </c>
      <c r="L136" s="542" t="s">
        <v>1749</v>
      </c>
      <c r="M136" s="527" t="s">
        <v>1751</v>
      </c>
      <c r="N136" s="528" t="str">
        <f>"审定"&amp;未审利润表!D4</f>
        <v>审定上期金额</v>
      </c>
    </row>
    <row r="137" spans="1:14">
      <c r="A137" s="543" t="s">
        <v>644</v>
      </c>
      <c r="B137" s="543"/>
      <c r="C137" s="535"/>
      <c r="D137" s="566" t="s">
        <v>1875</v>
      </c>
      <c r="E137" s="440">
        <f>ROUND(未审利润表!C5,2)</f>
        <v>0</v>
      </c>
      <c r="F137" s="440">
        <f>ROUND(F138+F141+F142+F143,2)</f>
        <v>0</v>
      </c>
      <c r="G137" s="440">
        <f>ROUND(G138+G141+G142+G143,2)</f>
        <v>4339622.6500000004</v>
      </c>
      <c r="H137" s="405">
        <f t="shared" si="8"/>
        <v>4339622.6500000004</v>
      </c>
      <c r="I137" s="440">
        <f t="shared" si="6"/>
        <v>4339622.6500000004</v>
      </c>
      <c r="J137" s="440">
        <f>ROUND(未审利润表!D5,2)</f>
        <v>16037735.91</v>
      </c>
      <c r="K137" s="440">
        <f>ROUND(K138+K141+K142+K143,2)</f>
        <v>0</v>
      </c>
      <c r="L137" s="440">
        <f>ROUND(L138+L141+L142+L143,2)</f>
        <v>0</v>
      </c>
      <c r="M137" s="405">
        <f t="shared" si="9"/>
        <v>0</v>
      </c>
      <c r="N137" s="440">
        <f t="shared" si="7"/>
        <v>16037735.91</v>
      </c>
    </row>
    <row r="138" spans="1:14">
      <c r="A138" s="530" t="s">
        <v>645</v>
      </c>
      <c r="B138" s="530"/>
      <c r="C138" s="535"/>
      <c r="D138" s="566" t="s">
        <v>1875</v>
      </c>
      <c r="E138" s="440">
        <f>ROUND(未审利润表!C6,2)</f>
        <v>0</v>
      </c>
      <c r="F138" s="440">
        <f>ROUND(F139+F140,2)</f>
        <v>0</v>
      </c>
      <c r="G138" s="440">
        <f>ROUND(G139+G140,2)</f>
        <v>4339622.6500000004</v>
      </c>
      <c r="H138" s="405">
        <f t="shared" si="8"/>
        <v>4339622.6500000004</v>
      </c>
      <c r="I138" s="440">
        <f t="shared" si="6"/>
        <v>4339622.6500000004</v>
      </c>
      <c r="J138" s="440">
        <f>ROUND(未审利润表!D6,2)</f>
        <v>16037735.91</v>
      </c>
      <c r="K138" s="440">
        <f>ROUND(K139+K140,2)</f>
        <v>0</v>
      </c>
      <c r="L138" s="440">
        <f>ROUND(L139+L140,2)</f>
        <v>0</v>
      </c>
      <c r="M138" s="405">
        <f t="shared" si="9"/>
        <v>0</v>
      </c>
      <c r="N138" s="440">
        <f t="shared" si="7"/>
        <v>16037735.91</v>
      </c>
    </row>
    <row r="139" spans="1:14">
      <c r="A139" s="544" t="s">
        <v>646</v>
      </c>
      <c r="B139" s="530" t="s">
        <v>1971</v>
      </c>
      <c r="C139" s="535" t="s">
        <v>1971</v>
      </c>
      <c r="D139" s="566" t="s">
        <v>1906</v>
      </c>
      <c r="E139" s="440">
        <f>ROUND(未审利润表!C7,2)</f>
        <v>0</v>
      </c>
      <c r="F139" s="440">
        <f>ROUND(SUMIF(调整分录!D:D,试算平衡表!C139,调整分录!H:H),2)</f>
        <v>0</v>
      </c>
      <c r="G139" s="440">
        <f>ROUND(SUMIF(调整分录!D:D,试算平衡表!C139,调整分录!I:I),2)</f>
        <v>4339622.6500000004</v>
      </c>
      <c r="H139" s="405">
        <f t="shared" si="8"/>
        <v>4339622.6500000004</v>
      </c>
      <c r="I139" s="440">
        <f t="shared" si="6"/>
        <v>4339622.6500000004</v>
      </c>
      <c r="J139" s="440">
        <f>ROUND(未审利润表!D7,2)</f>
        <v>16037735.91</v>
      </c>
      <c r="K139" s="440">
        <f>ROUND(SUMIF(调整分录!D:D,试算平衡表!C139,调整分录!F:F),2)</f>
        <v>0</v>
      </c>
      <c r="L139" s="440">
        <f>ROUND(SUMIF(调整分录!D:D,试算平衡表!C139,调整分录!G:G),2)</f>
        <v>0</v>
      </c>
      <c r="M139" s="405">
        <f t="shared" si="9"/>
        <v>0</v>
      </c>
      <c r="N139" s="440">
        <f t="shared" si="7"/>
        <v>16037735.91</v>
      </c>
    </row>
    <row r="140" spans="1:14">
      <c r="A140" s="544" t="s">
        <v>647</v>
      </c>
      <c r="B140" s="547" t="s">
        <v>1972</v>
      </c>
      <c r="C140" s="535" t="s">
        <v>1972</v>
      </c>
      <c r="D140" s="566" t="s">
        <v>1875</v>
      </c>
      <c r="E140" s="440">
        <f>ROUND(未审利润表!C8,2)</f>
        <v>0</v>
      </c>
      <c r="F140" s="440">
        <f>ROUND(SUMIF(调整分录!D:D,试算平衡表!C140,调整分录!H:H),2)</f>
        <v>0</v>
      </c>
      <c r="G140" s="440">
        <f>ROUND(SUMIF(调整分录!D:D,试算平衡表!C140,调整分录!I:I),2)</f>
        <v>0</v>
      </c>
      <c r="H140" s="405">
        <f t="shared" si="8"/>
        <v>0</v>
      </c>
      <c r="I140" s="440">
        <f t="shared" si="6"/>
        <v>0</v>
      </c>
      <c r="J140" s="440">
        <f>ROUND(未审利润表!D8,2)</f>
        <v>0</v>
      </c>
      <c r="K140" s="440">
        <f>ROUND(SUMIF(调整分录!D:D,试算平衡表!C140,调整分录!F:F),2)</f>
        <v>0</v>
      </c>
      <c r="L140" s="440">
        <f>ROUND(SUMIF(调整分录!D:D,试算平衡表!C140,调整分录!G:G),2)</f>
        <v>0</v>
      </c>
      <c r="M140" s="405">
        <f t="shared" si="9"/>
        <v>0</v>
      </c>
      <c r="N140" s="440">
        <f t="shared" si="7"/>
        <v>0</v>
      </c>
    </row>
    <row r="141" spans="1:14">
      <c r="A141" s="545" t="s">
        <v>648</v>
      </c>
      <c r="B141" s="530" t="s">
        <v>1973</v>
      </c>
      <c r="C141" s="535" t="s">
        <v>1973</v>
      </c>
      <c r="D141" s="566" t="s">
        <v>1875</v>
      </c>
      <c r="E141" s="440">
        <f>ROUND(未审利润表!C9,2)</f>
        <v>0</v>
      </c>
      <c r="F141" s="440">
        <f>ROUND(SUMIF(调整分录!D:D,试算平衡表!C141,调整分录!H:H),2)</f>
        <v>0</v>
      </c>
      <c r="G141" s="440">
        <f>ROUND(SUMIF(调整分录!D:D,试算平衡表!C141,调整分录!I:I),2)</f>
        <v>0</v>
      </c>
      <c r="H141" s="405">
        <f t="shared" si="8"/>
        <v>0</v>
      </c>
      <c r="I141" s="440">
        <f t="shared" si="6"/>
        <v>0</v>
      </c>
      <c r="J141" s="440">
        <f>ROUND(未审利润表!D9,2)</f>
        <v>0</v>
      </c>
      <c r="K141" s="440">
        <f>ROUND(SUMIF(调整分录!D:D,试算平衡表!C141,调整分录!F:F),2)</f>
        <v>0</v>
      </c>
      <c r="L141" s="440">
        <f>ROUND(SUMIF(调整分录!D:D,试算平衡表!C141,调整分录!G:G),2)</f>
        <v>0</v>
      </c>
      <c r="M141" s="405">
        <f t="shared" si="9"/>
        <v>0</v>
      </c>
      <c r="N141" s="440">
        <f t="shared" si="7"/>
        <v>0</v>
      </c>
    </row>
    <row r="142" spans="1:14">
      <c r="A142" s="545" t="s">
        <v>1974</v>
      </c>
      <c r="B142" s="530" t="s">
        <v>1975</v>
      </c>
      <c r="C142" s="535" t="s">
        <v>1975</v>
      </c>
      <c r="D142" s="566" t="s">
        <v>1875</v>
      </c>
      <c r="E142" s="440">
        <f>ROUND(未审利润表!C10,2)</f>
        <v>0</v>
      </c>
      <c r="F142" s="440">
        <f>ROUND(SUMIF(调整分录!D:D,试算平衡表!C142,调整分录!H:H),2)</f>
        <v>0</v>
      </c>
      <c r="G142" s="440">
        <f>ROUND(SUMIF(调整分录!D:D,试算平衡表!C142,调整分录!I:I),2)</f>
        <v>0</v>
      </c>
      <c r="H142" s="405">
        <f t="shared" si="8"/>
        <v>0</v>
      </c>
      <c r="I142" s="440">
        <f t="shared" si="6"/>
        <v>0</v>
      </c>
      <c r="J142" s="440">
        <f>ROUND(未审利润表!D10,2)</f>
        <v>0</v>
      </c>
      <c r="K142" s="440">
        <f>ROUND(SUMIF(调整分录!D:D,试算平衡表!C142,调整分录!F:F),2)</f>
        <v>0</v>
      </c>
      <c r="L142" s="440">
        <f>ROUND(SUMIF(调整分录!D:D,试算平衡表!C142,调整分录!G:G),2)</f>
        <v>0</v>
      </c>
      <c r="M142" s="405">
        <f t="shared" si="9"/>
        <v>0</v>
      </c>
      <c r="N142" s="440">
        <f t="shared" si="7"/>
        <v>0</v>
      </c>
    </row>
    <row r="143" spans="1:14">
      <c r="A143" s="545" t="s">
        <v>650</v>
      </c>
      <c r="B143" s="530" t="s">
        <v>1976</v>
      </c>
      <c r="C143" s="535" t="s">
        <v>1976</v>
      </c>
      <c r="D143" s="566" t="s">
        <v>1875</v>
      </c>
      <c r="E143" s="440">
        <f>ROUND(未审利润表!C11,2)</f>
        <v>0</v>
      </c>
      <c r="F143" s="440">
        <f>ROUND(SUMIF(调整分录!D:D,试算平衡表!C143,调整分录!H:H),2)</f>
        <v>0</v>
      </c>
      <c r="G143" s="440">
        <f>ROUND(SUMIF(调整分录!D:D,试算平衡表!C143,调整分录!I:I),2)</f>
        <v>0</v>
      </c>
      <c r="H143" s="405">
        <f t="shared" si="8"/>
        <v>0</v>
      </c>
      <c r="I143" s="440">
        <f t="shared" si="6"/>
        <v>0</v>
      </c>
      <c r="J143" s="440">
        <f>ROUND(未审利润表!D11,2)</f>
        <v>0</v>
      </c>
      <c r="K143" s="440">
        <f>ROUND(SUMIF(调整分录!D:D,试算平衡表!C143,调整分录!F:F),2)</f>
        <v>0</v>
      </c>
      <c r="L143" s="440">
        <f>ROUND(SUMIF(调整分录!D:D,试算平衡表!C143,调整分录!G:G),2)</f>
        <v>0</v>
      </c>
      <c r="M143" s="405">
        <f t="shared" si="9"/>
        <v>0</v>
      </c>
      <c r="N143" s="440">
        <f t="shared" si="7"/>
        <v>0</v>
      </c>
    </row>
    <row r="144" spans="1:14">
      <c r="A144" s="546" t="s">
        <v>651</v>
      </c>
      <c r="B144" s="546"/>
      <c r="C144" s="535"/>
      <c r="D144" s="566" t="s">
        <v>1839</v>
      </c>
      <c r="E144" s="440">
        <f>ROUND(未审利润表!C12,2)</f>
        <v>3974196.1</v>
      </c>
      <c r="F144" s="440">
        <f>ROUND(SUM(F145:F165)-F146-F147-F158-F159-F161-F162-F163,2)</f>
        <v>258235.46</v>
      </c>
      <c r="G144" s="440">
        <f>ROUND(SUM(G145:G165)-G146-G147-G158-G159-G161-G162-G163,2)</f>
        <v>29981.83</v>
      </c>
      <c r="H144" s="405">
        <f t="shared" si="8"/>
        <v>228253.63000000035</v>
      </c>
      <c r="I144" s="440">
        <f t="shared" si="6"/>
        <v>4202449.7300000004</v>
      </c>
      <c r="J144" s="440">
        <f>ROUND(未审利润表!D12,2)</f>
        <v>11496308.529999999</v>
      </c>
      <c r="K144" s="440">
        <f>ROUND(SUM(K145:K165)-K146-K147-K158-K159-K161-K162-K163,2)</f>
        <v>43493.42</v>
      </c>
      <c r="L144" s="440">
        <f>ROUND(SUM(L145:L165)-L146-L147-L158-L159-L161-L162-L163,2)</f>
        <v>43493.42</v>
      </c>
      <c r="M144" s="405">
        <f t="shared" si="9"/>
        <v>0</v>
      </c>
      <c r="N144" s="440">
        <f t="shared" si="7"/>
        <v>11496308.529999999</v>
      </c>
    </row>
    <row r="145" spans="1:14">
      <c r="A145" s="530" t="s">
        <v>652</v>
      </c>
      <c r="B145" s="530"/>
      <c r="C145" s="535"/>
      <c r="D145" s="566" t="s">
        <v>1839</v>
      </c>
      <c r="E145" s="440">
        <f>ROUND(未审利润表!C13,2)</f>
        <v>0</v>
      </c>
      <c r="F145" s="440">
        <f>ROUND(F146+F147,2)</f>
        <v>0</v>
      </c>
      <c r="G145" s="440">
        <f>ROUND(G146+G147,2)</f>
        <v>0</v>
      </c>
      <c r="H145" s="405">
        <f t="shared" si="8"/>
        <v>0</v>
      </c>
      <c r="I145" s="440">
        <f t="shared" ref="I145:I206" si="10">IF(D145="借",E145+F145-G145,IF(D145="贷",E145+G145-F145,IF(D145="",0,0)))</f>
        <v>0</v>
      </c>
      <c r="J145" s="440">
        <f>ROUND(未审利润表!D13,2)</f>
        <v>0</v>
      </c>
      <c r="K145" s="440">
        <f>ROUND(K146+K147,2)</f>
        <v>0</v>
      </c>
      <c r="L145" s="440">
        <f>ROUND(L146+L147,2)</f>
        <v>0</v>
      </c>
      <c r="M145" s="405">
        <f t="shared" si="9"/>
        <v>0</v>
      </c>
      <c r="N145" s="440">
        <f t="shared" ref="N145:N206" si="11">IF(D145="借",J145+K145-L145,IF(D145="贷",J145+L145-K145,IF(D145="",0,0)))</f>
        <v>0</v>
      </c>
    </row>
    <row r="146" spans="1:14">
      <c r="A146" s="547" t="s">
        <v>653</v>
      </c>
      <c r="B146" s="530" t="s">
        <v>1977</v>
      </c>
      <c r="C146" s="535" t="s">
        <v>1977</v>
      </c>
      <c r="D146" s="566" t="s">
        <v>1863</v>
      </c>
      <c r="E146" s="440">
        <f>ROUND(未审利润表!C14,2)</f>
        <v>0</v>
      </c>
      <c r="F146" s="440">
        <f>ROUND(SUMIF(调整分录!D:D,试算平衡表!C146,调整分录!H:H),2)</f>
        <v>0</v>
      </c>
      <c r="G146" s="440">
        <f>ROUND(SUMIF(调整分录!D:D,试算平衡表!C146,调整分录!I:I),2)</f>
        <v>0</v>
      </c>
      <c r="H146" s="405">
        <f t="shared" si="8"/>
        <v>0</v>
      </c>
      <c r="I146" s="440">
        <f t="shared" si="10"/>
        <v>0</v>
      </c>
      <c r="J146" s="440">
        <f>ROUND(未审利润表!D14,2)</f>
        <v>0</v>
      </c>
      <c r="K146" s="440">
        <f>ROUND(SUMIF(调整分录!D:D,试算平衡表!C146,调整分录!F:F),2)</f>
        <v>0</v>
      </c>
      <c r="L146" s="440">
        <f>ROUND(SUMIF(调整分录!D:D,试算平衡表!C146,调整分录!G:G),2)</f>
        <v>0</v>
      </c>
      <c r="M146" s="405">
        <f t="shared" si="9"/>
        <v>0</v>
      </c>
      <c r="N146" s="440">
        <f t="shared" si="11"/>
        <v>0</v>
      </c>
    </row>
    <row r="147" spans="1:14">
      <c r="A147" s="547" t="s">
        <v>654</v>
      </c>
      <c r="B147" s="547" t="s">
        <v>1978</v>
      </c>
      <c r="C147" s="535" t="s">
        <v>1978</v>
      </c>
      <c r="D147" s="566" t="s">
        <v>1839</v>
      </c>
      <c r="E147" s="440">
        <f>ROUND(未审利润表!C15,2)</f>
        <v>0</v>
      </c>
      <c r="F147" s="440">
        <f>ROUND(SUMIF(调整分录!D:D,试算平衡表!C147,调整分录!H:H),2)</f>
        <v>0</v>
      </c>
      <c r="G147" s="440">
        <f>ROUND(SUMIF(调整分录!D:D,试算平衡表!C147,调整分录!I:I),2)</f>
        <v>0</v>
      </c>
      <c r="H147" s="405">
        <f t="shared" si="8"/>
        <v>0</v>
      </c>
      <c r="I147" s="440">
        <f t="shared" si="10"/>
        <v>0</v>
      </c>
      <c r="J147" s="440">
        <f>ROUND(未审利润表!D15,2)</f>
        <v>0</v>
      </c>
      <c r="K147" s="440">
        <f>ROUND(SUMIF(调整分录!D:D,试算平衡表!C147,调整分录!F:F),2)</f>
        <v>0</v>
      </c>
      <c r="L147" s="440">
        <f>ROUND(SUMIF(调整分录!D:D,试算平衡表!C147,调整分录!G:G),2)</f>
        <v>0</v>
      </c>
      <c r="M147" s="405">
        <f t="shared" si="9"/>
        <v>0</v>
      </c>
      <c r="N147" s="440">
        <f t="shared" si="11"/>
        <v>0</v>
      </c>
    </row>
    <row r="148" spans="1:14">
      <c r="A148" s="545" t="s">
        <v>655</v>
      </c>
      <c r="B148" s="530" t="s">
        <v>1979</v>
      </c>
      <c r="C148" s="535" t="s">
        <v>1979</v>
      </c>
      <c r="D148" s="566" t="s">
        <v>1863</v>
      </c>
      <c r="E148" s="440">
        <f>ROUND(未审利润表!C16,2)</f>
        <v>0</v>
      </c>
      <c r="F148" s="440">
        <f>ROUND(SUMIF(调整分录!D:D,试算平衡表!C148,调整分录!H:H),2)</f>
        <v>0</v>
      </c>
      <c r="G148" s="440">
        <f>ROUND(SUMIF(调整分录!D:D,试算平衡表!C148,调整分录!I:I),2)</f>
        <v>0</v>
      </c>
      <c r="H148" s="405">
        <f t="shared" si="8"/>
        <v>0</v>
      </c>
      <c r="I148" s="440">
        <f t="shared" si="10"/>
        <v>0</v>
      </c>
      <c r="J148" s="440">
        <f>ROUND(未审利润表!D16,2)</f>
        <v>0</v>
      </c>
      <c r="K148" s="440">
        <f>ROUND(SUMIF(调整分录!D:D,试算平衡表!C148,调整分录!F:F),2)</f>
        <v>0</v>
      </c>
      <c r="L148" s="440">
        <f>ROUND(SUMIF(调整分录!D:D,试算平衡表!C148,调整分录!G:G),2)</f>
        <v>0</v>
      </c>
      <c r="M148" s="405">
        <f t="shared" si="9"/>
        <v>0</v>
      </c>
      <c r="N148" s="440">
        <f t="shared" si="11"/>
        <v>0</v>
      </c>
    </row>
    <row r="149" spans="1:14">
      <c r="A149" s="545" t="s">
        <v>656</v>
      </c>
      <c r="B149" s="530" t="s">
        <v>1980</v>
      </c>
      <c r="C149" s="535" t="s">
        <v>1980</v>
      </c>
      <c r="D149" s="566" t="s">
        <v>1839</v>
      </c>
      <c r="E149" s="440">
        <f>ROUND(未审利润表!C17,2)</f>
        <v>0</v>
      </c>
      <c r="F149" s="440">
        <f>ROUND(SUMIF(调整分录!D:D,试算平衡表!C149,调整分录!H:H),2)</f>
        <v>0</v>
      </c>
      <c r="G149" s="440">
        <f>ROUND(SUMIF(调整分录!D:D,试算平衡表!C149,调整分录!I:I),2)</f>
        <v>0</v>
      </c>
      <c r="H149" s="405">
        <f t="shared" si="8"/>
        <v>0</v>
      </c>
      <c r="I149" s="440">
        <f t="shared" si="10"/>
        <v>0</v>
      </c>
      <c r="J149" s="440">
        <f>ROUND(未审利润表!D17,2)</f>
        <v>0</v>
      </c>
      <c r="K149" s="440">
        <f>ROUND(SUMIF(调整分录!D:D,试算平衡表!C149,调整分录!F:F),2)</f>
        <v>0</v>
      </c>
      <c r="L149" s="440">
        <f>ROUND(SUMIF(调整分录!D:D,试算平衡表!C149,调整分录!G:G),2)</f>
        <v>0</v>
      </c>
      <c r="M149" s="405">
        <f t="shared" si="9"/>
        <v>0</v>
      </c>
      <c r="N149" s="440">
        <f t="shared" si="11"/>
        <v>0</v>
      </c>
    </row>
    <row r="150" spans="1:14">
      <c r="A150" s="545" t="s">
        <v>657</v>
      </c>
      <c r="B150" s="530" t="s">
        <v>1981</v>
      </c>
      <c r="C150" s="535" t="s">
        <v>1981</v>
      </c>
      <c r="D150" s="566" t="s">
        <v>1839</v>
      </c>
      <c r="E150" s="440">
        <f>ROUND(未审利润表!C18,2)</f>
        <v>0</v>
      </c>
      <c r="F150" s="440">
        <f>ROUND(SUMIF(调整分录!D:D,试算平衡表!C150,调整分录!H:H),2)</f>
        <v>0</v>
      </c>
      <c r="G150" s="440">
        <f>ROUND(SUMIF(调整分录!D:D,试算平衡表!C150,调整分录!I:I),2)</f>
        <v>0</v>
      </c>
      <c r="H150" s="405">
        <f t="shared" si="8"/>
        <v>0</v>
      </c>
      <c r="I150" s="440">
        <f t="shared" si="10"/>
        <v>0</v>
      </c>
      <c r="J150" s="440">
        <f>ROUND(未审利润表!D18,2)</f>
        <v>0</v>
      </c>
      <c r="K150" s="440">
        <f>ROUND(SUMIF(调整分录!D:D,试算平衡表!C150,调整分录!F:F),2)</f>
        <v>0</v>
      </c>
      <c r="L150" s="440">
        <f>ROUND(SUMIF(调整分录!D:D,试算平衡表!C150,调整分录!G:G),2)</f>
        <v>0</v>
      </c>
      <c r="M150" s="405">
        <f t="shared" si="9"/>
        <v>0</v>
      </c>
      <c r="N150" s="440">
        <f t="shared" si="11"/>
        <v>0</v>
      </c>
    </row>
    <row r="151" spans="1:14">
      <c r="A151" s="545" t="s">
        <v>658</v>
      </c>
      <c r="B151" s="530" t="s">
        <v>1982</v>
      </c>
      <c r="C151" s="535" t="s">
        <v>1982</v>
      </c>
      <c r="D151" s="566" t="s">
        <v>1839</v>
      </c>
      <c r="E151" s="440">
        <f>ROUND(未审利润表!C19,2)</f>
        <v>0</v>
      </c>
      <c r="F151" s="440">
        <f>ROUND(SUMIF(调整分录!D:D,试算平衡表!C151,调整分录!H:H),2)</f>
        <v>0</v>
      </c>
      <c r="G151" s="440">
        <f>ROUND(SUMIF(调整分录!D:D,试算平衡表!C151,调整分录!I:I),2)</f>
        <v>0</v>
      </c>
      <c r="H151" s="405">
        <f t="shared" si="8"/>
        <v>0</v>
      </c>
      <c r="I151" s="440">
        <f t="shared" si="10"/>
        <v>0</v>
      </c>
      <c r="J151" s="440">
        <f>ROUND(未审利润表!D19,2)</f>
        <v>0</v>
      </c>
      <c r="K151" s="440">
        <f>ROUND(SUMIF(调整分录!D:D,试算平衡表!C151,调整分录!F:F),2)</f>
        <v>0</v>
      </c>
      <c r="L151" s="440">
        <f>ROUND(SUMIF(调整分录!D:D,试算平衡表!C151,调整分录!G:G),2)</f>
        <v>0</v>
      </c>
      <c r="M151" s="405">
        <f t="shared" si="9"/>
        <v>0</v>
      </c>
      <c r="N151" s="440">
        <f t="shared" si="11"/>
        <v>0</v>
      </c>
    </row>
    <row r="152" spans="1:14">
      <c r="A152" s="545" t="s">
        <v>659</v>
      </c>
      <c r="B152" s="530" t="s">
        <v>1983</v>
      </c>
      <c r="C152" s="535" t="s">
        <v>1983</v>
      </c>
      <c r="D152" s="566" t="s">
        <v>1839</v>
      </c>
      <c r="E152" s="440">
        <f>ROUND(未审利润表!C20,2)</f>
        <v>0</v>
      </c>
      <c r="F152" s="440">
        <f>ROUND(SUMIF(调整分录!D:D,试算平衡表!C152,调整分录!H:H),2)</f>
        <v>0</v>
      </c>
      <c r="G152" s="440">
        <f>ROUND(SUMIF(调整分录!D:D,试算平衡表!C152,调整分录!I:I),2)</f>
        <v>0</v>
      </c>
      <c r="H152" s="405">
        <f t="shared" si="8"/>
        <v>0</v>
      </c>
      <c r="I152" s="440">
        <f t="shared" si="10"/>
        <v>0</v>
      </c>
      <c r="J152" s="440">
        <f>ROUND(未审利润表!D20,2)</f>
        <v>0</v>
      </c>
      <c r="K152" s="440">
        <f>ROUND(SUMIF(调整分录!D:D,试算平衡表!C152,调整分录!F:F),2)</f>
        <v>0</v>
      </c>
      <c r="L152" s="440">
        <f>ROUND(SUMIF(调整分录!D:D,试算平衡表!C152,调整分录!G:G),2)</f>
        <v>0</v>
      </c>
      <c r="M152" s="405">
        <f t="shared" si="9"/>
        <v>0</v>
      </c>
      <c r="N152" s="440">
        <f t="shared" si="11"/>
        <v>0</v>
      </c>
    </row>
    <row r="153" spans="1:14">
      <c r="A153" s="545" t="s">
        <v>1984</v>
      </c>
      <c r="B153" s="530" t="s">
        <v>1985</v>
      </c>
      <c r="C153" s="535" t="s">
        <v>1985</v>
      </c>
      <c r="D153" s="566" t="s">
        <v>1839</v>
      </c>
      <c r="E153" s="440">
        <f>ROUND(未审利润表!C21,2)</f>
        <v>0</v>
      </c>
      <c r="F153" s="440">
        <f>ROUND(SUMIF(调整分录!D:D,试算平衡表!C153,调整分录!H:H),2)</f>
        <v>0</v>
      </c>
      <c r="G153" s="440">
        <f>ROUND(SUMIF(调整分录!D:D,试算平衡表!C153,调整分录!I:I),2)</f>
        <v>0</v>
      </c>
      <c r="H153" s="405">
        <f t="shared" si="8"/>
        <v>0</v>
      </c>
      <c r="I153" s="440">
        <f t="shared" si="10"/>
        <v>0</v>
      </c>
      <c r="J153" s="440">
        <f>ROUND(未审利润表!D21,2)</f>
        <v>0</v>
      </c>
      <c r="K153" s="440">
        <f>ROUND(SUMIF(调整分录!D:D,试算平衡表!C153,调整分录!F:F),2)</f>
        <v>0</v>
      </c>
      <c r="L153" s="440">
        <f>ROUND(SUMIF(调整分录!D:D,试算平衡表!C153,调整分录!G:G),2)</f>
        <v>0</v>
      </c>
      <c r="M153" s="405">
        <f t="shared" si="9"/>
        <v>0</v>
      </c>
      <c r="N153" s="440">
        <f t="shared" si="11"/>
        <v>0</v>
      </c>
    </row>
    <row r="154" spans="1:14">
      <c r="A154" s="545" t="s">
        <v>661</v>
      </c>
      <c r="B154" s="530" t="s">
        <v>1986</v>
      </c>
      <c r="C154" s="535" t="s">
        <v>1986</v>
      </c>
      <c r="D154" s="566" t="s">
        <v>1987</v>
      </c>
      <c r="E154" s="440">
        <f>ROUND(未审利润表!C22,2)</f>
        <v>0</v>
      </c>
      <c r="F154" s="440">
        <f>ROUND(SUMIF(调整分录!D:D,试算平衡表!C154,调整分录!H:H),2)</f>
        <v>0</v>
      </c>
      <c r="G154" s="440">
        <f>ROUND(SUMIF(调整分录!D:D,试算平衡表!C154,调整分录!I:I),2)</f>
        <v>0</v>
      </c>
      <c r="H154" s="405">
        <f t="shared" si="8"/>
        <v>0</v>
      </c>
      <c r="I154" s="440">
        <f t="shared" si="10"/>
        <v>0</v>
      </c>
      <c r="J154" s="440">
        <f>ROUND(未审利润表!D22,2)</f>
        <v>0</v>
      </c>
      <c r="K154" s="440">
        <f>ROUND(SUMIF(调整分录!D:D,试算平衡表!C154,调整分录!F:F),2)</f>
        <v>0</v>
      </c>
      <c r="L154" s="440">
        <f>ROUND(SUMIF(调整分录!D:D,试算平衡表!C154,调整分录!G:G),2)</f>
        <v>0</v>
      </c>
      <c r="M154" s="405">
        <f t="shared" si="9"/>
        <v>0</v>
      </c>
      <c r="N154" s="440">
        <f t="shared" si="11"/>
        <v>0</v>
      </c>
    </row>
    <row r="155" spans="1:14">
      <c r="A155" s="545" t="s">
        <v>4638</v>
      </c>
      <c r="B155" s="1407" t="s">
        <v>4665</v>
      </c>
      <c r="C155" s="1408" t="s">
        <v>4665</v>
      </c>
      <c r="D155" s="566" t="s">
        <v>1839</v>
      </c>
      <c r="E155" s="440">
        <f>ROUND(未审利润表!C23,2)</f>
        <v>0</v>
      </c>
      <c r="F155" s="440">
        <f>ROUND(SUMIF(调整分录!D:D,试算平衡表!C155,调整分录!H:H),2)</f>
        <v>28235.46</v>
      </c>
      <c r="G155" s="440">
        <f>ROUND(SUMIF(调整分录!D:D,试算平衡表!C155,调整分录!I:I),2)</f>
        <v>0</v>
      </c>
      <c r="H155" s="405">
        <f t="shared" si="8"/>
        <v>28235.46</v>
      </c>
      <c r="I155" s="440">
        <f t="shared" si="10"/>
        <v>28235.46</v>
      </c>
      <c r="J155" s="440">
        <f>ROUND(未审利润表!D23,2)</f>
        <v>93627.35</v>
      </c>
      <c r="K155" s="440">
        <f>ROUND(SUMIF(调整分录!D:D,试算平衡表!C155,调整分录!F:F),2)</f>
        <v>43493.42</v>
      </c>
      <c r="L155" s="440">
        <f>ROUND(SUMIF(调整分录!D:D,试算平衡表!C155,调整分录!G:G),2)</f>
        <v>0</v>
      </c>
      <c r="M155" s="405">
        <f t="shared" si="9"/>
        <v>43493.420000000013</v>
      </c>
      <c r="N155" s="440">
        <f t="shared" si="11"/>
        <v>137120.77000000002</v>
      </c>
    </row>
    <row r="156" spans="1:14">
      <c r="A156" s="545" t="s">
        <v>663</v>
      </c>
      <c r="B156" s="530" t="s">
        <v>1988</v>
      </c>
      <c r="C156" s="535" t="s">
        <v>1988</v>
      </c>
      <c r="D156" s="566" t="s">
        <v>1839</v>
      </c>
      <c r="E156" s="440">
        <f>ROUND(未审利润表!C24,2)</f>
        <v>0</v>
      </c>
      <c r="F156" s="440">
        <f>ROUND(SUMIF(调整分录!D:D,试算平衡表!C156,调整分录!H:H),2)</f>
        <v>0</v>
      </c>
      <c r="G156" s="440">
        <f>ROUND(SUMIF(调整分录!D:D,试算平衡表!C156,调整分录!I:I),2)</f>
        <v>0</v>
      </c>
      <c r="H156" s="405">
        <f t="shared" si="8"/>
        <v>0</v>
      </c>
      <c r="I156" s="440">
        <f t="shared" si="10"/>
        <v>0</v>
      </c>
      <c r="J156" s="440">
        <f>ROUND(未审利润表!D24,2)</f>
        <v>0</v>
      </c>
      <c r="K156" s="440">
        <f>ROUND(SUMIF(调整分录!D:D,试算平衡表!C156,调整分录!F:F),2)</f>
        <v>0</v>
      </c>
      <c r="L156" s="440">
        <f>ROUND(SUMIF(调整分录!D:D,试算平衡表!C156,调整分录!G:G),2)</f>
        <v>0</v>
      </c>
      <c r="M156" s="405">
        <f t="shared" si="9"/>
        <v>0</v>
      </c>
      <c r="N156" s="440">
        <f t="shared" si="11"/>
        <v>0</v>
      </c>
    </row>
    <row r="157" spans="1:14">
      <c r="A157" s="545" t="s">
        <v>664</v>
      </c>
      <c r="B157" s="530" t="s">
        <v>1989</v>
      </c>
      <c r="C157" s="535" t="s">
        <v>1990</v>
      </c>
      <c r="D157" s="566" t="s">
        <v>1839</v>
      </c>
      <c r="E157" s="440">
        <f>ROUND(未审利润表!C25,2)</f>
        <v>3976574.31</v>
      </c>
      <c r="F157" s="440">
        <f>ROUND(SUMIF(调整分录!D:D,试算平衡表!C157,调整分录!H:H)+F158,2)</f>
        <v>0</v>
      </c>
      <c r="G157" s="440">
        <f>SUMIF(调整分录!D:D,试算平衡表!C157,调整分录!I:I)+G158</f>
        <v>1382.43</v>
      </c>
      <c r="H157" s="405">
        <f t="shared" si="8"/>
        <v>-1382.4300000001676</v>
      </c>
      <c r="I157" s="440">
        <f t="shared" si="10"/>
        <v>3975191.88</v>
      </c>
      <c r="J157" s="440">
        <f>ROUND(未审利润表!D25,2)</f>
        <v>11457286.300000001</v>
      </c>
      <c r="K157" s="440">
        <f>ROUND(SUMIF(调整分录!D:D,试算平衡表!C157,调整分录!F:F)+K158,2)</f>
        <v>0</v>
      </c>
      <c r="L157" s="440">
        <f>ROUND(SUMIF(调整分录!D:D,试算平衡表!C157,调整分录!G:G)+L158,2)</f>
        <v>43493.42</v>
      </c>
      <c r="M157" s="405">
        <f t="shared" si="9"/>
        <v>-43493.419999999925</v>
      </c>
      <c r="N157" s="440">
        <f t="shared" si="11"/>
        <v>11413792.880000001</v>
      </c>
    </row>
    <row r="158" spans="1:14">
      <c r="A158" s="532" t="s">
        <v>1991</v>
      </c>
      <c r="B158" s="532"/>
      <c r="C158" s="535" t="s">
        <v>1992</v>
      </c>
      <c r="D158" s="566" t="s">
        <v>1839</v>
      </c>
      <c r="E158" s="440">
        <f>ROUND(未审利润表!C26,2)</f>
        <v>0</v>
      </c>
      <c r="F158" s="440">
        <f>ROUND(SUMIF(调整分录!D:D,试算平衡表!C158,调整分录!H:H),2)</f>
        <v>0</v>
      </c>
      <c r="G158" s="440">
        <f>ROUND(SUMIF(调整分录!D:D,试算平衡表!C158,调整分录!I:I),2)</f>
        <v>0</v>
      </c>
      <c r="H158" s="405">
        <f t="shared" si="8"/>
        <v>0</v>
      </c>
      <c r="I158" s="440">
        <f t="shared" si="10"/>
        <v>0</v>
      </c>
      <c r="J158" s="440">
        <f>ROUND(未审利润表!D26,2)</f>
        <v>0</v>
      </c>
      <c r="K158" s="440">
        <f>ROUND(SUMIF(调整分录!D:D,试算平衡表!C158,调整分录!F:F),2)</f>
        <v>0</v>
      </c>
      <c r="L158" s="440">
        <f>ROUND(SUMIF(调整分录!D:D,试算平衡表!C158,调整分录!G:G),2)</f>
        <v>0</v>
      </c>
      <c r="M158" s="405">
        <f t="shared" si="9"/>
        <v>0</v>
      </c>
      <c r="N158" s="440">
        <f t="shared" si="11"/>
        <v>0</v>
      </c>
    </row>
    <row r="159" spans="1:14">
      <c r="A159" s="1404" t="s">
        <v>4666</v>
      </c>
      <c r="B159" s="1404"/>
      <c r="C159" s="1409" t="s">
        <v>4667</v>
      </c>
      <c r="D159" s="1410" t="s">
        <v>4668</v>
      </c>
      <c r="E159" s="440">
        <f>ROUND(未审利润表!C27,2)</f>
        <v>0</v>
      </c>
      <c r="F159" s="440">
        <f>ROUND(SUMIF(调整分录!D:D,试算平衡表!C159,调整分录!H:H),2)</f>
        <v>0</v>
      </c>
      <c r="G159" s="440">
        <f>ROUND(SUMIF(调整分录!D:D,试算平衡表!C159,调整分录!I:I),2)</f>
        <v>0</v>
      </c>
      <c r="H159" s="405">
        <f t="shared" si="8"/>
        <v>0</v>
      </c>
      <c r="I159" s="440">
        <f t="shared" si="10"/>
        <v>0</v>
      </c>
      <c r="J159" s="440">
        <f>ROUND(未审利润表!D27,2)</f>
        <v>0</v>
      </c>
      <c r="K159" s="440">
        <f>ROUND(SUMIF(调整分录!D:D,试算平衡表!C159,调整分录!F:F),2)</f>
        <v>0</v>
      </c>
      <c r="L159" s="440">
        <f>ROUND(SUMIF(调整分录!D:D,试算平衡表!C159,调整分录!G:G),2)</f>
        <v>0</v>
      </c>
      <c r="M159" s="405">
        <f t="shared" ref="M159" si="12">N159-J159</f>
        <v>0</v>
      </c>
      <c r="N159" s="440">
        <f t="shared" ref="N159" si="13">IF(D159="借",J159+K159-L159,IF(D159="贷",J159+L159-K159,IF(D159="",0,0)))</f>
        <v>0</v>
      </c>
    </row>
    <row r="160" spans="1:14">
      <c r="A160" s="545" t="s">
        <v>1801</v>
      </c>
      <c r="B160" s="530" t="s">
        <v>1993</v>
      </c>
      <c r="C160" s="535" t="s">
        <v>1994</v>
      </c>
      <c r="D160" s="566" t="s">
        <v>1839</v>
      </c>
      <c r="E160" s="440">
        <f>ROUND(未审利润表!C28,2)</f>
        <v>-2378.21</v>
      </c>
      <c r="F160" s="440">
        <f>ROUND(SUMIF(调整分录!D:D,试算平衡表!C160,调整分录!H:H)+F161+F162+F163,2)</f>
        <v>0</v>
      </c>
      <c r="G160" s="440">
        <f>ROUND(SUMIF(调整分录!D:D,试算平衡表!C160,调整分录!I:I)+G161+G162+G163,2)</f>
        <v>0</v>
      </c>
      <c r="H160" s="405">
        <f t="shared" si="8"/>
        <v>0</v>
      </c>
      <c r="I160" s="440">
        <f t="shared" si="10"/>
        <v>-2378.21</v>
      </c>
      <c r="J160" s="440">
        <f>ROUND(未审利润表!D28,2)</f>
        <v>-64818.3</v>
      </c>
      <c r="K160" s="440">
        <f>ROUND(SUMIF(调整分录!D:D,试算平衡表!C160,调整分录!F:F)+K161+K162+K163,2)</f>
        <v>0</v>
      </c>
      <c r="L160" s="440">
        <f>ROUND(SUMIF(调整分录!D:D,试算平衡表!C160,调整分录!G:G)+L161+L162+L163,2)</f>
        <v>0</v>
      </c>
      <c r="M160" s="405">
        <f t="shared" si="9"/>
        <v>0</v>
      </c>
      <c r="N160" s="440">
        <f t="shared" si="11"/>
        <v>-64818.3</v>
      </c>
    </row>
    <row r="161" spans="1:14">
      <c r="A161" s="547" t="s">
        <v>1802</v>
      </c>
      <c r="B161" s="547"/>
      <c r="C161" s="535" t="s">
        <v>1995</v>
      </c>
      <c r="D161" s="566" t="s">
        <v>1839</v>
      </c>
      <c r="E161" s="440">
        <f>ROUND(未审利润表!C29,2)</f>
        <v>0</v>
      </c>
      <c r="F161" s="440">
        <f>ROUND(SUMIF(调整分录!D:D,试算平衡表!C161,调整分录!H:H),2)</f>
        <v>0</v>
      </c>
      <c r="G161" s="440">
        <f>ROUND(SUMIF(调整分录!D:D,试算平衡表!C161,调整分录!I:I),2)</f>
        <v>0</v>
      </c>
      <c r="H161" s="405">
        <f t="shared" ref="H161:H186" si="14">I161-E161</f>
        <v>0</v>
      </c>
      <c r="I161" s="440">
        <f t="shared" si="10"/>
        <v>0</v>
      </c>
      <c r="J161" s="440">
        <f>ROUND(未审利润表!D29,2)</f>
        <v>0</v>
      </c>
      <c r="K161" s="440">
        <f>ROUND(SUMIF(调整分录!D:D,试算平衡表!C161,调整分录!F:F),2)</f>
        <v>0</v>
      </c>
      <c r="L161" s="440">
        <f>ROUND(SUMIF(调整分录!D:D,试算平衡表!C161,调整分录!G:G),2)</f>
        <v>0</v>
      </c>
      <c r="M161" s="405">
        <f t="shared" ref="M161:M186" si="15">N161-J161</f>
        <v>0</v>
      </c>
      <c r="N161" s="440">
        <f t="shared" si="11"/>
        <v>0</v>
      </c>
    </row>
    <row r="162" spans="1:14">
      <c r="A162" s="547" t="s">
        <v>1996</v>
      </c>
      <c r="B162" s="547"/>
      <c r="C162" s="535" t="s">
        <v>1997</v>
      </c>
      <c r="D162" s="566" t="s">
        <v>1998</v>
      </c>
      <c r="E162" s="440">
        <f>ROUND(未审利润表!C30,2)</f>
        <v>3501.21</v>
      </c>
      <c r="F162" s="440">
        <f>ROUND(SUMIF(调整分录!D:D,试算平衡表!C162,调整分录!H:H),2)</f>
        <v>0</v>
      </c>
      <c r="G162" s="440">
        <f>ROUND(SUMIF(调整分录!D:D,试算平衡表!C162,调整分录!I:I),2)</f>
        <v>0</v>
      </c>
      <c r="H162" s="405">
        <f t="shared" si="14"/>
        <v>0</v>
      </c>
      <c r="I162" s="440">
        <f t="shared" si="10"/>
        <v>3501.21</v>
      </c>
      <c r="J162" s="440">
        <f>ROUND(未审利润表!D30,2)</f>
        <v>67742.600000000006</v>
      </c>
      <c r="K162" s="440">
        <f>ROUND(SUMIF(调整分录!D:D,试算平衡表!C162,调整分录!F:F),2)</f>
        <v>0</v>
      </c>
      <c r="L162" s="440">
        <f>ROUND(SUMIF(调整分录!D:D,试算平衡表!C162,调整分录!G:G),2)</f>
        <v>0</v>
      </c>
      <c r="M162" s="405">
        <f t="shared" si="15"/>
        <v>0</v>
      </c>
      <c r="N162" s="440">
        <f t="shared" si="11"/>
        <v>67742.600000000006</v>
      </c>
    </row>
    <row r="163" spans="1:14">
      <c r="A163" s="547" t="s">
        <v>1999</v>
      </c>
      <c r="B163" s="547"/>
      <c r="C163" s="535" t="s">
        <v>2000</v>
      </c>
      <c r="D163" s="566" t="s">
        <v>1839</v>
      </c>
      <c r="E163" s="440">
        <f>ROUND(未审利润表!C31,2)</f>
        <v>0</v>
      </c>
      <c r="F163" s="440">
        <f>ROUND(SUMIF(调整分录!D:D,试算平衡表!C163,调整分录!H:H),2)</f>
        <v>0</v>
      </c>
      <c r="G163" s="440">
        <f>ROUND(SUMIF(调整分录!D:D,试算平衡表!C163,调整分录!I:I),2)</f>
        <v>0</v>
      </c>
      <c r="H163" s="405">
        <f t="shared" si="14"/>
        <v>0</v>
      </c>
      <c r="I163" s="440">
        <f t="shared" si="10"/>
        <v>0</v>
      </c>
      <c r="J163" s="440">
        <f>ROUND(未审利润表!D31,2)</f>
        <v>0</v>
      </c>
      <c r="K163" s="440">
        <f>ROUND(SUMIF(调整分录!D:D,试算平衡表!C163,调整分录!F:F),2)</f>
        <v>0</v>
      </c>
      <c r="L163" s="440">
        <f>ROUND(SUMIF(调整分录!D:D,试算平衡表!C163,调整分录!G:G),2)</f>
        <v>0</v>
      </c>
      <c r="M163" s="405">
        <f t="shared" si="15"/>
        <v>0</v>
      </c>
      <c r="N163" s="440">
        <f t="shared" si="11"/>
        <v>0</v>
      </c>
    </row>
    <row r="164" spans="1:14">
      <c r="A164" s="545" t="s">
        <v>670</v>
      </c>
      <c r="B164" s="530" t="s">
        <v>2001</v>
      </c>
      <c r="C164" s="535" t="s">
        <v>2001</v>
      </c>
      <c r="D164" s="566" t="s">
        <v>1839</v>
      </c>
      <c r="E164" s="440">
        <f>ROUND(未审利润表!C32,2)</f>
        <v>0</v>
      </c>
      <c r="F164" s="440">
        <f>ROUND(SUMIF(调整分录!D:D,试算平衡表!C164,调整分录!H:H),2)</f>
        <v>230000</v>
      </c>
      <c r="G164" s="440">
        <f>ROUND(SUMIF(调整分录!D:D,试算平衡表!C164,调整分录!I:I),2)</f>
        <v>28599.4</v>
      </c>
      <c r="H164" s="405">
        <f>I164-E164</f>
        <v>201400.6</v>
      </c>
      <c r="I164" s="440">
        <f t="shared" si="10"/>
        <v>201400.6</v>
      </c>
      <c r="J164" s="440">
        <f>ROUND(未审利润表!D32,2)</f>
        <v>10213.18</v>
      </c>
      <c r="K164" s="440">
        <f>ROUND(SUMIF(调整分录!D:D,试算平衡表!C164,调整分录!F:F),2)</f>
        <v>0</v>
      </c>
      <c r="L164" s="440">
        <f>ROUND(SUMIF(调整分录!D:D,试算平衡表!C164,调整分录!G:G),2)</f>
        <v>0</v>
      </c>
      <c r="M164" s="405">
        <f t="shared" si="15"/>
        <v>0</v>
      </c>
      <c r="N164" s="440">
        <f t="shared" si="11"/>
        <v>10213.18</v>
      </c>
    </row>
    <row r="165" spans="1:14">
      <c r="A165" s="545" t="s">
        <v>671</v>
      </c>
      <c r="B165" s="530"/>
      <c r="C165" s="535" t="s">
        <v>2002</v>
      </c>
      <c r="D165" s="566" t="s">
        <v>1839</v>
      </c>
      <c r="E165" s="440">
        <f>ROUND(未审利润表!C33,2)</f>
        <v>0</v>
      </c>
      <c r="F165" s="440">
        <f>ROUND(SUMIF(调整分录!D:D,试算平衡表!C165,调整分录!H:H),2)</f>
        <v>0</v>
      </c>
      <c r="G165" s="440">
        <f>ROUND(SUMIF(调整分录!D:D,试算平衡表!C165,调整分录!I:I),2)</f>
        <v>0</v>
      </c>
      <c r="H165" s="405">
        <f t="shared" si="14"/>
        <v>0</v>
      </c>
      <c r="I165" s="440">
        <f t="shared" si="10"/>
        <v>0</v>
      </c>
      <c r="J165" s="440">
        <f>ROUND(未审利润表!D33,2)</f>
        <v>0</v>
      </c>
      <c r="K165" s="440">
        <f>ROUND(SUMIF(调整分录!D:D,试算平衡表!C165,调整分录!F:F),2)</f>
        <v>0</v>
      </c>
      <c r="L165" s="440">
        <f>ROUND(SUMIF(调整分录!D:D,试算平衡表!C165,调整分录!G:G),2)</f>
        <v>0</v>
      </c>
      <c r="M165" s="405">
        <f t="shared" si="15"/>
        <v>0</v>
      </c>
      <c r="N165" s="440">
        <f t="shared" si="11"/>
        <v>0</v>
      </c>
    </row>
    <row r="166" spans="1:14">
      <c r="A166" s="547" t="s">
        <v>672</v>
      </c>
      <c r="B166" s="530" t="s">
        <v>2003</v>
      </c>
      <c r="C166" s="535" t="s">
        <v>2003</v>
      </c>
      <c r="D166" s="566" t="s">
        <v>1875</v>
      </c>
      <c r="E166" s="440">
        <f>ROUND(未审利润表!C34,2)</f>
        <v>0</v>
      </c>
      <c r="F166" s="440">
        <f>ROUND(SUMIF(调整分录!D:D,试算平衡表!C166,调整分录!H:H),2)</f>
        <v>0</v>
      </c>
      <c r="G166" s="440">
        <f>ROUND(SUMIF(调整分录!D:D,试算平衡表!C166,调整分录!I:I),2)</f>
        <v>0</v>
      </c>
      <c r="H166" s="405">
        <f t="shared" si="14"/>
        <v>0</v>
      </c>
      <c r="I166" s="440">
        <f t="shared" si="10"/>
        <v>0</v>
      </c>
      <c r="J166" s="440">
        <f>ROUND(未审利润表!D34,2)</f>
        <v>0</v>
      </c>
      <c r="K166" s="440">
        <f>ROUND(SUMIF(调整分录!D:D,试算平衡表!C166,调整分录!F:F),2)</f>
        <v>0</v>
      </c>
      <c r="L166" s="440">
        <f>ROUND(SUMIF(调整分录!D:D,试算平衡表!C166,调整分录!G:G),2)</f>
        <v>0</v>
      </c>
      <c r="M166" s="405">
        <f t="shared" si="15"/>
        <v>0</v>
      </c>
      <c r="N166" s="440">
        <f t="shared" si="11"/>
        <v>0</v>
      </c>
    </row>
    <row r="167" spans="1:14">
      <c r="A167" s="547" t="s">
        <v>1805</v>
      </c>
      <c r="B167" s="547" t="s">
        <v>2004</v>
      </c>
      <c r="C167" s="535" t="s">
        <v>2005</v>
      </c>
      <c r="D167" s="566" t="s">
        <v>1875</v>
      </c>
      <c r="E167" s="440">
        <f>ROUND(未审利润表!C35,2)</f>
        <v>0</v>
      </c>
      <c r="F167" s="440">
        <f>ROUND(SUMIF(调整分录!D:D,试算平衡表!C167,调整分录!H:H)+F168,2)</f>
        <v>0</v>
      </c>
      <c r="G167" s="440">
        <f>ROUND(SUMIF(调整分录!D:D,试算平衡表!C167,调整分录!I:I)+G168,2)</f>
        <v>0</v>
      </c>
      <c r="H167" s="405">
        <f t="shared" si="14"/>
        <v>0</v>
      </c>
      <c r="I167" s="440">
        <f t="shared" si="10"/>
        <v>0</v>
      </c>
      <c r="J167" s="440">
        <f>ROUND(未审利润表!D35,2)</f>
        <v>0</v>
      </c>
      <c r="K167" s="440">
        <f>ROUND(SUMIF(调整分录!D:D,试算平衡表!C167,调整分录!F:F)+K168,2)</f>
        <v>0</v>
      </c>
      <c r="L167" s="440">
        <f>ROUND(SUMIF(调整分录!D:D,试算平衡表!C167,调整分录!G:G)+L168,2)</f>
        <v>0</v>
      </c>
      <c r="M167" s="405">
        <f t="shared" si="15"/>
        <v>0</v>
      </c>
      <c r="N167" s="440">
        <f t="shared" si="11"/>
        <v>0</v>
      </c>
    </row>
    <row r="168" spans="1:14">
      <c r="A168" s="547" t="s">
        <v>674</v>
      </c>
      <c r="B168" s="547"/>
      <c r="C168" s="535" t="s">
        <v>2006</v>
      </c>
      <c r="D168" s="566" t="s">
        <v>1998</v>
      </c>
      <c r="E168" s="440">
        <f>ROUND(未审利润表!C36,2)</f>
        <v>0</v>
      </c>
      <c r="F168" s="440">
        <f>ROUND(SUMIF(调整分录!D:D,试算平衡表!C168,调整分录!H:H),2)</f>
        <v>0</v>
      </c>
      <c r="G168" s="440">
        <f>ROUND(SUMIF(调整分录!D:D,试算平衡表!C168,调整分录!I:I),2)</f>
        <v>0</v>
      </c>
      <c r="H168" s="405">
        <f t="shared" si="14"/>
        <v>0</v>
      </c>
      <c r="I168" s="440">
        <f t="shared" si="10"/>
        <v>0</v>
      </c>
      <c r="J168" s="440">
        <f>ROUND(未审利润表!D36,2)</f>
        <v>0</v>
      </c>
      <c r="K168" s="440">
        <f>ROUND(SUMIF(调整分录!D:D,试算平衡表!C168,调整分录!F:F),2)</f>
        <v>0</v>
      </c>
      <c r="L168" s="440">
        <f>ROUND(SUMIF(调整分录!D:D,试算平衡表!C168,调整分录!G:G),2)</f>
        <v>0</v>
      </c>
      <c r="M168" s="405">
        <f t="shared" si="15"/>
        <v>0</v>
      </c>
      <c r="N168" s="440">
        <f t="shared" si="11"/>
        <v>0</v>
      </c>
    </row>
    <row r="169" spans="1:14">
      <c r="A169" s="1405" t="s">
        <v>4669</v>
      </c>
      <c r="B169" s="1411" t="s">
        <v>4670</v>
      </c>
      <c r="C169" s="1412" t="s">
        <v>4670</v>
      </c>
      <c r="D169" s="1410" t="s">
        <v>4671</v>
      </c>
      <c r="E169" s="440">
        <f>ROUND(未审利润表!C37,2)</f>
        <v>0</v>
      </c>
      <c r="F169" s="440">
        <f>ROUND(SUMIF(调整分录!D:D,试算平衡表!C169,调整分录!H:H),2)</f>
        <v>0</v>
      </c>
      <c r="G169" s="440">
        <f>ROUND(SUMIF(调整分录!D:D,试算平衡表!C169,调整分录!I:I),2)</f>
        <v>0</v>
      </c>
      <c r="H169" s="405">
        <f t="shared" ref="H169:H170" si="16">I169-E169</f>
        <v>0</v>
      </c>
      <c r="I169" s="440">
        <f t="shared" ref="I169:I170" si="17">IF(D169="借",E169+F169-G169,IF(D169="贷",E169+G169-F169,IF(D169="",0,0)))</f>
        <v>0</v>
      </c>
      <c r="J169" s="440">
        <f>ROUND(未审利润表!D37,2)</f>
        <v>0</v>
      </c>
      <c r="K169" s="440">
        <f>ROUND(SUMIF(调整分录!D:D,试算平衡表!C169,调整分录!F:F),2)</f>
        <v>0</v>
      </c>
      <c r="L169" s="440">
        <f>ROUND(SUMIF(调整分录!D:D,试算平衡表!C169,调整分录!G:G),2)</f>
        <v>0</v>
      </c>
      <c r="M169" s="405">
        <f t="shared" ref="M169:M170" si="18">N169-J169</f>
        <v>0</v>
      </c>
      <c r="N169" s="440">
        <f t="shared" ref="N169:N170" si="19">IF(D169="借",J169+K169-L169,IF(D169="贷",J169+L169-K169,IF(D169="",0,0)))</f>
        <v>0</v>
      </c>
    </row>
    <row r="170" spans="1:14">
      <c r="A170" s="1411" t="s">
        <v>4841</v>
      </c>
      <c r="B170" s="1411" t="s">
        <v>4842</v>
      </c>
      <c r="C170" s="1412" t="s">
        <v>4843</v>
      </c>
      <c r="D170" s="1410" t="str">
        <f>D169</f>
        <v>贷</v>
      </c>
      <c r="E170" s="440">
        <f>ROUND(未审利润表!C38,2)</f>
        <v>0</v>
      </c>
      <c r="F170" s="440">
        <f>ROUND(SUMIF(调整分录!D:D,试算平衡表!C170,调整分录!H:H),2)</f>
        <v>0</v>
      </c>
      <c r="G170" s="440">
        <f>ROUND(SUMIF(调整分录!D:D,试算平衡表!C170,调整分录!I:I),2)</f>
        <v>0</v>
      </c>
      <c r="H170" s="405">
        <f t="shared" si="16"/>
        <v>0</v>
      </c>
      <c r="I170" s="440">
        <f t="shared" si="17"/>
        <v>0</v>
      </c>
      <c r="J170" s="440">
        <f>ROUND(未审利润表!D38,2)</f>
        <v>0</v>
      </c>
      <c r="K170" s="440">
        <f>ROUND(SUMIF(调整分录!D:D,试算平衡表!C170,调整分录!F:F),2)</f>
        <v>0</v>
      </c>
      <c r="L170" s="440">
        <f>ROUND(SUMIF(调整分录!D:D,试算平衡表!C170,调整分录!G:G),2)</f>
        <v>0</v>
      </c>
      <c r="M170" s="405">
        <f t="shared" si="18"/>
        <v>0</v>
      </c>
      <c r="N170" s="440">
        <f t="shared" si="19"/>
        <v>0</v>
      </c>
    </row>
    <row r="171" spans="1:14">
      <c r="A171" s="1343" t="s">
        <v>4589</v>
      </c>
      <c r="B171" s="1343" t="s">
        <v>4585</v>
      </c>
      <c r="C171" s="1341" t="s">
        <v>4585</v>
      </c>
      <c r="D171" s="566" t="s">
        <v>1875</v>
      </c>
      <c r="E171" s="440">
        <f>ROUND(未审利润表!C39,2)</f>
        <v>0</v>
      </c>
      <c r="F171" s="440">
        <f>ROUND(SUMIF(调整分录!D:D,试算平衡表!C171,调整分录!H:H),2)</f>
        <v>0</v>
      </c>
      <c r="G171" s="440">
        <f>ROUND(SUMIF(调整分录!D:D,试算平衡表!C171,调整分录!I:I),2)</f>
        <v>0</v>
      </c>
      <c r="H171" s="405">
        <f t="shared" si="14"/>
        <v>0</v>
      </c>
      <c r="I171" s="440">
        <f t="shared" si="10"/>
        <v>0</v>
      </c>
      <c r="J171" s="440">
        <f>ROUND(未审利润表!D39,2)</f>
        <v>0</v>
      </c>
      <c r="K171" s="440">
        <f>ROUND(SUMIF(调整分录!D:D,试算平衡表!C171,调整分录!F:F),2)</f>
        <v>0</v>
      </c>
      <c r="L171" s="440">
        <f>ROUND(SUMIF(调整分录!D:D,试算平衡表!C171,调整分录!G:G),2)</f>
        <v>0</v>
      </c>
      <c r="M171" s="405">
        <f t="shared" si="15"/>
        <v>0</v>
      </c>
      <c r="N171" s="440">
        <f t="shared" si="11"/>
        <v>0</v>
      </c>
    </row>
    <row r="172" spans="1:14">
      <c r="A172" s="543" t="s">
        <v>676</v>
      </c>
      <c r="B172" s="543"/>
      <c r="C172" s="535"/>
      <c r="D172" s="566" t="s">
        <v>1875</v>
      </c>
      <c r="E172" s="440">
        <f>ROUND(未审利润表!C40,2)</f>
        <v>-3974196.1</v>
      </c>
      <c r="F172" s="440">
        <f>ROUND(F137+F144+F166+F167+F169+F171,2)</f>
        <v>258235.46</v>
      </c>
      <c r="G172" s="440">
        <f>ROUND(G137+G144+G166+G167+G169+G171,2)</f>
        <v>4369604.4800000004</v>
      </c>
      <c r="H172" s="405">
        <f t="shared" si="14"/>
        <v>4111369.0200000005</v>
      </c>
      <c r="I172" s="440">
        <f t="shared" si="10"/>
        <v>137172.92000000036</v>
      </c>
      <c r="J172" s="440">
        <f>ROUND(未审利润表!D40,2)</f>
        <v>4541427.38</v>
      </c>
      <c r="K172" s="440">
        <f>ROUND(K137+K144+K166+K167+K169+K171,2)</f>
        <v>43493.42</v>
      </c>
      <c r="L172" s="440">
        <f>ROUND(L137+L144+L166+L167+L169+L171,2)</f>
        <v>43493.42</v>
      </c>
      <c r="M172" s="405">
        <f t="shared" si="15"/>
        <v>0</v>
      </c>
      <c r="N172" s="440">
        <f t="shared" si="11"/>
        <v>4541427.38</v>
      </c>
    </row>
    <row r="173" spans="1:14">
      <c r="A173" s="547" t="s">
        <v>677</v>
      </c>
      <c r="B173" s="530" t="s">
        <v>2007</v>
      </c>
      <c r="C173" s="535" t="s">
        <v>2008</v>
      </c>
      <c r="D173" s="566" t="s">
        <v>1906</v>
      </c>
      <c r="E173" s="440">
        <f>ROUND(未审利润表!C41,2)</f>
        <v>0</v>
      </c>
      <c r="F173" s="440">
        <f>ROUND(SUMIF(调整分录!D:D,试算平衡表!C173,调整分录!H:H)+F174+F175+F176+F177,2)</f>
        <v>0</v>
      </c>
      <c r="G173" s="440">
        <f>ROUND(SUMIF(调整分录!D:D,试算平衡表!C173,调整分录!I:I)+G174+G175+G176+G177,2)</f>
        <v>0</v>
      </c>
      <c r="H173" s="405">
        <f t="shared" si="14"/>
        <v>0</v>
      </c>
      <c r="I173" s="440">
        <f t="shared" si="10"/>
        <v>0</v>
      </c>
      <c r="J173" s="440">
        <f>ROUND(未审利润表!D41,2)</f>
        <v>511678</v>
      </c>
      <c r="K173" s="440">
        <f>ROUND(SUMIF(调整分录!D:D,试算平衡表!C173,调整分录!F:F)+K174+K175+K176+K177,2)</f>
        <v>0</v>
      </c>
      <c r="L173" s="440">
        <f>ROUND(SUMIF(调整分录!D:D,试算平衡表!C173,调整分录!G:G)+L174+L175+L176+L177,2)</f>
        <v>0</v>
      </c>
      <c r="M173" s="405">
        <f t="shared" si="15"/>
        <v>0</v>
      </c>
      <c r="N173" s="440">
        <f t="shared" si="11"/>
        <v>511678</v>
      </c>
    </row>
    <row r="174" spans="1:14">
      <c r="A174" s="547" t="s">
        <v>678</v>
      </c>
      <c r="B174" s="547"/>
      <c r="C174" s="535" t="s">
        <v>2009</v>
      </c>
      <c r="D174" s="566" t="s">
        <v>1875</v>
      </c>
      <c r="E174" s="440">
        <f>ROUND(未审利润表!C42,2)</f>
        <v>0</v>
      </c>
      <c r="F174" s="440">
        <f>ROUND(SUMIF(调整分录!D:D,试算平衡表!C174,调整分录!H:H),2)</f>
        <v>0</v>
      </c>
      <c r="G174" s="440">
        <f>ROUND(SUMIF(调整分录!D:D,试算平衡表!C174,调整分录!I:I),2)</f>
        <v>0</v>
      </c>
      <c r="H174" s="405">
        <f t="shared" si="14"/>
        <v>0</v>
      </c>
      <c r="I174" s="440">
        <f t="shared" si="10"/>
        <v>0</v>
      </c>
      <c r="J174" s="440">
        <f>ROUND(未审利润表!D42,2)</f>
        <v>0</v>
      </c>
      <c r="K174" s="440">
        <f>ROUND(SUMIF(调整分录!D:D,试算平衡表!C174,调整分录!F:F),2)</f>
        <v>0</v>
      </c>
      <c r="L174" s="440">
        <f>ROUND(SUMIF(调整分录!D:D,试算平衡表!C174,调整分录!G:G),2)</f>
        <v>0</v>
      </c>
      <c r="M174" s="405">
        <f t="shared" si="15"/>
        <v>0</v>
      </c>
      <c r="N174" s="440">
        <f t="shared" si="11"/>
        <v>0</v>
      </c>
    </row>
    <row r="175" spans="1:14">
      <c r="A175" s="548" t="s">
        <v>1807</v>
      </c>
      <c r="B175" s="547"/>
      <c r="C175" s="535" t="s">
        <v>2010</v>
      </c>
      <c r="D175" s="566" t="s">
        <v>1875</v>
      </c>
      <c r="E175" s="440">
        <f>ROUND(未审利润表!C43,2)</f>
        <v>0</v>
      </c>
      <c r="F175" s="440">
        <f>ROUND(SUMIF(调整分录!D:D,试算平衡表!C175,调整分录!H:H),2)</f>
        <v>0</v>
      </c>
      <c r="G175" s="440">
        <f>ROUND(SUMIF(调整分录!D:D,试算平衡表!C175,调整分录!I:I),2)</f>
        <v>0</v>
      </c>
      <c r="H175" s="405">
        <f t="shared" si="14"/>
        <v>0</v>
      </c>
      <c r="I175" s="440">
        <f t="shared" si="10"/>
        <v>0</v>
      </c>
      <c r="J175" s="440">
        <f>ROUND(未审利润表!D43,2)</f>
        <v>0</v>
      </c>
      <c r="K175" s="440">
        <f>ROUND(SUMIF(调整分录!D:D,试算平衡表!C175,调整分录!F:F),2)</f>
        <v>0</v>
      </c>
      <c r="L175" s="440">
        <f>ROUND(SUMIF(调整分录!D:D,试算平衡表!C175,调整分录!G:G),2)</f>
        <v>0</v>
      </c>
      <c r="M175" s="405">
        <f t="shared" si="15"/>
        <v>0</v>
      </c>
      <c r="N175" s="440">
        <f t="shared" si="11"/>
        <v>0</v>
      </c>
    </row>
    <row r="176" spans="1:14">
      <c r="A176" s="549" t="s">
        <v>1808</v>
      </c>
      <c r="B176" s="530"/>
      <c r="C176" s="535" t="s">
        <v>2011</v>
      </c>
      <c r="D176" s="566" t="s">
        <v>1875</v>
      </c>
      <c r="E176" s="440">
        <f>ROUND(未审利润表!C44,2)</f>
        <v>0</v>
      </c>
      <c r="F176" s="440">
        <f>ROUND(SUMIF(调整分录!D:D,试算平衡表!C176,调整分录!H:H),2)</f>
        <v>0</v>
      </c>
      <c r="G176" s="440">
        <f>ROUND(SUMIF(调整分录!D:D,试算平衡表!C176,调整分录!I:I),2)</f>
        <v>0</v>
      </c>
      <c r="H176" s="405">
        <f t="shared" si="14"/>
        <v>0</v>
      </c>
      <c r="I176" s="440">
        <f t="shared" si="10"/>
        <v>0</v>
      </c>
      <c r="J176" s="440">
        <f>ROUND(未审利润表!D44,2)</f>
        <v>511678</v>
      </c>
      <c r="K176" s="440">
        <f>ROUND(SUMIF(调整分录!D:D,试算平衡表!C176,调整分录!F:F),2)</f>
        <v>0</v>
      </c>
      <c r="L176" s="440">
        <f>ROUND(SUMIF(调整分录!D:D,试算平衡表!C176,调整分录!G:G),2)</f>
        <v>0</v>
      </c>
      <c r="M176" s="405">
        <f t="shared" si="15"/>
        <v>0</v>
      </c>
      <c r="N176" s="440">
        <f t="shared" si="11"/>
        <v>511678</v>
      </c>
    </row>
    <row r="177" spans="1:14">
      <c r="A177" s="549" t="s">
        <v>2012</v>
      </c>
      <c r="B177" s="530"/>
      <c r="C177" s="535" t="s">
        <v>2013</v>
      </c>
      <c r="D177" s="566" t="s">
        <v>1875</v>
      </c>
      <c r="E177" s="440">
        <f>ROUND(未审利润表!C45,2)</f>
        <v>0</v>
      </c>
      <c r="F177" s="440">
        <f>ROUND(SUMIF(调整分录!D:D,试算平衡表!C177,调整分录!H:H),2)</f>
        <v>0</v>
      </c>
      <c r="G177" s="440">
        <f>ROUND(SUMIF(调整分录!D:D,试算平衡表!C177,调整分录!I:I),2)</f>
        <v>0</v>
      </c>
      <c r="H177" s="405">
        <f t="shared" si="14"/>
        <v>0</v>
      </c>
      <c r="I177" s="440">
        <f t="shared" si="10"/>
        <v>0</v>
      </c>
      <c r="J177" s="440">
        <f>ROUND(未审利润表!D45,2)</f>
        <v>0</v>
      </c>
      <c r="K177" s="440">
        <f>ROUND(SUMIF(调整分录!D:D,试算平衡表!C177,调整分录!F:F),2)</f>
        <v>0</v>
      </c>
      <c r="L177" s="440">
        <f>ROUND(SUMIF(调整分录!D:D,试算平衡表!C177,调整分录!G:G),2)</f>
        <v>0</v>
      </c>
      <c r="M177" s="405">
        <f t="shared" si="15"/>
        <v>0</v>
      </c>
      <c r="N177" s="440">
        <f t="shared" si="11"/>
        <v>0</v>
      </c>
    </row>
    <row r="178" spans="1:14">
      <c r="A178" s="547" t="s">
        <v>682</v>
      </c>
      <c r="B178" s="530" t="s">
        <v>2014</v>
      </c>
      <c r="C178" s="535" t="s">
        <v>2015</v>
      </c>
      <c r="D178" s="566" t="s">
        <v>1863</v>
      </c>
      <c r="E178" s="440">
        <f>ROUND(未审利润表!C46,2)</f>
        <v>0</v>
      </c>
      <c r="F178" s="440">
        <f>ROUND(SUMIF(调整分录!D:D,试算平衡表!C178,调整分录!H:H)+F179+F180+F181,2)</f>
        <v>1874.89</v>
      </c>
      <c r="G178" s="440">
        <f>ROUND(SUMIF(调整分录!D:D,试算平衡表!C178,调整分录!I:I)+G179+G180+G181,2)</f>
        <v>0</v>
      </c>
      <c r="H178" s="405">
        <f t="shared" si="14"/>
        <v>1874.89</v>
      </c>
      <c r="I178" s="440">
        <f t="shared" si="10"/>
        <v>1874.89</v>
      </c>
      <c r="J178" s="440">
        <f>ROUND(未审利润表!D46,2)</f>
        <v>0</v>
      </c>
      <c r="K178" s="440">
        <f>ROUND(SUMIF(调整分录!D:D,试算平衡表!C178,调整分录!F:F)+K179+K180+K181,2)</f>
        <v>0</v>
      </c>
      <c r="L178" s="440">
        <f>ROUND(SUMIF(调整分录!D:D,试算平衡表!C178,调整分录!G:G)+L179+L180+L181,2)</f>
        <v>0</v>
      </c>
      <c r="M178" s="405">
        <f t="shared" si="15"/>
        <v>0</v>
      </c>
      <c r="N178" s="440">
        <f t="shared" si="11"/>
        <v>0</v>
      </c>
    </row>
    <row r="179" spans="1:14">
      <c r="A179" s="547" t="s">
        <v>683</v>
      </c>
      <c r="B179" s="547"/>
      <c r="C179" s="535" t="s">
        <v>2016</v>
      </c>
      <c r="D179" s="566" t="s">
        <v>1863</v>
      </c>
      <c r="E179" s="440">
        <f>ROUND(未审利润表!C47,2)</f>
        <v>0</v>
      </c>
      <c r="F179" s="440">
        <f>ROUND(SUMIF(调整分录!D:D,试算平衡表!C179,调整分录!H:H),2)</f>
        <v>0</v>
      </c>
      <c r="G179" s="440">
        <f>ROUND(SUMIF(调整分录!D:D,试算平衡表!C179,调整分录!I:I),2)</f>
        <v>0</v>
      </c>
      <c r="H179" s="405">
        <f t="shared" si="14"/>
        <v>0</v>
      </c>
      <c r="I179" s="440">
        <f t="shared" si="10"/>
        <v>0</v>
      </c>
      <c r="J179" s="440">
        <f>ROUND(未审利润表!D47,2)</f>
        <v>0</v>
      </c>
      <c r="K179" s="440">
        <f>ROUND(SUMIF(调整分录!D:D,试算平衡表!C179,调整分录!F:F),2)</f>
        <v>0</v>
      </c>
      <c r="L179" s="440">
        <f>ROUND(SUMIF(调整分录!D:D,试算平衡表!C179,调整分录!G:G),2)</f>
        <v>0</v>
      </c>
      <c r="M179" s="405">
        <f t="shared" si="15"/>
        <v>0</v>
      </c>
      <c r="N179" s="440">
        <f t="shared" si="11"/>
        <v>0</v>
      </c>
    </row>
    <row r="180" spans="1:14">
      <c r="A180" s="549" t="s">
        <v>1810</v>
      </c>
      <c r="B180" s="530"/>
      <c r="C180" s="535" t="s">
        <v>2017</v>
      </c>
      <c r="D180" s="566" t="s">
        <v>1839</v>
      </c>
      <c r="E180" s="440">
        <f>ROUND(未审利润表!C48,2)</f>
        <v>0</v>
      </c>
      <c r="F180" s="440">
        <f>ROUND(SUMIF(调整分录!D:D,试算平衡表!C180,调整分录!H:H),2)</f>
        <v>0</v>
      </c>
      <c r="G180" s="440">
        <f>ROUND(SUMIF(调整分录!D:D,试算平衡表!C180,调整分录!I:I),2)</f>
        <v>0</v>
      </c>
      <c r="H180" s="405">
        <f t="shared" si="14"/>
        <v>0</v>
      </c>
      <c r="I180" s="440">
        <f t="shared" si="10"/>
        <v>0</v>
      </c>
      <c r="J180" s="440">
        <f>ROUND(未审利润表!D48,2)</f>
        <v>0</v>
      </c>
      <c r="K180" s="440">
        <f>ROUND(SUMIF(调整分录!D:D,试算平衡表!C180,调整分录!F:F),2)</f>
        <v>0</v>
      </c>
      <c r="L180" s="440">
        <f>ROUND(SUMIF(调整分录!D:D,试算平衡表!C180,调整分录!G:G),2)</f>
        <v>0</v>
      </c>
      <c r="M180" s="405">
        <f t="shared" si="15"/>
        <v>0</v>
      </c>
      <c r="N180" s="440">
        <f t="shared" si="11"/>
        <v>0</v>
      </c>
    </row>
    <row r="181" spans="1:14">
      <c r="A181" s="549" t="s">
        <v>2018</v>
      </c>
      <c r="B181" s="530"/>
      <c r="C181" s="535" t="s">
        <v>2019</v>
      </c>
      <c r="D181" s="566" t="s">
        <v>1839</v>
      </c>
      <c r="E181" s="440">
        <f>ROUND(未审利润表!C49,2)</f>
        <v>0</v>
      </c>
      <c r="F181" s="440">
        <f>ROUND(SUMIF(调整分录!D:D,试算平衡表!C181,调整分录!H:H),2)</f>
        <v>0</v>
      </c>
      <c r="G181" s="440">
        <f>ROUND(SUMIF(调整分录!D:D,试算平衡表!C181,调整分录!I:I),2)</f>
        <v>0</v>
      </c>
      <c r="H181" s="405">
        <f t="shared" si="14"/>
        <v>0</v>
      </c>
      <c r="I181" s="440">
        <f t="shared" si="10"/>
        <v>0</v>
      </c>
      <c r="J181" s="440">
        <f>ROUND(未审利润表!D49,2)</f>
        <v>0</v>
      </c>
      <c r="K181" s="440">
        <f>ROUND(SUMIF(调整分录!D:D,试算平衡表!C181,调整分录!F:F),2)</f>
        <v>0</v>
      </c>
      <c r="L181" s="440">
        <f>ROUND(SUMIF(调整分录!D:D,试算平衡表!C181,调整分录!G:G),2)</f>
        <v>0</v>
      </c>
      <c r="M181" s="405">
        <f t="shared" si="15"/>
        <v>0</v>
      </c>
      <c r="N181" s="440">
        <f t="shared" si="11"/>
        <v>0</v>
      </c>
    </row>
    <row r="182" spans="1:14">
      <c r="A182" s="543" t="s">
        <v>686</v>
      </c>
      <c r="B182" s="543"/>
      <c r="C182" s="535"/>
      <c r="D182" s="566" t="s">
        <v>1875</v>
      </c>
      <c r="E182" s="440">
        <f>ROUND(未审利润表!C50,2)</f>
        <v>-3974196.1</v>
      </c>
      <c r="F182" s="440">
        <f>ROUND(F172+F173+F178,2)</f>
        <v>260110.35</v>
      </c>
      <c r="G182" s="440">
        <f>ROUND(G172+G173+G178,2)</f>
        <v>4369604.4800000004</v>
      </c>
      <c r="H182" s="405">
        <f t="shared" si="14"/>
        <v>4109494.1300000004</v>
      </c>
      <c r="I182" s="440">
        <f t="shared" si="10"/>
        <v>135298.03000000035</v>
      </c>
      <c r="J182" s="440">
        <f>ROUND(未审利润表!D50,2)</f>
        <v>5053105.38</v>
      </c>
      <c r="K182" s="440">
        <f>ROUND(K172+K173+K178,2)</f>
        <v>43493.42</v>
      </c>
      <c r="L182" s="440">
        <f>ROUND(L172+L173+L178,2)</f>
        <v>43493.42</v>
      </c>
      <c r="M182" s="405">
        <f t="shared" si="15"/>
        <v>0</v>
      </c>
      <c r="N182" s="440">
        <f t="shared" si="11"/>
        <v>5053105.38</v>
      </c>
    </row>
    <row r="183" spans="1:14">
      <c r="A183" s="547" t="s">
        <v>687</v>
      </c>
      <c r="B183" s="530" t="s">
        <v>2020</v>
      </c>
      <c r="C183" s="535" t="s">
        <v>2020</v>
      </c>
      <c r="D183" s="566" t="s">
        <v>1839</v>
      </c>
      <c r="E183" s="440">
        <f>ROUND(未审利润表!C51,2)</f>
        <v>26323.3</v>
      </c>
      <c r="F183" s="440">
        <f>ROUND(SUMIF(调整分录!D:D,试算平衡表!C183,调整分录!H:H),2)</f>
        <v>91324.51</v>
      </c>
      <c r="G183" s="440">
        <f>ROUND(SUMIF(调整分录!D:D,试算平衡表!C183,调整分录!I:I),2)</f>
        <v>57500</v>
      </c>
      <c r="H183" s="405">
        <f t="shared" si="14"/>
        <v>33824.509999999995</v>
      </c>
      <c r="I183" s="440">
        <f t="shared" si="10"/>
        <v>60147.81</v>
      </c>
      <c r="J183" s="440">
        <f>ROUND(未审利润表!D51,2)</f>
        <v>1280228.47</v>
      </c>
      <c r="K183" s="440">
        <f>ROUND(SUMIF(调整分录!D:D,试算平衡表!C183,调整分录!F:F),2)</f>
        <v>0</v>
      </c>
      <c r="L183" s="440">
        <f>ROUND(SUMIF(调整分录!D:D,试算平衡表!C183,调整分录!G:G),2)</f>
        <v>0</v>
      </c>
      <c r="M183" s="405">
        <f t="shared" si="15"/>
        <v>0</v>
      </c>
      <c r="N183" s="440">
        <f t="shared" si="11"/>
        <v>1280228.47</v>
      </c>
    </row>
    <row r="184" spans="1:14">
      <c r="A184" s="543" t="s">
        <v>688</v>
      </c>
      <c r="B184" s="543"/>
      <c r="C184" s="535"/>
      <c r="D184" s="566" t="s">
        <v>1875</v>
      </c>
      <c r="E184" s="440">
        <f>ROUND(未审利润表!C52,2)</f>
        <v>-4000519.4</v>
      </c>
      <c r="F184" s="440">
        <f>ROUND(F182+F183,2)</f>
        <v>351434.86</v>
      </c>
      <c r="G184" s="440">
        <f>ROUND(G182+G183,2)</f>
        <v>4427104.4800000004</v>
      </c>
      <c r="H184" s="405">
        <f t="shared" si="14"/>
        <v>4075669.6200000006</v>
      </c>
      <c r="I184" s="440">
        <f t="shared" si="10"/>
        <v>75150.220000000554</v>
      </c>
      <c r="J184" s="440">
        <f>ROUND(未审利润表!D52,2)</f>
        <v>3772876.91</v>
      </c>
      <c r="K184" s="440">
        <f>ROUND(K182+K183,2)</f>
        <v>43493.42</v>
      </c>
      <c r="L184" s="440">
        <f>ROUND(L182+L183,2)</f>
        <v>43493.42</v>
      </c>
      <c r="M184" s="405">
        <f t="shared" si="15"/>
        <v>0</v>
      </c>
      <c r="N184" s="440">
        <f t="shared" si="11"/>
        <v>3772876.91</v>
      </c>
    </row>
    <row r="185" spans="1:14">
      <c r="A185" s="550" t="s">
        <v>689</v>
      </c>
      <c r="B185" s="532"/>
      <c r="C185" s="535"/>
      <c r="D185" s="569" t="s">
        <v>1875</v>
      </c>
      <c r="E185" s="440">
        <f>ROUND(未审利润表!C53,2)</f>
        <v>-4000519.4</v>
      </c>
      <c r="F185" s="440">
        <f>ROUND(F184+F186,2)</f>
        <v>351434.86</v>
      </c>
      <c r="G185" s="440">
        <f>ROUND(G184+G186,2)</f>
        <v>4427104.4800000004</v>
      </c>
      <c r="H185" s="405">
        <f t="shared" si="14"/>
        <v>4075669.6200000006</v>
      </c>
      <c r="I185" s="440">
        <f t="shared" si="10"/>
        <v>75150.220000000554</v>
      </c>
      <c r="J185" s="440">
        <f>ROUND(未审利润表!D53,2)</f>
        <v>3772876.91</v>
      </c>
      <c r="K185" s="440">
        <f>ROUND(K184+K186,2)</f>
        <v>43493.42</v>
      </c>
      <c r="L185" s="440">
        <f>ROUND(L184+L186,2)</f>
        <v>43493.42</v>
      </c>
      <c r="M185" s="405">
        <f t="shared" si="15"/>
        <v>0</v>
      </c>
      <c r="N185" s="440">
        <f t="shared" si="11"/>
        <v>3772876.91</v>
      </c>
    </row>
    <row r="186" spans="1:14">
      <c r="A186" s="550" t="s">
        <v>1813</v>
      </c>
      <c r="B186" s="532" t="s">
        <v>2021</v>
      </c>
      <c r="C186" s="535" t="s">
        <v>2021</v>
      </c>
      <c r="D186" s="569" t="s">
        <v>1987</v>
      </c>
      <c r="E186" s="440">
        <f>ROUND(未审利润表!C54,2)</f>
        <v>0</v>
      </c>
      <c r="F186" s="440">
        <f>ROUND(SUMIF(调整分录!D:D,试算平衡表!C186,调整分录!H:H),2)</f>
        <v>0</v>
      </c>
      <c r="G186" s="440">
        <f>ROUND(SUMIF(调整分录!D:D,试算平衡表!C186,调整分录!I:I),2)</f>
        <v>0</v>
      </c>
      <c r="H186" s="405">
        <f t="shared" si="14"/>
        <v>0</v>
      </c>
      <c r="I186" s="440">
        <f t="shared" si="10"/>
        <v>0</v>
      </c>
      <c r="J186" s="440">
        <f>ROUND(未审利润表!D54,2)</f>
        <v>0</v>
      </c>
      <c r="K186" s="440">
        <f>ROUND(SUMIF(调整分录!D:D,试算平衡表!C186,调整分录!F:F),2)</f>
        <v>0</v>
      </c>
      <c r="L186" s="440">
        <f>ROUND(SUMIF(调整分录!D:D,试算平衡表!C186,调整分录!G:G),2)</f>
        <v>0</v>
      </c>
      <c r="M186" s="405">
        <f t="shared" si="15"/>
        <v>0</v>
      </c>
      <c r="N186" s="440">
        <f t="shared" si="11"/>
        <v>0</v>
      </c>
    </row>
    <row r="187" spans="1:14">
      <c r="A187" s="1406" t="s">
        <v>4642</v>
      </c>
      <c r="B187" s="1413" t="s">
        <v>4641</v>
      </c>
      <c r="C187" s="1412" t="s">
        <v>4641</v>
      </c>
      <c r="D187" s="1414" t="s">
        <v>4671</v>
      </c>
      <c r="E187" s="440">
        <f>ROUND(未审利润表!C55,2)</f>
        <v>0</v>
      </c>
      <c r="F187" s="440">
        <f>ROUND(SUMIF(调整分录!D:D,试算平衡表!C187,调整分录!H:H),2)</f>
        <v>0</v>
      </c>
      <c r="G187" s="440">
        <f>ROUND(SUMIF(调整分录!D:D,试算平衡表!C187,调整分录!I:I),2)</f>
        <v>0</v>
      </c>
      <c r="H187" s="405">
        <f t="shared" ref="H187:H188" si="20">I187-E187</f>
        <v>0</v>
      </c>
      <c r="I187" s="440">
        <f t="shared" ref="I187:I188" si="21">IF(D187="借",E187+F187-G187,IF(D187="贷",E187+G187-F187,IF(D187="",0,0)))</f>
        <v>0</v>
      </c>
      <c r="J187" s="440">
        <f>ROUND(未审利润表!D55,2)</f>
        <v>0</v>
      </c>
      <c r="K187" s="440">
        <f>ROUND(SUMIF(调整分录!D:D,试算平衡表!C187,调整分录!F:F),2)</f>
        <v>0</v>
      </c>
      <c r="L187" s="440">
        <f>ROUND(SUMIF(调整分录!D:D,试算平衡表!C187,调整分录!G:G),2)</f>
        <v>0</v>
      </c>
      <c r="M187" s="405">
        <f t="shared" ref="M187:M188" si="22">N187-J187</f>
        <v>0</v>
      </c>
      <c r="N187" s="440">
        <f t="shared" ref="N187:N188" si="23">IF(D187="借",J187+K187-L187,IF(D187="贷",J187+L187-K187,IF(D187="",0,0)))</f>
        <v>0</v>
      </c>
    </row>
    <row r="188" spans="1:14">
      <c r="A188" s="1406" t="s">
        <v>4644</v>
      </c>
      <c r="B188" s="1413" t="s">
        <v>4643</v>
      </c>
      <c r="C188" s="1412" t="s">
        <v>4643</v>
      </c>
      <c r="D188" s="1414" t="s">
        <v>4671</v>
      </c>
      <c r="E188" s="440">
        <f>ROUND(未审利润表!C56,2)</f>
        <v>0</v>
      </c>
      <c r="F188" s="440">
        <f>ROUND(SUMIF(调整分录!D:D,试算平衡表!C188,调整分录!H:H),2)</f>
        <v>0</v>
      </c>
      <c r="G188" s="440">
        <f>ROUND(SUMIF(调整分录!D:D,试算平衡表!C188,调整分录!I:I),2)</f>
        <v>0</v>
      </c>
      <c r="H188" s="405">
        <f t="shared" si="20"/>
        <v>0</v>
      </c>
      <c r="I188" s="440">
        <f t="shared" si="21"/>
        <v>0</v>
      </c>
      <c r="J188" s="440">
        <f>ROUND(未审利润表!D56,2)</f>
        <v>0</v>
      </c>
      <c r="K188" s="440">
        <f>ROUND(SUMIF(调整分录!D:D,试算平衡表!C188,调整分录!F:F),2)</f>
        <v>0</v>
      </c>
      <c r="L188" s="440">
        <f>ROUND(SUMIF(调整分录!D:D,试算平衡表!C188,调整分录!G:G),2)</f>
        <v>0</v>
      </c>
      <c r="M188" s="405">
        <f t="shared" si="22"/>
        <v>0</v>
      </c>
      <c r="N188" s="440">
        <f t="shared" si="23"/>
        <v>0</v>
      </c>
    </row>
    <row r="189" spans="1:14">
      <c r="A189" s="543" t="s">
        <v>1683</v>
      </c>
      <c r="B189" s="1341" t="s">
        <v>4826</v>
      </c>
      <c r="C189" s="1341" t="s">
        <v>4826</v>
      </c>
      <c r="D189" s="569" t="s">
        <v>1875</v>
      </c>
      <c r="E189" s="440">
        <f>ROUND(未审利润表!C57,2)</f>
        <v>0</v>
      </c>
      <c r="F189" s="440">
        <f>ROUND(SUMIF(调整分录!D:D,试算平衡表!C189,调整分录!H:H),2)</f>
        <v>0</v>
      </c>
      <c r="G189" s="440">
        <f>ROUND(SUMIF(调整分录!D:D,试算平衡表!C189,调整分录!I:I),2)</f>
        <v>0</v>
      </c>
      <c r="H189" s="405">
        <f t="shared" ref="H189" si="24">I189-E189</f>
        <v>0</v>
      </c>
      <c r="I189" s="440">
        <f t="shared" ref="I189" si="25">IF(D189="借",E189+F189-G189,IF(D189="贷",E189+G189-F189,IF(D189="",0,0)))</f>
        <v>0</v>
      </c>
      <c r="J189" s="440">
        <f>ROUND(未审利润表!D57,2)</f>
        <v>0</v>
      </c>
      <c r="K189" s="440">
        <f>ROUND(SUMIF(调整分录!D:D,试算平衡表!C189,调整分录!F:F),2)</f>
        <v>0</v>
      </c>
      <c r="L189" s="440">
        <f>ROUND(SUMIF(调整分录!D:D,试算平衡表!C189,调整分录!G:G),2)</f>
        <v>0</v>
      </c>
      <c r="M189" s="405">
        <f t="shared" ref="M189" si="26">N189-J189</f>
        <v>0</v>
      </c>
      <c r="N189" s="440">
        <f t="shared" ref="N189" si="27">IF(D189="借",J189+K189-L189,IF(D189="贷",J189+L189-K189,IF(D189="",0,0)))</f>
        <v>0</v>
      </c>
    </row>
    <row r="190" spans="1:14">
      <c r="A190" s="1472" t="s">
        <v>4821</v>
      </c>
      <c r="B190" s="1472" t="s">
        <v>4821</v>
      </c>
      <c r="C190" s="1472" t="s">
        <v>4821</v>
      </c>
      <c r="D190" s="1414" t="s">
        <v>4823</v>
      </c>
      <c r="E190" s="440">
        <f>ROUND(未审利润表!C58,2)</f>
        <v>0</v>
      </c>
      <c r="F190" s="1474">
        <f>ROUND(F189+F200,2)</f>
        <v>0</v>
      </c>
      <c r="G190" s="1474">
        <f>ROUND(G189+G200,2)</f>
        <v>0</v>
      </c>
      <c r="H190" s="405">
        <f t="shared" ref="H190:H203" si="28">I190-E190</f>
        <v>0</v>
      </c>
      <c r="I190" s="440">
        <f t="shared" si="10"/>
        <v>0</v>
      </c>
      <c r="J190" s="440">
        <f>ROUND(未审利润表!D58,2)</f>
        <v>0</v>
      </c>
      <c r="K190" s="1474">
        <f>ROUND(K189+K200,2)</f>
        <v>0</v>
      </c>
      <c r="L190" s="1474">
        <f>ROUND(L189+L200,2)</f>
        <v>0</v>
      </c>
      <c r="M190" s="405">
        <f t="shared" ref="M190:M203" si="29">N190-J190</f>
        <v>0</v>
      </c>
      <c r="N190" s="440">
        <f t="shared" si="11"/>
        <v>0</v>
      </c>
    </row>
    <row r="191" spans="1:14">
      <c r="A191" s="547" t="s">
        <v>2022</v>
      </c>
      <c r="B191" s="532" t="s">
        <v>2023</v>
      </c>
      <c r="C191" s="535" t="s">
        <v>4827</v>
      </c>
      <c r="D191" s="569" t="s">
        <v>1875</v>
      </c>
      <c r="E191" s="440">
        <f>ROUND(未审利润表!C59,2)</f>
        <v>0</v>
      </c>
      <c r="F191" s="440">
        <f>ROUND(SUMIF(调整分录!D:D,试算平衡表!C191,调整分录!H:H)+F192+F193,2)</f>
        <v>0</v>
      </c>
      <c r="G191" s="440">
        <f>ROUND(SUMIF(调整分录!D:D,试算平衡表!C191,调整分录!I:I)+G192+G193,2)</f>
        <v>0</v>
      </c>
      <c r="H191" s="405">
        <f t="shared" si="28"/>
        <v>0</v>
      </c>
      <c r="I191" s="440">
        <f t="shared" ref="I191:I203" si="30">IF(D191="借",E191+F191-G191,IF(D191="贷",E191+G191-F191,IF(D191="",0,0)))</f>
        <v>0</v>
      </c>
      <c r="J191" s="440">
        <f>ROUND(未审利润表!D59,2)</f>
        <v>0</v>
      </c>
      <c r="K191" s="440">
        <f>ROUND(SUMIF(调整分录!D:D,试算平衡表!C191,调整分录!F:F)+K192+K193,2)</f>
        <v>0</v>
      </c>
      <c r="L191" s="440">
        <f>ROUND(SUMIF(调整分录!D:D,试算平衡表!C191,调整分录!G:G)+L192+L193,2)</f>
        <v>0</v>
      </c>
      <c r="M191" s="405">
        <f t="shared" si="29"/>
        <v>0</v>
      </c>
      <c r="N191" s="440">
        <f t="shared" ref="N191:N203" si="31">IF(D191="借",J191+K191-L191,IF(D191="贷",J191+L191-K191,IF(D191="",0,0)))</f>
        <v>0</v>
      </c>
    </row>
    <row r="192" spans="1:14">
      <c r="A192" s="550" t="s">
        <v>1816</v>
      </c>
      <c r="B192" s="532"/>
      <c r="C192" s="535" t="s">
        <v>4824</v>
      </c>
      <c r="D192" s="569" t="s">
        <v>1875</v>
      </c>
      <c r="E192" s="440">
        <f>ROUND(未审利润表!C60,2)</f>
        <v>0</v>
      </c>
      <c r="F192" s="440">
        <f>ROUND(SUMIF(调整分录!D:D,试算平衡表!C192,调整分录!H:H),2)</f>
        <v>0</v>
      </c>
      <c r="G192" s="440">
        <f>ROUND(SUMIF(调整分录!D:D,试算平衡表!C192,调整分录!I:I),2)</f>
        <v>0</v>
      </c>
      <c r="H192" s="405">
        <f t="shared" si="28"/>
        <v>0</v>
      </c>
      <c r="I192" s="440">
        <f t="shared" si="30"/>
        <v>0</v>
      </c>
      <c r="J192" s="440">
        <f>ROUND(未审利润表!D60,2)</f>
        <v>0</v>
      </c>
      <c r="K192" s="440">
        <f>ROUND(SUMIF(调整分录!D:D,试算平衡表!C192,调整分录!F:F),2)</f>
        <v>0</v>
      </c>
      <c r="L192" s="440">
        <f>ROUND(SUMIF(调整分录!D:D,试算平衡表!C192,调整分录!G:G),2)</f>
        <v>0</v>
      </c>
      <c r="M192" s="405">
        <f t="shared" si="29"/>
        <v>0</v>
      </c>
      <c r="N192" s="440">
        <f t="shared" si="31"/>
        <v>0</v>
      </c>
    </row>
    <row r="193" spans="1:14">
      <c r="A193" s="550" t="s">
        <v>1817</v>
      </c>
      <c r="B193" s="532"/>
      <c r="C193" s="535" t="s">
        <v>4828</v>
      </c>
      <c r="D193" s="569" t="s">
        <v>1875</v>
      </c>
      <c r="E193" s="440">
        <f>ROUND(未审利润表!C61,2)</f>
        <v>0</v>
      </c>
      <c r="F193" s="440">
        <f>ROUND(SUMIF(调整分录!D:D,试算平衡表!C193,调整分录!H:H),2)</f>
        <v>0</v>
      </c>
      <c r="G193" s="440">
        <f>ROUND(SUMIF(调整分录!D:D,试算平衡表!C193,调整分录!I:I),2)</f>
        <v>0</v>
      </c>
      <c r="H193" s="405">
        <f t="shared" si="28"/>
        <v>0</v>
      </c>
      <c r="I193" s="440">
        <f t="shared" si="30"/>
        <v>0</v>
      </c>
      <c r="J193" s="440">
        <f>ROUND(未审利润表!D61,2)</f>
        <v>0</v>
      </c>
      <c r="K193" s="440">
        <f>ROUND(SUMIF(调整分录!D:D,试算平衡表!C193,调整分录!F:F),2)</f>
        <v>0</v>
      </c>
      <c r="L193" s="440">
        <f>ROUND(SUMIF(调整分录!D:D,试算平衡表!C193,调整分录!G:G),2)</f>
        <v>0</v>
      </c>
      <c r="M193" s="405">
        <f t="shared" si="29"/>
        <v>0</v>
      </c>
      <c r="N193" s="440">
        <f t="shared" si="31"/>
        <v>0</v>
      </c>
    </row>
    <row r="194" spans="1:14">
      <c r="A194" s="547" t="s">
        <v>1818</v>
      </c>
      <c r="B194" s="532" t="s">
        <v>2024</v>
      </c>
      <c r="C194" s="535" t="s">
        <v>4829</v>
      </c>
      <c r="D194" s="569" t="s">
        <v>1875</v>
      </c>
      <c r="E194" s="440">
        <f>ROUND(未审利润表!C62,2)</f>
        <v>0</v>
      </c>
      <c r="F194" s="440">
        <f>ROUND(SUMIF(调整分录!D:D,试算平衡表!C194,调整分录!H:H)+F195+F196+F197+F198+F199,2)</f>
        <v>0</v>
      </c>
      <c r="G194" s="440">
        <f>ROUND(SUMIF(调整分录!D:D,试算平衡表!C194,调整分录!I:I)+G195+G196+G197+G198+G199,2)</f>
        <v>0</v>
      </c>
      <c r="H194" s="405">
        <f t="shared" si="28"/>
        <v>0</v>
      </c>
      <c r="I194" s="440">
        <f t="shared" si="30"/>
        <v>0</v>
      </c>
      <c r="J194" s="440">
        <f>ROUND(未审利润表!D62,2)</f>
        <v>0</v>
      </c>
      <c r="K194" s="440">
        <f>ROUND(SUMIF(调整分录!D:D,试算平衡表!C194,调整分录!F:F)+K195+K196+K197+K198+K199,2)</f>
        <v>0</v>
      </c>
      <c r="L194" s="440">
        <f>ROUND(SUMIF(调整分录!D:D,试算平衡表!C194,调整分录!G:G)+L195+L196+L197+L198+L199,2)</f>
        <v>0</v>
      </c>
      <c r="M194" s="405">
        <f t="shared" si="29"/>
        <v>0</v>
      </c>
      <c r="N194" s="440">
        <f t="shared" si="31"/>
        <v>0</v>
      </c>
    </row>
    <row r="195" spans="1:14">
      <c r="A195" s="550" t="s">
        <v>1819</v>
      </c>
      <c r="B195" s="532"/>
      <c r="C195" s="535" t="s">
        <v>4830</v>
      </c>
      <c r="D195" s="569" t="s">
        <v>1875</v>
      </c>
      <c r="E195" s="440">
        <f>ROUND(未审利润表!C63,2)</f>
        <v>0</v>
      </c>
      <c r="F195" s="440">
        <f>ROUND(SUMIF(调整分录!D:D,试算平衡表!C195,调整分录!H:H),2)</f>
        <v>0</v>
      </c>
      <c r="G195" s="440">
        <f>ROUND(SUMIF(调整分录!D:D,试算平衡表!C195,调整分录!I:I),2)</f>
        <v>0</v>
      </c>
      <c r="H195" s="405">
        <f t="shared" si="28"/>
        <v>0</v>
      </c>
      <c r="I195" s="440">
        <f t="shared" si="30"/>
        <v>0</v>
      </c>
      <c r="J195" s="440">
        <f>ROUND(未审利润表!D63,2)</f>
        <v>0</v>
      </c>
      <c r="K195" s="440">
        <f>ROUND(SUMIF(调整分录!D:D,试算平衡表!C195,调整分录!F:F),2)</f>
        <v>0</v>
      </c>
      <c r="L195" s="440">
        <f>ROUND(SUMIF(调整分录!D:D,试算平衡表!C195,调整分录!G:G),2)</f>
        <v>0</v>
      </c>
      <c r="M195" s="405">
        <f t="shared" si="29"/>
        <v>0</v>
      </c>
      <c r="N195" s="440">
        <f t="shared" si="31"/>
        <v>0</v>
      </c>
    </row>
    <row r="196" spans="1:14">
      <c r="A196" s="550" t="s">
        <v>2025</v>
      </c>
      <c r="B196" s="532"/>
      <c r="C196" s="535" t="s">
        <v>4825</v>
      </c>
      <c r="D196" s="569" t="s">
        <v>1998</v>
      </c>
      <c r="E196" s="440">
        <f>ROUND(未审利润表!C64,2)</f>
        <v>0</v>
      </c>
      <c r="F196" s="440">
        <f>ROUND(SUMIF(调整分录!D:D,试算平衡表!C196,调整分录!H:H),2)</f>
        <v>0</v>
      </c>
      <c r="G196" s="440">
        <f>ROUND(SUMIF(调整分录!D:D,试算平衡表!C196,调整分录!I:I),2)</f>
        <v>0</v>
      </c>
      <c r="H196" s="405">
        <f t="shared" si="28"/>
        <v>0</v>
      </c>
      <c r="I196" s="440">
        <f t="shared" si="30"/>
        <v>0</v>
      </c>
      <c r="J196" s="440">
        <f>ROUND(未审利润表!D64,2)</f>
        <v>0</v>
      </c>
      <c r="K196" s="440">
        <f>ROUND(SUMIF(调整分录!D:D,试算平衡表!C196,调整分录!F:F),2)</f>
        <v>0</v>
      </c>
      <c r="L196" s="440">
        <f>ROUND(SUMIF(调整分录!D:D,试算平衡表!C196,调整分录!G:G),2)</f>
        <v>0</v>
      </c>
      <c r="M196" s="405">
        <f t="shared" si="29"/>
        <v>0</v>
      </c>
      <c r="N196" s="440">
        <f t="shared" si="31"/>
        <v>0</v>
      </c>
    </row>
    <row r="197" spans="1:14">
      <c r="A197" s="550" t="s">
        <v>2026</v>
      </c>
      <c r="B197" s="532"/>
      <c r="C197" s="535" t="s">
        <v>4831</v>
      </c>
      <c r="D197" s="569" t="s">
        <v>1906</v>
      </c>
      <c r="E197" s="440">
        <f>ROUND(未审利润表!C65,2)</f>
        <v>0</v>
      </c>
      <c r="F197" s="440">
        <f>ROUND(SUMIF(调整分录!D:D,试算平衡表!C197,调整分录!H:H),2)</f>
        <v>0</v>
      </c>
      <c r="G197" s="440">
        <f>ROUND(SUMIF(调整分录!D:D,试算平衡表!C197,调整分录!I:I),2)</f>
        <v>0</v>
      </c>
      <c r="H197" s="405">
        <f t="shared" si="28"/>
        <v>0</v>
      </c>
      <c r="I197" s="440">
        <f t="shared" si="30"/>
        <v>0</v>
      </c>
      <c r="J197" s="440">
        <f>ROUND(未审利润表!D65,2)</f>
        <v>0</v>
      </c>
      <c r="K197" s="440">
        <f>ROUND(SUMIF(调整分录!D:D,试算平衡表!C197,调整分录!F:F),2)</f>
        <v>0</v>
      </c>
      <c r="L197" s="440">
        <f>ROUND(SUMIF(调整分录!D:D,试算平衡表!C197,调整分录!G:G),2)</f>
        <v>0</v>
      </c>
      <c r="M197" s="405">
        <f t="shared" si="29"/>
        <v>0</v>
      </c>
      <c r="N197" s="440">
        <f t="shared" si="31"/>
        <v>0</v>
      </c>
    </row>
    <row r="198" spans="1:14">
      <c r="A198" s="550" t="s">
        <v>1822</v>
      </c>
      <c r="B198" s="532"/>
      <c r="C198" s="535" t="s">
        <v>4832</v>
      </c>
      <c r="D198" s="569" t="s">
        <v>1875</v>
      </c>
      <c r="E198" s="440">
        <f>ROUND(未审利润表!C66,2)</f>
        <v>0</v>
      </c>
      <c r="F198" s="440">
        <f>ROUND(SUMIF(调整分录!D:D,试算平衡表!C198,调整分录!H:H),2)</f>
        <v>0</v>
      </c>
      <c r="G198" s="440">
        <f>ROUND(SUMIF(调整分录!D:D,试算平衡表!C198,调整分录!I:I),2)</f>
        <v>0</v>
      </c>
      <c r="H198" s="405">
        <f t="shared" si="28"/>
        <v>0</v>
      </c>
      <c r="I198" s="440">
        <f t="shared" si="30"/>
        <v>0</v>
      </c>
      <c r="J198" s="440">
        <f>ROUND(未审利润表!D66,2)</f>
        <v>0</v>
      </c>
      <c r="K198" s="440">
        <f>ROUND(SUMIF(调整分录!D:D,试算平衡表!C198,调整分录!F:F),2)</f>
        <v>0</v>
      </c>
      <c r="L198" s="440">
        <f>ROUND(SUMIF(调整分录!D:D,试算平衡表!C198,调整分录!G:G),2)</f>
        <v>0</v>
      </c>
      <c r="M198" s="405">
        <f t="shared" si="29"/>
        <v>0</v>
      </c>
      <c r="N198" s="440">
        <f t="shared" si="31"/>
        <v>0</v>
      </c>
    </row>
    <row r="199" spans="1:14">
      <c r="A199" s="550" t="s">
        <v>1823</v>
      </c>
      <c r="B199" s="532"/>
      <c r="C199" s="535" t="s">
        <v>4833</v>
      </c>
      <c r="D199" s="569" t="s">
        <v>1875</v>
      </c>
      <c r="E199" s="440">
        <f>ROUND(未审利润表!C67,2)</f>
        <v>0</v>
      </c>
      <c r="F199" s="440">
        <f>ROUND(SUMIF(调整分录!D:D,试算平衡表!C199,调整分录!H:H),2)</f>
        <v>0</v>
      </c>
      <c r="G199" s="440">
        <f>ROUND(SUMIF(调整分录!D:D,试算平衡表!C199,调整分录!I:I),2)</f>
        <v>0</v>
      </c>
      <c r="H199" s="405">
        <f t="shared" si="28"/>
        <v>0</v>
      </c>
      <c r="I199" s="440">
        <f t="shared" si="30"/>
        <v>0</v>
      </c>
      <c r="J199" s="440">
        <f>ROUND(未审利润表!D67,2)</f>
        <v>0</v>
      </c>
      <c r="K199" s="440">
        <f>ROUND(SUMIF(调整分录!D:D,试算平衡表!C199,调整分录!F:F),2)</f>
        <v>0</v>
      </c>
      <c r="L199" s="440">
        <f>ROUND(SUMIF(调整分录!D:D,试算平衡表!C199,调整分录!G:G),2)</f>
        <v>0</v>
      </c>
      <c r="M199" s="405">
        <f t="shared" si="29"/>
        <v>0</v>
      </c>
      <c r="N199" s="440">
        <f t="shared" si="31"/>
        <v>0</v>
      </c>
    </row>
    <row r="200" spans="1:14">
      <c r="A200" s="1398" t="s">
        <v>4822</v>
      </c>
      <c r="B200" s="1398" t="s">
        <v>4822</v>
      </c>
      <c r="C200" s="1398" t="s">
        <v>4822</v>
      </c>
      <c r="D200" s="1414" t="s">
        <v>4668</v>
      </c>
      <c r="E200" s="440">
        <f>ROUND(未审利润表!C68,2)</f>
        <v>0</v>
      </c>
      <c r="F200" s="440">
        <f>ROUND(SUMIF(调整分录!D:D,试算平衡表!C200,调整分录!H:H),2)</f>
        <v>0</v>
      </c>
      <c r="G200" s="440">
        <f>ROUND(SUMIF(调整分录!D:D,试算平衡表!C200,调整分录!I:I),2)</f>
        <v>0</v>
      </c>
      <c r="H200" s="405">
        <f t="shared" si="28"/>
        <v>0</v>
      </c>
      <c r="I200" s="440">
        <f t="shared" si="30"/>
        <v>0</v>
      </c>
      <c r="J200" s="440">
        <f>ROUND(未审利润表!D68,2)</f>
        <v>0</v>
      </c>
      <c r="K200" s="440">
        <f>ROUND(SUMIF(调整分录!D:D,试算平衡表!C200,调整分录!F:F),2)</f>
        <v>0</v>
      </c>
      <c r="L200" s="440">
        <f>ROUND(SUMIF(调整分录!D:D,试算平衡表!C200,调整分录!G:G),2)</f>
        <v>0</v>
      </c>
      <c r="M200" s="405">
        <f t="shared" si="29"/>
        <v>0</v>
      </c>
      <c r="N200" s="440">
        <f t="shared" si="31"/>
        <v>0</v>
      </c>
    </row>
    <row r="201" spans="1:14">
      <c r="A201" s="551" t="s">
        <v>1824</v>
      </c>
      <c r="B201" s="551"/>
      <c r="C201" s="535"/>
      <c r="D201" s="569" t="s">
        <v>1875</v>
      </c>
      <c r="E201" s="440">
        <f>ROUND(未审利润表!C69,2)</f>
        <v>-4000519.4</v>
      </c>
      <c r="F201" s="440">
        <f>ROUND(F184+F189,2)</f>
        <v>351434.86</v>
      </c>
      <c r="G201" s="440">
        <f>ROUND(G184+G189,2)</f>
        <v>4427104.4800000004</v>
      </c>
      <c r="H201" s="405">
        <f t="shared" si="28"/>
        <v>4075669.6200000006</v>
      </c>
      <c r="I201" s="440">
        <f t="shared" si="30"/>
        <v>75150.220000000554</v>
      </c>
      <c r="J201" s="440">
        <f>ROUND(未审利润表!D69,2)</f>
        <v>3772876.91</v>
      </c>
      <c r="K201" s="440">
        <f>ROUND(K184+K189,2)</f>
        <v>43493.42</v>
      </c>
      <c r="L201" s="440">
        <f>ROUND(L184+L189,2)</f>
        <v>43493.42</v>
      </c>
      <c r="M201" s="405">
        <f t="shared" si="29"/>
        <v>0</v>
      </c>
      <c r="N201" s="440">
        <f t="shared" si="31"/>
        <v>3772876.91</v>
      </c>
    </row>
    <row r="202" spans="1:14">
      <c r="A202" s="550" t="s">
        <v>696</v>
      </c>
      <c r="B202" s="532"/>
      <c r="C202" s="535"/>
      <c r="D202" s="569" t="s">
        <v>1998</v>
      </c>
      <c r="E202" s="440">
        <f>ROUND(未审利润表!C70,2)</f>
        <v>-4000519.4</v>
      </c>
      <c r="F202" s="570">
        <f>ROUND(F185+F190,2)</f>
        <v>351434.86</v>
      </c>
      <c r="G202" s="570">
        <f>ROUND(G185+G190,2)</f>
        <v>4427104.4800000004</v>
      </c>
      <c r="H202" s="405">
        <f t="shared" si="28"/>
        <v>4075669.6200000006</v>
      </c>
      <c r="I202" s="440">
        <f t="shared" si="30"/>
        <v>75150.220000000554</v>
      </c>
      <c r="J202" s="440">
        <f>ROUND(未审利润表!D70,2)</f>
        <v>3772876.91</v>
      </c>
      <c r="K202" s="570">
        <f>ROUND(K185+K190,2)</f>
        <v>43493.42</v>
      </c>
      <c r="L202" s="570">
        <f>ROUND(L185+L190,2)</f>
        <v>43493.42</v>
      </c>
      <c r="M202" s="405">
        <f t="shared" si="29"/>
        <v>0</v>
      </c>
      <c r="N202" s="440">
        <f t="shared" si="31"/>
        <v>3772876.91</v>
      </c>
    </row>
    <row r="203" spans="1:14">
      <c r="A203" s="550" t="s">
        <v>1825</v>
      </c>
      <c r="B203" s="532"/>
      <c r="C203" s="535"/>
      <c r="D203" s="569" t="s">
        <v>1839</v>
      </c>
      <c r="E203" s="440">
        <f>ROUND(未审利润表!C71,2)</f>
        <v>0</v>
      </c>
      <c r="F203" s="440">
        <f>ROUND(F186+F200,2)</f>
        <v>0</v>
      </c>
      <c r="G203" s="440">
        <f>ROUND(G186+G200,2)</f>
        <v>0</v>
      </c>
      <c r="H203" s="405">
        <f t="shared" si="28"/>
        <v>0</v>
      </c>
      <c r="I203" s="440">
        <f t="shared" si="30"/>
        <v>0</v>
      </c>
      <c r="J203" s="440">
        <f>ROUND(未审利润表!D71,2)</f>
        <v>0</v>
      </c>
      <c r="K203" s="440">
        <f>ROUND(K186+K200,2)</f>
        <v>0</v>
      </c>
      <c r="L203" s="440">
        <f>ROUND(L186+L200,2)</f>
        <v>0</v>
      </c>
      <c r="M203" s="405">
        <f t="shared" si="29"/>
        <v>0</v>
      </c>
      <c r="N203" s="440">
        <f t="shared" si="31"/>
        <v>0</v>
      </c>
    </row>
    <row r="204" spans="1:14">
      <c r="A204" s="543" t="s">
        <v>1826</v>
      </c>
      <c r="B204" s="543"/>
      <c r="C204" s="535"/>
      <c r="D204" s="571"/>
      <c r="E204" s="430"/>
      <c r="F204" s="434"/>
      <c r="G204" s="434"/>
      <c r="H204" s="403"/>
      <c r="I204" s="434"/>
      <c r="J204" s="430"/>
      <c r="K204" s="434"/>
      <c r="L204" s="434"/>
      <c r="M204" s="403"/>
      <c r="N204" s="434"/>
    </row>
    <row r="205" spans="1:14">
      <c r="A205" s="550" t="s">
        <v>692</v>
      </c>
      <c r="B205" s="532"/>
      <c r="C205" s="535"/>
      <c r="D205" s="569" t="s">
        <v>1875</v>
      </c>
      <c r="E205" s="440">
        <f>ROUND(未审利润表!C73,2)</f>
        <v>0</v>
      </c>
      <c r="F205" s="434"/>
      <c r="G205" s="434"/>
      <c r="H205" s="403"/>
      <c r="I205" s="440">
        <f t="shared" si="10"/>
        <v>0</v>
      </c>
      <c r="J205" s="440">
        <f>ROUND(未审利润表!D73,2)</f>
        <v>0</v>
      </c>
      <c r="K205" s="434"/>
      <c r="L205" s="434"/>
      <c r="M205" s="403"/>
      <c r="N205" s="440">
        <f t="shared" si="11"/>
        <v>0</v>
      </c>
    </row>
    <row r="206" spans="1:14">
      <c r="A206" s="550" t="s">
        <v>693</v>
      </c>
      <c r="B206" s="532"/>
      <c r="C206" s="535"/>
      <c r="D206" s="569" t="s">
        <v>1998</v>
      </c>
      <c r="E206" s="440">
        <f>ROUND(未审利润表!C74,2)</f>
        <v>0</v>
      </c>
      <c r="F206" s="434"/>
      <c r="G206" s="434"/>
      <c r="H206" s="403"/>
      <c r="I206" s="440">
        <f t="shared" si="10"/>
        <v>0</v>
      </c>
      <c r="J206" s="440">
        <f>ROUND(未审利润表!D74,2)</f>
        <v>0</v>
      </c>
      <c r="K206" s="434"/>
      <c r="L206" s="434"/>
      <c r="M206" s="403"/>
      <c r="N206" s="440">
        <f t="shared" si="11"/>
        <v>0</v>
      </c>
    </row>
  </sheetData>
  <sheetProtection formatCells="0" formatColumns="0" formatRows="0" autoFilter="0"/>
  <autoFilter ref="A5:Q5" xr:uid="{00000000-0009-0000-0000-00000A000000}"/>
  <phoneticPr fontId="5" type="noConversion"/>
  <conditionalFormatting sqref="N172:N173 N178 N182 N184:N185 N111 N120 A160:C160 A167:C167 A172:C173 A178:C178 A182:C182 A184:C185 N137:N138 N157 N144:N145 N130:N131 N127:N128 N28 N38 A130:C131 A111:C111 A120:C120 A127:C128 A137:C138 A157:C157 A144:C145 N40 N51 N53:N54 N72 N74 N76 N88 N98 N100:N101 N103 N106 N22 N160 A103:C103 A22:C22 A28:C28 A38:C38 A40:C40 A51:C51 A53:C54 A72:C72 A74:C74 A76:C76 A88:C88 A98:C98 A100:C101 F98:G98 F76:G76 F74:G74 F72:G72 F22:G22 N167 E157:G157 F120:G120 F103:G103 E178:G178 E167:G167 E160:G160 I160:L160 K98:L98 K76:L76 K74:L74 K72:L72 K51:L51 K22:L22 I157:L157 K120:L120 K103:L103 I178:L178 I167:L167 G51 I28 I22 I38 I40 I51 I53:I54 I72 I74 I76 I88 I98 I100:I101 I103 I111 I120 I130:I131 I127:I128 I106 E184:G185 F38:G38 F40:G40 F53:G54 F88:G88 F100:G101 F111:G111 F130:G131 E137:G138 E144:G145 E172:G173 E182:G182 F28:G28 K53:L54 K88:L88 K100:L101 K111:L111 K130:L131 I137:L138 I144:L145 I172:L173 I182:L182 I184:L185 K28:L28 K38:L38 K40:L40 F127:G128 K127:L128 N205:N206 N201:N203 A205:C206 A201:C203 I205:J206 E205:E206 E201:G203 I201:L203 E138:E200 J138:J190">
    <cfRule type="cellIs" dxfId="169" priority="57" stopIfTrue="1" operator="notEqual">
      <formula>0</formula>
    </cfRule>
    <cfRule type="cellIs" dxfId="168" priority="58" stopIfTrue="1" operator="equal">
      <formula>0</formula>
    </cfRule>
  </conditionalFormatting>
  <conditionalFormatting sqref="D210:D65565 D1:D4">
    <cfRule type="cellIs" dxfId="167" priority="59" stopIfTrue="1" operator="equal">
      <formula>"借"</formula>
    </cfRule>
    <cfRule type="cellIs" dxfId="166" priority="60" stopIfTrue="1" operator="equal">
      <formula>"贷"</formula>
    </cfRule>
  </conditionalFormatting>
  <conditionalFormatting sqref="A104">
    <cfRule type="cellIs" dxfId="165" priority="55" stopIfTrue="1" operator="notEqual">
      <formula>0</formula>
    </cfRule>
    <cfRule type="cellIs" dxfId="164" priority="56" stopIfTrue="1" operator="equal">
      <formula>0</formula>
    </cfRule>
  </conditionalFormatting>
  <conditionalFormatting sqref="B104">
    <cfRule type="cellIs" dxfId="163" priority="53" stopIfTrue="1" operator="notEqual">
      <formula>0</formula>
    </cfRule>
    <cfRule type="cellIs" dxfId="162" priority="54" stopIfTrue="1" operator="equal">
      <formula>0</formula>
    </cfRule>
  </conditionalFormatting>
  <conditionalFormatting sqref="A107">
    <cfRule type="cellIs" dxfId="161" priority="51" stopIfTrue="1" operator="notEqual">
      <formula>0</formula>
    </cfRule>
    <cfRule type="cellIs" dxfId="160" priority="52" stopIfTrue="1" operator="equal">
      <formula>0</formula>
    </cfRule>
  </conditionalFormatting>
  <conditionalFormatting sqref="B107">
    <cfRule type="cellIs" dxfId="159" priority="49" stopIfTrue="1" operator="notEqual">
      <formula>0</formula>
    </cfRule>
    <cfRule type="cellIs" dxfId="158" priority="50" stopIfTrue="1" operator="equal">
      <formula>0</formula>
    </cfRule>
  </conditionalFormatting>
  <conditionalFormatting sqref="C104">
    <cfRule type="cellIs" dxfId="157" priority="43" stopIfTrue="1" operator="notEqual">
      <formula>0</formula>
    </cfRule>
    <cfRule type="cellIs" dxfId="156" priority="44" stopIfTrue="1" operator="equal">
      <formula>0</formula>
    </cfRule>
  </conditionalFormatting>
  <conditionalFormatting sqref="C107">
    <cfRule type="cellIs" dxfId="155" priority="41" stopIfTrue="1" operator="notEqual">
      <formula>0</formula>
    </cfRule>
    <cfRule type="cellIs" dxfId="154" priority="42" stopIfTrue="1" operator="equal">
      <formula>0</formula>
    </cfRule>
  </conditionalFormatting>
  <conditionalFormatting sqref="A129:C129">
    <cfRule type="cellIs" dxfId="153" priority="39" stopIfTrue="1" operator="notEqual">
      <formula>0</formula>
    </cfRule>
    <cfRule type="cellIs" dxfId="152" priority="40" stopIfTrue="1" operator="equal">
      <formula>0</formula>
    </cfRule>
  </conditionalFormatting>
  <conditionalFormatting sqref="N112 F112:G112 K112:L112 I112">
    <cfRule type="cellIs" dxfId="151" priority="31" stopIfTrue="1" operator="notEqual">
      <formula>0</formula>
    </cfRule>
    <cfRule type="cellIs" dxfId="150" priority="32" stopIfTrue="1" operator="equal">
      <formula>0</formula>
    </cfRule>
  </conditionalFormatting>
  <conditionalFormatting sqref="N117 F117:G117 K117:L117 I117">
    <cfRule type="cellIs" dxfId="149" priority="29" stopIfTrue="1" operator="notEqual">
      <formula>0</formula>
    </cfRule>
    <cfRule type="cellIs" dxfId="148" priority="30" stopIfTrue="1" operator="equal">
      <formula>0</formula>
    </cfRule>
  </conditionalFormatting>
  <conditionalFormatting sqref="A189:A190">
    <cfRule type="cellIs" dxfId="147" priority="27" stopIfTrue="1" operator="notEqual">
      <formula>0</formula>
    </cfRule>
    <cfRule type="cellIs" dxfId="146" priority="28" stopIfTrue="1" operator="equal">
      <formula>0</formula>
    </cfRule>
  </conditionalFormatting>
  <conditionalFormatting sqref="J192">
    <cfRule type="cellIs" dxfId="145" priority="23" stopIfTrue="1" operator="notEqual">
      <formula>0</formula>
    </cfRule>
    <cfRule type="cellIs" dxfId="144" priority="24" stopIfTrue="1" operator="equal">
      <formula>0</formula>
    </cfRule>
  </conditionalFormatting>
  <conditionalFormatting sqref="J193">
    <cfRule type="cellIs" dxfId="143" priority="21" stopIfTrue="1" operator="notEqual">
      <formula>0</formula>
    </cfRule>
    <cfRule type="cellIs" dxfId="142" priority="22" stopIfTrue="1" operator="equal">
      <formula>0</formula>
    </cfRule>
  </conditionalFormatting>
  <conditionalFormatting sqref="J195">
    <cfRule type="cellIs" dxfId="141" priority="19" stopIfTrue="1" operator="notEqual">
      <formula>0</formula>
    </cfRule>
    <cfRule type="cellIs" dxfId="140" priority="20" stopIfTrue="1" operator="equal">
      <formula>0</formula>
    </cfRule>
  </conditionalFormatting>
  <conditionalFormatting sqref="J196">
    <cfRule type="cellIs" dxfId="139" priority="17" stopIfTrue="1" operator="notEqual">
      <formula>0</formula>
    </cfRule>
    <cfRule type="cellIs" dxfId="138" priority="18" stopIfTrue="1" operator="equal">
      <formula>0</formula>
    </cfRule>
  </conditionalFormatting>
  <conditionalFormatting sqref="J197">
    <cfRule type="cellIs" dxfId="137" priority="15" stopIfTrue="1" operator="notEqual">
      <formula>0</formula>
    </cfRule>
    <cfRule type="cellIs" dxfId="136" priority="16" stopIfTrue="1" operator="equal">
      <formula>0</formula>
    </cfRule>
  </conditionalFormatting>
  <conditionalFormatting sqref="J198">
    <cfRule type="cellIs" dxfId="135" priority="13" stopIfTrue="1" operator="notEqual">
      <formula>0</formula>
    </cfRule>
    <cfRule type="cellIs" dxfId="134" priority="14" stopIfTrue="1" operator="equal">
      <formula>0</formula>
    </cfRule>
  </conditionalFormatting>
  <conditionalFormatting sqref="J199:J200">
    <cfRule type="cellIs" dxfId="133" priority="11" stopIfTrue="1" operator="notEqual">
      <formula>0</formula>
    </cfRule>
    <cfRule type="cellIs" dxfId="132" priority="12" stopIfTrue="1" operator="equal">
      <formula>0</formula>
    </cfRule>
  </conditionalFormatting>
  <conditionalFormatting sqref="N191 F191:G191 I191:L191">
    <cfRule type="cellIs" dxfId="131" priority="9" stopIfTrue="1" operator="notEqual">
      <formula>0</formula>
    </cfRule>
    <cfRule type="cellIs" dxfId="130" priority="10" stopIfTrue="1" operator="equal">
      <formula>0</formula>
    </cfRule>
  </conditionalFormatting>
  <conditionalFormatting sqref="N194 F194:G194 I194:L194">
    <cfRule type="cellIs" dxfId="129" priority="7" stopIfTrue="1" operator="notEqual">
      <formula>0</formula>
    </cfRule>
    <cfRule type="cellIs" dxfId="128" priority="8" stopIfTrue="1" operator="equal">
      <formula>0</formula>
    </cfRule>
  </conditionalFormatting>
  <conditionalFormatting sqref="A117:C117">
    <cfRule type="cellIs" dxfId="127" priority="5" stopIfTrue="1" operator="notEqual">
      <formula>0</formula>
    </cfRule>
    <cfRule type="cellIs" dxfId="126" priority="6" stopIfTrue="1" operator="equal">
      <formula>0</formula>
    </cfRule>
  </conditionalFormatting>
  <conditionalFormatting sqref="B189:C190">
    <cfRule type="cellIs" dxfId="125" priority="3" stopIfTrue="1" operator="notEqual">
      <formula>0</formula>
    </cfRule>
    <cfRule type="cellIs" dxfId="124" priority="4" stopIfTrue="1" operator="equal">
      <formula>0</formula>
    </cfRule>
  </conditionalFormatting>
  <conditionalFormatting sqref="A200:C200">
    <cfRule type="cellIs" dxfId="123" priority="1" stopIfTrue="1" operator="notEqual">
      <formula>0</formula>
    </cfRule>
    <cfRule type="cellIs" dxfId="122" priority="2" stopIfTrue="1" operator="equal">
      <formula>0</formula>
    </cfRule>
  </conditionalFormatting>
  <hyperlinks>
    <hyperlink ref="P2" location="附注填写封面!B3" display="返回目录" xr:uid="{00000000-0004-0000-0A00-000000000000}"/>
    <hyperlink ref="O3" location="附注填写封面!B3" display="返回目录" xr:uid="{00000000-0004-0000-0A00-000001000000}"/>
    <hyperlink ref="I2" location="附注填写封面!B3" display="返回目录" xr:uid="{00000000-0004-0000-0A00-000002000000}"/>
  </hyperlinks>
  <printOptions horizontalCentered="1"/>
  <pageMargins left="0.82677165354330717" right="0.35433070866141736" top="0.82677165354330717" bottom="0.51181102362204722" header="0.51181102362204722" footer="0.23622047244094491"/>
  <pageSetup paperSize="9" scale="67" fitToHeight="7" orientation="landscape" blackAndWhite="1" useFirstPageNumber="1" r:id="rId1"/>
  <headerFooter alignWithMargins="0">
    <oddFooter>&amp;C&amp;"Times New Roman,常规"&amp;P</oddFooter>
  </headerFooter>
  <rowBreaks count="2" manualBreakCount="2">
    <brk id="58" max="10" man="1"/>
    <brk id="135" max="10" man="1"/>
  </rowBreaks>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8">
    <tabColor rgb="FF0099FF"/>
    <pageSetUpPr autoPageBreaks="0"/>
  </sheetPr>
  <dimension ref="A1:P159"/>
  <sheetViews>
    <sheetView showGridLines="0" showZeros="0" zoomScaleSheetLayoutView="100" workbookViewId="0">
      <pane xSplit="2" ySplit="4" topLeftCell="C62" activePane="bottomRight" state="frozen"/>
      <selection activeCell="A5" sqref="A5:A6"/>
      <selection pane="topRight" activeCell="A5" sqref="A5:A6"/>
      <selection pane="bottomLeft" activeCell="A5" sqref="A5:A6"/>
      <selection pane="bottomRight" activeCell="C75" sqref="C75"/>
    </sheetView>
  </sheetViews>
  <sheetFormatPr defaultColWidth="20.375" defaultRowHeight="15.75"/>
  <cols>
    <col min="1" max="1" width="63" style="127" customWidth="1"/>
    <col min="2" max="2" width="10.125" style="127" customWidth="1"/>
    <col min="3" max="4" width="28.125" style="127" customWidth="1"/>
    <col min="5" max="5" width="14.75" style="98" customWidth="1"/>
    <col min="6" max="6" width="8.625" style="98" customWidth="1"/>
    <col min="7" max="7" width="7.5" style="3" customWidth="1"/>
    <col min="8" max="8" width="4.375" style="3" customWidth="1"/>
    <col min="9" max="9" width="8.125" style="3" customWidth="1"/>
    <col min="10" max="10" width="9.5" style="125" customWidth="1"/>
    <col min="11" max="11" width="9.375" style="126" customWidth="1"/>
    <col min="12" max="12" width="9.375" style="125" customWidth="1"/>
    <col min="13" max="13" width="19.375" style="1550" customWidth="1"/>
    <col min="14" max="14" width="12.125" style="119" customWidth="1"/>
    <col min="15" max="15" width="11.5" style="119" customWidth="1"/>
    <col min="16" max="16384" width="20.375" style="3"/>
  </cols>
  <sheetData>
    <row r="1" spans="1:15" ht="26.45" customHeight="1">
      <c r="A1" s="1699" t="str">
        <f>封面!C7&amp;"资产负债表"</f>
        <v>资产负债表</v>
      </c>
      <c r="B1" s="1700"/>
      <c r="C1" s="1700"/>
      <c r="D1" s="1701"/>
      <c r="E1" s="97"/>
      <c r="F1" s="1697" t="s">
        <v>243</v>
      </c>
      <c r="G1" s="1697"/>
    </row>
    <row r="2" spans="1:15" ht="18.95" customHeight="1">
      <c r="A2" s="1682">
        <f>封面!$C$5</f>
        <v>43616</v>
      </c>
      <c r="B2" s="1682"/>
      <c r="C2" s="1682"/>
      <c r="D2" s="1682"/>
      <c r="E2" s="97"/>
      <c r="F2" s="1697"/>
      <c r="G2" s="1697"/>
    </row>
    <row r="3" spans="1:15" ht="15.95" customHeight="1" thickBot="1">
      <c r="A3" s="423" t="str">
        <f>封面!$D$4</f>
        <v>编制单位：华鼎资本（北京）有限公司</v>
      </c>
      <c r="D3" s="424" t="s">
        <v>2031</v>
      </c>
    </row>
    <row r="4" spans="1:15" ht="21.75" customHeight="1">
      <c r="A4" s="425" t="s">
        <v>2059</v>
      </c>
      <c r="B4" s="426" t="s">
        <v>2032</v>
      </c>
      <c r="C4" s="426" t="s">
        <v>2028</v>
      </c>
      <c r="D4" s="427" t="s">
        <v>2030</v>
      </c>
      <c r="G4" s="47"/>
      <c r="J4" s="293">
        <f>C53*0.05</f>
        <v>376069.65150000004</v>
      </c>
      <c r="K4" s="289"/>
      <c r="M4" s="1557" t="s">
        <v>4974</v>
      </c>
      <c r="N4" s="1558" t="s">
        <v>4958</v>
      </c>
      <c r="O4" s="1557" t="s">
        <v>4957</v>
      </c>
    </row>
    <row r="5" spans="1:15" ht="21.75" customHeight="1">
      <c r="A5" s="428" t="s">
        <v>532</v>
      </c>
      <c r="B5" s="429"/>
      <c r="C5" s="485"/>
      <c r="D5" s="487"/>
      <c r="E5" s="99"/>
      <c r="F5" s="99"/>
      <c r="G5" s="48"/>
      <c r="I5" s="133" t="s">
        <v>246</v>
      </c>
      <c r="J5" s="133" t="s">
        <v>245</v>
      </c>
      <c r="K5" s="134" t="s">
        <v>249</v>
      </c>
      <c r="L5" s="133" t="s">
        <v>248</v>
      </c>
    </row>
    <row r="6" spans="1:15" ht="21.75" customHeight="1">
      <c r="A6" s="433" t="s">
        <v>2079</v>
      </c>
      <c r="B6" s="429"/>
      <c r="C6" s="460">
        <f>ROUND(试算平衡表!I7,2)</f>
        <v>1273033.68</v>
      </c>
      <c r="D6" s="461">
        <f>ROUND(试算平衡表!N7,2)</f>
        <v>6270239.29</v>
      </c>
      <c r="E6" s="99"/>
      <c r="F6" s="99"/>
      <c r="G6" s="48"/>
      <c r="H6" s="290"/>
      <c r="I6" s="293">
        <f>C6-D6</f>
        <v>-4997205.6100000003</v>
      </c>
      <c r="J6" s="294">
        <f t="shared" ref="J6:J53" si="0">IFERROR(IF(OR(ABS((C6-D6)/D6)&gt;0.3,ABS((C6-D6))&gt;$J$4),(C6-D6)/D6,""),"")</f>
        <v>-0.79697207377232337</v>
      </c>
      <c r="K6" s="287"/>
      <c r="L6" s="1583" t="str">
        <f>IF(J6&lt;&gt;"",A6&amp;"2012年12月31日期末数为"&amp;TEXT(C6,"0,000.00")&amp;"元，比期初数"&amp;IF(J6&gt;0,"增加","减少")&amp;TEXT(ABS(J6),"00.00%")&amp;"，主要是由于"&amp;K6&amp;"所致。",0)</f>
        <v xml:space="preserve">    货币资金2012年12月31日期末数为1,273,033.68元，比期初数减少79.70%，主要是由于所致。</v>
      </c>
      <c r="M6" s="1554" t="s">
        <v>4956</v>
      </c>
      <c r="N6" s="1555">
        <f>C27-C87</f>
        <v>6117554.5300000003</v>
      </c>
      <c r="O6" s="1555">
        <f>D27-D87</f>
        <v>6079550.2199999997</v>
      </c>
    </row>
    <row r="7" spans="1:15" ht="21.75" customHeight="1">
      <c r="A7" s="433" t="s">
        <v>534</v>
      </c>
      <c r="B7" s="429"/>
      <c r="C7" s="460">
        <f>ROUND(试算平衡表!I8,2)</f>
        <v>0</v>
      </c>
      <c r="D7" s="461">
        <f>ROUND(试算平衡表!N8,2)</f>
        <v>0</v>
      </c>
      <c r="E7" s="99"/>
      <c r="F7" s="99"/>
      <c r="G7" s="48"/>
      <c r="I7" s="293">
        <f t="shared" ref="I7:I53" si="1">C7-D7</f>
        <v>0</v>
      </c>
      <c r="J7" s="294" t="str">
        <f t="shared" si="0"/>
        <v/>
      </c>
      <c r="K7" s="287"/>
      <c r="L7" s="1583">
        <f t="shared" ref="L7:L51" si="2">IF(J7&lt;&gt;"",A7&amp;"2012年12月31日期末数为"&amp;TEXT(C7,"0,000.00")&amp;"元，比期初数"&amp;IF(J7&gt;0,"增加","减少")&amp;TEXT(ABS(J7),"00.00%")&amp;"，主要是由于"&amp;K7&amp;"所致。",0)</f>
        <v>0</v>
      </c>
      <c r="M7" s="1554" t="s">
        <v>4959</v>
      </c>
      <c r="N7" s="1555">
        <f>IFERROR(C27/C87,0)</f>
        <v>12.665638993576776</v>
      </c>
      <c r="O7" s="1555">
        <f>IFERROR(D27/D87,0)</f>
        <v>6.4770663491174609</v>
      </c>
    </row>
    <row r="8" spans="1:15" ht="21.75" customHeight="1">
      <c r="A8" s="433" t="s">
        <v>2074</v>
      </c>
      <c r="B8" s="429"/>
      <c r="C8" s="460">
        <f>ROUND(试算平衡表!I9,2)</f>
        <v>0</v>
      </c>
      <c r="D8" s="461">
        <f>ROUND(试算平衡表!N9,2)</f>
        <v>0</v>
      </c>
      <c r="E8" s="99"/>
      <c r="F8" s="99"/>
      <c r="G8" s="48"/>
      <c r="I8" s="293">
        <f t="shared" si="1"/>
        <v>0</v>
      </c>
      <c r="J8" s="294" t="str">
        <f t="shared" si="0"/>
        <v/>
      </c>
      <c r="K8" s="287"/>
      <c r="L8" s="1583">
        <f t="shared" si="2"/>
        <v>0</v>
      </c>
      <c r="M8" s="1554" t="s">
        <v>4960</v>
      </c>
      <c r="N8" s="1555">
        <f>IFERROR((C27-C26-C25-C21-C13)/C87,0)</f>
        <v>12.401377278733786</v>
      </c>
      <c r="O8" s="1555">
        <f>IFERROR((D27-D26-D25-D21-D13)/D87,0)</f>
        <v>6.3992613611588895</v>
      </c>
    </row>
    <row r="9" spans="1:15" ht="21.75" customHeight="1">
      <c r="A9" s="433" t="s">
        <v>1753</v>
      </c>
      <c r="B9" s="429"/>
      <c r="C9" s="460">
        <f>ROUND(试算平衡表!I10,2)</f>
        <v>0</v>
      </c>
      <c r="D9" s="461">
        <f>ROUND(试算平衡表!N10,2)</f>
        <v>0</v>
      </c>
      <c r="E9" s="99"/>
      <c r="F9" s="99"/>
      <c r="G9" s="48"/>
      <c r="I9" s="293">
        <f>C9-D9</f>
        <v>0</v>
      </c>
      <c r="J9" s="294" t="str">
        <f>IFERROR(IF(OR(ABS((C9-D9)/D9)&gt;0.3,ABS((C9-D9))&gt;$J$4),(C9-D9)/D9,""),"")</f>
        <v/>
      </c>
      <c r="K9" s="287"/>
      <c r="L9" s="1583">
        <f>IF(J9&lt;&gt;"",A9&amp;"2012年12月31日期末数为"&amp;TEXT(C9,"0,000.00")&amp;"元，比期初数"&amp;IF(J9&gt;0,"增加","减少")&amp;TEXT(ABS(J9),"00.00%")&amp;"，主要是由于"&amp;K9&amp;"所致。",0)</f>
        <v>0</v>
      </c>
      <c r="M9" s="1554" t="s">
        <v>4961</v>
      </c>
      <c r="N9" s="1555">
        <f>IFERROR((C27-C87)/C27,0)</f>
        <v>0.92104622589455321</v>
      </c>
      <c r="O9" s="1555">
        <f>IFERROR((D27-D87)/D27,0)</f>
        <v>0.84560911590225474</v>
      </c>
    </row>
    <row r="10" spans="1:15" ht="21.75" customHeight="1">
      <c r="A10" s="433" t="s">
        <v>1754</v>
      </c>
      <c r="B10" s="429"/>
      <c r="C10" s="460">
        <f>ROUND(试算平衡表!I11,2)</f>
        <v>0</v>
      </c>
      <c r="D10" s="461">
        <f>ROUND(试算平衡表!N11,2)</f>
        <v>0</v>
      </c>
      <c r="E10" s="99"/>
      <c r="F10" s="99"/>
      <c r="G10" s="48"/>
      <c r="I10" s="293">
        <f t="shared" si="1"/>
        <v>0</v>
      </c>
      <c r="J10" s="294" t="str">
        <f t="shared" si="0"/>
        <v/>
      </c>
      <c r="K10" s="287"/>
      <c r="L10" s="1583">
        <f t="shared" si="2"/>
        <v>0</v>
      </c>
      <c r="M10" s="1554" t="s">
        <v>4962</v>
      </c>
      <c r="N10" s="1555">
        <f>IFERROR(C100/C53,0)</f>
        <v>6.9722192140250383E-2</v>
      </c>
      <c r="O10" s="1555">
        <f>IFERROR(D100/D53,0)</f>
        <v>0.1382001823742417</v>
      </c>
    </row>
    <row r="11" spans="1:15" ht="21.75" customHeight="1">
      <c r="A11" s="433" t="s">
        <v>536</v>
      </c>
      <c r="B11" s="429"/>
      <c r="C11" s="460">
        <f>ROUND(试算平衡表!I12,2)</f>
        <v>0</v>
      </c>
      <c r="D11" s="461">
        <f>ROUND(试算平衡表!N12,2)</f>
        <v>0</v>
      </c>
      <c r="E11" s="99"/>
      <c r="F11" s="99"/>
      <c r="G11" s="48"/>
      <c r="I11" s="293">
        <f t="shared" si="1"/>
        <v>0</v>
      </c>
      <c r="J11" s="294" t="str">
        <f t="shared" si="0"/>
        <v/>
      </c>
      <c r="K11" s="287"/>
      <c r="L11" s="1583">
        <f t="shared" si="2"/>
        <v>0</v>
      </c>
      <c r="M11" s="1554" t="s">
        <v>4963</v>
      </c>
      <c r="N11" s="1555">
        <f>IFERROR(C53/C129,0)</f>
        <v>1.0749477108356023</v>
      </c>
      <c r="O11" s="1555">
        <f>IFERROR(D53/D129,0)</f>
        <v>1.1603622785103165</v>
      </c>
    </row>
    <row r="12" spans="1:15" ht="21.75" customHeight="1">
      <c r="A12" s="433" t="s">
        <v>537</v>
      </c>
      <c r="B12" s="429"/>
      <c r="C12" s="460">
        <f>ROUND(试算平衡表!I13,2)</f>
        <v>4370000</v>
      </c>
      <c r="D12" s="461">
        <f>ROUND(试算平衡表!N13,2)</f>
        <v>0</v>
      </c>
      <c r="E12" s="1556"/>
      <c r="F12" s="99"/>
      <c r="G12" s="48"/>
      <c r="I12" s="293">
        <f t="shared" si="1"/>
        <v>4370000</v>
      </c>
      <c r="J12" s="294" t="str">
        <f t="shared" si="0"/>
        <v/>
      </c>
      <c r="K12" s="287"/>
      <c r="L12" s="1583">
        <f t="shared" si="2"/>
        <v>0</v>
      </c>
      <c r="M12" s="1554" t="s">
        <v>4964</v>
      </c>
      <c r="N12" s="1555">
        <f>IFERROR(C100/C129,0)</f>
        <v>7.4947710835602172E-2</v>
      </c>
      <c r="O12" s="1555">
        <f>IFERROR(D100/D129,0)</f>
        <v>0.16036227851031637</v>
      </c>
    </row>
    <row r="13" spans="1:15" ht="21.75" customHeight="1">
      <c r="A13" s="433" t="s">
        <v>538</v>
      </c>
      <c r="B13" s="429"/>
      <c r="C13" s="460">
        <f>ROUND(试算平衡表!I14,2)</f>
        <v>0</v>
      </c>
      <c r="D13" s="461">
        <f>ROUND(试算平衡表!N14,2)</f>
        <v>0</v>
      </c>
      <c r="E13" s="99"/>
      <c r="F13" s="99"/>
      <c r="G13" s="48"/>
      <c r="I13" s="293">
        <f t="shared" si="1"/>
        <v>0</v>
      </c>
      <c r="J13" s="294" t="str">
        <f t="shared" si="0"/>
        <v/>
      </c>
      <c r="K13" s="287"/>
      <c r="L13" s="1583">
        <f t="shared" si="2"/>
        <v>0</v>
      </c>
      <c r="M13" s="1554" t="s">
        <v>4965</v>
      </c>
      <c r="N13" s="119">
        <f>IFERROR((C99+C129)/C53,0)</f>
        <v>0.93027780785974956</v>
      </c>
      <c r="O13" s="119">
        <f>IFERROR((D99+D129)/D53,0)</f>
        <v>0.8617998176257583</v>
      </c>
    </row>
    <row r="14" spans="1:15" ht="21.75" customHeight="1">
      <c r="A14" s="433" t="s">
        <v>539</v>
      </c>
      <c r="B14" s="429"/>
      <c r="C14" s="460">
        <f>ROUND(试算平衡表!I15,2)</f>
        <v>0</v>
      </c>
      <c r="D14" s="461">
        <f>ROUND(试算平衡表!N15,2)</f>
        <v>0</v>
      </c>
      <c r="E14" s="99"/>
      <c r="F14" s="99"/>
      <c r="G14" s="48"/>
      <c r="I14" s="293">
        <f t="shared" si="1"/>
        <v>0</v>
      </c>
      <c r="J14" s="294" t="str">
        <f t="shared" si="0"/>
        <v/>
      </c>
      <c r="K14" s="287"/>
      <c r="L14" s="1583">
        <f t="shared" si="2"/>
        <v>0</v>
      </c>
      <c r="M14" s="1554" t="s">
        <v>4966</v>
      </c>
      <c r="N14" s="119">
        <f>IFERROR(C6/C87,0)</f>
        <v>2.4275633776074472</v>
      </c>
      <c r="O14" s="119">
        <f>IFERROR(D6/D87,0)</f>
        <v>5.6488581183515842</v>
      </c>
    </row>
    <row r="15" spans="1:15" ht="21.75" customHeight="1">
      <c r="A15" s="433" t="s">
        <v>540</v>
      </c>
      <c r="B15" s="429"/>
      <c r="C15" s="460">
        <f>ROUND(试算平衡表!I16,2)</f>
        <v>0</v>
      </c>
      <c r="D15" s="461">
        <f>ROUND(试算平衡表!N16,2)</f>
        <v>0</v>
      </c>
      <c r="E15" s="99"/>
      <c r="F15" s="99"/>
      <c r="G15" s="48"/>
      <c r="I15" s="293">
        <f t="shared" si="1"/>
        <v>0</v>
      </c>
      <c r="J15" s="294" t="str">
        <f t="shared" si="0"/>
        <v/>
      </c>
      <c r="K15" s="287"/>
      <c r="L15" s="1583">
        <f t="shared" si="2"/>
        <v>0</v>
      </c>
      <c r="M15" s="1554" t="s">
        <v>4967</v>
      </c>
      <c r="N15" s="119">
        <f>IFERROR(C100/(C129-C45),0)</f>
        <v>7.4947710835602172E-2</v>
      </c>
      <c r="O15" s="119">
        <f>IFERROR(D100/(D129-D45),0)</f>
        <v>0.16036227851031637</v>
      </c>
    </row>
    <row r="16" spans="1:15" ht="21.75" customHeight="1">
      <c r="A16" s="433" t="s">
        <v>2060</v>
      </c>
      <c r="B16" s="429"/>
      <c r="C16" s="460">
        <f>ROUND(试算平衡表!I17,2)</f>
        <v>0</v>
      </c>
      <c r="D16" s="461">
        <f>ROUND(试算平衡表!N17,2)</f>
        <v>0</v>
      </c>
      <c r="E16" s="99"/>
      <c r="F16" s="99"/>
      <c r="G16" s="48"/>
      <c r="I16" s="293">
        <f t="shared" si="1"/>
        <v>0</v>
      </c>
      <c r="J16" s="294" t="str">
        <f t="shared" si="0"/>
        <v/>
      </c>
      <c r="K16" s="287"/>
      <c r="L16" s="1583">
        <f t="shared" si="2"/>
        <v>0</v>
      </c>
      <c r="M16" s="1554" t="s">
        <v>4968</v>
      </c>
      <c r="N16" s="119">
        <f>IFERROR(审定利润表!C6/((审定资产负债表!C12+审定资产负债表!D12)/2),0)</f>
        <v>1.9860973226544625</v>
      </c>
      <c r="O16" s="119">
        <f>IFERROR(审定利润表!D6/((审定资产负债表!D12+审定资产负债表!E12)/2),0)</f>
        <v>0</v>
      </c>
    </row>
    <row r="17" spans="1:16" ht="21.75" customHeight="1">
      <c r="A17" s="433" t="s">
        <v>541</v>
      </c>
      <c r="B17" s="429"/>
      <c r="C17" s="460">
        <f>ROUND(试算平衡表!I18,2)</f>
        <v>0</v>
      </c>
      <c r="D17" s="461">
        <f>ROUND(试算平衡表!N18,2)</f>
        <v>0</v>
      </c>
      <c r="E17" s="99"/>
      <c r="F17" s="99"/>
      <c r="G17" s="48"/>
      <c r="I17" s="293">
        <f t="shared" si="1"/>
        <v>0</v>
      </c>
      <c r="J17" s="294" t="str">
        <f t="shared" si="0"/>
        <v/>
      </c>
      <c r="K17" s="287"/>
      <c r="L17" s="1583">
        <f t="shared" si="2"/>
        <v>0</v>
      </c>
      <c r="M17" s="1554" t="s">
        <v>4969</v>
      </c>
      <c r="N17" s="119">
        <f>IFERROR(审定利润表!C13/((审定资产负债表!C21+审定资产负债表!D21)/2),0)</f>
        <v>0</v>
      </c>
      <c r="O17" s="119">
        <f>IFERROR(审定利润表!D13/((审定资产负债表!D21+审定资产负债表!E21)/2),0)</f>
        <v>0</v>
      </c>
    </row>
    <row r="18" spans="1:16" ht="21.75" customHeight="1">
      <c r="A18" s="437" t="s">
        <v>542</v>
      </c>
      <c r="B18" s="429"/>
      <c r="C18" s="460">
        <f>ROUND(试算平衡表!I19,2)</f>
        <v>0</v>
      </c>
      <c r="D18" s="461">
        <f>ROUND(试算平衡表!N19,2)</f>
        <v>0</v>
      </c>
      <c r="E18" s="99"/>
      <c r="F18" s="99"/>
      <c r="G18" s="48"/>
      <c r="I18" s="293">
        <f t="shared" si="1"/>
        <v>0</v>
      </c>
      <c r="J18" s="294" t="str">
        <f t="shared" si="0"/>
        <v/>
      </c>
      <c r="K18" s="287"/>
      <c r="L18" s="1583">
        <f t="shared" si="2"/>
        <v>0</v>
      </c>
      <c r="M18" s="1554" t="s">
        <v>4970</v>
      </c>
      <c r="N18" s="119">
        <f>IFERROR(审定利润表!C6/审定资产负债表!C27,0)</f>
        <v>0.65336451746986224</v>
      </c>
      <c r="O18" s="119">
        <f>IFERROR(审定利润表!D6/审定资产负债表!D27,0)</f>
        <v>2.2307004948022198</v>
      </c>
      <c r="P18" s="119"/>
    </row>
    <row r="19" spans="1:16" ht="21.75" customHeight="1">
      <c r="A19" s="433" t="s">
        <v>2061</v>
      </c>
      <c r="B19" s="429"/>
      <c r="C19" s="460">
        <f>ROUND(试算平衡表!I20,2)</f>
        <v>860347.9</v>
      </c>
      <c r="D19" s="461">
        <f>ROUND(试算平衡表!N20,2)</f>
        <v>832948.5</v>
      </c>
      <c r="E19" s="99"/>
      <c r="F19" s="99"/>
      <c r="G19" s="48"/>
      <c r="I19" s="293">
        <f t="shared" si="1"/>
        <v>27399.400000000023</v>
      </c>
      <c r="J19" s="294" t="str">
        <f t="shared" si="0"/>
        <v/>
      </c>
      <c r="K19" s="287"/>
      <c r="L19" s="1583">
        <f t="shared" si="2"/>
        <v>0</v>
      </c>
      <c r="M19" s="1554" t="s">
        <v>4971</v>
      </c>
      <c r="N19" s="119">
        <f>IFERROR(审定利润表!C6/(审定资产负债表!C27-审定资产负债表!C87),0)</f>
        <v>0.70937212389670357</v>
      </c>
      <c r="O19" s="119">
        <f>IFERROR(审定利润表!D6/(审定资产负债表!D27-审定资产负债表!D87),0)</f>
        <v>2.6379806613391215</v>
      </c>
    </row>
    <row r="20" spans="1:16" ht="21.75" customHeight="1">
      <c r="A20" s="433" t="s">
        <v>2053</v>
      </c>
      <c r="B20" s="429"/>
      <c r="C20" s="460">
        <f>ROUND(试算平衡表!I21,2)</f>
        <v>0</v>
      </c>
      <c r="D20" s="461">
        <f>ROUND(试算平衡表!N21,2)</f>
        <v>0</v>
      </c>
      <c r="E20" s="99"/>
      <c r="F20" s="99"/>
      <c r="G20" s="48"/>
      <c r="I20" s="293">
        <f t="shared" si="1"/>
        <v>0</v>
      </c>
      <c r="J20" s="294" t="str">
        <f t="shared" si="0"/>
        <v/>
      </c>
      <c r="K20" s="287"/>
      <c r="L20" s="1583">
        <f t="shared" si="2"/>
        <v>0</v>
      </c>
      <c r="M20" s="1554" t="s">
        <v>4972</v>
      </c>
      <c r="N20" s="119">
        <f>IFERROR(审定利润表!C6/审定资产负债表!C52,0)</f>
        <v>4.9345828912527248</v>
      </c>
      <c r="O20" s="119">
        <f>IFERROR(审定利润表!D6/审定资产负债表!D52,0)</f>
        <v>19.040756878156312</v>
      </c>
    </row>
    <row r="21" spans="1:16" ht="21.75" customHeight="1">
      <c r="A21" s="433" t="s">
        <v>545</v>
      </c>
      <c r="B21" s="429"/>
      <c r="C21" s="460">
        <f>ROUND(试算平衡表!I22,2)</f>
        <v>0</v>
      </c>
      <c r="D21" s="461">
        <f>ROUND(试算平衡表!N22,2)</f>
        <v>0</v>
      </c>
      <c r="E21" s="1556"/>
      <c r="F21" s="99"/>
      <c r="G21" s="48"/>
      <c r="I21" s="293">
        <f t="shared" si="1"/>
        <v>0</v>
      </c>
      <c r="J21" s="294" t="str">
        <f t="shared" si="0"/>
        <v/>
      </c>
      <c r="K21" s="287"/>
      <c r="L21" s="1583">
        <f t="shared" si="2"/>
        <v>0</v>
      </c>
      <c r="M21" s="1554" t="s">
        <v>4973</v>
      </c>
      <c r="N21" s="119">
        <f>IFERROR(审定利润表!C6/审定资产负债表!C53,0)</f>
        <v>0.57697060008576628</v>
      </c>
      <c r="O21" s="119">
        <f>IFERROR(审定利润表!D6/审定资产负债表!D53,0)</f>
        <v>1.9967708391954218</v>
      </c>
    </row>
    <row r="22" spans="1:16" ht="21.75" customHeight="1">
      <c r="A22" s="438" t="s">
        <v>546</v>
      </c>
      <c r="B22" s="429"/>
      <c r="C22" s="460">
        <f>ROUND(试算平衡表!I23,2)</f>
        <v>0</v>
      </c>
      <c r="D22" s="461">
        <f>ROUND(试算平衡表!N23,2)</f>
        <v>0</v>
      </c>
      <c r="E22" s="99"/>
      <c r="F22" s="99"/>
      <c r="G22" s="48"/>
      <c r="I22" s="293">
        <f t="shared" si="1"/>
        <v>0</v>
      </c>
      <c r="J22" s="294" t="str">
        <f t="shared" si="0"/>
        <v/>
      </c>
      <c r="K22" s="287"/>
      <c r="L22" s="1583">
        <f t="shared" si="2"/>
        <v>0</v>
      </c>
      <c r="M22" s="1554" t="s">
        <v>4975</v>
      </c>
      <c r="N22" s="119">
        <f>IFERROR(审定利润表!C6/((审定资产负债表!C37+审定资产负债表!D37)/2),0)</f>
        <v>32.831134565641882</v>
      </c>
      <c r="O22" s="119">
        <f>IFERROR(审定利润表!D6/((审定资产负债表!D37+审定资产负债表!G37)/2),0)</f>
        <v>211.67217316383443</v>
      </c>
    </row>
    <row r="23" spans="1:16" ht="21.75" customHeight="1">
      <c r="A23" s="438" t="s">
        <v>547</v>
      </c>
      <c r="B23" s="429"/>
      <c r="C23" s="460">
        <f>ROUND(试算平衡表!I24,2)</f>
        <v>0</v>
      </c>
      <c r="D23" s="461">
        <f>ROUND(试算平衡表!N24,2)</f>
        <v>0</v>
      </c>
      <c r="E23" s="99"/>
      <c r="F23" s="99"/>
      <c r="G23" s="48"/>
      <c r="I23" s="293">
        <f t="shared" si="1"/>
        <v>0</v>
      </c>
      <c r="J23" s="294" t="str">
        <f t="shared" si="0"/>
        <v/>
      </c>
      <c r="K23" s="287"/>
      <c r="L23" s="1583">
        <f t="shared" si="2"/>
        <v>0</v>
      </c>
    </row>
    <row r="24" spans="1:16" ht="21.75" customHeight="1">
      <c r="A24" s="1342" t="s">
        <v>4636</v>
      </c>
      <c r="B24" s="429"/>
      <c r="C24" s="460">
        <f>ROUND(试算平衡表!I25,2)</f>
        <v>0</v>
      </c>
      <c r="D24" s="461">
        <f>ROUND(试算平衡表!N25,2)</f>
        <v>0</v>
      </c>
      <c r="E24" s="99"/>
      <c r="F24" s="99"/>
      <c r="G24" s="48"/>
      <c r="I24" s="293">
        <f>C24-D24</f>
        <v>0</v>
      </c>
      <c r="J24" s="294" t="str">
        <f>IFERROR(IF(OR(ABS((C24-D24)/D24)&gt;0.3,ABS((C24-D24))&gt;$J$4),(C24-D24)/D24,""),"")</f>
        <v/>
      </c>
      <c r="K24" s="287"/>
      <c r="L24" s="1583">
        <f>IF(J24&lt;&gt;"",A24&amp;"2012年12月31日期末数为"&amp;TEXT(C24,"0,000.00")&amp;"元，比期初数"&amp;IF(J24&gt;0,"增加","减少")&amp;TEXT(ABS(J24),"00.00%")&amp;"，主要是由于"&amp;K24&amp;"所致。",0)</f>
        <v>0</v>
      </c>
    </row>
    <row r="25" spans="1:16" ht="21.75" customHeight="1">
      <c r="A25" s="433" t="s">
        <v>2062</v>
      </c>
      <c r="B25" s="429"/>
      <c r="C25" s="460">
        <f>ROUND(试算平衡表!I26,2)</f>
        <v>0</v>
      </c>
      <c r="D25" s="461">
        <f>ROUND(试算平衡表!N26,2)</f>
        <v>0</v>
      </c>
      <c r="E25" s="99"/>
      <c r="F25" s="99"/>
      <c r="G25" s="48"/>
      <c r="I25" s="293">
        <f t="shared" si="1"/>
        <v>0</v>
      </c>
      <c r="J25" s="294" t="str">
        <f t="shared" si="0"/>
        <v/>
      </c>
      <c r="K25" s="287"/>
      <c r="L25" s="1583">
        <f t="shared" si="2"/>
        <v>0</v>
      </c>
    </row>
    <row r="26" spans="1:16" ht="21.75" customHeight="1">
      <c r="A26" s="433" t="s">
        <v>549</v>
      </c>
      <c r="B26" s="429"/>
      <c r="C26" s="460">
        <f>ROUND(试算平衡表!I27,2)</f>
        <v>138580.96</v>
      </c>
      <c r="D26" s="461">
        <f>ROUND(试算平衡表!N27,2)</f>
        <v>86363.63</v>
      </c>
      <c r="F26" s="99"/>
      <c r="G26" s="48"/>
      <c r="I26" s="293">
        <f t="shared" si="1"/>
        <v>52217.329999999987</v>
      </c>
      <c r="J26" s="294">
        <f t="shared" si="0"/>
        <v>0.6046217603405506</v>
      </c>
      <c r="K26" s="287"/>
      <c r="L26" s="1583" t="str">
        <f t="shared" si="2"/>
        <v xml:space="preserve">    其他流动资产2012年12月31日期末数为138,580.96元，比期初数增加60.46%，主要是由于所致。</v>
      </c>
    </row>
    <row r="27" spans="1:16" ht="21.75" customHeight="1">
      <c r="A27" s="439" t="s">
        <v>550</v>
      </c>
      <c r="B27" s="429"/>
      <c r="C27" s="460">
        <f>ROUND(试算平衡表!I28,2)</f>
        <v>6641962.54</v>
      </c>
      <c r="D27" s="461">
        <f>ROUND(试算平衡表!N28,2)</f>
        <v>7189551.4199999999</v>
      </c>
      <c r="E27" s="102">
        <f>SUM(C6:C26)-C22-C23-C27</f>
        <v>0</v>
      </c>
      <c r="F27" s="102">
        <f>SUM(D6:D26)-D22-D23-D27</f>
        <v>0</v>
      </c>
      <c r="G27" s="48"/>
      <c r="I27" s="293">
        <f t="shared" si="1"/>
        <v>-547588.87999999989</v>
      </c>
      <c r="J27" s="294">
        <f t="shared" si="0"/>
        <v>-7.616454045751854E-2</v>
      </c>
      <c r="K27" s="287"/>
      <c r="L27" s="1583" t="str">
        <f t="shared" si="2"/>
        <v>流动资产合计2012年12月31日期末数为6,641,962.54元，比期初数减少07.62%，主要是由于所致。</v>
      </c>
    </row>
    <row r="28" spans="1:16" ht="21.75" customHeight="1">
      <c r="A28" s="442" t="s">
        <v>551</v>
      </c>
      <c r="B28" s="429"/>
      <c r="C28" s="460">
        <f>ROUND(试算平衡表!I29,2)</f>
        <v>0</v>
      </c>
      <c r="D28" s="461">
        <f>ROUND(试算平衡表!N29,2)</f>
        <v>0</v>
      </c>
      <c r="E28" s="99"/>
      <c r="F28" s="99"/>
      <c r="G28" s="48"/>
      <c r="I28" s="293">
        <f t="shared" si="1"/>
        <v>0</v>
      </c>
      <c r="J28" s="294" t="str">
        <f t="shared" si="0"/>
        <v/>
      </c>
      <c r="K28" s="287"/>
      <c r="L28" s="1583">
        <f t="shared" si="2"/>
        <v>0</v>
      </c>
    </row>
    <row r="29" spans="1:16" ht="21.75" customHeight="1">
      <c r="A29" s="443" t="s">
        <v>552</v>
      </c>
      <c r="B29" s="429"/>
      <c r="C29" s="460">
        <f>ROUND(试算平衡表!I30,2)</f>
        <v>0</v>
      </c>
      <c r="D29" s="461">
        <f>ROUND(试算平衡表!N30,2)</f>
        <v>0</v>
      </c>
      <c r="E29" s="99"/>
      <c r="F29" s="99"/>
      <c r="G29" s="48"/>
      <c r="I29" s="293">
        <f t="shared" si="1"/>
        <v>0</v>
      </c>
      <c r="J29" s="294" t="str">
        <f t="shared" si="0"/>
        <v/>
      </c>
      <c r="K29" s="287"/>
      <c r="L29" s="1583">
        <f t="shared" si="2"/>
        <v>0</v>
      </c>
    </row>
    <row r="30" spans="1:16" ht="21.75" customHeight="1">
      <c r="A30" s="443" t="s">
        <v>553</v>
      </c>
      <c r="B30" s="429"/>
      <c r="C30" s="460">
        <f>ROUND(试算平衡表!I31,2)</f>
        <v>705294</v>
      </c>
      <c r="D30" s="461">
        <f>ROUND(试算平衡表!N31,2)</f>
        <v>675294</v>
      </c>
      <c r="E30" s="99"/>
      <c r="F30" s="99"/>
      <c r="G30" s="48"/>
      <c r="I30" s="293">
        <f t="shared" si="1"/>
        <v>30000</v>
      </c>
      <c r="J30" s="294" t="str">
        <f t="shared" si="0"/>
        <v/>
      </c>
      <c r="K30" s="287"/>
      <c r="L30" s="1583">
        <f t="shared" si="2"/>
        <v>0</v>
      </c>
    </row>
    <row r="31" spans="1:16" ht="21.75" customHeight="1">
      <c r="A31" s="443" t="s">
        <v>554</v>
      </c>
      <c r="B31" s="429"/>
      <c r="C31" s="460">
        <f>ROUND(试算平衡表!I32,2)</f>
        <v>0</v>
      </c>
      <c r="D31" s="461">
        <f>ROUND(试算平衡表!N32,2)</f>
        <v>0</v>
      </c>
      <c r="E31" s="99"/>
      <c r="F31" s="99"/>
      <c r="G31" s="48"/>
      <c r="I31" s="293">
        <f t="shared" si="1"/>
        <v>0</v>
      </c>
      <c r="J31" s="294" t="str">
        <f t="shared" si="0"/>
        <v/>
      </c>
      <c r="K31" s="287"/>
      <c r="L31" s="1583">
        <f t="shared" si="2"/>
        <v>0</v>
      </c>
    </row>
    <row r="32" spans="1:16" ht="21.75" customHeight="1">
      <c r="A32" s="443" t="s">
        <v>2063</v>
      </c>
      <c r="B32" s="429"/>
      <c r="C32" s="460">
        <f>ROUND(试算平衡表!I33,2)</f>
        <v>0</v>
      </c>
      <c r="D32" s="461">
        <f>ROUND(试算平衡表!N33,2)</f>
        <v>0</v>
      </c>
      <c r="E32" s="99"/>
      <c r="F32" s="99"/>
      <c r="G32" s="48"/>
      <c r="I32" s="293">
        <f t="shared" si="1"/>
        <v>0</v>
      </c>
      <c r="J32" s="294" t="str">
        <f t="shared" si="0"/>
        <v/>
      </c>
      <c r="K32" s="287"/>
      <c r="L32" s="1583">
        <f t="shared" si="2"/>
        <v>0</v>
      </c>
    </row>
    <row r="33" spans="1:12" ht="21.75" customHeight="1">
      <c r="A33" s="443" t="s">
        <v>556</v>
      </c>
      <c r="B33" s="429"/>
      <c r="C33" s="460">
        <f>ROUND(试算平衡表!I34,2)</f>
        <v>0</v>
      </c>
      <c r="D33" s="461">
        <f>ROUND(试算平衡表!N34,2)</f>
        <v>0</v>
      </c>
      <c r="F33" s="99"/>
      <c r="I33" s="293">
        <f t="shared" si="1"/>
        <v>0</v>
      </c>
      <c r="J33" s="294" t="str">
        <f t="shared" si="0"/>
        <v/>
      </c>
      <c r="K33" s="287"/>
      <c r="L33" s="1583">
        <f t="shared" si="2"/>
        <v>0</v>
      </c>
    </row>
    <row r="34" spans="1:12" ht="21.75" customHeight="1">
      <c r="A34" s="444" t="s">
        <v>557</v>
      </c>
      <c r="B34" s="429"/>
      <c r="C34" s="460">
        <f>ROUND(试算平衡表!I35,2)</f>
        <v>0</v>
      </c>
      <c r="D34" s="461">
        <f>ROUND(试算平衡表!N35,2)</f>
        <v>0</v>
      </c>
      <c r="E34" s="99"/>
      <c r="I34" s="293">
        <f t="shared" si="1"/>
        <v>0</v>
      </c>
      <c r="J34" s="294" t="str">
        <f t="shared" si="0"/>
        <v/>
      </c>
      <c r="K34" s="287"/>
      <c r="L34" s="1583">
        <f t="shared" si="2"/>
        <v>0</v>
      </c>
    </row>
    <row r="35" spans="1:12" ht="21.75" customHeight="1">
      <c r="A35" s="443" t="s">
        <v>558</v>
      </c>
      <c r="B35" s="429"/>
      <c r="C35" s="460">
        <f>ROUND(试算平衡表!I36,2)</f>
        <v>419047.24</v>
      </c>
      <c r="D35" s="461">
        <f>ROUND(试算平衡表!N36,2)</f>
        <v>429334.24</v>
      </c>
      <c r="E35" s="99"/>
      <c r="I35" s="293">
        <f t="shared" si="1"/>
        <v>-10287</v>
      </c>
      <c r="J35" s="294" t="str">
        <f t="shared" si="0"/>
        <v/>
      </c>
      <c r="K35" s="287"/>
      <c r="L35" s="1583">
        <f t="shared" si="2"/>
        <v>0</v>
      </c>
    </row>
    <row r="36" spans="1:12" ht="21.75" customHeight="1">
      <c r="A36" s="445" t="s">
        <v>2075</v>
      </c>
      <c r="B36" s="429"/>
      <c r="C36" s="460">
        <f>ROUND(试算平衡表!I37,2)</f>
        <v>306220.76</v>
      </c>
      <c r="D36" s="461">
        <f>ROUND(试算平衡表!N37,2)</f>
        <v>277800.52</v>
      </c>
      <c r="E36" s="99"/>
      <c r="I36" s="293">
        <f t="shared" si="1"/>
        <v>28420.239999999991</v>
      </c>
      <c r="J36" s="294" t="str">
        <f t="shared" si="0"/>
        <v/>
      </c>
      <c r="K36" s="287"/>
      <c r="L36" s="1583">
        <f t="shared" si="2"/>
        <v>0</v>
      </c>
    </row>
    <row r="37" spans="1:12" ht="21.75" customHeight="1">
      <c r="A37" s="445" t="s">
        <v>560</v>
      </c>
      <c r="B37" s="429"/>
      <c r="C37" s="460">
        <f>ROUND(试算平衡表!I38,2)</f>
        <v>112826.48</v>
      </c>
      <c r="D37" s="461">
        <f>ROUND(试算平衡表!N38,2)</f>
        <v>151533.72</v>
      </c>
      <c r="E37" s="102">
        <f>C35-C36-C37</f>
        <v>0</v>
      </c>
      <c r="F37" s="102">
        <f>D35-D36-D37</f>
        <v>0</v>
      </c>
      <c r="G37" s="1559"/>
      <c r="I37" s="293">
        <f t="shared" si="1"/>
        <v>-38707.240000000005</v>
      </c>
      <c r="J37" s="294" t="str">
        <f t="shared" si="0"/>
        <v/>
      </c>
      <c r="K37" s="287"/>
      <c r="L37" s="1583">
        <f t="shared" si="2"/>
        <v>0</v>
      </c>
    </row>
    <row r="38" spans="1:12" ht="21.75" customHeight="1">
      <c r="A38" s="445" t="s">
        <v>561</v>
      </c>
      <c r="B38" s="429"/>
      <c r="C38" s="460">
        <f>ROUND(试算平衡表!I39,2)</f>
        <v>0</v>
      </c>
      <c r="D38" s="461">
        <f>ROUND(试算平衡表!N39,2)</f>
        <v>0</v>
      </c>
      <c r="E38" s="99"/>
      <c r="I38" s="293">
        <f t="shared" si="1"/>
        <v>0</v>
      </c>
      <c r="J38" s="294" t="str">
        <f t="shared" si="0"/>
        <v/>
      </c>
      <c r="K38" s="287"/>
      <c r="L38" s="1583">
        <f t="shared" si="2"/>
        <v>0</v>
      </c>
    </row>
    <row r="39" spans="1:12" ht="21.75" customHeight="1">
      <c r="A39" s="445" t="s">
        <v>562</v>
      </c>
      <c r="B39" s="429"/>
      <c r="C39" s="460">
        <f>ROUND(试算平衡表!I40,2)</f>
        <v>112826.48</v>
      </c>
      <c r="D39" s="461">
        <f>ROUND(试算平衡表!N40,2)</f>
        <v>151533.72</v>
      </c>
      <c r="E39" s="102">
        <f>C37-C38-C39</f>
        <v>0</v>
      </c>
      <c r="F39" s="102">
        <f>D37-D38-D39</f>
        <v>0</v>
      </c>
      <c r="I39" s="293">
        <f t="shared" si="1"/>
        <v>-38707.240000000005</v>
      </c>
      <c r="J39" s="294" t="str">
        <f t="shared" si="0"/>
        <v/>
      </c>
      <c r="K39" s="287"/>
      <c r="L39" s="1583">
        <f t="shared" si="2"/>
        <v>0</v>
      </c>
    </row>
    <row r="40" spans="1:12" ht="21.75" customHeight="1">
      <c r="A40" s="443" t="s">
        <v>563</v>
      </c>
      <c r="B40" s="429"/>
      <c r="C40" s="460">
        <f>ROUND(试算平衡表!I41,2)</f>
        <v>0</v>
      </c>
      <c r="D40" s="461">
        <f>ROUND(试算平衡表!N41,2)</f>
        <v>0</v>
      </c>
      <c r="E40" s="99"/>
      <c r="I40" s="293">
        <f t="shared" si="1"/>
        <v>0</v>
      </c>
      <c r="J40" s="294" t="str">
        <f t="shared" si="0"/>
        <v/>
      </c>
      <c r="K40" s="287"/>
      <c r="L40" s="1583">
        <f t="shared" si="2"/>
        <v>0</v>
      </c>
    </row>
    <row r="41" spans="1:12" ht="21.75" customHeight="1">
      <c r="A41" s="443" t="s">
        <v>2064</v>
      </c>
      <c r="B41" s="429"/>
      <c r="C41" s="460">
        <f>ROUND(试算平衡表!I42,2)</f>
        <v>0</v>
      </c>
      <c r="D41" s="461">
        <f>ROUND(试算平衡表!N42,2)</f>
        <v>0</v>
      </c>
      <c r="E41" s="99"/>
      <c r="I41" s="293">
        <f t="shared" si="1"/>
        <v>0</v>
      </c>
      <c r="J41" s="294" t="str">
        <f t="shared" si="0"/>
        <v/>
      </c>
      <c r="K41" s="287"/>
      <c r="L41" s="1583">
        <f t="shared" si="2"/>
        <v>0</v>
      </c>
    </row>
    <row r="42" spans="1:12" ht="21.75" customHeight="1">
      <c r="A42" s="443" t="s">
        <v>565</v>
      </c>
      <c r="B42" s="429"/>
      <c r="C42" s="460">
        <f>ROUND(试算平衡表!I43,2)</f>
        <v>0</v>
      </c>
      <c r="D42" s="461">
        <f>ROUND(试算平衡表!N43,2)</f>
        <v>0</v>
      </c>
      <c r="E42" s="99"/>
      <c r="I42" s="293">
        <f t="shared" si="1"/>
        <v>0</v>
      </c>
      <c r="J42" s="294" t="str">
        <f t="shared" si="0"/>
        <v/>
      </c>
      <c r="K42" s="287"/>
      <c r="L42" s="1583">
        <f t="shared" si="2"/>
        <v>0</v>
      </c>
    </row>
    <row r="43" spans="1:12" ht="21.75" customHeight="1">
      <c r="A43" s="443" t="s">
        <v>2065</v>
      </c>
      <c r="B43" s="429"/>
      <c r="C43" s="460">
        <f>ROUND(试算平衡表!I44,2)</f>
        <v>0</v>
      </c>
      <c r="D43" s="461">
        <f>ROUND(试算平衡表!N44,2)</f>
        <v>0</v>
      </c>
      <c r="E43" s="99"/>
      <c r="I43" s="293">
        <f t="shared" si="1"/>
        <v>0</v>
      </c>
      <c r="J43" s="294" t="str">
        <f t="shared" si="0"/>
        <v/>
      </c>
      <c r="K43" s="287"/>
      <c r="L43" s="1583">
        <f t="shared" si="2"/>
        <v>0</v>
      </c>
    </row>
    <row r="44" spans="1:12" ht="21.75" customHeight="1">
      <c r="A44" s="443" t="s">
        <v>567</v>
      </c>
      <c r="B44" s="429"/>
      <c r="C44" s="460">
        <f>ROUND(试算平衡表!I45,2)</f>
        <v>0</v>
      </c>
      <c r="D44" s="461">
        <f>ROUND(试算平衡表!N45,2)</f>
        <v>0</v>
      </c>
      <c r="E44" s="99"/>
      <c r="I44" s="293">
        <f t="shared" si="1"/>
        <v>0</v>
      </c>
      <c r="J44" s="294" t="str">
        <f t="shared" si="0"/>
        <v/>
      </c>
      <c r="K44" s="287"/>
      <c r="L44" s="1583">
        <f t="shared" si="2"/>
        <v>0</v>
      </c>
    </row>
    <row r="45" spans="1:12" ht="21.75" customHeight="1">
      <c r="A45" s="443" t="s">
        <v>568</v>
      </c>
      <c r="B45" s="429"/>
      <c r="C45" s="460">
        <f>ROUND(试算平衡表!I46,2)</f>
        <v>0</v>
      </c>
      <c r="D45" s="461">
        <f>ROUND(试算平衡表!N46,2)</f>
        <v>0</v>
      </c>
      <c r="E45" s="99"/>
      <c r="I45" s="293">
        <f t="shared" si="1"/>
        <v>0</v>
      </c>
      <c r="J45" s="294" t="str">
        <f t="shared" si="0"/>
        <v/>
      </c>
      <c r="K45" s="287"/>
      <c r="L45" s="1583">
        <f t="shared" si="2"/>
        <v>0</v>
      </c>
    </row>
    <row r="46" spans="1:12" ht="21.75" customHeight="1">
      <c r="A46" s="443" t="s">
        <v>569</v>
      </c>
      <c r="B46" s="429"/>
      <c r="C46" s="460">
        <f>ROUND(试算平衡表!I47,2)</f>
        <v>0</v>
      </c>
      <c r="D46" s="461">
        <f>ROUND(试算平衡表!N47,2)</f>
        <v>0</v>
      </c>
      <c r="E46" s="99"/>
      <c r="I46" s="293">
        <f t="shared" si="1"/>
        <v>0</v>
      </c>
      <c r="J46" s="294" t="str">
        <f t="shared" si="0"/>
        <v/>
      </c>
      <c r="K46" s="287"/>
      <c r="L46" s="1583">
        <f t="shared" si="2"/>
        <v>0</v>
      </c>
    </row>
    <row r="47" spans="1:12" ht="21.75" customHeight="1">
      <c r="A47" s="443" t="s">
        <v>570</v>
      </c>
      <c r="B47" s="429"/>
      <c r="C47" s="460">
        <f>ROUND(试算平衡表!I48,2)</f>
        <v>0</v>
      </c>
      <c r="D47" s="461">
        <f>ROUND(试算平衡表!N48,2)</f>
        <v>0</v>
      </c>
      <c r="E47" s="99"/>
      <c r="I47" s="293">
        <f t="shared" si="1"/>
        <v>0</v>
      </c>
      <c r="J47" s="294" t="str">
        <f t="shared" si="0"/>
        <v/>
      </c>
      <c r="K47" s="287"/>
      <c r="L47" s="1583">
        <f t="shared" si="2"/>
        <v>0</v>
      </c>
    </row>
    <row r="48" spans="1:12" ht="21.75" customHeight="1">
      <c r="A48" s="443" t="s">
        <v>571</v>
      </c>
      <c r="B48" s="429"/>
      <c r="C48" s="460">
        <f>ROUND(试算平衡表!I49,2)</f>
        <v>0</v>
      </c>
      <c r="D48" s="461">
        <f>ROUND(试算平衡表!N49,2)</f>
        <v>4497</v>
      </c>
      <c r="E48" s="99"/>
      <c r="I48" s="293">
        <f t="shared" si="1"/>
        <v>-4497</v>
      </c>
      <c r="J48" s="294">
        <f t="shared" si="0"/>
        <v>-1</v>
      </c>
      <c r="K48" s="287"/>
      <c r="L48" s="1583" t="str">
        <f t="shared" si="2"/>
        <v xml:space="preserve">    长期待摊费用2012年12月31日期末数为0,000.00元，比期初数减少100.00%，主要是由于所致。</v>
      </c>
    </row>
    <row r="49" spans="1:12" ht="21.75" customHeight="1">
      <c r="A49" s="443" t="s">
        <v>2066</v>
      </c>
      <c r="B49" s="429"/>
      <c r="C49" s="460">
        <f>ROUND(试算平衡表!I50,2)</f>
        <v>61310.01</v>
      </c>
      <c r="D49" s="461">
        <f>ROUND(试算平衡表!N50,2)</f>
        <v>10959.86</v>
      </c>
      <c r="E49" s="99"/>
      <c r="I49" s="293">
        <f t="shared" si="1"/>
        <v>50350.15</v>
      </c>
      <c r="J49" s="294">
        <f t="shared" si="0"/>
        <v>4.5940504714476278</v>
      </c>
      <c r="K49" s="287"/>
      <c r="L49" s="1583" t="str">
        <f t="shared" si="2"/>
        <v xml:space="preserve">    递延所得税资产2012年12月31日期末数为61,310.01元，比期初数增加459.41%，主要是由于所致。</v>
      </c>
    </row>
    <row r="50" spans="1:12" ht="21.75" customHeight="1">
      <c r="A50" s="443" t="s">
        <v>573</v>
      </c>
      <c r="B50" s="429"/>
      <c r="C50" s="460">
        <f>ROUND(试算平衡表!I51,2)</f>
        <v>0</v>
      </c>
      <c r="D50" s="461">
        <f>ROUND(试算平衡表!N51,2)</f>
        <v>0</v>
      </c>
      <c r="E50" s="99"/>
      <c r="I50" s="293">
        <f t="shared" si="1"/>
        <v>0</v>
      </c>
      <c r="J50" s="294" t="str">
        <f t="shared" si="0"/>
        <v/>
      </c>
      <c r="K50" s="287"/>
      <c r="L50" s="1583">
        <f t="shared" si="2"/>
        <v>0</v>
      </c>
    </row>
    <row r="51" spans="1:12" ht="21.75" customHeight="1">
      <c r="A51" s="443" t="s">
        <v>574</v>
      </c>
      <c r="B51" s="429"/>
      <c r="C51" s="460">
        <f>ROUND(试算平衡表!I52,2)</f>
        <v>0</v>
      </c>
      <c r="D51" s="461">
        <f>ROUND(试算平衡表!N52,2)</f>
        <v>0</v>
      </c>
      <c r="E51" s="99"/>
      <c r="I51" s="293">
        <f t="shared" si="1"/>
        <v>0</v>
      </c>
      <c r="J51" s="294" t="str">
        <f t="shared" si="0"/>
        <v/>
      </c>
      <c r="K51" s="287"/>
      <c r="L51" s="1583">
        <f t="shared" si="2"/>
        <v>0</v>
      </c>
    </row>
    <row r="52" spans="1:12" ht="21.75" customHeight="1">
      <c r="A52" s="439" t="s">
        <v>575</v>
      </c>
      <c r="B52" s="429"/>
      <c r="C52" s="460">
        <f>ROUND(试算平衡表!I53,2)</f>
        <v>879430.49</v>
      </c>
      <c r="D52" s="461">
        <f>ROUND(试算平衡表!N53,2)</f>
        <v>842284.58</v>
      </c>
      <c r="E52" s="102">
        <f>SUM(C29:C51)-C35-C36-C37-C38-C51-C52</f>
        <v>0</v>
      </c>
      <c r="F52" s="102">
        <f>SUM(D29:D51)-D35-D36-D37-D38-D51-D52</f>
        <v>0</v>
      </c>
      <c r="I52" s="293">
        <f t="shared" si="1"/>
        <v>37145.910000000033</v>
      </c>
      <c r="J52" s="295" t="str">
        <f t="shared" si="0"/>
        <v/>
      </c>
      <c r="K52" s="292"/>
      <c r="L52" s="292"/>
    </row>
    <row r="53" spans="1:12" ht="21" customHeight="1" thickBot="1">
      <c r="A53" s="446" t="s">
        <v>576</v>
      </c>
      <c r="B53" s="447"/>
      <c r="C53" s="574">
        <f>ROUND(试算平衡表!I54,2)</f>
        <v>7521393.0300000003</v>
      </c>
      <c r="D53" s="575">
        <f>ROUND(试算平衡表!N54,2)</f>
        <v>8031836</v>
      </c>
      <c r="E53" s="102">
        <f>C53-C52-C27</f>
        <v>0</v>
      </c>
      <c r="F53" s="102">
        <f>D53-D52-D27</f>
        <v>0</v>
      </c>
      <c r="I53" s="293">
        <f t="shared" si="1"/>
        <v>-510442.96999999974</v>
      </c>
      <c r="J53" s="295">
        <f t="shared" si="0"/>
        <v>-6.3552464218641885E-2</v>
      </c>
      <c r="K53" s="292"/>
      <c r="L53" s="292"/>
    </row>
    <row r="54" spans="1:12" ht="26.45" customHeight="1">
      <c r="A54" s="1702"/>
      <c r="B54" s="1702"/>
      <c r="C54" s="1702"/>
      <c r="D54" s="1702"/>
      <c r="E54" s="99"/>
    </row>
    <row r="55" spans="1:12" ht="24" customHeight="1">
      <c r="A55" s="1699" t="str">
        <f>封面!C7&amp;"资产负债表（续）"</f>
        <v>资产负债表（续）</v>
      </c>
      <c r="B55" s="1700"/>
      <c r="C55" s="1700"/>
      <c r="D55" s="1701"/>
      <c r="E55" s="99"/>
    </row>
    <row r="56" spans="1:12" ht="15.6" customHeight="1">
      <c r="A56" s="1682">
        <f>A2</f>
        <v>43616</v>
      </c>
      <c r="B56" s="1682"/>
      <c r="C56" s="1682"/>
      <c r="D56" s="1682"/>
      <c r="E56" s="97"/>
    </row>
    <row r="57" spans="1:12" ht="17.25" customHeight="1" thickBot="1">
      <c r="A57" s="423" t="str">
        <f>A3</f>
        <v>编制单位：华鼎资本（北京）有限公司</v>
      </c>
      <c r="D57" s="424" t="s">
        <v>2027</v>
      </c>
      <c r="E57" s="97"/>
      <c r="J57" s="288"/>
    </row>
    <row r="58" spans="1:12" ht="17.25" customHeight="1">
      <c r="A58" s="425" t="s">
        <v>529</v>
      </c>
      <c r="B58" s="426" t="s">
        <v>2032</v>
      </c>
      <c r="C58" s="426" t="s">
        <v>2028</v>
      </c>
      <c r="D58" s="427" t="s">
        <v>2029</v>
      </c>
      <c r="E58" s="97"/>
      <c r="I58" s="288" t="s">
        <v>246</v>
      </c>
      <c r="J58" s="288" t="s">
        <v>245</v>
      </c>
      <c r="K58" s="288" t="s">
        <v>247</v>
      </c>
      <c r="L58" s="288" t="s">
        <v>248</v>
      </c>
    </row>
    <row r="59" spans="1:12" ht="17.25" customHeight="1">
      <c r="A59" s="428" t="s">
        <v>578</v>
      </c>
      <c r="B59" s="429"/>
      <c r="C59" s="485"/>
      <c r="D59" s="487"/>
      <c r="E59" s="99"/>
      <c r="I59" s="288"/>
      <c r="J59" s="288"/>
      <c r="K59" s="288"/>
      <c r="L59" s="288"/>
    </row>
    <row r="60" spans="1:12" ht="17.25" customHeight="1">
      <c r="A60" s="433" t="s">
        <v>2076</v>
      </c>
      <c r="B60" s="429"/>
      <c r="C60" s="460">
        <f>ROUND(试算平衡表!I61,2)</f>
        <v>0</v>
      </c>
      <c r="D60" s="461">
        <f>ROUND(试算平衡表!N61,2)</f>
        <v>0</v>
      </c>
      <c r="E60" s="99"/>
      <c r="I60" s="293">
        <f t="shared" ref="I60:I130" si="3">C60-D60</f>
        <v>0</v>
      </c>
      <c r="J60" s="294" t="str">
        <f t="shared" ref="J60:J94" si="4">IFERROR(IF(OR(ABS((C60-D60)/D60)&gt;0.3,ABS((C60-D60))&gt;$J$4),(C60-D60)/D60,""),"")</f>
        <v/>
      </c>
      <c r="K60" s="291"/>
      <c r="L60" s="1584">
        <f>IF(J60&lt;&gt;"",A60&amp;"2012年12月31日期末数为"&amp;TEXT(C60,"0,000.00")&amp;"元，比期初数"&amp;IF(J60&gt;0,"增加","减少")&amp;TEXT(ABS(J60),"00.00%")&amp;"，主要是由于"&amp;K60&amp;"所致。",0)</f>
        <v>0</v>
      </c>
    </row>
    <row r="61" spans="1:12" ht="17.25" customHeight="1">
      <c r="A61" s="433" t="s">
        <v>580</v>
      </c>
      <c r="B61" s="429"/>
      <c r="C61" s="460">
        <f>ROUND(试算平衡表!I62,2)</f>
        <v>0</v>
      </c>
      <c r="D61" s="461">
        <f>ROUND(试算平衡表!N62,2)</f>
        <v>0</v>
      </c>
      <c r="E61" s="99"/>
      <c r="I61" s="293">
        <f t="shared" si="3"/>
        <v>0</v>
      </c>
      <c r="J61" s="294" t="str">
        <f t="shared" si="4"/>
        <v/>
      </c>
      <c r="K61" s="291"/>
      <c r="L61" s="1584">
        <f t="shared" ref="L61:L86" si="5">IF(J61&lt;&gt;"",A61&amp;"2012年12月31日期末数为"&amp;TEXT(C61,"0,000.00")&amp;"元，比期初数"&amp;IF(J61&gt;0,"增加","减少")&amp;TEXT(ABS(J61),"00.00%")&amp;"，主要是由于"&amp;K61&amp;"所致。",0)</f>
        <v>0</v>
      </c>
    </row>
    <row r="62" spans="1:12" ht="17.25" customHeight="1">
      <c r="A62" s="433" t="s">
        <v>581</v>
      </c>
      <c r="B62" s="429"/>
      <c r="C62" s="460">
        <f>ROUND(试算平衡表!I63,2)</f>
        <v>0</v>
      </c>
      <c r="D62" s="461">
        <f>ROUND(试算平衡表!N63,2)</f>
        <v>0</v>
      </c>
      <c r="E62" s="99"/>
      <c r="I62" s="293">
        <f t="shared" si="3"/>
        <v>0</v>
      </c>
      <c r="J62" s="294" t="str">
        <f t="shared" si="4"/>
        <v/>
      </c>
      <c r="K62" s="291"/>
      <c r="L62" s="1584">
        <f t="shared" si="5"/>
        <v>0</v>
      </c>
    </row>
    <row r="63" spans="1:12" ht="17.25" customHeight="1">
      <c r="A63" s="433" t="s">
        <v>2055</v>
      </c>
      <c r="B63" s="429"/>
      <c r="C63" s="460">
        <f>ROUND(试算平衡表!I64,2)</f>
        <v>0</v>
      </c>
      <c r="D63" s="461">
        <f>ROUND(试算平衡表!N64,2)</f>
        <v>0</v>
      </c>
      <c r="E63" s="99"/>
      <c r="I63" s="293">
        <f t="shared" si="3"/>
        <v>0</v>
      </c>
      <c r="J63" s="294" t="str">
        <f t="shared" si="4"/>
        <v/>
      </c>
      <c r="K63" s="291"/>
      <c r="L63" s="1584">
        <f t="shared" si="5"/>
        <v>0</v>
      </c>
    </row>
    <row r="64" spans="1:12" ht="17.25" customHeight="1">
      <c r="A64" s="433" t="s">
        <v>1771</v>
      </c>
      <c r="B64" s="429"/>
      <c r="C64" s="460">
        <f>ROUND(试算平衡表!I65,2)</f>
        <v>0</v>
      </c>
      <c r="D64" s="461">
        <f>ROUND(试算平衡表!N65,2)</f>
        <v>0</v>
      </c>
      <c r="E64" s="99"/>
      <c r="I64" s="293">
        <f>C64-D64</f>
        <v>0</v>
      </c>
      <c r="J64" s="294" t="str">
        <f>IFERROR(IF(OR(ABS((C64-D64)/D64)&gt;0.3,ABS((C64-D64))&gt;$J$4),(C64-D64)/D64,""),"")</f>
        <v/>
      </c>
      <c r="K64" s="291"/>
      <c r="L64" s="1584">
        <f>IF(J64&lt;&gt;"",A64&amp;"2012年12月31日期末数为"&amp;TEXT(C64,"0,000.00")&amp;"元，比期初数"&amp;IF(J64&gt;0,"增加","减少")&amp;TEXT(ABS(J64),"00.00%")&amp;"，主要是由于"&amp;K64&amp;"所致。",0)</f>
        <v>0</v>
      </c>
    </row>
    <row r="65" spans="1:12" ht="17.25" customHeight="1">
      <c r="A65" s="433" t="s">
        <v>1772</v>
      </c>
      <c r="B65" s="429"/>
      <c r="C65" s="460">
        <f>ROUND(试算平衡表!I66,2)</f>
        <v>0</v>
      </c>
      <c r="D65" s="461">
        <f>ROUND(试算平衡表!N66,2)</f>
        <v>0</v>
      </c>
      <c r="E65" s="99"/>
      <c r="H65" s="124"/>
      <c r="I65" s="293">
        <f t="shared" si="3"/>
        <v>0</v>
      </c>
      <c r="J65" s="294" t="str">
        <f t="shared" si="4"/>
        <v/>
      </c>
      <c r="K65" s="291"/>
      <c r="L65" s="1584">
        <f t="shared" si="5"/>
        <v>0</v>
      </c>
    </row>
    <row r="66" spans="1:12" ht="17.25" customHeight="1">
      <c r="A66" s="433" t="s">
        <v>583</v>
      </c>
      <c r="B66" s="429"/>
      <c r="C66" s="460">
        <f>ROUND(试算平衡表!I67,2)</f>
        <v>0</v>
      </c>
      <c r="D66" s="461">
        <f>ROUND(试算平衡表!N67,2)</f>
        <v>0</v>
      </c>
      <c r="E66" s="99"/>
      <c r="I66" s="293">
        <f t="shared" si="3"/>
        <v>0</v>
      </c>
      <c r="J66" s="294" t="str">
        <f t="shared" si="4"/>
        <v/>
      </c>
      <c r="K66" s="291"/>
      <c r="L66" s="1584">
        <f t="shared" si="5"/>
        <v>0</v>
      </c>
    </row>
    <row r="67" spans="1:12" ht="17.25" customHeight="1">
      <c r="A67" s="433" t="s">
        <v>584</v>
      </c>
      <c r="B67" s="429"/>
      <c r="C67" s="460">
        <f>ROUND(试算平衡表!I68,2)</f>
        <v>0</v>
      </c>
      <c r="D67" s="461">
        <f>ROUND(试算平衡表!N68,2)</f>
        <v>0</v>
      </c>
      <c r="E67" s="99"/>
      <c r="I67" s="293">
        <f t="shared" si="3"/>
        <v>0</v>
      </c>
      <c r="J67" s="294" t="str">
        <f t="shared" si="4"/>
        <v/>
      </c>
      <c r="K67" s="291"/>
      <c r="L67" s="1584">
        <f t="shared" si="5"/>
        <v>0</v>
      </c>
    </row>
    <row r="68" spans="1:12" ht="17.25" customHeight="1">
      <c r="A68" s="433" t="s">
        <v>585</v>
      </c>
      <c r="B68" s="429"/>
      <c r="C68" s="460">
        <f>ROUND(试算平衡表!I69,2)</f>
        <v>0</v>
      </c>
      <c r="D68" s="461">
        <f>ROUND(试算平衡表!N69,2)</f>
        <v>0</v>
      </c>
      <c r="E68" s="99"/>
      <c r="I68" s="293">
        <f t="shared" si="3"/>
        <v>0</v>
      </c>
      <c r="J68" s="294" t="str">
        <f t="shared" si="4"/>
        <v/>
      </c>
      <c r="K68" s="291"/>
      <c r="L68" s="1584">
        <f t="shared" si="5"/>
        <v>0</v>
      </c>
    </row>
    <row r="69" spans="1:12" ht="17.25" customHeight="1">
      <c r="A69" s="433" t="s">
        <v>586</v>
      </c>
      <c r="B69" s="429"/>
      <c r="C69" s="460">
        <f>ROUND(试算平衡表!I70,2)</f>
        <v>0</v>
      </c>
      <c r="D69" s="461">
        <f>ROUND(试算平衡表!N70,2)</f>
        <v>0</v>
      </c>
      <c r="E69" s="99"/>
      <c r="I69" s="293">
        <f t="shared" si="3"/>
        <v>0</v>
      </c>
      <c r="J69" s="294" t="str">
        <f t="shared" si="4"/>
        <v/>
      </c>
      <c r="K69" s="291"/>
      <c r="L69" s="1584">
        <f t="shared" si="5"/>
        <v>0</v>
      </c>
    </row>
    <row r="70" spans="1:12" ht="17.25" customHeight="1">
      <c r="A70" s="433" t="s">
        <v>587</v>
      </c>
      <c r="B70" s="429"/>
      <c r="C70" s="460">
        <f>ROUND(试算平衡表!I71,2)</f>
        <v>0</v>
      </c>
      <c r="D70" s="461">
        <f>ROUND(试算平衡表!N71,2)</f>
        <v>0</v>
      </c>
      <c r="E70" s="99"/>
      <c r="I70" s="293">
        <f t="shared" si="3"/>
        <v>0</v>
      </c>
      <c r="J70" s="294" t="str">
        <f t="shared" si="4"/>
        <v/>
      </c>
      <c r="K70" s="291"/>
      <c r="L70" s="1584">
        <f t="shared" si="5"/>
        <v>0</v>
      </c>
    </row>
    <row r="71" spans="1:12" ht="17.25" customHeight="1">
      <c r="A71" s="433" t="s">
        <v>588</v>
      </c>
      <c r="B71" s="429"/>
      <c r="C71" s="460">
        <f>ROUND(试算平衡表!I72,2)</f>
        <v>41819.14</v>
      </c>
      <c r="D71" s="461">
        <f>ROUND(试算平衡表!N72,2)</f>
        <v>48853.89</v>
      </c>
      <c r="E71" s="99"/>
      <c r="I71" s="293">
        <f t="shared" si="3"/>
        <v>-7034.75</v>
      </c>
      <c r="J71" s="294" t="str">
        <f t="shared" si="4"/>
        <v/>
      </c>
      <c r="K71" s="291"/>
      <c r="L71" s="1584">
        <f t="shared" si="5"/>
        <v>0</v>
      </c>
    </row>
    <row r="72" spans="1:12" ht="17.25" customHeight="1">
      <c r="A72" s="433" t="s">
        <v>2067</v>
      </c>
      <c r="B72" s="429"/>
      <c r="C72" s="460">
        <f>ROUND(试算平衡表!I73,2)</f>
        <v>0</v>
      </c>
      <c r="D72" s="461">
        <f>ROUND(试算平衡表!N73,2)</f>
        <v>0</v>
      </c>
      <c r="E72" s="99"/>
      <c r="I72" s="293">
        <f t="shared" si="3"/>
        <v>0</v>
      </c>
      <c r="J72" s="294" t="str">
        <f t="shared" si="4"/>
        <v/>
      </c>
      <c r="K72" s="291"/>
      <c r="L72" s="1584">
        <f t="shared" si="5"/>
        <v>0</v>
      </c>
    </row>
    <row r="73" spans="1:12" ht="17.25" customHeight="1">
      <c r="A73" s="433" t="s">
        <v>590</v>
      </c>
      <c r="B73" s="429"/>
      <c r="C73" s="460">
        <f>ROUND(试算平衡表!I74,2)</f>
        <v>0</v>
      </c>
      <c r="D73" s="461">
        <f>ROUND(试算平衡表!N74,2)</f>
        <v>0</v>
      </c>
      <c r="E73" s="99"/>
      <c r="I73" s="293">
        <f t="shared" si="3"/>
        <v>0</v>
      </c>
      <c r="J73" s="294" t="str">
        <f t="shared" si="4"/>
        <v/>
      </c>
      <c r="K73" s="291"/>
      <c r="L73" s="1584">
        <f t="shared" si="5"/>
        <v>0</v>
      </c>
    </row>
    <row r="74" spans="1:12" ht="17.25" customHeight="1">
      <c r="A74" s="433" t="s">
        <v>591</v>
      </c>
      <c r="B74" s="429"/>
      <c r="C74" s="460">
        <f>ROUND(试算平衡表!I75,2)</f>
        <v>0</v>
      </c>
      <c r="D74" s="461">
        <f>ROUND(试算平衡表!N75,2)</f>
        <v>0</v>
      </c>
      <c r="E74" s="99"/>
      <c r="I74" s="293">
        <f t="shared" si="3"/>
        <v>0</v>
      </c>
      <c r="J74" s="294" t="str">
        <f t="shared" si="4"/>
        <v/>
      </c>
      <c r="K74" s="291"/>
      <c r="L74" s="1584">
        <f t="shared" si="5"/>
        <v>0</v>
      </c>
    </row>
    <row r="75" spans="1:12" ht="17.25" customHeight="1">
      <c r="A75" s="438" t="s">
        <v>592</v>
      </c>
      <c r="B75" s="429"/>
      <c r="C75" s="460">
        <f>ROUND(试算平衡表!I76,2)</f>
        <v>444207.81</v>
      </c>
      <c r="D75" s="461">
        <f>ROUND(试算平衡表!N76,2)</f>
        <v>1020469.11</v>
      </c>
      <c r="E75" s="99"/>
      <c r="I75" s="293">
        <f t="shared" si="3"/>
        <v>-576261.30000000005</v>
      </c>
      <c r="J75" s="294">
        <f t="shared" si="4"/>
        <v>-0.56470234557124421</v>
      </c>
      <c r="K75" s="291"/>
      <c r="L75" s="1584" t="str">
        <f t="shared" si="5"/>
        <v xml:space="preserve">    应交税费2012年12月31日期末数为444,207.81元，比期初数减少56.47%，主要是由于所致。</v>
      </c>
    </row>
    <row r="76" spans="1:12" ht="17.25" customHeight="1">
      <c r="A76" s="438" t="s">
        <v>593</v>
      </c>
      <c r="B76" s="429"/>
      <c r="C76" s="460">
        <f>ROUND(试算平衡表!I77,2)</f>
        <v>431188.94</v>
      </c>
      <c r="D76" s="461">
        <f>ROUND(试算平衡表!N77,2)</f>
        <v>1020469.11</v>
      </c>
      <c r="E76" s="99"/>
      <c r="I76" s="293">
        <f t="shared" si="3"/>
        <v>-589280.16999999993</v>
      </c>
      <c r="J76" s="294">
        <f t="shared" si="4"/>
        <v>-0.5774600761800619</v>
      </c>
      <c r="K76" s="291"/>
      <c r="L76" s="1584" t="str">
        <f t="shared" si="5"/>
        <v xml:space="preserve">             其中：应交税金2012年12月31日期末数为431,188.94元，比期初数减少57.75%，主要是由于所致。</v>
      </c>
    </row>
    <row r="77" spans="1:12" ht="17.25" customHeight="1">
      <c r="A77" s="433" t="s">
        <v>594</v>
      </c>
      <c r="B77" s="429"/>
      <c r="C77" s="460">
        <f>ROUND(试算平衡表!I78,2)</f>
        <v>0</v>
      </c>
      <c r="D77" s="461">
        <f>ROUND(试算平衡表!N78,2)</f>
        <v>0</v>
      </c>
      <c r="E77" s="99"/>
      <c r="I77" s="293">
        <f t="shared" si="3"/>
        <v>0</v>
      </c>
      <c r="J77" s="294" t="str">
        <f t="shared" si="4"/>
        <v/>
      </c>
      <c r="K77" s="291"/>
      <c r="L77" s="1584">
        <f t="shared" si="5"/>
        <v>0</v>
      </c>
    </row>
    <row r="78" spans="1:12" ht="16.5" customHeight="1">
      <c r="A78" s="433" t="s">
        <v>595</v>
      </c>
      <c r="B78" s="429"/>
      <c r="C78" s="460">
        <f>ROUND(试算平衡表!I79,2)</f>
        <v>0</v>
      </c>
      <c r="D78" s="461">
        <f>ROUND(试算平衡表!N79,2)</f>
        <v>0</v>
      </c>
      <c r="E78" s="99"/>
      <c r="I78" s="293">
        <f t="shared" si="3"/>
        <v>0</v>
      </c>
      <c r="J78" s="294" t="str">
        <f t="shared" si="4"/>
        <v/>
      </c>
      <c r="K78" s="291"/>
      <c r="L78" s="1584">
        <f t="shared" si="5"/>
        <v>0</v>
      </c>
    </row>
    <row r="79" spans="1:12" ht="17.25" customHeight="1">
      <c r="A79" s="433" t="s">
        <v>596</v>
      </c>
      <c r="B79" s="429"/>
      <c r="C79" s="460">
        <f>ROUND(试算平衡表!I80,2)</f>
        <v>38381.06</v>
      </c>
      <c r="D79" s="461">
        <f>ROUND(试算平衡表!N80,2)</f>
        <v>40678.199999999997</v>
      </c>
      <c r="E79" s="99"/>
      <c r="I79" s="293">
        <f t="shared" si="3"/>
        <v>-2297.1399999999994</v>
      </c>
      <c r="J79" s="294" t="str">
        <f t="shared" si="4"/>
        <v/>
      </c>
      <c r="K79" s="291"/>
      <c r="L79" s="1584">
        <f t="shared" si="5"/>
        <v>0</v>
      </c>
    </row>
    <row r="80" spans="1:12" ht="17.25" customHeight="1">
      <c r="A80" s="433" t="s">
        <v>2056</v>
      </c>
      <c r="B80" s="429"/>
      <c r="C80" s="460">
        <f>ROUND(试算平衡表!I81,2)</f>
        <v>0</v>
      </c>
      <c r="D80" s="461">
        <f>ROUND(试算平衡表!N81,2)</f>
        <v>0</v>
      </c>
      <c r="E80" s="99"/>
      <c r="I80" s="293">
        <f t="shared" si="3"/>
        <v>0</v>
      </c>
      <c r="J80" s="294" t="str">
        <f t="shared" si="4"/>
        <v/>
      </c>
      <c r="K80" s="291"/>
      <c r="L80" s="1584">
        <f t="shared" si="5"/>
        <v>0</v>
      </c>
    </row>
    <row r="81" spans="1:12" ht="17.25" customHeight="1">
      <c r="A81" s="433" t="s">
        <v>598</v>
      </c>
      <c r="B81" s="429"/>
      <c r="C81" s="460">
        <f>ROUND(试算平衡表!I82,2)</f>
        <v>0</v>
      </c>
      <c r="D81" s="461">
        <f>ROUND(试算平衡表!N82,2)</f>
        <v>0</v>
      </c>
      <c r="E81" s="99"/>
      <c r="I81" s="293">
        <f t="shared" si="3"/>
        <v>0</v>
      </c>
      <c r="J81" s="294" t="str">
        <f t="shared" si="4"/>
        <v/>
      </c>
      <c r="K81" s="291"/>
      <c r="L81" s="1584">
        <f t="shared" si="5"/>
        <v>0</v>
      </c>
    </row>
    <row r="82" spans="1:12" ht="17.25" customHeight="1">
      <c r="A82" s="433" t="s">
        <v>2057</v>
      </c>
      <c r="B82" s="429"/>
      <c r="C82" s="460">
        <f>ROUND(试算平衡表!I83,2)</f>
        <v>0</v>
      </c>
      <c r="D82" s="461">
        <f>ROUND(试算平衡表!N83,2)</f>
        <v>0</v>
      </c>
      <c r="E82" s="99"/>
      <c r="I82" s="293">
        <f t="shared" si="3"/>
        <v>0</v>
      </c>
      <c r="J82" s="294" t="str">
        <f t="shared" si="4"/>
        <v/>
      </c>
      <c r="K82" s="291"/>
      <c r="L82" s="1584">
        <f t="shared" si="5"/>
        <v>0</v>
      </c>
    </row>
    <row r="83" spans="1:12" ht="17.25" customHeight="1">
      <c r="A83" s="433" t="s">
        <v>600</v>
      </c>
      <c r="B83" s="429"/>
      <c r="C83" s="460">
        <f>ROUND(试算平衡表!I84,2)</f>
        <v>0</v>
      </c>
      <c r="D83" s="461">
        <f>ROUND(试算平衡表!N84,2)</f>
        <v>0</v>
      </c>
      <c r="E83" s="99"/>
      <c r="I83" s="293">
        <f t="shared" si="3"/>
        <v>0</v>
      </c>
      <c r="J83" s="294" t="str">
        <f t="shared" si="4"/>
        <v/>
      </c>
      <c r="K83" s="291"/>
      <c r="L83" s="1584">
        <f t="shared" si="5"/>
        <v>0</v>
      </c>
    </row>
    <row r="84" spans="1:12" ht="17.25" customHeight="1">
      <c r="A84" s="1341" t="s">
        <v>4637</v>
      </c>
      <c r="B84" s="429"/>
      <c r="C84" s="460">
        <f>ROUND(试算平衡表!I85,2)</f>
        <v>0</v>
      </c>
      <c r="D84" s="461">
        <f>ROUND(试算平衡表!N85,2)</f>
        <v>0</v>
      </c>
      <c r="E84" s="99"/>
      <c r="I84" s="293">
        <f>C84-D84</f>
        <v>0</v>
      </c>
      <c r="J84" s="294" t="str">
        <f>IFERROR(IF(OR(ABS((C84-D84)/D84)&gt;0.3,ABS((C84-D84))&gt;$J$4),(C84-D84)/D84,""),"")</f>
        <v/>
      </c>
      <c r="K84" s="291"/>
      <c r="L84" s="1584">
        <f>IF(J84&lt;&gt;"",A84&amp;"2012年12月31日期末数为"&amp;TEXT(C84,"0,000.00")&amp;"元，比期初数"&amp;IF(J84&gt;0,"增加","减少")&amp;TEXT(ABS(J84),"00.00%")&amp;"，主要是由于"&amp;K84&amp;"所致。",0)</f>
        <v>0</v>
      </c>
    </row>
    <row r="85" spans="1:12" ht="17.25" customHeight="1">
      <c r="A85" s="433" t="s">
        <v>601</v>
      </c>
      <c r="B85" s="429"/>
      <c r="C85" s="460">
        <f>ROUND(试算平衡表!I86,2)</f>
        <v>0</v>
      </c>
      <c r="D85" s="461">
        <f>ROUND(试算平衡表!N86,2)</f>
        <v>0</v>
      </c>
      <c r="E85" s="99"/>
      <c r="I85" s="293">
        <f t="shared" si="3"/>
        <v>0</v>
      </c>
      <c r="J85" s="294" t="str">
        <f t="shared" si="4"/>
        <v/>
      </c>
      <c r="K85" s="291"/>
      <c r="L85" s="1584">
        <f t="shared" si="5"/>
        <v>0</v>
      </c>
    </row>
    <row r="86" spans="1:12" ht="17.25" customHeight="1">
      <c r="A86" s="433" t="s">
        <v>602</v>
      </c>
      <c r="B86" s="429"/>
      <c r="C86" s="460">
        <f>ROUND(试算平衡表!I87,2)</f>
        <v>0</v>
      </c>
      <c r="D86" s="461">
        <f>ROUND(试算平衡表!N87,2)</f>
        <v>0</v>
      </c>
      <c r="E86" s="99"/>
      <c r="I86" s="293">
        <f t="shared" si="3"/>
        <v>0</v>
      </c>
      <c r="J86" s="294" t="str">
        <f t="shared" si="4"/>
        <v/>
      </c>
      <c r="K86" s="291"/>
      <c r="L86" s="1584">
        <f t="shared" si="5"/>
        <v>0</v>
      </c>
    </row>
    <row r="87" spans="1:12" ht="17.25" customHeight="1">
      <c r="A87" s="439" t="s">
        <v>603</v>
      </c>
      <c r="B87" s="429"/>
      <c r="C87" s="460">
        <f>ROUND(试算平衡表!I88,2)</f>
        <v>524408.01</v>
      </c>
      <c r="D87" s="461">
        <f>ROUND(试算平衡表!N88,2)</f>
        <v>1110001.2</v>
      </c>
      <c r="E87" s="102">
        <f>SUM(C59:C86)-C72-C73-C74-C76-C87</f>
        <v>0</v>
      </c>
      <c r="F87" s="102">
        <f>SUM(D59:D86)-D72-D73-D74-D76-D87</f>
        <v>0</v>
      </c>
      <c r="I87" s="293">
        <f t="shared" si="3"/>
        <v>-585593.18999999994</v>
      </c>
      <c r="J87" s="295">
        <f t="shared" si="4"/>
        <v>-0.52756086209636532</v>
      </c>
      <c r="K87" s="291"/>
      <c r="L87" s="291"/>
    </row>
    <row r="88" spans="1:12" ht="17.25" customHeight="1">
      <c r="A88" s="428" t="s">
        <v>604</v>
      </c>
      <c r="B88" s="429"/>
      <c r="C88" s="460">
        <f>ROUND(试算平衡表!I89,2)</f>
        <v>0</v>
      </c>
      <c r="D88" s="461">
        <f>ROUND(试算平衡表!N89,2)</f>
        <v>0</v>
      </c>
      <c r="E88" s="99"/>
      <c r="I88" s="293">
        <f t="shared" si="3"/>
        <v>0</v>
      </c>
      <c r="J88" s="294" t="str">
        <f t="shared" si="4"/>
        <v/>
      </c>
      <c r="K88" s="291"/>
      <c r="L88" s="291"/>
    </row>
    <row r="89" spans="1:12" ht="17.25" customHeight="1">
      <c r="A89" s="444" t="s">
        <v>605</v>
      </c>
      <c r="B89" s="429"/>
      <c r="C89" s="460">
        <f>ROUND(试算平衡表!I90,2)</f>
        <v>0</v>
      </c>
      <c r="D89" s="461">
        <f>ROUND(试算平衡表!N90,2)</f>
        <v>0</v>
      </c>
      <c r="E89" s="99"/>
      <c r="I89" s="293">
        <f t="shared" si="3"/>
        <v>0</v>
      </c>
      <c r="J89" s="294" t="str">
        <f t="shared" si="4"/>
        <v/>
      </c>
      <c r="K89" s="291"/>
      <c r="L89" s="294">
        <f t="shared" ref="L89:L98" si="6">IF(J89&lt;&gt;"",A89&amp;"2012年12月31日期末数为"&amp;TEXT(C89,"0,000.00")&amp;"元，比期初数"&amp;IF(J89&gt;0,"增加","减少")&amp;TEXT(ABS(J89),"00.00%")&amp;"，主要是由于"&amp;K89&amp;"所致。",0)</f>
        <v>0</v>
      </c>
    </row>
    <row r="90" spans="1:12" ht="17.25" customHeight="1">
      <c r="A90" s="444" t="s">
        <v>606</v>
      </c>
      <c r="B90" s="429"/>
      <c r="C90" s="460">
        <f>ROUND(试算平衡表!I91,2)</f>
        <v>0</v>
      </c>
      <c r="D90" s="461">
        <f>ROUND(试算平衡表!N91,2)</f>
        <v>0</v>
      </c>
      <c r="E90" s="99"/>
      <c r="I90" s="293">
        <f t="shared" si="3"/>
        <v>0</v>
      </c>
      <c r="J90" s="294" t="str">
        <f t="shared" si="4"/>
        <v/>
      </c>
      <c r="K90" s="291"/>
      <c r="L90" s="294">
        <f t="shared" si="6"/>
        <v>0</v>
      </c>
    </row>
    <row r="91" spans="1:12" ht="17.25" customHeight="1">
      <c r="A91" s="444" t="s">
        <v>607</v>
      </c>
      <c r="B91" s="429"/>
      <c r="C91" s="460">
        <f>ROUND(试算平衡表!I92,2)</f>
        <v>0</v>
      </c>
      <c r="D91" s="461">
        <f>ROUND(试算平衡表!N92,2)</f>
        <v>0</v>
      </c>
      <c r="E91" s="99"/>
      <c r="I91" s="293">
        <f t="shared" si="3"/>
        <v>0</v>
      </c>
      <c r="J91" s="294" t="str">
        <f t="shared" si="4"/>
        <v/>
      </c>
      <c r="K91" s="291"/>
      <c r="L91" s="294">
        <f t="shared" si="6"/>
        <v>0</v>
      </c>
    </row>
    <row r="92" spans="1:12" ht="17.25" customHeight="1">
      <c r="A92" s="444" t="s">
        <v>1780</v>
      </c>
      <c r="B92" s="429"/>
      <c r="C92" s="460">
        <f>ROUND(试算平衡表!I93,2)</f>
        <v>0</v>
      </c>
      <c r="D92" s="461">
        <f>ROUND(试算平衡表!N93,2)</f>
        <v>0</v>
      </c>
      <c r="E92" s="99"/>
      <c r="I92" s="293">
        <f>C92-D92</f>
        <v>0</v>
      </c>
      <c r="J92" s="294" t="str">
        <f>IFERROR(IF(OR(ABS((C92-D92)/D92)&gt;0.3,ABS((C92-D92))&gt;$J$4),(C92-D92)/D92,""),"")</f>
        <v/>
      </c>
      <c r="K92" s="291"/>
      <c r="L92" s="294">
        <f t="shared" si="6"/>
        <v>0</v>
      </c>
    </row>
    <row r="93" spans="1:12" ht="17.25" customHeight="1">
      <c r="A93" s="444" t="s">
        <v>608</v>
      </c>
      <c r="B93" s="429"/>
      <c r="C93" s="460">
        <f>ROUND(试算平衡表!I94,2)</f>
        <v>0</v>
      </c>
      <c r="D93" s="461">
        <f>ROUND(试算平衡表!N94,2)</f>
        <v>0</v>
      </c>
      <c r="E93" s="99"/>
      <c r="I93" s="293">
        <f t="shared" si="3"/>
        <v>0</v>
      </c>
      <c r="J93" s="294" t="str">
        <f t="shared" si="4"/>
        <v/>
      </c>
      <c r="K93" s="291"/>
      <c r="L93" s="294">
        <f t="shared" si="6"/>
        <v>0</v>
      </c>
    </row>
    <row r="94" spans="1:12" ht="17.25" customHeight="1">
      <c r="A94" s="444" t="s">
        <v>609</v>
      </c>
      <c r="B94" s="429"/>
      <c r="C94" s="460">
        <f>ROUND(试算平衡表!I95,2)</f>
        <v>0</v>
      </c>
      <c r="D94" s="461">
        <f>ROUND(试算平衡表!N95,2)</f>
        <v>0</v>
      </c>
      <c r="E94" s="99"/>
      <c r="I94" s="293">
        <f t="shared" si="3"/>
        <v>0</v>
      </c>
      <c r="J94" s="294" t="str">
        <f t="shared" si="4"/>
        <v/>
      </c>
      <c r="K94" s="291"/>
      <c r="L94" s="294">
        <f t="shared" si="6"/>
        <v>0</v>
      </c>
    </row>
    <row r="95" spans="1:12" ht="17.25" customHeight="1">
      <c r="A95" s="444" t="s">
        <v>1781</v>
      </c>
      <c r="B95" s="429"/>
      <c r="C95" s="460">
        <f>ROUND(试算平衡表!I96,2)</f>
        <v>0</v>
      </c>
      <c r="D95" s="461">
        <f>ROUND(试算平衡表!N96,2)</f>
        <v>0</v>
      </c>
      <c r="E95" s="99"/>
      <c r="I95" s="293">
        <f>C95-D95</f>
        <v>0</v>
      </c>
      <c r="J95" s="294" t="str">
        <f>IFERROR(IF(OR(ABS((C95-D95)/D95)&gt;0.3,ABS((C95-D95))&gt;$J$4),(C95-D95)/D95,""),"")</f>
        <v/>
      </c>
      <c r="K95" s="291"/>
      <c r="L95" s="294">
        <f t="shared" si="6"/>
        <v>0</v>
      </c>
    </row>
    <row r="96" spans="1:12" ht="17.25" customHeight="1">
      <c r="A96" s="444" t="s">
        <v>610</v>
      </c>
      <c r="B96" s="429"/>
      <c r="C96" s="460">
        <f>ROUND(试算平衡表!I97,2)</f>
        <v>0</v>
      </c>
      <c r="D96" s="461">
        <f>ROUND(试算平衡表!N97,2)</f>
        <v>0</v>
      </c>
      <c r="E96" s="99"/>
      <c r="I96" s="293">
        <f t="shared" si="3"/>
        <v>0</v>
      </c>
      <c r="J96" s="294" t="str">
        <f t="shared" ref="J96:J130" si="7">IFERROR(IF(OR(ABS((C96-D96)/D96)&gt;0.3,ABS((C96-D96))&gt;$J$4),(C96-D96)/D96,""),"")</f>
        <v/>
      </c>
      <c r="K96" s="291"/>
      <c r="L96" s="294">
        <f t="shared" si="6"/>
        <v>0</v>
      </c>
    </row>
    <row r="97" spans="1:12" ht="17.25" customHeight="1">
      <c r="A97" s="444" t="s">
        <v>611</v>
      </c>
      <c r="B97" s="429"/>
      <c r="C97" s="460">
        <f>ROUND(试算平衡表!I98,2)</f>
        <v>0</v>
      </c>
      <c r="D97" s="461">
        <f>ROUND(试算平衡表!N98,2)</f>
        <v>0</v>
      </c>
      <c r="E97" s="99"/>
      <c r="I97" s="293">
        <f t="shared" si="3"/>
        <v>0</v>
      </c>
      <c r="J97" s="294" t="str">
        <f t="shared" si="7"/>
        <v/>
      </c>
      <c r="K97" s="291"/>
      <c r="L97" s="294">
        <f t="shared" si="6"/>
        <v>0</v>
      </c>
    </row>
    <row r="98" spans="1:12" ht="17.25" customHeight="1">
      <c r="A98" s="450" t="s">
        <v>612</v>
      </c>
      <c r="B98" s="429"/>
      <c r="C98" s="460">
        <f>ROUND(试算平衡表!I99,2)</f>
        <v>0</v>
      </c>
      <c r="D98" s="461">
        <f>ROUND(试算平衡表!N99,2)</f>
        <v>0</v>
      </c>
      <c r="E98" s="99"/>
      <c r="I98" s="293">
        <f t="shared" si="3"/>
        <v>0</v>
      </c>
      <c r="J98" s="294" t="str">
        <f t="shared" si="7"/>
        <v/>
      </c>
      <c r="K98" s="291"/>
      <c r="L98" s="294">
        <f t="shared" si="6"/>
        <v>0</v>
      </c>
    </row>
    <row r="99" spans="1:12" ht="17.25" customHeight="1">
      <c r="A99" s="439" t="s">
        <v>613</v>
      </c>
      <c r="B99" s="429"/>
      <c r="C99" s="460">
        <f>ROUND(试算平衡表!I100,2)</f>
        <v>0</v>
      </c>
      <c r="D99" s="461">
        <f>ROUND(试算平衡表!N100,2)</f>
        <v>0</v>
      </c>
      <c r="E99" s="102">
        <f>SUM(C89:C98)-C98-C99</f>
        <v>0</v>
      </c>
      <c r="F99" s="102">
        <f>SUM(D89:D98)-D98-D99</f>
        <v>0</v>
      </c>
      <c r="I99" s="293">
        <f t="shared" si="3"/>
        <v>0</v>
      </c>
      <c r="J99" s="294" t="str">
        <f t="shared" si="7"/>
        <v/>
      </c>
      <c r="K99" s="291"/>
      <c r="L99" s="291"/>
    </row>
    <row r="100" spans="1:12" ht="17.25" customHeight="1">
      <c r="A100" s="439" t="s">
        <v>614</v>
      </c>
      <c r="B100" s="429"/>
      <c r="C100" s="460">
        <f>ROUND(试算平衡表!I101,2)</f>
        <v>524408.01</v>
      </c>
      <c r="D100" s="461">
        <f>ROUND(试算平衡表!N101,2)</f>
        <v>1110001.2</v>
      </c>
      <c r="E100" s="102">
        <f>C100-C99-C87</f>
        <v>0</v>
      </c>
      <c r="F100" s="102">
        <f>D100-D99-D87</f>
        <v>0</v>
      </c>
      <c r="I100" s="293">
        <f t="shared" si="3"/>
        <v>-585593.18999999994</v>
      </c>
      <c r="J100" s="294">
        <f t="shared" si="7"/>
        <v>-0.52756086209636532</v>
      </c>
      <c r="K100" s="291"/>
      <c r="L100" s="291"/>
    </row>
    <row r="101" spans="1:12" ht="17.25" customHeight="1">
      <c r="A101" s="451" t="s">
        <v>615</v>
      </c>
      <c r="B101" s="429"/>
      <c r="C101" s="460">
        <f>ROUND(试算平衡表!I102,2)</f>
        <v>0</v>
      </c>
      <c r="D101" s="461">
        <f>ROUND(试算平衡表!N102,2)</f>
        <v>0</v>
      </c>
      <c r="E101" s="99"/>
      <c r="I101" s="293">
        <f t="shared" si="3"/>
        <v>0</v>
      </c>
      <c r="J101" s="294" t="str">
        <f t="shared" si="7"/>
        <v/>
      </c>
      <c r="K101" s="291"/>
      <c r="L101" s="291"/>
    </row>
    <row r="102" spans="1:12" ht="17.25" customHeight="1">
      <c r="A102" s="450" t="s">
        <v>616</v>
      </c>
      <c r="B102" s="429"/>
      <c r="C102" s="460">
        <f>ROUND(试算平衡表!I103,2)</f>
        <v>10000</v>
      </c>
      <c r="D102" s="461">
        <f>ROUND(试算平衡表!N103,2)</f>
        <v>10000</v>
      </c>
      <c r="E102" s="102">
        <f>C102-C103-C105-C106-C108</f>
        <v>0</v>
      </c>
      <c r="F102" s="102">
        <f>D102-D103-D105-D106-D108</f>
        <v>0</v>
      </c>
      <c r="I102" s="293">
        <f t="shared" si="3"/>
        <v>0</v>
      </c>
      <c r="J102" s="294" t="str">
        <f t="shared" si="7"/>
        <v/>
      </c>
      <c r="K102" s="291"/>
      <c r="L102" s="1584">
        <f t="shared" ref="L102:L126" si="8">IF(J102&lt;&gt;"",A102&amp;"2012年12月31日期末数为"&amp;TEXT(C102,"0,000.00")&amp;"元，比期初数"&amp;IF(J102&gt;0,"增加","减少")&amp;TEXT(ABS(J102),"00.00%")&amp;"，主要是由于"&amp;K102&amp;"所致。",0)</f>
        <v>0</v>
      </c>
    </row>
    <row r="103" spans="1:12" ht="17.25" customHeight="1">
      <c r="A103" s="450" t="s">
        <v>2082</v>
      </c>
      <c r="B103" s="429"/>
      <c r="C103" s="460">
        <f>ROUND(试算平衡表!I104,2)</f>
        <v>0</v>
      </c>
      <c r="D103" s="461">
        <f>ROUND(试算平衡表!N104,2)</f>
        <v>0</v>
      </c>
      <c r="E103" s="99"/>
      <c r="I103" s="293">
        <f t="shared" si="3"/>
        <v>0</v>
      </c>
      <c r="J103" s="294" t="str">
        <f t="shared" si="7"/>
        <v/>
      </c>
      <c r="K103" s="291"/>
      <c r="L103" s="1584">
        <f t="shared" si="8"/>
        <v>0</v>
      </c>
    </row>
    <row r="104" spans="1:12" ht="16.5" customHeight="1">
      <c r="A104" s="450" t="s">
        <v>618</v>
      </c>
      <c r="B104" s="429"/>
      <c r="C104" s="460">
        <f>ROUND(试算平衡表!I105,2)</f>
        <v>0</v>
      </c>
      <c r="D104" s="461">
        <f>ROUND(试算平衡表!N105,2)</f>
        <v>0</v>
      </c>
      <c r="E104" s="99"/>
      <c r="I104" s="293">
        <f t="shared" si="3"/>
        <v>0</v>
      </c>
      <c r="J104" s="294" t="str">
        <f t="shared" si="7"/>
        <v/>
      </c>
      <c r="K104" s="291"/>
      <c r="L104" s="1584">
        <f t="shared" si="8"/>
        <v>0</v>
      </c>
    </row>
    <row r="105" spans="1:12" ht="17.25" customHeight="1">
      <c r="A105" s="450" t="s">
        <v>2077</v>
      </c>
      <c r="B105" s="429"/>
      <c r="C105" s="460">
        <f>ROUND(试算平衡表!I106,2)</f>
        <v>0</v>
      </c>
      <c r="D105" s="461">
        <f>ROUND(试算平衡表!N106,2)</f>
        <v>0</v>
      </c>
      <c r="E105" s="99"/>
      <c r="I105" s="293">
        <f t="shared" si="3"/>
        <v>0</v>
      </c>
      <c r="J105" s="294" t="str">
        <f t="shared" si="7"/>
        <v/>
      </c>
      <c r="K105" s="291"/>
      <c r="L105" s="1584">
        <f t="shared" si="8"/>
        <v>0</v>
      </c>
    </row>
    <row r="106" spans="1:12" ht="17.25" customHeight="1">
      <c r="A106" s="450" t="s">
        <v>620</v>
      </c>
      <c r="B106" s="429"/>
      <c r="C106" s="460">
        <f>ROUND(试算平衡表!I107,2)</f>
        <v>10000</v>
      </c>
      <c r="D106" s="461">
        <f>ROUND(试算平衡表!N107,2)</f>
        <v>10000</v>
      </c>
      <c r="E106" s="99"/>
      <c r="I106" s="293">
        <f t="shared" si="3"/>
        <v>0</v>
      </c>
      <c r="J106" s="294" t="str">
        <f t="shared" si="7"/>
        <v/>
      </c>
      <c r="K106" s="291"/>
      <c r="L106" s="1584">
        <f t="shared" si="8"/>
        <v>0</v>
      </c>
    </row>
    <row r="107" spans="1:12" ht="17.25" customHeight="1">
      <c r="A107" s="450" t="s">
        <v>2068</v>
      </c>
      <c r="B107" s="429"/>
      <c r="C107" s="460">
        <f>ROUND(试算平衡表!I108,2)</f>
        <v>0</v>
      </c>
      <c r="D107" s="461">
        <f>ROUND(试算平衡表!N108,2)</f>
        <v>0</v>
      </c>
      <c r="E107" s="99"/>
      <c r="I107" s="293">
        <f t="shared" si="3"/>
        <v>0</v>
      </c>
      <c r="J107" s="294" t="str">
        <f t="shared" si="7"/>
        <v/>
      </c>
      <c r="K107" s="291"/>
      <c r="L107" s="1584">
        <f t="shared" si="8"/>
        <v>0</v>
      </c>
    </row>
    <row r="108" spans="1:12" ht="17.25" customHeight="1">
      <c r="A108" s="450" t="s">
        <v>622</v>
      </c>
      <c r="B108" s="429"/>
      <c r="C108" s="460">
        <f>ROUND(试算平衡表!I109,2)</f>
        <v>0</v>
      </c>
      <c r="D108" s="461">
        <f>ROUND(试算平衡表!N109,2)</f>
        <v>0</v>
      </c>
      <c r="E108" s="99"/>
      <c r="I108" s="293">
        <f t="shared" si="3"/>
        <v>0</v>
      </c>
      <c r="J108" s="294" t="str">
        <f t="shared" si="7"/>
        <v/>
      </c>
      <c r="K108" s="291"/>
      <c r="L108" s="1584">
        <f t="shared" si="8"/>
        <v>0</v>
      </c>
    </row>
    <row r="109" spans="1:12" ht="17.25" customHeight="1">
      <c r="A109" s="444" t="s">
        <v>623</v>
      </c>
      <c r="B109" s="429"/>
      <c r="C109" s="460">
        <f>ROUND(试算平衡表!I110,2)</f>
        <v>0</v>
      </c>
      <c r="D109" s="461">
        <f>ROUND(试算平衡表!N110,2)</f>
        <v>0</v>
      </c>
      <c r="E109" s="99"/>
      <c r="I109" s="293">
        <f t="shared" si="3"/>
        <v>0</v>
      </c>
      <c r="J109" s="294" t="str">
        <f t="shared" si="7"/>
        <v/>
      </c>
      <c r="K109" s="291"/>
      <c r="L109" s="1584">
        <f t="shared" si="8"/>
        <v>0</v>
      </c>
    </row>
    <row r="110" spans="1:12" ht="17.25" customHeight="1">
      <c r="A110" s="444" t="s">
        <v>624</v>
      </c>
      <c r="B110" s="429"/>
      <c r="C110" s="460">
        <f>ROUND(试算平衡表!I111,2)</f>
        <v>10000</v>
      </c>
      <c r="D110" s="461">
        <f>ROUND(试算平衡表!N111,2)</f>
        <v>10000</v>
      </c>
      <c r="E110" s="102">
        <f>C102-C109-C110</f>
        <v>0</v>
      </c>
      <c r="F110" s="102">
        <f>D102-D109-D110</f>
        <v>0</v>
      </c>
      <c r="I110" s="293">
        <f t="shared" si="3"/>
        <v>0</v>
      </c>
      <c r="J110" s="294" t="str">
        <f t="shared" si="7"/>
        <v/>
      </c>
      <c r="K110" s="291"/>
      <c r="L110" s="1584">
        <f t="shared" si="8"/>
        <v>0</v>
      </c>
    </row>
    <row r="111" spans="1:12" ht="17.25" customHeight="1">
      <c r="A111" s="444" t="s">
        <v>2033</v>
      </c>
      <c r="B111" s="429"/>
      <c r="C111" s="460">
        <f>ROUND(试算平衡表!I112,2)</f>
        <v>0</v>
      </c>
      <c r="D111" s="461">
        <f>ROUND(试算平衡表!N112,2)</f>
        <v>0</v>
      </c>
      <c r="E111" s="99"/>
      <c r="F111" s="99"/>
      <c r="I111" s="293">
        <f>C111-D111</f>
        <v>0</v>
      </c>
      <c r="J111" s="294" t="str">
        <f>IFERROR(IF(OR(ABS((C111-D111)/D111)&gt;0.3,ABS((C111-D111))&gt;$J$4),(C111-D111)/D111,""),"")</f>
        <v/>
      </c>
      <c r="K111" s="291"/>
      <c r="L111" s="1584">
        <f>IF(J111&lt;&gt;"",A111&amp;"2012年12月31日期末数为"&amp;TEXT(C111,"0,000.00")&amp;"元，比期初数"&amp;IF(J111&gt;0,"增加","减少")&amp;TEXT(ABS(J111),"00.00%")&amp;"，主要是由于"&amp;K111&amp;"所致。",0)</f>
        <v>0</v>
      </c>
    </row>
    <row r="112" spans="1:12" ht="17.25" customHeight="1">
      <c r="A112" s="444" t="s">
        <v>2034</v>
      </c>
      <c r="B112" s="429"/>
      <c r="C112" s="460">
        <f>ROUND(试算平衡表!I113,2)</f>
        <v>0</v>
      </c>
      <c r="D112" s="461">
        <f>ROUND(试算平衡表!N113,2)</f>
        <v>0</v>
      </c>
      <c r="E112" s="99"/>
      <c r="F112" s="99"/>
      <c r="I112" s="293">
        <f>C112-D112</f>
        <v>0</v>
      </c>
      <c r="J112" s="294" t="str">
        <f>IFERROR(IF(OR(ABS((C112-D112)/D112)&gt;0.3,ABS((C112-D112))&gt;$J$4),(C112-D112)/D112,""),"")</f>
        <v/>
      </c>
      <c r="K112" s="291"/>
      <c r="L112" s="1584">
        <f>IF(J112&lt;&gt;"",A112&amp;"2012年12月31日期末数为"&amp;TEXT(C112,"0,000.00")&amp;"元，比期初数"&amp;IF(J112&gt;0,"增加","减少")&amp;TEXT(ABS(J112),"00.00%")&amp;"，主要是由于"&amp;K112&amp;"所致。",0)</f>
        <v>0</v>
      </c>
    </row>
    <row r="113" spans="1:12" ht="17.25" customHeight="1">
      <c r="A113" s="444" t="s">
        <v>2035</v>
      </c>
      <c r="B113" s="429"/>
      <c r="C113" s="460">
        <f>ROUND(试算平衡表!I114,2)</f>
        <v>0</v>
      </c>
      <c r="D113" s="461">
        <f>ROUND(试算平衡表!N114,2)</f>
        <v>0</v>
      </c>
      <c r="E113" s="99"/>
      <c r="F113" s="99"/>
      <c r="I113" s="293">
        <f>C113-D113</f>
        <v>0</v>
      </c>
      <c r="J113" s="294" t="str">
        <f>IFERROR(IF(OR(ABS((C113-D113)/D113)&gt;0.3,ABS((C113-D113))&gt;$J$4),(C113-D113)/D113,""),"")</f>
        <v/>
      </c>
      <c r="K113" s="291"/>
      <c r="L113" s="1584">
        <f>IF(J113&lt;&gt;"",A113&amp;"2012年12月31日期末数为"&amp;TEXT(C113,"0,000.00")&amp;"元，比期初数"&amp;IF(J113&gt;0,"增加","减少")&amp;TEXT(ABS(J113),"00.00%")&amp;"，主要是由于"&amp;K113&amp;"所致。",0)</f>
        <v>0</v>
      </c>
    </row>
    <row r="114" spans="1:12" ht="17.25" customHeight="1">
      <c r="A114" s="444" t="s">
        <v>625</v>
      </c>
      <c r="B114" s="429"/>
      <c r="C114" s="460">
        <f>ROUND(试算平衡表!I115,2)</f>
        <v>0</v>
      </c>
      <c r="D114" s="461">
        <f>ROUND(试算平衡表!N115,2)</f>
        <v>0</v>
      </c>
      <c r="E114" s="99"/>
      <c r="I114" s="293">
        <f t="shared" si="3"/>
        <v>0</v>
      </c>
      <c r="J114" s="294" t="str">
        <f t="shared" si="7"/>
        <v/>
      </c>
      <c r="K114" s="291"/>
      <c r="L114" s="1584">
        <f t="shared" si="8"/>
        <v>0</v>
      </c>
    </row>
    <row r="115" spans="1:12" ht="17.25" customHeight="1">
      <c r="A115" s="444" t="s">
        <v>626</v>
      </c>
      <c r="B115" s="429"/>
      <c r="C115" s="460">
        <f>ROUND(试算平衡表!I116,2)</f>
        <v>0</v>
      </c>
      <c r="D115" s="461">
        <f>ROUND(试算平衡表!N116,2)</f>
        <v>0</v>
      </c>
      <c r="E115" s="99"/>
      <c r="I115" s="293">
        <f t="shared" si="3"/>
        <v>0</v>
      </c>
      <c r="J115" s="294" t="str">
        <f t="shared" si="7"/>
        <v/>
      </c>
      <c r="K115" s="291"/>
      <c r="L115" s="1584">
        <f t="shared" si="8"/>
        <v>0</v>
      </c>
    </row>
    <row r="116" spans="1:12" ht="17.25" customHeight="1">
      <c r="A116" s="444" t="s">
        <v>1789</v>
      </c>
      <c r="B116" s="429"/>
      <c r="C116" s="460">
        <f>ROUND(试算平衡表!I117,2)</f>
        <v>0</v>
      </c>
      <c r="D116" s="461">
        <f>ROUND(试算平衡表!N117,2)</f>
        <v>0</v>
      </c>
      <c r="E116" s="99"/>
      <c r="I116" s="293">
        <f>C116-D116</f>
        <v>0</v>
      </c>
      <c r="J116" s="294" t="str">
        <f>IFERROR(IF(OR(ABS((C116-D116)/D116)&gt;0.3,ABS((C116-D116))&gt;$J$4),(C116-D116)/D116,""),"")</f>
        <v/>
      </c>
      <c r="K116" s="291"/>
      <c r="L116" s="1584">
        <f>IF(J116&lt;&gt;"",A116&amp;"2012年12月31日期末数为"&amp;TEXT(C116,"0,000.00")&amp;"元，比期初数"&amp;IF(J116&gt;0,"增加","减少")&amp;TEXT(ABS(J116),"00.00%")&amp;"，主要是由于"&amp;K116&amp;"所致。",0)</f>
        <v>0</v>
      </c>
    </row>
    <row r="117" spans="1:12" ht="17.25" customHeight="1">
      <c r="A117" s="444" t="s">
        <v>1790</v>
      </c>
      <c r="B117" s="429"/>
      <c r="C117" s="460">
        <f>ROUND(试算平衡表!I118,2)</f>
        <v>0</v>
      </c>
      <c r="D117" s="461">
        <f>ROUND(试算平衡表!N118,2)</f>
        <v>0</v>
      </c>
      <c r="E117" s="99"/>
      <c r="I117" s="293">
        <f>C117-D117</f>
        <v>0</v>
      </c>
      <c r="J117" s="294" t="str">
        <f>IFERROR(IF(OR(ABS((C117-D117)/D117)&gt;0.3,ABS((C117-D117))&gt;$J$4),(C117-D117)/D117,""),"")</f>
        <v/>
      </c>
      <c r="K117" s="291"/>
      <c r="L117" s="1584">
        <f>IF(J117&lt;&gt;"",A117&amp;"2012年12月31日期末数为"&amp;TEXT(C117,"0,000.00")&amp;"元，比期初数"&amp;IF(J117&gt;0,"增加","减少")&amp;TEXT(ABS(J117),"00.00%")&amp;"，主要是由于"&amp;K117&amp;"所致。",0)</f>
        <v>0</v>
      </c>
    </row>
    <row r="118" spans="1:12" ht="17.25" customHeight="1">
      <c r="A118" s="444" t="s">
        <v>627</v>
      </c>
      <c r="B118" s="429"/>
      <c r="C118" s="460">
        <f>ROUND(试算平衡表!I119,2)</f>
        <v>0</v>
      </c>
      <c r="D118" s="461">
        <f>ROUND(试算平衡表!N119,2)</f>
        <v>0</v>
      </c>
      <c r="E118" s="99"/>
      <c r="I118" s="293">
        <f t="shared" si="3"/>
        <v>0</v>
      </c>
      <c r="J118" s="294" t="str">
        <f t="shared" si="7"/>
        <v/>
      </c>
      <c r="K118" s="291"/>
      <c r="L118" s="1584">
        <f t="shared" si="8"/>
        <v>0</v>
      </c>
    </row>
    <row r="119" spans="1:12" ht="17.25" customHeight="1">
      <c r="A119" s="444" t="s">
        <v>628</v>
      </c>
      <c r="B119" s="429"/>
      <c r="C119" s="460">
        <f>ROUND(试算平衡表!I120,2)</f>
        <v>3513183.49</v>
      </c>
      <c r="D119" s="461">
        <f>ROUND(试算平衡表!N120,2)</f>
        <v>3513183.49</v>
      </c>
      <c r="E119" s="102">
        <f>C119-C120-C121-C122-C123-C124</f>
        <v>0</v>
      </c>
      <c r="F119" s="102">
        <f>D119-D120-D121-D122-D123-D124</f>
        <v>0</v>
      </c>
      <c r="I119" s="293">
        <f t="shared" si="3"/>
        <v>0</v>
      </c>
      <c r="J119" s="294" t="str">
        <f t="shared" si="7"/>
        <v/>
      </c>
      <c r="K119" s="291"/>
      <c r="L119" s="1584">
        <f t="shared" si="8"/>
        <v>0</v>
      </c>
    </row>
    <row r="120" spans="1:12" ht="17.25" customHeight="1">
      <c r="A120" s="444" t="s">
        <v>2069</v>
      </c>
      <c r="B120" s="429"/>
      <c r="C120" s="460">
        <f>ROUND(试算平衡表!I121,2)</f>
        <v>3513183.49</v>
      </c>
      <c r="D120" s="461">
        <f>ROUND(试算平衡表!N121,2)</f>
        <v>3513183.49</v>
      </c>
      <c r="E120" s="99"/>
      <c r="I120" s="293">
        <f t="shared" si="3"/>
        <v>0</v>
      </c>
      <c r="J120" s="294" t="str">
        <f t="shared" si="7"/>
        <v/>
      </c>
      <c r="K120" s="291"/>
      <c r="L120" s="1584">
        <f t="shared" si="8"/>
        <v>0</v>
      </c>
    </row>
    <row r="121" spans="1:12" ht="17.25" customHeight="1">
      <c r="A121" s="444" t="s">
        <v>630</v>
      </c>
      <c r="B121" s="429"/>
      <c r="C121" s="460">
        <f>ROUND(试算平衡表!I122,2)</f>
        <v>0</v>
      </c>
      <c r="D121" s="461">
        <f>ROUND(试算平衡表!N122,2)</f>
        <v>0</v>
      </c>
      <c r="E121" s="99"/>
      <c r="I121" s="293">
        <f t="shared" si="3"/>
        <v>0</v>
      </c>
      <c r="J121" s="294" t="str">
        <f t="shared" si="7"/>
        <v/>
      </c>
      <c r="K121" s="291"/>
      <c r="L121" s="1584">
        <f t="shared" si="8"/>
        <v>0</v>
      </c>
    </row>
    <row r="122" spans="1:12" ht="17.25" customHeight="1">
      <c r="A122" s="444" t="s">
        <v>2070</v>
      </c>
      <c r="B122" s="429"/>
      <c r="C122" s="460">
        <f>ROUND(试算平衡表!I123,2)</f>
        <v>0</v>
      </c>
      <c r="D122" s="461">
        <f>ROUND(试算平衡表!N123,2)</f>
        <v>0</v>
      </c>
      <c r="E122" s="99"/>
      <c r="I122" s="293">
        <f t="shared" si="3"/>
        <v>0</v>
      </c>
      <c r="J122" s="294" t="str">
        <f t="shared" si="7"/>
        <v/>
      </c>
      <c r="K122" s="291"/>
      <c r="L122" s="1584">
        <f t="shared" si="8"/>
        <v>0</v>
      </c>
    </row>
    <row r="123" spans="1:12" ht="17.25" customHeight="1">
      <c r="A123" s="444" t="s">
        <v>632</v>
      </c>
      <c r="B123" s="429"/>
      <c r="C123" s="460">
        <f>ROUND(试算平衡表!I124,2)</f>
        <v>0</v>
      </c>
      <c r="D123" s="461">
        <f>ROUND(试算平衡表!N124,2)</f>
        <v>0</v>
      </c>
      <c r="E123" s="99"/>
      <c r="I123" s="293">
        <f t="shared" si="3"/>
        <v>0</v>
      </c>
      <c r="J123" s="294" t="str">
        <f t="shared" si="7"/>
        <v/>
      </c>
      <c r="K123" s="291"/>
      <c r="L123" s="1584">
        <f t="shared" si="8"/>
        <v>0</v>
      </c>
    </row>
    <row r="124" spans="1:12" ht="17.25" customHeight="1">
      <c r="A124" s="444" t="s">
        <v>633</v>
      </c>
      <c r="B124" s="429"/>
      <c r="C124" s="460">
        <f>ROUND(试算平衡表!I125,2)</f>
        <v>0</v>
      </c>
      <c r="D124" s="461">
        <f>ROUND(试算平衡表!N125,2)</f>
        <v>0</v>
      </c>
      <c r="E124" s="99"/>
      <c r="I124" s="293">
        <f t="shared" si="3"/>
        <v>0</v>
      </c>
      <c r="J124" s="294" t="str">
        <f t="shared" si="7"/>
        <v/>
      </c>
      <c r="K124" s="291"/>
      <c r="L124" s="1584">
        <f t="shared" si="8"/>
        <v>0</v>
      </c>
    </row>
    <row r="125" spans="1:12" ht="17.25" customHeight="1">
      <c r="A125" s="444" t="s">
        <v>634</v>
      </c>
      <c r="B125" s="429"/>
      <c r="C125" s="460">
        <f>ROUND(试算平衡表!I126,2)</f>
        <v>0</v>
      </c>
      <c r="D125" s="461">
        <f>ROUND(试算平衡表!N126,2)</f>
        <v>0</v>
      </c>
      <c r="E125" s="99"/>
      <c r="I125" s="293">
        <f t="shared" si="3"/>
        <v>0</v>
      </c>
      <c r="J125" s="294" t="str">
        <f t="shared" si="7"/>
        <v/>
      </c>
      <c r="K125" s="291"/>
      <c r="L125" s="1584">
        <f t="shared" si="8"/>
        <v>0</v>
      </c>
    </row>
    <row r="126" spans="1:12" ht="17.25" customHeight="1">
      <c r="A126" s="444" t="s">
        <v>2071</v>
      </c>
      <c r="B126" s="429"/>
      <c r="C126" s="460">
        <f>ROUND(试算平衡表!I127,2)</f>
        <v>3473801.53</v>
      </c>
      <c r="D126" s="461">
        <f>ROUND(试算平衡表!N127,2)</f>
        <v>3398651.31</v>
      </c>
      <c r="E126" s="99"/>
      <c r="I126" s="293">
        <f t="shared" si="3"/>
        <v>75150.219999999739</v>
      </c>
      <c r="J126" s="294" t="str">
        <f t="shared" si="7"/>
        <v/>
      </c>
      <c r="K126" s="291"/>
      <c r="L126" s="1584">
        <f t="shared" si="8"/>
        <v>0</v>
      </c>
    </row>
    <row r="127" spans="1:12" ht="17.25" customHeight="1">
      <c r="A127" s="439" t="s">
        <v>637</v>
      </c>
      <c r="B127" s="429"/>
      <c r="C127" s="460">
        <f>ROUND(试算平衡表!I128,2)</f>
        <v>6996985.0199999996</v>
      </c>
      <c r="D127" s="461">
        <f>ROUND(试算平衡表!N128,2)</f>
        <v>6921834.7999999998</v>
      </c>
      <c r="E127" s="102">
        <f>C127-C126-C125-C119-C118-C116-C114-C111-C110+C115</f>
        <v>-4.6566128730773926E-10</v>
      </c>
      <c r="F127" s="102">
        <f>D127-D126-D125-D119-D118-D116-D114-D111-D110+D115</f>
        <v>-4.6566128730773926E-10</v>
      </c>
      <c r="I127" s="293">
        <f t="shared" si="3"/>
        <v>75150.219999999739</v>
      </c>
      <c r="J127" s="294" t="str">
        <f t="shared" si="7"/>
        <v/>
      </c>
      <c r="K127" s="291"/>
      <c r="L127" s="291"/>
    </row>
    <row r="128" spans="1:12" ht="17.25" customHeight="1">
      <c r="A128" s="444" t="s">
        <v>638</v>
      </c>
      <c r="B128" s="429"/>
      <c r="C128" s="460">
        <f>ROUND(试算平衡表!I129,2)</f>
        <v>0</v>
      </c>
      <c r="D128" s="461">
        <f>ROUND(试算平衡表!N129,2)</f>
        <v>0</v>
      </c>
      <c r="E128" s="99"/>
      <c r="I128" s="293">
        <f t="shared" si="3"/>
        <v>0</v>
      </c>
      <c r="J128" s="294" t="str">
        <f t="shared" si="7"/>
        <v/>
      </c>
      <c r="K128" s="291"/>
      <c r="L128" s="294">
        <f>IF(J128&lt;&gt;"",A128&amp;"2012年12月31日期末数为"&amp;TEXT(C128,"0,000.00")&amp;"元，比期初数"&amp;IF(J128&gt;0,"增加","减少")&amp;TEXT(ABS(J128),"00.00%")&amp;"，主要是由于"&amp;K128&amp;"所致。",0)</f>
        <v>0</v>
      </c>
    </row>
    <row r="129" spans="1:15" ht="15.6" customHeight="1">
      <c r="A129" s="439" t="s">
        <v>639</v>
      </c>
      <c r="B129" s="429"/>
      <c r="C129" s="460">
        <f>ROUND(试算平衡表!I130,2)</f>
        <v>6996985.0199999996</v>
      </c>
      <c r="D129" s="461">
        <f>ROUND(试算平衡表!N130,2)</f>
        <v>6921834.7999999998</v>
      </c>
      <c r="E129" s="102">
        <f>C129-C128-C127</f>
        <v>0</v>
      </c>
      <c r="F129" s="102">
        <f>D129-D128-D127</f>
        <v>0</v>
      </c>
      <c r="I129" s="293">
        <f t="shared" si="3"/>
        <v>75150.219999999739</v>
      </c>
      <c r="J129" s="294" t="str">
        <f t="shared" si="7"/>
        <v/>
      </c>
      <c r="K129" s="291"/>
      <c r="L129" s="291"/>
    </row>
    <row r="130" spans="1:15" ht="20.25" customHeight="1" thickBot="1">
      <c r="A130" s="446" t="s">
        <v>640</v>
      </c>
      <c r="B130" s="447"/>
      <c r="C130" s="574">
        <f>ROUND(试算平衡表!I131,2)</f>
        <v>7521393.0300000003</v>
      </c>
      <c r="D130" s="575">
        <f>ROUND(试算平衡表!N131,2)</f>
        <v>8031836</v>
      </c>
      <c r="E130" s="102">
        <f>C130-C129-C100</f>
        <v>0</v>
      </c>
      <c r="F130" s="102">
        <f>D130-D129-D100</f>
        <v>0</v>
      </c>
      <c r="I130" s="293">
        <f t="shared" si="3"/>
        <v>-510442.96999999974</v>
      </c>
      <c r="J130" s="294">
        <f t="shared" si="7"/>
        <v>-6.3552464218641885E-2</v>
      </c>
      <c r="K130" s="291"/>
      <c r="L130" s="291"/>
    </row>
    <row r="131" spans="1:15">
      <c r="A131" s="1703" t="s">
        <v>2080</v>
      </c>
      <c r="B131" s="1703"/>
      <c r="C131" s="1703"/>
      <c r="D131" s="1703"/>
      <c r="E131" s="281">
        <f>C130-C53</f>
        <v>0</v>
      </c>
      <c r="F131" s="281">
        <f>D130-D53</f>
        <v>0</v>
      </c>
    </row>
    <row r="132" spans="1:15" ht="24" customHeight="1">
      <c r="A132" s="1698" t="s">
        <v>2083</v>
      </c>
      <c r="B132" s="1698"/>
      <c r="C132" s="1698"/>
      <c r="D132" s="1698"/>
      <c r="E132" s="1301"/>
    </row>
    <row r="133" spans="1:15" ht="13.5" customHeight="1">
      <c r="E133" s="1302"/>
    </row>
    <row r="134" spans="1:15" ht="22.5" customHeight="1">
      <c r="C134" s="1581" t="s">
        <v>5031</v>
      </c>
      <c r="D134" s="1582">
        <f>C126-D126-审定利润表!C52</f>
        <v>-2.6193447411060333E-10</v>
      </c>
    </row>
    <row r="135" spans="1:15">
      <c r="A135" s="454"/>
      <c r="B135" s="454"/>
      <c r="C135" s="455"/>
      <c r="D135" s="455"/>
    </row>
    <row r="136" spans="1:15" s="121" customFormat="1">
      <c r="A136" s="456" t="s">
        <v>2036</v>
      </c>
      <c r="B136" s="414"/>
      <c r="C136" s="415"/>
      <c r="D136" s="127"/>
      <c r="E136" s="105"/>
      <c r="F136" s="105"/>
      <c r="J136" s="125"/>
      <c r="K136" s="127"/>
      <c r="L136" s="128"/>
      <c r="M136" s="1550"/>
      <c r="N136" s="119"/>
      <c r="O136" s="119"/>
    </row>
    <row r="137" spans="1:15" s="121" customFormat="1">
      <c r="A137" s="456" t="s">
        <v>2037</v>
      </c>
      <c r="B137" s="414"/>
      <c r="C137" s="417">
        <f>SUM(C6:C26)-C22-C23-C27</f>
        <v>0</v>
      </c>
      <c r="D137" s="417">
        <f>SUM(D6:D26)-D22-D23-D27</f>
        <v>0</v>
      </c>
      <c r="E137" s="105"/>
      <c r="F137" s="105"/>
      <c r="J137" s="125"/>
      <c r="K137" s="127"/>
      <c r="L137" s="128"/>
      <c r="M137" s="1550"/>
      <c r="N137" s="119"/>
      <c r="O137" s="119"/>
    </row>
    <row r="138" spans="1:15" s="121" customFormat="1">
      <c r="A138" s="456" t="s">
        <v>2058</v>
      </c>
      <c r="B138" s="414"/>
      <c r="C138" s="417">
        <f>IF(C21-C22-C23&gt;0,0,C21-C22-C23)</f>
        <v>0</v>
      </c>
      <c r="D138" s="417">
        <f>IF(D21-D22-D23&gt;0,0,D21-D22-D23)</f>
        <v>0</v>
      </c>
      <c r="E138" s="105"/>
      <c r="F138" s="105"/>
      <c r="J138" s="125"/>
      <c r="K138" s="127"/>
      <c r="L138" s="128"/>
      <c r="M138" s="1550"/>
      <c r="N138" s="119"/>
      <c r="O138" s="119"/>
    </row>
    <row r="139" spans="1:15" s="121" customFormat="1">
      <c r="A139" s="456" t="s">
        <v>2072</v>
      </c>
      <c r="B139" s="414"/>
      <c r="C139" s="417">
        <f>SUM(C29:C51)-C36-C35-C37-C38-C51-C52</f>
        <v>0</v>
      </c>
      <c r="D139" s="417">
        <f>SUM(D29:D51)-D36-D35-D37-D38-D51-D52</f>
        <v>0</v>
      </c>
      <c r="E139" s="105"/>
      <c r="F139" s="105"/>
      <c r="J139" s="125"/>
      <c r="K139" s="127"/>
      <c r="L139" s="128"/>
      <c r="M139" s="1550"/>
      <c r="N139" s="119"/>
      <c r="O139" s="119"/>
    </row>
    <row r="140" spans="1:15" s="121" customFormat="1">
      <c r="A140" s="456" t="s">
        <v>2038</v>
      </c>
      <c r="B140" s="414"/>
      <c r="C140" s="417">
        <f>IF(C50-C51&gt;0,0,C50-C51)</f>
        <v>0</v>
      </c>
      <c r="D140" s="417">
        <f>IF(D50-D51&gt;0,0,D50-D51)</f>
        <v>0</v>
      </c>
      <c r="E140" s="105"/>
      <c r="F140" s="105"/>
      <c r="J140" s="125"/>
      <c r="K140" s="127"/>
      <c r="L140" s="128"/>
      <c r="M140" s="1550"/>
      <c r="N140" s="119"/>
      <c r="O140" s="119"/>
    </row>
    <row r="141" spans="1:15" s="121" customFormat="1">
      <c r="A141" s="456" t="s">
        <v>2078</v>
      </c>
      <c r="B141" s="414"/>
      <c r="C141" s="417">
        <f>C53-C52-C27</f>
        <v>0</v>
      </c>
      <c r="D141" s="417">
        <f>D53-D52-D27</f>
        <v>0</v>
      </c>
      <c r="E141" s="105"/>
      <c r="F141" s="105"/>
      <c r="J141" s="125"/>
      <c r="K141" s="127"/>
      <c r="L141" s="128"/>
      <c r="M141" s="1550"/>
      <c r="N141" s="119"/>
      <c r="O141" s="119"/>
    </row>
    <row r="142" spans="1:15" s="121" customFormat="1">
      <c r="A142" s="456" t="s">
        <v>2039</v>
      </c>
      <c r="B142" s="414"/>
      <c r="C142" s="417">
        <f>C53-C130</f>
        <v>0</v>
      </c>
      <c r="D142" s="417">
        <f>D53-D130</f>
        <v>0</v>
      </c>
      <c r="E142" s="105"/>
      <c r="F142" s="105"/>
      <c r="J142" s="125"/>
      <c r="K142" s="127"/>
      <c r="L142" s="128"/>
      <c r="M142" s="1550"/>
      <c r="N142" s="119"/>
      <c r="O142" s="119"/>
    </row>
    <row r="143" spans="1:15" s="121" customFormat="1">
      <c r="A143" s="456" t="s">
        <v>2081</v>
      </c>
      <c r="B143" s="414"/>
      <c r="C143" s="417">
        <f>SUM(C60:C86)-C72-C73-C74-C76-C87</f>
        <v>0</v>
      </c>
      <c r="D143" s="417">
        <f>SUM(D60:D86)-D72-D73-D74-D76-D87</f>
        <v>0</v>
      </c>
      <c r="E143" s="105"/>
      <c r="F143" s="105"/>
      <c r="J143" s="125"/>
      <c r="K143" s="127"/>
      <c r="L143" s="128"/>
      <c r="M143" s="1550"/>
      <c r="N143" s="119"/>
      <c r="O143" s="119"/>
    </row>
    <row r="144" spans="1:15" s="121" customFormat="1">
      <c r="A144" s="456" t="s">
        <v>2050</v>
      </c>
      <c r="B144" s="414"/>
      <c r="C144" s="417">
        <f>IF(C73-C74&gt;0,0,C73-C74)</f>
        <v>0</v>
      </c>
      <c r="D144" s="417">
        <f>IF(D73-D74&gt;0,0,D73-D74)</f>
        <v>0</v>
      </c>
      <c r="E144" s="105"/>
      <c r="F144" s="105"/>
      <c r="J144" s="125"/>
      <c r="K144" s="127"/>
      <c r="L144" s="128"/>
      <c r="M144" s="1550"/>
      <c r="N144" s="119"/>
      <c r="O144" s="119"/>
    </row>
    <row r="145" spans="1:15" s="121" customFormat="1">
      <c r="A145" s="456" t="s">
        <v>2051</v>
      </c>
      <c r="B145" s="414"/>
      <c r="C145" s="417">
        <f>IF(C71-C72-C73&gt;0,0,C71-C72-C73)</f>
        <v>0</v>
      </c>
      <c r="D145" s="417">
        <f>IF(D71-D72-D73&gt;0,0,D71-D72-D73)</f>
        <v>0</v>
      </c>
      <c r="E145" s="105"/>
      <c r="F145" s="105"/>
      <c r="J145" s="125"/>
      <c r="K145" s="127"/>
      <c r="L145" s="128"/>
      <c r="M145" s="1550"/>
      <c r="N145" s="119"/>
      <c r="O145" s="119"/>
    </row>
    <row r="146" spans="1:15" s="121" customFormat="1">
      <c r="A146" s="456" t="s">
        <v>2040</v>
      </c>
      <c r="B146" s="414"/>
      <c r="C146" s="417">
        <f>IF(C75-C76&gt;0,0,C75-C76)</f>
        <v>0</v>
      </c>
      <c r="D146" s="417">
        <f>IF(D75-D76&gt;0,0,D75-D76)</f>
        <v>0</v>
      </c>
      <c r="E146" s="105"/>
      <c r="F146" s="105"/>
      <c r="J146" s="125"/>
      <c r="K146" s="127"/>
      <c r="L146" s="128"/>
      <c r="M146" s="1550"/>
      <c r="N146" s="119"/>
      <c r="O146" s="119"/>
    </row>
    <row r="147" spans="1:15" s="121" customFormat="1">
      <c r="A147" s="456" t="s">
        <v>2041</v>
      </c>
      <c r="B147" s="414"/>
      <c r="C147" s="417">
        <f>SUM(C89:C97)-C99</f>
        <v>0</v>
      </c>
      <c r="D147" s="417">
        <f>SUM(D89:D97)-D99</f>
        <v>0</v>
      </c>
      <c r="E147" s="105"/>
      <c r="F147" s="105"/>
      <c r="J147" s="125"/>
      <c r="K147" s="127"/>
      <c r="L147" s="128"/>
      <c r="M147" s="1550"/>
      <c r="N147" s="119"/>
      <c r="O147" s="119"/>
    </row>
    <row r="148" spans="1:15" s="121" customFormat="1">
      <c r="A148" s="456" t="s">
        <v>2042</v>
      </c>
      <c r="B148" s="414"/>
      <c r="C148" s="417">
        <f>IF(C97-C98&gt;0,0,C97-C98)</f>
        <v>0</v>
      </c>
      <c r="D148" s="417">
        <f>IF(D97-D98&gt;0,0,D97-D98)</f>
        <v>0</v>
      </c>
      <c r="E148" s="105"/>
      <c r="F148" s="105"/>
      <c r="J148" s="125"/>
      <c r="K148" s="127"/>
      <c r="L148" s="128"/>
      <c r="M148" s="1550"/>
      <c r="N148" s="119"/>
      <c r="O148" s="119"/>
    </row>
    <row r="149" spans="1:15" s="121" customFormat="1">
      <c r="A149" s="456" t="s">
        <v>2043</v>
      </c>
      <c r="B149" s="414"/>
      <c r="C149" s="417">
        <f>C100-C87-C99</f>
        <v>0</v>
      </c>
      <c r="D149" s="417">
        <f>D100-D87-D99</f>
        <v>0</v>
      </c>
      <c r="E149" s="105"/>
      <c r="F149" s="105"/>
      <c r="J149" s="125"/>
      <c r="K149" s="127"/>
      <c r="L149" s="128"/>
      <c r="M149" s="1550"/>
      <c r="N149" s="119"/>
      <c r="O149" s="119"/>
    </row>
    <row r="150" spans="1:15" s="121" customFormat="1">
      <c r="A150" s="456" t="s">
        <v>2044</v>
      </c>
      <c r="B150" s="414"/>
      <c r="C150" s="417">
        <f>C102-C103-C105-C106-C108</f>
        <v>0</v>
      </c>
      <c r="D150" s="417">
        <f>D102-D103-D105-D106-D108</f>
        <v>0</v>
      </c>
      <c r="E150" s="105"/>
      <c r="F150" s="105"/>
      <c r="J150" s="125"/>
      <c r="K150" s="127"/>
      <c r="L150" s="128"/>
      <c r="M150" s="1550"/>
      <c r="N150" s="119"/>
      <c r="O150" s="119"/>
    </row>
    <row r="151" spans="1:15" s="121" customFormat="1">
      <c r="A151" s="456" t="s">
        <v>2045</v>
      </c>
      <c r="B151" s="414"/>
      <c r="C151" s="417">
        <f>IF(C103-C104&gt;0,0,C103-C104)</f>
        <v>0</v>
      </c>
      <c r="D151" s="417">
        <f>IF(D103-D104&gt;0,0,D103-D104)</f>
        <v>0</v>
      </c>
      <c r="E151" s="105"/>
      <c r="F151" s="105"/>
      <c r="J151" s="125"/>
      <c r="K151" s="127"/>
      <c r="L151" s="128"/>
      <c r="M151" s="1550"/>
      <c r="N151" s="119"/>
      <c r="O151" s="119"/>
    </row>
    <row r="152" spans="1:15" s="121" customFormat="1">
      <c r="A152" s="456" t="s">
        <v>1664</v>
      </c>
      <c r="B152" s="414"/>
      <c r="C152" s="417">
        <f>IF(C106-C107&gt;0,0,C106-C107)</f>
        <v>0</v>
      </c>
      <c r="D152" s="417">
        <f>IF(D106-D107&gt;0,0,D106-D107)</f>
        <v>0</v>
      </c>
      <c r="E152" s="105"/>
      <c r="F152" s="105"/>
      <c r="J152" s="125"/>
      <c r="K152" s="127"/>
      <c r="L152" s="128"/>
      <c r="M152" s="1550"/>
      <c r="N152" s="119"/>
      <c r="O152" s="119"/>
    </row>
    <row r="153" spans="1:15" s="121" customFormat="1">
      <c r="A153" s="456" t="s">
        <v>2046</v>
      </c>
      <c r="B153" s="414"/>
      <c r="C153" s="417">
        <f>C102-C109-C110</f>
        <v>0</v>
      </c>
      <c r="D153" s="417">
        <f>D102-D109-D110</f>
        <v>0</v>
      </c>
      <c r="E153" s="105"/>
      <c r="F153" s="105"/>
      <c r="J153" s="125"/>
      <c r="K153" s="127"/>
      <c r="L153" s="128"/>
      <c r="M153" s="1550"/>
      <c r="N153" s="119"/>
      <c r="O153" s="119"/>
    </row>
    <row r="154" spans="1:15" s="121" customFormat="1">
      <c r="A154" s="456" t="s">
        <v>2084</v>
      </c>
      <c r="B154" s="414"/>
      <c r="C154" s="417">
        <f>IF(C111-C112-C113&gt;0,0,C111-C112-C113)</f>
        <v>0</v>
      </c>
      <c r="D154" s="417">
        <f>IF(D111-D112-D113&gt;0,0,D111-D112-D113)</f>
        <v>0</v>
      </c>
      <c r="E154" s="105"/>
      <c r="F154" s="105"/>
      <c r="J154" s="125"/>
      <c r="K154" s="127"/>
      <c r="L154" s="128"/>
      <c r="M154" s="1550"/>
      <c r="N154" s="119"/>
      <c r="O154" s="119"/>
    </row>
    <row r="155" spans="1:15" s="121" customFormat="1">
      <c r="A155" s="456" t="s">
        <v>2047</v>
      </c>
      <c r="B155" s="414"/>
      <c r="C155" s="417">
        <f>IF(C116-C117&gt;0,0,C116-C117)</f>
        <v>0</v>
      </c>
      <c r="D155" s="417">
        <f>IF(D116-D117&gt;0,0,D116-D117)</f>
        <v>0</v>
      </c>
      <c r="E155" s="105"/>
      <c r="F155" s="105"/>
      <c r="J155" s="125"/>
      <c r="K155" s="127"/>
      <c r="L155" s="128"/>
      <c r="M155" s="1550"/>
      <c r="N155" s="119"/>
      <c r="O155" s="119"/>
    </row>
    <row r="156" spans="1:15" s="121" customFormat="1">
      <c r="A156" s="456" t="s">
        <v>2048</v>
      </c>
      <c r="B156" s="414"/>
      <c r="C156" s="417">
        <f>C119-C120-C121-C122-C123-C124</f>
        <v>0</v>
      </c>
      <c r="D156" s="417">
        <f>D119-D120-D121-D122-D123-D124</f>
        <v>0</v>
      </c>
      <c r="E156" s="105"/>
      <c r="F156" s="105"/>
      <c r="J156" s="125"/>
      <c r="K156" s="127"/>
      <c r="L156" s="128"/>
      <c r="M156" s="1550"/>
      <c r="N156" s="119"/>
      <c r="O156" s="119"/>
    </row>
    <row r="157" spans="1:15" s="121" customFormat="1">
      <c r="A157" s="456" t="s">
        <v>2052</v>
      </c>
      <c r="B157" s="414"/>
      <c r="C157" s="417">
        <f>C110+C111+C114-C115+C116+C118+C119+C125+C126-C127</f>
        <v>0</v>
      </c>
      <c r="D157" s="417">
        <f>D110+D111+D114-D115+D116+D118+D119+D125+D126-D127</f>
        <v>0</v>
      </c>
      <c r="E157" s="105"/>
      <c r="F157" s="105"/>
      <c r="J157" s="125"/>
      <c r="K157" s="127"/>
      <c r="L157" s="128"/>
      <c r="M157" s="1550"/>
      <c r="N157" s="119"/>
      <c r="O157" s="119"/>
    </row>
    <row r="158" spans="1:15" s="121" customFormat="1">
      <c r="A158" s="456" t="s">
        <v>2073</v>
      </c>
      <c r="B158" s="414"/>
      <c r="C158" s="417">
        <f>C127+C128-C129</f>
        <v>0</v>
      </c>
      <c r="D158" s="417">
        <f>D127+D128-D129</f>
        <v>0</v>
      </c>
      <c r="E158" s="105"/>
      <c r="F158" s="105"/>
      <c r="J158" s="125"/>
      <c r="K158" s="127"/>
      <c r="L158" s="128"/>
      <c r="M158" s="1550"/>
      <c r="N158" s="119"/>
      <c r="O158" s="119"/>
    </row>
    <row r="159" spans="1:15" s="121" customFormat="1">
      <c r="A159" s="456" t="s">
        <v>2049</v>
      </c>
      <c r="B159" s="418"/>
      <c r="C159" s="419">
        <f>C130-C129-C100</f>
        <v>0</v>
      </c>
      <c r="D159" s="419">
        <f>D130-D129-D100</f>
        <v>0</v>
      </c>
      <c r="E159" s="105"/>
      <c r="F159" s="105"/>
      <c r="J159" s="125"/>
      <c r="K159" s="127"/>
      <c r="L159" s="128"/>
      <c r="M159" s="1550"/>
      <c r="N159" s="119"/>
      <c r="O159" s="119"/>
    </row>
  </sheetData>
  <sheetProtection formatCells="0" formatColumns="0" formatRows="0" autoFilter="0"/>
  <mergeCells count="8">
    <mergeCell ref="F1:G2"/>
    <mergeCell ref="A132:D132"/>
    <mergeCell ref="A1:D1"/>
    <mergeCell ref="A2:D2"/>
    <mergeCell ref="A54:D54"/>
    <mergeCell ref="A55:D55"/>
    <mergeCell ref="A56:D56"/>
    <mergeCell ref="A131:D131"/>
  </mergeCells>
  <phoneticPr fontId="5" type="noConversion"/>
  <hyperlinks>
    <hyperlink ref="F1" location="附注填写封面!B3" display="返回目录" xr:uid="{00000000-0004-0000-0B00-000000000000}"/>
  </hyperlinks>
  <printOptions horizontalCentered="1"/>
  <pageMargins left="0.74803149606299213" right="0.35433070866141736" top="0.70866141732283472" bottom="0.47244094488188981" header="0.51181102362204722" footer="0.23622047244094491"/>
  <pageSetup paperSize="9" scale="60" firstPageNumber="3" fitToHeight="2" orientation="portrait" blackAndWhite="1" useFirstPageNumber="1" r:id="rId1"/>
  <headerFooter alignWithMargins="0">
    <oddFooter>&amp;C&amp;"Times New Roman,常规"&amp;P</oddFooter>
  </headerFooter>
  <rowBreaks count="1" manualBreakCount="1">
    <brk id="54" max="3" man="1"/>
  </rowBreaks>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tabColor rgb="FF0099FF"/>
    <pageSetUpPr autoPageBreaks="0"/>
  </sheetPr>
  <dimension ref="A1:N94"/>
  <sheetViews>
    <sheetView showGridLines="0" showZeros="0" zoomScaleNormal="100" zoomScaleSheetLayoutView="100" zoomScalePageLayoutView="90" workbookViewId="0">
      <pane xSplit="1" ySplit="4" topLeftCell="B65" activePane="bottomRight" state="frozen"/>
      <selection activeCell="A5" sqref="A5:A6"/>
      <selection pane="topRight" activeCell="A5" sqref="A5:A6"/>
      <selection pane="bottomLeft" activeCell="A5" sqref="A5:A6"/>
      <selection pane="bottomRight" activeCell="A76" sqref="A76:D76"/>
    </sheetView>
  </sheetViews>
  <sheetFormatPr defaultColWidth="9" defaultRowHeight="19.5" customHeight="1"/>
  <cols>
    <col min="1" max="1" width="58" style="127" customWidth="1"/>
    <col min="2" max="2" width="10.125" style="127" customWidth="1"/>
    <col min="3" max="4" width="24.125" style="127" customWidth="1"/>
    <col min="5" max="5" width="4.125" style="98" bestFit="1" customWidth="1"/>
    <col min="6" max="6" width="10.125" style="98" bestFit="1" customWidth="1"/>
    <col min="7" max="7" width="4.5" style="3" customWidth="1"/>
    <col min="8" max="8" width="6.875" style="132" customWidth="1"/>
    <col min="9" max="9" width="8.625" style="46" bestFit="1" customWidth="1"/>
    <col min="10" max="10" width="7" style="3" customWidth="1"/>
    <col min="11" max="11" width="11" style="59" customWidth="1"/>
    <col min="12" max="12" width="19.25" style="1560" customWidth="1"/>
    <col min="13" max="14" width="9.875" style="119" customWidth="1"/>
    <col min="15" max="16384" width="9" style="3"/>
  </cols>
  <sheetData>
    <row r="1" spans="1:14" ht="24.95" customHeight="1">
      <c r="A1" s="1704" t="str">
        <f>封面!C7&amp;"利润表"</f>
        <v>利润表</v>
      </c>
      <c r="B1" s="1704"/>
      <c r="C1" s="1704"/>
      <c r="D1" s="1704"/>
      <c r="G1" s="1706" t="s">
        <v>243</v>
      </c>
      <c r="H1" s="1706"/>
    </row>
    <row r="2" spans="1:14" ht="17.25" customHeight="1">
      <c r="A2" s="1682" t="str">
        <f>封面!$C$6</f>
        <v>2019年1-5月</v>
      </c>
      <c r="B2" s="1688"/>
      <c r="C2" s="1688"/>
      <c r="D2" s="1688"/>
      <c r="G2" s="1706"/>
      <c r="H2" s="1706"/>
      <c r="I2" s="131"/>
      <c r="J2" s="296"/>
      <c r="K2" s="297"/>
      <c r="M2" s="1563" t="s">
        <v>4991</v>
      </c>
      <c r="N2" s="1564"/>
    </row>
    <row r="3" spans="1:14" ht="17.25" customHeight="1" thickBot="1">
      <c r="A3" s="423" t="str">
        <f>审定资产负债表!A3</f>
        <v>编制单位：华鼎资本（北京）有限公司</v>
      </c>
      <c r="C3" s="457"/>
      <c r="D3" s="424" t="s">
        <v>2027</v>
      </c>
      <c r="H3" s="133" t="s">
        <v>246</v>
      </c>
      <c r="I3" s="133" t="s">
        <v>245</v>
      </c>
      <c r="J3" s="134" t="s">
        <v>249</v>
      </c>
      <c r="K3" s="133" t="s">
        <v>248</v>
      </c>
    </row>
    <row r="4" spans="1:14" ht="17.25" customHeight="1">
      <c r="A4" s="425" t="s">
        <v>2059</v>
      </c>
      <c r="B4" s="458" t="s">
        <v>2054</v>
      </c>
      <c r="C4" s="458" t="s">
        <v>2085</v>
      </c>
      <c r="D4" s="427" t="s">
        <v>2116</v>
      </c>
      <c r="H4" s="298"/>
      <c r="I4" s="301">
        <f>C50*0.1</f>
        <v>13529.803</v>
      </c>
      <c r="J4" s="296"/>
      <c r="K4" s="297"/>
      <c r="L4" s="1558" t="s">
        <v>4976</v>
      </c>
      <c r="M4" s="1557" t="s">
        <v>4988</v>
      </c>
      <c r="N4" s="1557" t="s">
        <v>4989</v>
      </c>
    </row>
    <row r="5" spans="1:14" ht="17.25" customHeight="1">
      <c r="A5" s="459" t="s">
        <v>644</v>
      </c>
      <c r="B5" s="429"/>
      <c r="C5" s="460">
        <f>ROUND(试算平衡表!I137,2)</f>
        <v>4339622.6500000004</v>
      </c>
      <c r="D5" s="461">
        <f>ROUND(试算平衡表!N137,2)</f>
        <v>16037735.91</v>
      </c>
      <c r="E5" s="102">
        <f>C5-C6-C9-C10-C11</f>
        <v>0</v>
      </c>
      <c r="F5" s="102">
        <f>D5-D6-D9-D10-D11</f>
        <v>0</v>
      </c>
      <c r="G5" s="49"/>
      <c r="H5" s="301">
        <f>C5-D5</f>
        <v>-11698113.26</v>
      </c>
      <c r="I5" s="303">
        <f t="shared" ref="I5:I39" si="0">IFERROR(IF(OR(ABS((C5-D5)/D5)&gt;0.3,ABS((C5-D5))&gt;$I$4),(C5-D5)/D5,""),"")</f>
        <v>-0.72941176520470585</v>
      </c>
      <c r="J5" s="99"/>
      <c r="K5" s="302" t="str">
        <f>IF(I5&lt;&gt;"",A5&amp;"2012年发生额为"&amp;TEXT(C5,"0,000.00")&amp;"元，比上年数"&amp;IF(I5&gt;0,"增加","减少")&amp;TEXT(ABS(I5),"00.00%")&amp;"，主要是由于"&amp;J5&amp;"所致。",0)</f>
        <v>一、营业总收入2012年发生额为4,339,622.65元，比上年数减少72.94%，主要是由于所致。</v>
      </c>
      <c r="L5" s="1561" t="s">
        <v>4978</v>
      </c>
      <c r="M5" s="119">
        <f>IFERROR((C7-C14)/C7,0)</f>
        <v>1</v>
      </c>
      <c r="N5" s="119">
        <f>IFERROR((D7-D14)/D7,0)</f>
        <v>1</v>
      </c>
    </row>
    <row r="6" spans="1:14" ht="17.25" customHeight="1">
      <c r="A6" s="433" t="s">
        <v>645</v>
      </c>
      <c r="B6" s="429"/>
      <c r="C6" s="460">
        <f>ROUND(试算平衡表!I138,2)</f>
        <v>4339622.6500000004</v>
      </c>
      <c r="D6" s="461">
        <f>ROUND(试算平衡表!N138,2)</f>
        <v>16037735.91</v>
      </c>
      <c r="E6" s="102">
        <f>C6-C7-C8</f>
        <v>0</v>
      </c>
      <c r="F6" s="102">
        <f>D6-D7-D8</f>
        <v>0</v>
      </c>
      <c r="G6" s="49"/>
      <c r="H6" s="301">
        <f t="shared" ref="H6:H74" si="1">C6-D6</f>
        <v>-11698113.26</v>
      </c>
      <c r="I6" s="303">
        <f t="shared" si="0"/>
        <v>-0.72941176520470585</v>
      </c>
      <c r="J6" s="99"/>
      <c r="K6" s="302" t="str">
        <f t="shared" ref="K6:K74" si="2">IF(I6&lt;&gt;"",A6&amp;"2012年发生额为"&amp;TEXT(C6,"0,000.00")&amp;"元，比上年数"&amp;IF(I6&gt;0,"增加","减少")&amp;TEXT(ABS(I6),"00.00%")&amp;"，主要是由于"&amp;J6&amp;"所致。",0)</f>
        <v xml:space="preserve">         其中：营业收入2012年发生额为4,339,622.65元，比上年数减少72.94%，主要是由于所致。</v>
      </c>
      <c r="L6" s="1561" t="s">
        <v>4979</v>
      </c>
      <c r="M6" s="119">
        <f>IFERROR((C8-C15)/C8,0)</f>
        <v>0</v>
      </c>
      <c r="N6" s="119">
        <f>IFERROR((D8-D15)/D8,0)</f>
        <v>0</v>
      </c>
    </row>
    <row r="7" spans="1:14" ht="17.25" customHeight="1">
      <c r="A7" s="464" t="s">
        <v>2102</v>
      </c>
      <c r="B7" s="429"/>
      <c r="C7" s="460">
        <f>ROUND(试算平衡表!I139,2)</f>
        <v>4339622.6500000004</v>
      </c>
      <c r="D7" s="461">
        <f>ROUND(试算平衡表!N139,2)</f>
        <v>16037735.91</v>
      </c>
      <c r="E7" s="99"/>
      <c r="F7" s="99"/>
      <c r="G7" s="49"/>
      <c r="H7" s="301">
        <f t="shared" si="1"/>
        <v>-11698113.26</v>
      </c>
      <c r="I7" s="303">
        <f t="shared" si="0"/>
        <v>-0.72941176520470585</v>
      </c>
      <c r="J7" s="99"/>
      <c r="K7" s="302" t="str">
        <f t="shared" si="2"/>
        <v xml:space="preserve">             其中：主营业务收入2012年发生额为4,339,622.65元，比上年数减少72.94%，主要是由于所致。</v>
      </c>
      <c r="L7" s="1562" t="s">
        <v>4982</v>
      </c>
      <c r="M7" s="119">
        <f>IFERROR(C52/C7,0)</f>
        <v>1.7317224574814126E-2</v>
      </c>
      <c r="N7" s="119">
        <f>IFERROR(D52/D7,0)</f>
        <v>0.23524997114134424</v>
      </c>
    </row>
    <row r="8" spans="1:14" ht="17.25" customHeight="1">
      <c r="A8" s="464" t="s">
        <v>647</v>
      </c>
      <c r="B8" s="429"/>
      <c r="C8" s="460">
        <f>ROUND(试算平衡表!I140,2)</f>
        <v>0</v>
      </c>
      <c r="D8" s="461">
        <f>ROUND(试算平衡表!N140,2)</f>
        <v>0</v>
      </c>
      <c r="E8" s="99"/>
      <c r="F8" s="99"/>
      <c r="G8" s="49"/>
      <c r="H8" s="301">
        <f t="shared" si="1"/>
        <v>0</v>
      </c>
      <c r="I8" s="303" t="str">
        <f t="shared" si="0"/>
        <v/>
      </c>
      <c r="J8" s="99"/>
      <c r="K8" s="302">
        <f t="shared" si="2"/>
        <v>0</v>
      </c>
      <c r="L8" s="1562" t="s">
        <v>4987</v>
      </c>
      <c r="M8" s="119">
        <f>IFERROR(C52/审定资产负债表!C53,0)</f>
        <v>9.9915294547504845E-3</v>
      </c>
      <c r="N8" s="119">
        <f>IFERROR(D52/审定资产负债表!D53,0)</f>
        <v>0.4697402822966007</v>
      </c>
    </row>
    <row r="9" spans="1:14" ht="17.25" customHeight="1">
      <c r="A9" s="467" t="s">
        <v>648</v>
      </c>
      <c r="B9" s="429"/>
      <c r="C9" s="460">
        <f>ROUND(试算平衡表!I141,2)</f>
        <v>0</v>
      </c>
      <c r="D9" s="461">
        <f>ROUND(试算平衡表!N141,2)</f>
        <v>0</v>
      </c>
      <c r="E9" s="99"/>
      <c r="F9" s="99"/>
      <c r="G9" s="49"/>
      <c r="H9" s="301">
        <f t="shared" si="1"/>
        <v>0</v>
      </c>
      <c r="I9" s="303" t="str">
        <f t="shared" si="0"/>
        <v/>
      </c>
      <c r="J9" s="99"/>
      <c r="K9" s="302">
        <f t="shared" si="2"/>
        <v>0</v>
      </c>
      <c r="L9" s="1561" t="s">
        <v>4983</v>
      </c>
      <c r="M9" s="119">
        <f>IFERROR(C52/审定资产负债表!C129,0)</f>
        <v>1.0740371715130528E-2</v>
      </c>
      <c r="N9" s="119">
        <f>IFERROR(D52/审定资产负债表!D129,0)</f>
        <v>0.54506890427376287</v>
      </c>
    </row>
    <row r="10" spans="1:14" ht="17.25" customHeight="1">
      <c r="A10" s="467" t="s">
        <v>649</v>
      </c>
      <c r="B10" s="429"/>
      <c r="C10" s="460">
        <f>ROUND(试算平衡表!I142,2)</f>
        <v>0</v>
      </c>
      <c r="D10" s="461">
        <f>ROUND(试算平衡表!N142,2)</f>
        <v>0</v>
      </c>
      <c r="E10" s="99"/>
      <c r="F10" s="99"/>
      <c r="G10" s="49"/>
      <c r="H10" s="301">
        <f t="shared" si="1"/>
        <v>0</v>
      </c>
      <c r="I10" s="303" t="str">
        <f t="shared" si="0"/>
        <v/>
      </c>
      <c r="J10" s="99"/>
      <c r="K10" s="302">
        <f t="shared" si="2"/>
        <v>0</v>
      </c>
      <c r="L10" s="1561" t="s">
        <v>4981</v>
      </c>
      <c r="M10" s="119">
        <f>C52+C51+C29</f>
        <v>135298.03</v>
      </c>
      <c r="N10" s="119">
        <f>D52+D51+D29</f>
        <v>5053105.38</v>
      </c>
    </row>
    <row r="11" spans="1:14" ht="17.25" customHeight="1">
      <c r="A11" s="467" t="s">
        <v>650</v>
      </c>
      <c r="B11" s="429"/>
      <c r="C11" s="460">
        <f>ROUND(试算平衡表!I143,2)</f>
        <v>0</v>
      </c>
      <c r="D11" s="461">
        <f>ROUND(试算平衡表!N143,2)</f>
        <v>0</v>
      </c>
      <c r="E11" s="99"/>
      <c r="F11" s="99"/>
      <c r="G11" s="49"/>
      <c r="H11" s="301">
        <f t="shared" si="1"/>
        <v>0</v>
      </c>
      <c r="I11" s="303" t="str">
        <f t="shared" si="0"/>
        <v/>
      </c>
      <c r="J11" s="99"/>
      <c r="K11" s="302">
        <f t="shared" si="2"/>
        <v>0</v>
      </c>
      <c r="L11" s="1562" t="s">
        <v>4984</v>
      </c>
      <c r="M11" s="119">
        <f>IFERROR(M10/审定资产负债表!C53,0)</f>
        <v>1.7988427071999453E-2</v>
      </c>
      <c r="N11" s="119">
        <f>IFERROR(N10/审定资产负债表!D53,0)</f>
        <v>0.6291345316313729</v>
      </c>
    </row>
    <row r="12" spans="1:14" ht="17.25" customHeight="1">
      <c r="A12" s="468" t="s">
        <v>651</v>
      </c>
      <c r="B12" s="429"/>
      <c r="C12" s="460">
        <f>ROUND(试算平衡表!I144,2)</f>
        <v>4202449.7300000004</v>
      </c>
      <c r="D12" s="461">
        <f>ROUND(试算平衡表!N144,2)</f>
        <v>11496308.529999999</v>
      </c>
      <c r="E12" s="102">
        <f>C12-C13-C16-C17-C18-C19-C20-C21-C22-C23-C24-C25-C28-C32-C33</f>
        <v>5.8207660913467407E-10</v>
      </c>
      <c r="F12" s="102">
        <f>D12-D13-D16-D17-D18-D19-D20-D21-D22-D23-D24-D25-D28-D32-D33</f>
        <v>-1.0404619388282299E-9</v>
      </c>
      <c r="G12" s="49"/>
      <c r="H12" s="301">
        <f t="shared" si="1"/>
        <v>-7293858.7999999989</v>
      </c>
      <c r="I12" s="303">
        <f t="shared" si="0"/>
        <v>-0.6344522488211265</v>
      </c>
      <c r="J12" s="99"/>
      <c r="K12" s="302" t="str">
        <f t="shared" si="2"/>
        <v>二、营业总成本2012年发生额为4,202,449.73元，比上年数减少63.45%，主要是由于所致。</v>
      </c>
      <c r="L12" s="1562" t="s">
        <v>4985</v>
      </c>
      <c r="M12" s="119">
        <f>IFERROR(M10/审定资产负债表!C129,0)</f>
        <v>1.9336618502578989E-2</v>
      </c>
      <c r="N12" s="119">
        <f>IFERROR(N10/审定资产负债表!D129,0)</f>
        <v>0.73002397861330059</v>
      </c>
    </row>
    <row r="13" spans="1:14" ht="17.25" customHeight="1">
      <c r="A13" s="433" t="s">
        <v>652</v>
      </c>
      <c r="B13" s="429"/>
      <c r="C13" s="460">
        <f>ROUND(试算平衡表!I145,2)</f>
        <v>0</v>
      </c>
      <c r="D13" s="461">
        <f>ROUND(试算平衡表!N145,2)</f>
        <v>0</v>
      </c>
      <c r="E13" s="102">
        <f>C13-C14-C15</f>
        <v>0</v>
      </c>
      <c r="F13" s="102">
        <f>D13-D14-D15</f>
        <v>0</v>
      </c>
      <c r="G13" s="49"/>
      <c r="H13" s="301">
        <f t="shared" si="1"/>
        <v>0</v>
      </c>
      <c r="I13" s="303" t="str">
        <f t="shared" si="0"/>
        <v/>
      </c>
      <c r="J13" s="99"/>
      <c r="K13" s="302">
        <f t="shared" si="2"/>
        <v>0</v>
      </c>
      <c r="L13" s="1561" t="s">
        <v>4986</v>
      </c>
      <c r="M13" s="119">
        <f>IFERROR((M10*(1-N2))/(审定资产负债表!C60+审定资产负债表!C90+审定资产负债表!C89+审定资产负债表!C129-审定现金流量表!C61),0)</f>
        <v>2.363717333767551E-2</v>
      </c>
      <c r="N13" s="119">
        <f>IFERROR((N10*(1-O2))/(审定资产负债表!D60+审定资产负债表!D90+审定资产负债表!D89+审定资产负债表!D129-审定现金流量表!D61),0)</f>
        <v>7.7549726823623972</v>
      </c>
    </row>
    <row r="14" spans="1:14" ht="17.25" customHeight="1">
      <c r="A14" s="469" t="s">
        <v>2117</v>
      </c>
      <c r="B14" s="429"/>
      <c r="C14" s="460">
        <f>ROUND(试算平衡表!I146,2)</f>
        <v>0</v>
      </c>
      <c r="D14" s="461">
        <f>ROUND(试算平衡表!N146,2)</f>
        <v>0</v>
      </c>
      <c r="E14" s="99"/>
      <c r="F14" s="99"/>
      <c r="G14" s="49"/>
      <c r="H14" s="301">
        <f t="shared" si="1"/>
        <v>0</v>
      </c>
      <c r="I14" s="303" t="str">
        <f t="shared" si="0"/>
        <v/>
      </c>
      <c r="J14" s="99"/>
      <c r="K14" s="302">
        <f t="shared" si="2"/>
        <v>0</v>
      </c>
      <c r="L14" s="1562" t="s">
        <v>4992</v>
      </c>
    </row>
    <row r="15" spans="1:14" ht="17.25" customHeight="1">
      <c r="A15" s="469" t="s">
        <v>654</v>
      </c>
      <c r="B15" s="429"/>
      <c r="C15" s="460">
        <f>ROUND(试算平衡表!I147,2)</f>
        <v>0</v>
      </c>
      <c r="D15" s="461">
        <f>ROUND(试算平衡表!N147,2)</f>
        <v>0</v>
      </c>
      <c r="E15" s="99"/>
      <c r="F15" s="99"/>
      <c r="G15" s="49"/>
      <c r="H15" s="301">
        <f t="shared" si="1"/>
        <v>0</v>
      </c>
      <c r="I15" s="303" t="str">
        <f t="shared" si="0"/>
        <v/>
      </c>
      <c r="J15" s="99"/>
      <c r="K15" s="302">
        <f t="shared" si="2"/>
        <v>0</v>
      </c>
      <c r="L15" s="1561" t="s">
        <v>4990</v>
      </c>
      <c r="M15" s="119">
        <f>IFERROR(M10/(C29+M14),0)</f>
        <v>0</v>
      </c>
      <c r="N15" s="119">
        <f>IFERROR(N10/(D29+N14),0)</f>
        <v>0</v>
      </c>
    </row>
    <row r="16" spans="1:14" ht="17.25" customHeight="1">
      <c r="A16" s="467" t="s">
        <v>655</v>
      </c>
      <c r="B16" s="429"/>
      <c r="C16" s="460">
        <f>ROUND(试算平衡表!I148,2)</f>
        <v>0</v>
      </c>
      <c r="D16" s="461">
        <f>ROUND(试算平衡表!N148,2)</f>
        <v>0</v>
      </c>
      <c r="E16" s="99"/>
      <c r="F16" s="99"/>
      <c r="G16" s="49"/>
      <c r="H16" s="301">
        <f t="shared" si="1"/>
        <v>0</v>
      </c>
      <c r="I16" s="303" t="str">
        <f t="shared" si="0"/>
        <v/>
      </c>
      <c r="J16" s="99"/>
      <c r="K16" s="302">
        <f t="shared" si="2"/>
        <v>0</v>
      </c>
      <c r="L16" s="1561" t="s">
        <v>4993</v>
      </c>
      <c r="M16" s="119">
        <f>IFERROR(审定现金流量表!C30/(审定利润表!C29+审定利润表!M14),0)</f>
        <v>0</v>
      </c>
      <c r="N16" s="119">
        <f>IFERROR(审定现金流量表!D30/(审定利润表!D29+审定利润表!N14),0)</f>
        <v>0</v>
      </c>
    </row>
    <row r="17" spans="1:11" ht="17.25" customHeight="1">
      <c r="A17" s="467" t="s">
        <v>656</v>
      </c>
      <c r="B17" s="429"/>
      <c r="C17" s="460">
        <f>ROUND(试算平衡表!I149,2)</f>
        <v>0</v>
      </c>
      <c r="D17" s="461">
        <f>ROUND(试算平衡表!N149,2)</f>
        <v>0</v>
      </c>
      <c r="E17" s="99"/>
      <c r="F17" s="99"/>
      <c r="G17" s="49"/>
      <c r="H17" s="301">
        <f t="shared" si="1"/>
        <v>0</v>
      </c>
      <c r="I17" s="303" t="str">
        <f t="shared" si="0"/>
        <v/>
      </c>
      <c r="J17" s="99"/>
      <c r="K17" s="302">
        <f t="shared" si="2"/>
        <v>0</v>
      </c>
    </row>
    <row r="18" spans="1:11" ht="17.25" customHeight="1">
      <c r="A18" s="467" t="s">
        <v>657</v>
      </c>
      <c r="B18" s="429"/>
      <c r="C18" s="460">
        <f>ROUND(试算平衡表!I150,2)</f>
        <v>0</v>
      </c>
      <c r="D18" s="461">
        <f>ROUND(试算平衡表!N150,2)</f>
        <v>0</v>
      </c>
      <c r="E18" s="99"/>
      <c r="F18" s="99"/>
      <c r="G18" s="49"/>
      <c r="H18" s="301">
        <f t="shared" si="1"/>
        <v>0</v>
      </c>
      <c r="I18" s="303" t="str">
        <f t="shared" si="0"/>
        <v/>
      </c>
      <c r="J18" s="99"/>
      <c r="K18" s="302">
        <f t="shared" si="2"/>
        <v>0</v>
      </c>
    </row>
    <row r="19" spans="1:11" ht="17.25" customHeight="1">
      <c r="A19" s="467" t="s">
        <v>2103</v>
      </c>
      <c r="B19" s="429"/>
      <c r="C19" s="460">
        <f>ROUND(试算平衡表!I151,2)</f>
        <v>0</v>
      </c>
      <c r="D19" s="461">
        <f>ROUND(试算平衡表!N151,2)</f>
        <v>0</v>
      </c>
      <c r="E19" s="99"/>
      <c r="F19" s="99"/>
      <c r="G19" s="49"/>
      <c r="H19" s="301">
        <f t="shared" si="1"/>
        <v>0</v>
      </c>
      <c r="I19" s="303" t="str">
        <f t="shared" si="0"/>
        <v/>
      </c>
      <c r="J19" s="99"/>
      <c r="K19" s="302">
        <f t="shared" si="2"/>
        <v>0</v>
      </c>
    </row>
    <row r="20" spans="1:11" ht="17.25" customHeight="1">
      <c r="A20" s="467" t="s">
        <v>2104</v>
      </c>
      <c r="B20" s="429"/>
      <c r="C20" s="460">
        <f>ROUND(试算平衡表!I152,2)</f>
        <v>0</v>
      </c>
      <c r="D20" s="461">
        <f>ROUND(试算平衡表!N152,2)</f>
        <v>0</v>
      </c>
      <c r="E20" s="99"/>
      <c r="F20" s="99"/>
      <c r="G20" s="49"/>
      <c r="H20" s="301">
        <f t="shared" si="1"/>
        <v>0</v>
      </c>
      <c r="I20" s="303" t="str">
        <f t="shared" si="0"/>
        <v/>
      </c>
      <c r="J20" s="99"/>
      <c r="K20" s="302">
        <f t="shared" si="2"/>
        <v>0</v>
      </c>
    </row>
    <row r="21" spans="1:11" ht="17.25" customHeight="1">
      <c r="A21" s="467" t="s">
        <v>660</v>
      </c>
      <c r="B21" s="429"/>
      <c r="C21" s="460">
        <f>ROUND(试算平衡表!I153,2)</f>
        <v>0</v>
      </c>
      <c r="D21" s="461">
        <f>ROUND(试算平衡表!N153,2)</f>
        <v>0</v>
      </c>
      <c r="E21" s="99"/>
      <c r="F21" s="99"/>
      <c r="G21" s="49"/>
      <c r="H21" s="301">
        <f t="shared" si="1"/>
        <v>0</v>
      </c>
      <c r="I21" s="303" t="str">
        <f t="shared" si="0"/>
        <v/>
      </c>
      <c r="J21" s="99"/>
      <c r="K21" s="302">
        <f t="shared" si="2"/>
        <v>0</v>
      </c>
    </row>
    <row r="22" spans="1:11" ht="17.25" customHeight="1">
      <c r="A22" s="467" t="s">
        <v>661</v>
      </c>
      <c r="B22" s="429"/>
      <c r="C22" s="460">
        <f>ROUND(试算平衡表!I154,2)</f>
        <v>0</v>
      </c>
      <c r="D22" s="461">
        <f>ROUND(试算平衡表!N154,2)</f>
        <v>0</v>
      </c>
      <c r="E22" s="99"/>
      <c r="F22" s="99"/>
      <c r="G22" s="49"/>
      <c r="H22" s="301">
        <f t="shared" si="1"/>
        <v>0</v>
      </c>
      <c r="I22" s="303" t="str">
        <f t="shared" si="0"/>
        <v/>
      </c>
      <c r="J22" s="99"/>
      <c r="K22" s="302">
        <f t="shared" si="2"/>
        <v>0</v>
      </c>
    </row>
    <row r="23" spans="1:11" ht="17.25" customHeight="1">
      <c r="A23" s="467" t="s">
        <v>4638</v>
      </c>
      <c r="B23" s="429"/>
      <c r="C23" s="460">
        <f>ROUND(试算平衡表!I155,2)</f>
        <v>28235.46</v>
      </c>
      <c r="D23" s="461">
        <f>ROUND(试算平衡表!N155,2)</f>
        <v>137120.76999999999</v>
      </c>
      <c r="E23" s="99"/>
      <c r="F23" s="99"/>
      <c r="G23" s="49"/>
      <c r="H23" s="301">
        <f t="shared" si="1"/>
        <v>-108885.31</v>
      </c>
      <c r="I23" s="303">
        <f t="shared" si="0"/>
        <v>-0.79408327418231395</v>
      </c>
      <c r="J23" s="99"/>
      <c r="K23" s="302" t="str">
        <f t="shared" si="2"/>
        <v xml:space="preserve">            税金及附加2012年发生额为28,235.46元，比上年数减少79.41%，主要是由于所致。</v>
      </c>
    </row>
    <row r="24" spans="1:11" ht="17.25" customHeight="1">
      <c r="A24" s="467" t="s">
        <v>2118</v>
      </c>
      <c r="B24" s="429"/>
      <c r="C24" s="460">
        <f>ROUND(试算平衡表!I156,2)</f>
        <v>0</v>
      </c>
      <c r="D24" s="461">
        <f>ROUND(试算平衡表!N156,2)</f>
        <v>0</v>
      </c>
      <c r="E24" s="99"/>
      <c r="F24" s="99"/>
      <c r="G24" s="49"/>
      <c r="H24" s="301">
        <f t="shared" si="1"/>
        <v>0</v>
      </c>
      <c r="I24" s="303" t="str">
        <f t="shared" si="0"/>
        <v/>
      </c>
      <c r="J24" s="99"/>
      <c r="K24" s="302">
        <f t="shared" si="2"/>
        <v>0</v>
      </c>
    </row>
    <row r="25" spans="1:11" ht="17.25" customHeight="1">
      <c r="A25" s="467" t="s">
        <v>664</v>
      </c>
      <c r="B25" s="429"/>
      <c r="C25" s="460">
        <f>ROUND(试算平衡表!I157,2)</f>
        <v>3975191.88</v>
      </c>
      <c r="D25" s="461">
        <f>ROUND(试算平衡表!N157,2)</f>
        <v>11413792.880000001</v>
      </c>
      <c r="E25" s="99"/>
      <c r="F25" s="99"/>
      <c r="G25" s="49"/>
      <c r="H25" s="301">
        <f t="shared" si="1"/>
        <v>-7438601.0000000009</v>
      </c>
      <c r="I25" s="303">
        <f t="shared" si="0"/>
        <v>-0.65172034206389073</v>
      </c>
      <c r="J25" s="99"/>
      <c r="K25" s="302" t="str">
        <f t="shared" si="2"/>
        <v xml:space="preserve">            管理费用2012年发生额为3,975,191.88元，比上年数减少65.17%，主要是由于所致。</v>
      </c>
    </row>
    <row r="26" spans="1:11" ht="17.25" customHeight="1">
      <c r="A26" s="438" t="s">
        <v>665</v>
      </c>
      <c r="B26" s="429"/>
      <c r="C26" s="460">
        <f>ROUND(试算平衡表!I158,2)</f>
        <v>0</v>
      </c>
      <c r="D26" s="461">
        <f>ROUND(试算平衡表!N158,2)</f>
        <v>0</v>
      </c>
      <c r="E26" s="99"/>
      <c r="F26" s="99"/>
      <c r="G26" s="49"/>
      <c r="H26" s="301">
        <f t="shared" si="1"/>
        <v>0</v>
      </c>
      <c r="I26" s="303" t="str">
        <f t="shared" si="0"/>
        <v/>
      </c>
      <c r="J26" s="99"/>
      <c r="K26" s="302">
        <f t="shared" si="2"/>
        <v>0</v>
      </c>
    </row>
    <row r="27" spans="1:11" ht="17.25" customHeight="1">
      <c r="A27" s="438" t="s">
        <v>4666</v>
      </c>
      <c r="B27" s="1415"/>
      <c r="C27" s="460">
        <f>ROUND(试算平衡表!I159,2)</f>
        <v>0</v>
      </c>
      <c r="D27" s="461">
        <f>ROUND(试算平衡表!N159,2)</f>
        <v>0</v>
      </c>
      <c r="E27" s="99"/>
      <c r="F27" s="99"/>
      <c r="G27" s="49"/>
      <c r="H27" s="301">
        <f t="shared" si="1"/>
        <v>0</v>
      </c>
      <c r="I27" s="303"/>
      <c r="J27" s="99"/>
      <c r="K27" s="302">
        <f t="shared" si="2"/>
        <v>0</v>
      </c>
    </row>
    <row r="28" spans="1:11" ht="17.25" customHeight="1">
      <c r="A28" s="467" t="s">
        <v>666</v>
      </c>
      <c r="B28" s="429"/>
      <c r="C28" s="460">
        <f>ROUND(试算平衡表!I160,2)</f>
        <v>-2378.21</v>
      </c>
      <c r="D28" s="461">
        <f>ROUND(试算平衡表!N160,2)</f>
        <v>-64818.3</v>
      </c>
      <c r="E28" s="99"/>
      <c r="F28" s="99"/>
      <c r="G28" s="49"/>
      <c r="H28" s="301">
        <f t="shared" si="1"/>
        <v>62440.090000000004</v>
      </c>
      <c r="I28" s="303">
        <f t="shared" si="0"/>
        <v>-0.9633095900386156</v>
      </c>
      <c r="J28" s="99"/>
      <c r="K28" s="302" t="str">
        <f t="shared" si="2"/>
        <v xml:space="preserve">            财务费用2012年发生额为-2,378.21元，比上年数减少96.33%，主要是由于所致。</v>
      </c>
    </row>
    <row r="29" spans="1:11" ht="17.25" customHeight="1">
      <c r="A29" s="469" t="s">
        <v>4980</v>
      </c>
      <c r="B29" s="429"/>
      <c r="C29" s="460">
        <f>ROUND(试算平衡表!I161,2)</f>
        <v>0</v>
      </c>
      <c r="D29" s="461">
        <f>ROUND(试算平衡表!N161,2)</f>
        <v>0</v>
      </c>
      <c r="E29" s="99"/>
      <c r="F29" s="99"/>
      <c r="G29" s="49"/>
      <c r="H29" s="301">
        <f t="shared" si="1"/>
        <v>0</v>
      </c>
      <c r="I29" s="303" t="str">
        <f t="shared" si="0"/>
        <v/>
      </c>
      <c r="J29" s="99"/>
      <c r="K29" s="302">
        <f t="shared" si="2"/>
        <v>0</v>
      </c>
    </row>
    <row r="30" spans="1:11" ht="17.25" customHeight="1">
      <c r="A30" s="469" t="s">
        <v>668</v>
      </c>
      <c r="B30" s="429"/>
      <c r="C30" s="460">
        <f>ROUND(试算平衡表!I162,2)</f>
        <v>3501.21</v>
      </c>
      <c r="D30" s="461">
        <f>ROUND(试算平衡表!N162,2)</f>
        <v>67742.600000000006</v>
      </c>
      <c r="E30" s="99"/>
      <c r="F30" s="99"/>
      <c r="G30" s="49"/>
      <c r="H30" s="301">
        <f t="shared" si="1"/>
        <v>-64241.390000000007</v>
      </c>
      <c r="I30" s="303">
        <f t="shared" si="0"/>
        <v>-0.94831597842421167</v>
      </c>
      <c r="J30" s="99"/>
      <c r="K30" s="302" t="str">
        <f t="shared" si="2"/>
        <v xml:space="preserve">                       利息收入2012年发生额为3,501.21元，比上年数减少94.83%，主要是由于所致。</v>
      </c>
    </row>
    <row r="31" spans="1:11" ht="17.25" customHeight="1">
      <c r="A31" s="469" t="s">
        <v>669</v>
      </c>
      <c r="B31" s="429"/>
      <c r="C31" s="460">
        <f>ROUND(试算平衡表!I163,2)</f>
        <v>0</v>
      </c>
      <c r="D31" s="461">
        <f>ROUND(试算平衡表!N163,2)</f>
        <v>0</v>
      </c>
      <c r="E31" s="99"/>
      <c r="F31" s="99"/>
      <c r="G31" s="49"/>
      <c r="H31" s="301">
        <f t="shared" si="1"/>
        <v>0</v>
      </c>
      <c r="I31" s="303" t="str">
        <f t="shared" si="0"/>
        <v/>
      </c>
      <c r="J31" s="99"/>
      <c r="K31" s="302">
        <f t="shared" si="2"/>
        <v>0</v>
      </c>
    </row>
    <row r="32" spans="1:11" ht="17.25" customHeight="1">
      <c r="A32" s="467" t="s">
        <v>2114</v>
      </c>
      <c r="B32" s="429"/>
      <c r="C32" s="460">
        <f>ROUND(试算平衡表!I164,2)</f>
        <v>201400.6</v>
      </c>
      <c r="D32" s="461">
        <f>ROUND(试算平衡表!N164,2)</f>
        <v>10213.18</v>
      </c>
      <c r="E32" s="99"/>
      <c r="F32" s="99"/>
      <c r="G32" s="49"/>
      <c r="H32" s="301">
        <f t="shared" si="1"/>
        <v>191187.42</v>
      </c>
      <c r="I32" s="303">
        <f t="shared" si="0"/>
        <v>18.719675948137603</v>
      </c>
      <c r="J32" s="99"/>
      <c r="K32" s="302" t="str">
        <f t="shared" si="2"/>
        <v xml:space="preserve">          资产减值损失2012年发生额为201,400.60元，比上年数增加1871.97%，主要是由于所致。</v>
      </c>
    </row>
    <row r="33" spans="1:11" ht="17.25" customHeight="1">
      <c r="A33" s="467" t="s">
        <v>671</v>
      </c>
      <c r="B33" s="429"/>
      <c r="C33" s="460">
        <f>ROUND(试算平衡表!I165,2)</f>
        <v>0</v>
      </c>
      <c r="D33" s="461">
        <f>ROUND(试算平衡表!N165,2)</f>
        <v>0</v>
      </c>
      <c r="E33" s="99"/>
      <c r="F33" s="99"/>
      <c r="G33" s="49"/>
      <c r="H33" s="301">
        <f t="shared" si="1"/>
        <v>0</v>
      </c>
      <c r="I33" s="303" t="str">
        <f t="shared" si="0"/>
        <v/>
      </c>
      <c r="J33" s="99"/>
      <c r="K33" s="302">
        <f t="shared" si="2"/>
        <v>0</v>
      </c>
    </row>
    <row r="34" spans="1:11" ht="17.25" customHeight="1">
      <c r="A34" s="469" t="s">
        <v>2119</v>
      </c>
      <c r="B34" s="429"/>
      <c r="C34" s="460">
        <f>ROUND(试算平衡表!I166,2)</f>
        <v>0</v>
      </c>
      <c r="D34" s="461">
        <f>ROUND(试算平衡表!N166,2)</f>
        <v>0</v>
      </c>
      <c r="E34" s="99"/>
      <c r="F34" s="99"/>
      <c r="G34" s="49"/>
      <c r="H34" s="301">
        <f t="shared" si="1"/>
        <v>0</v>
      </c>
      <c r="I34" s="303" t="str">
        <f t="shared" si="0"/>
        <v/>
      </c>
      <c r="J34" s="99"/>
      <c r="K34" s="302">
        <f t="shared" si="2"/>
        <v>0</v>
      </c>
    </row>
    <row r="35" spans="1:11" ht="17.25" customHeight="1">
      <c r="A35" s="469" t="s">
        <v>673</v>
      </c>
      <c r="B35" s="429"/>
      <c r="C35" s="460">
        <f>ROUND(试算平衡表!I167,2)</f>
        <v>0</v>
      </c>
      <c r="D35" s="461">
        <f>ROUND(试算平衡表!N167,2)</f>
        <v>0</v>
      </c>
      <c r="E35" s="99"/>
      <c r="F35" s="99"/>
      <c r="H35" s="301">
        <f t="shared" si="1"/>
        <v>0</v>
      </c>
      <c r="I35" s="303" t="str">
        <f t="shared" si="0"/>
        <v/>
      </c>
      <c r="J35" s="99"/>
      <c r="K35" s="302">
        <f t="shared" si="2"/>
        <v>0</v>
      </c>
    </row>
    <row r="36" spans="1:11" ht="17.25" customHeight="1">
      <c r="A36" s="469" t="s">
        <v>674</v>
      </c>
      <c r="B36" s="429"/>
      <c r="C36" s="460">
        <f>ROUND(试算平衡表!I168,2)</f>
        <v>0</v>
      </c>
      <c r="D36" s="461">
        <f>ROUND(试算平衡表!N168,2)</f>
        <v>0</v>
      </c>
      <c r="E36" s="99"/>
      <c r="F36" s="99"/>
      <c r="G36" s="48"/>
      <c r="H36" s="301">
        <f t="shared" si="1"/>
        <v>0</v>
      </c>
      <c r="I36" s="303" t="str">
        <f t="shared" si="0"/>
        <v/>
      </c>
      <c r="J36" s="99"/>
      <c r="K36" s="302">
        <f t="shared" si="2"/>
        <v>0</v>
      </c>
    </row>
    <row r="37" spans="1:11" ht="17.25" customHeight="1">
      <c r="A37" s="469" t="s">
        <v>4672</v>
      </c>
      <c r="B37" s="1415"/>
      <c r="C37" s="460">
        <f>ROUND(试算平衡表!I169,2)</f>
        <v>0</v>
      </c>
      <c r="D37" s="461">
        <f>ROUND(试算平衡表!N169,2)</f>
        <v>0</v>
      </c>
      <c r="E37" s="99"/>
      <c r="F37" s="99"/>
      <c r="G37" s="48"/>
      <c r="H37" s="301">
        <f t="shared" si="1"/>
        <v>0</v>
      </c>
      <c r="I37" s="303"/>
      <c r="J37" s="99"/>
      <c r="K37" s="302">
        <f t="shared" si="2"/>
        <v>0</v>
      </c>
    </row>
    <row r="38" spans="1:11" ht="17.25" customHeight="1">
      <c r="A38" s="1483" t="s">
        <v>4844</v>
      </c>
      <c r="B38" s="1415"/>
      <c r="C38" s="460">
        <f>ROUND(试算平衡表!I170,2)</f>
        <v>0</v>
      </c>
      <c r="D38" s="461">
        <f>ROUND(试算平衡表!N170,2)</f>
        <v>0</v>
      </c>
      <c r="E38" s="99"/>
      <c r="F38" s="99"/>
      <c r="G38" s="48"/>
      <c r="H38" s="301"/>
      <c r="I38" s="303"/>
      <c r="J38" s="99"/>
      <c r="K38" s="302"/>
    </row>
    <row r="39" spans="1:11" ht="17.25" customHeight="1">
      <c r="A39" s="433" t="s">
        <v>4587</v>
      </c>
      <c r="B39" s="429"/>
      <c r="C39" s="460">
        <f>ROUND(试算平衡表!I171,2)</f>
        <v>0</v>
      </c>
      <c r="D39" s="461">
        <f>ROUND(试算平衡表!N171,2)</f>
        <v>0</v>
      </c>
      <c r="E39" s="99"/>
      <c r="F39" s="99"/>
      <c r="G39" s="48"/>
      <c r="H39" s="301">
        <f t="shared" si="1"/>
        <v>0</v>
      </c>
      <c r="I39" s="303" t="str">
        <f t="shared" si="0"/>
        <v/>
      </c>
      <c r="J39" s="99"/>
      <c r="K39" s="302">
        <f t="shared" si="2"/>
        <v>0</v>
      </c>
    </row>
    <row r="40" spans="1:11" ht="17.25" customHeight="1">
      <c r="A40" s="459" t="s">
        <v>676</v>
      </c>
      <c r="B40" s="429"/>
      <c r="C40" s="460">
        <f>ROUND(试算平衡表!I172,2)</f>
        <v>137172.92000000001</v>
      </c>
      <c r="D40" s="461">
        <f>ROUND(试算平衡表!N172,2)</f>
        <v>4541427.38</v>
      </c>
      <c r="E40" s="102">
        <f>C5-C12+C34+C35+C39-C40+C37</f>
        <v>-8.7311491370201111E-11</v>
      </c>
      <c r="F40" s="102">
        <f>D5-D12+D34+D35+D39-D40+D37</f>
        <v>9.3132257461547852E-10</v>
      </c>
      <c r="G40" s="48"/>
      <c r="H40" s="301">
        <f t="shared" si="1"/>
        <v>-4404254.46</v>
      </c>
      <c r="I40" s="303">
        <f t="shared" ref="I40:I74" si="3">IFERROR(IF(OR(ABS((C40-D40)/D40)&gt;0.3,ABS((C40-D40))&gt;$I$4),(C40-D40)/D40,""),"")</f>
        <v>-0.96979519685724891</v>
      </c>
      <c r="J40" s="99"/>
      <c r="K40" s="302" t="str">
        <f t="shared" si="2"/>
        <v>三、营业利润（亏损以“－”号填列）2012年发生额为137,172.92元，比上年数减少96.98%，主要是由于所致。</v>
      </c>
    </row>
    <row r="41" spans="1:11" ht="17.25" customHeight="1">
      <c r="A41" s="469" t="s">
        <v>677</v>
      </c>
      <c r="B41" s="429"/>
      <c r="C41" s="460">
        <f>ROUND(试算平衡表!I173,2)</f>
        <v>0</v>
      </c>
      <c r="D41" s="461">
        <f>ROUND(试算平衡表!N173,2)</f>
        <v>511678</v>
      </c>
      <c r="E41" s="99"/>
      <c r="F41" s="99"/>
      <c r="G41" s="48"/>
      <c r="H41" s="301">
        <f t="shared" si="1"/>
        <v>-511678</v>
      </c>
      <c r="I41" s="303">
        <f t="shared" si="3"/>
        <v>-1</v>
      </c>
      <c r="J41" s="99"/>
      <c r="K41" s="302" t="str">
        <f t="shared" si="2"/>
        <v xml:space="preserve">    加：营业外收入2012年发生额为0,000.00元，比上年数减少100.00%，主要是由于所致。</v>
      </c>
    </row>
    <row r="42" spans="1:11" ht="17.25" customHeight="1">
      <c r="A42" s="469" t="s">
        <v>678</v>
      </c>
      <c r="B42" s="429"/>
      <c r="C42" s="460">
        <f>ROUND(试算平衡表!I174,2)</f>
        <v>0</v>
      </c>
      <c r="D42" s="461">
        <f>ROUND(试算平衡表!N174,2)</f>
        <v>0</v>
      </c>
      <c r="E42" s="99"/>
      <c r="F42" s="99"/>
      <c r="H42" s="301">
        <f t="shared" si="1"/>
        <v>0</v>
      </c>
      <c r="I42" s="303" t="str">
        <f t="shared" si="3"/>
        <v/>
      </c>
      <c r="J42" s="99"/>
      <c r="K42" s="302">
        <f t="shared" si="2"/>
        <v>0</v>
      </c>
    </row>
    <row r="43" spans="1:11" ht="17.25" customHeight="1">
      <c r="A43" s="470" t="s">
        <v>2105</v>
      </c>
      <c r="B43" s="429"/>
      <c r="C43" s="460">
        <f>ROUND(试算平衡表!I175,2)</f>
        <v>0</v>
      </c>
      <c r="D43" s="461">
        <f>ROUND(试算平衡表!N175,2)</f>
        <v>0</v>
      </c>
      <c r="E43" s="99"/>
      <c r="F43" s="99"/>
      <c r="H43" s="301">
        <f t="shared" si="1"/>
        <v>0</v>
      </c>
      <c r="I43" s="303" t="str">
        <f t="shared" si="3"/>
        <v/>
      </c>
      <c r="J43" s="99"/>
      <c r="K43" s="302">
        <f t="shared" si="2"/>
        <v>0</v>
      </c>
    </row>
    <row r="44" spans="1:11" ht="17.25" customHeight="1">
      <c r="A44" s="471" t="s">
        <v>680</v>
      </c>
      <c r="B44" s="429"/>
      <c r="C44" s="460">
        <f>ROUND(试算平衡表!I176,2)</f>
        <v>0</v>
      </c>
      <c r="D44" s="461">
        <f>ROUND(试算平衡表!N176,2)</f>
        <v>511678</v>
      </c>
      <c r="E44" s="99"/>
      <c r="F44" s="99"/>
      <c r="H44" s="301">
        <f t="shared" si="1"/>
        <v>-511678</v>
      </c>
      <c r="I44" s="303">
        <f t="shared" si="3"/>
        <v>-1</v>
      </c>
      <c r="J44" s="99"/>
      <c r="K44" s="302" t="str">
        <f t="shared" si="2"/>
        <v xml:space="preserve">             政府补助2012年发生额为0,000.00元，比上年数减少100.00%，主要是由于所致。</v>
      </c>
    </row>
    <row r="45" spans="1:11" ht="17.25" customHeight="1">
      <c r="A45" s="471" t="s">
        <v>681</v>
      </c>
      <c r="B45" s="429"/>
      <c r="C45" s="460">
        <f>ROUND(试算平衡表!I177,2)</f>
        <v>0</v>
      </c>
      <c r="D45" s="461">
        <f>ROUND(试算平衡表!N177,2)</f>
        <v>0</v>
      </c>
      <c r="E45" s="99"/>
      <c r="F45" s="99"/>
      <c r="H45" s="301">
        <f t="shared" si="1"/>
        <v>0</v>
      </c>
      <c r="I45" s="303" t="str">
        <f t="shared" si="3"/>
        <v/>
      </c>
      <c r="J45" s="99"/>
      <c r="K45" s="302">
        <f t="shared" si="2"/>
        <v>0</v>
      </c>
    </row>
    <row r="46" spans="1:11" ht="17.25" customHeight="1">
      <c r="A46" s="469" t="s">
        <v>682</v>
      </c>
      <c r="B46" s="429"/>
      <c r="C46" s="460">
        <f>ROUND(试算平衡表!I178,2)</f>
        <v>1874.89</v>
      </c>
      <c r="D46" s="461">
        <f>ROUND(试算平衡表!N178,2)</f>
        <v>0</v>
      </c>
      <c r="E46" s="99"/>
      <c r="F46" s="99"/>
      <c r="H46" s="301">
        <f t="shared" si="1"/>
        <v>1874.89</v>
      </c>
      <c r="I46" s="303" t="str">
        <f t="shared" si="3"/>
        <v/>
      </c>
      <c r="J46" s="99"/>
      <c r="K46" s="302">
        <f t="shared" si="2"/>
        <v>0</v>
      </c>
    </row>
    <row r="47" spans="1:11" ht="17.25" customHeight="1">
      <c r="A47" s="469" t="s">
        <v>683</v>
      </c>
      <c r="B47" s="429"/>
      <c r="C47" s="460">
        <f>ROUND(试算平衡表!I179,2)</f>
        <v>0</v>
      </c>
      <c r="D47" s="461">
        <f>ROUND(试算平衡表!N179,2)</f>
        <v>0</v>
      </c>
      <c r="E47" s="99"/>
      <c r="F47" s="99"/>
      <c r="H47" s="301">
        <f t="shared" si="1"/>
        <v>0</v>
      </c>
      <c r="I47" s="303" t="str">
        <f t="shared" si="3"/>
        <v/>
      </c>
      <c r="J47" s="99"/>
      <c r="K47" s="302">
        <f t="shared" si="2"/>
        <v>0</v>
      </c>
    </row>
    <row r="48" spans="1:11" ht="17.25" customHeight="1">
      <c r="A48" s="471" t="s">
        <v>684</v>
      </c>
      <c r="B48" s="429"/>
      <c r="C48" s="460">
        <f>ROUND(试算平衡表!I180,2)</f>
        <v>0</v>
      </c>
      <c r="D48" s="461">
        <f>ROUND(试算平衡表!N180,2)</f>
        <v>0</v>
      </c>
      <c r="E48" s="99"/>
      <c r="F48" s="99"/>
      <c r="H48" s="301">
        <f t="shared" si="1"/>
        <v>0</v>
      </c>
      <c r="I48" s="303" t="str">
        <f t="shared" si="3"/>
        <v/>
      </c>
      <c r="J48" s="99"/>
      <c r="K48" s="302">
        <f t="shared" si="2"/>
        <v>0</v>
      </c>
    </row>
    <row r="49" spans="1:11" ht="17.25" customHeight="1">
      <c r="A49" s="471" t="s">
        <v>685</v>
      </c>
      <c r="B49" s="429"/>
      <c r="C49" s="460">
        <f>ROUND(试算平衡表!I181,2)</f>
        <v>0</v>
      </c>
      <c r="D49" s="461">
        <f>ROUND(试算平衡表!N181,2)</f>
        <v>0</v>
      </c>
      <c r="E49" s="99"/>
      <c r="F49" s="99"/>
      <c r="H49" s="301">
        <f t="shared" si="1"/>
        <v>0</v>
      </c>
      <c r="I49" s="303" t="str">
        <f t="shared" si="3"/>
        <v/>
      </c>
      <c r="J49" s="99"/>
      <c r="K49" s="302">
        <f t="shared" si="2"/>
        <v>0</v>
      </c>
    </row>
    <row r="50" spans="1:11" ht="17.25" customHeight="1">
      <c r="A50" s="459" t="s">
        <v>686</v>
      </c>
      <c r="B50" s="429"/>
      <c r="C50" s="460">
        <f>ROUND(试算平衡表!I182,2)</f>
        <v>135298.03</v>
      </c>
      <c r="D50" s="461">
        <f>ROUND(试算平衡表!N182,2)</f>
        <v>5053105.38</v>
      </c>
      <c r="E50" s="102">
        <f>C40+C41-C46-C50</f>
        <v>0</v>
      </c>
      <c r="F50" s="102">
        <f>D40+D41-D46-D50</f>
        <v>0</v>
      </c>
      <c r="H50" s="301">
        <f t="shared" si="1"/>
        <v>-4917807.3499999996</v>
      </c>
      <c r="I50" s="303">
        <f t="shared" si="3"/>
        <v>-0.97322477569228916</v>
      </c>
      <c r="J50" s="99"/>
      <c r="K50" s="302" t="str">
        <f t="shared" si="2"/>
        <v>四、利润总额（亏损总额以“－”号填列）2012年发生额为135,298.03元，比上年数减少97.32%，主要是由于所致。</v>
      </c>
    </row>
    <row r="51" spans="1:11" ht="17.25" customHeight="1">
      <c r="A51" s="469" t="s">
        <v>687</v>
      </c>
      <c r="B51" s="429"/>
      <c r="C51" s="460">
        <f>ROUND(试算平衡表!I183,2)</f>
        <v>60147.81</v>
      </c>
      <c r="D51" s="461">
        <f>ROUND(试算平衡表!N183,2)</f>
        <v>1280228.47</v>
      </c>
      <c r="E51" s="99"/>
      <c r="F51" s="99"/>
      <c r="H51" s="301">
        <f t="shared" si="1"/>
        <v>-1220080.6599999999</v>
      </c>
      <c r="I51" s="303">
        <f t="shared" si="3"/>
        <v>-0.95301790937362918</v>
      </c>
      <c r="J51" s="99"/>
      <c r="K51" s="302" t="str">
        <f t="shared" si="2"/>
        <v xml:space="preserve">    减：所得税费用2012年发生额为60,147.81元，比上年数减少95.30%，主要是由于所致。</v>
      </c>
    </row>
    <row r="52" spans="1:11" ht="17.25" customHeight="1">
      <c r="A52" s="459" t="s">
        <v>688</v>
      </c>
      <c r="B52" s="429"/>
      <c r="C52" s="460">
        <f>ROUND(试算平衡表!I184,2)</f>
        <v>75150.22</v>
      </c>
      <c r="D52" s="461">
        <f>ROUND(试算平衡表!N184,2)</f>
        <v>3772876.91</v>
      </c>
      <c r="E52" s="102">
        <f>C50-C51-C52</f>
        <v>0</v>
      </c>
      <c r="F52" s="102">
        <f>D50-D51-D52</f>
        <v>0</v>
      </c>
      <c r="G52" s="50"/>
      <c r="H52" s="301">
        <f t="shared" si="1"/>
        <v>-3697726.69</v>
      </c>
      <c r="I52" s="303">
        <f t="shared" si="3"/>
        <v>-0.98008145460541929</v>
      </c>
      <c r="J52" s="99"/>
      <c r="K52" s="302" t="str">
        <f t="shared" si="2"/>
        <v>五、净利润（净亏损以“－”号填列）2012年发生额为75,150.22元，比上年数减少98.01%，主要是由于所致。</v>
      </c>
    </row>
    <row r="53" spans="1:11" ht="17.25" customHeight="1">
      <c r="A53" s="473" t="s">
        <v>689</v>
      </c>
      <c r="B53" s="429"/>
      <c r="C53" s="460">
        <f>ROUND(试算平衡表!I185,2)</f>
        <v>75150.22</v>
      </c>
      <c r="D53" s="461">
        <f>ROUND(试算平衡表!N185,2)</f>
        <v>3772876.91</v>
      </c>
      <c r="E53" s="102">
        <f>C52-C53-C54</f>
        <v>0</v>
      </c>
      <c r="F53" s="102">
        <f>D52-D53-D54</f>
        <v>0</v>
      </c>
      <c r="H53" s="301">
        <f t="shared" si="1"/>
        <v>-3697726.69</v>
      </c>
      <c r="I53" s="303">
        <f t="shared" si="3"/>
        <v>-0.98008145460541929</v>
      </c>
      <c r="J53" s="99"/>
      <c r="K53" s="302" t="str">
        <f t="shared" si="2"/>
        <v>归属于母公司所有者的净利润2012年发生额为75,150.22元，比上年数减少98.01%，主要是由于所致。</v>
      </c>
    </row>
    <row r="54" spans="1:11" ht="17.25" customHeight="1">
      <c r="A54" s="473" t="s">
        <v>690</v>
      </c>
      <c r="B54" s="429"/>
      <c r="C54" s="460">
        <f>ROUND(试算平衡表!I186,2)</f>
        <v>0</v>
      </c>
      <c r="D54" s="461">
        <f>ROUND(试算平衡表!N186,2)</f>
        <v>0</v>
      </c>
      <c r="E54" s="99"/>
      <c r="F54" s="99"/>
      <c r="H54" s="301">
        <f t="shared" si="1"/>
        <v>0</v>
      </c>
      <c r="I54" s="303" t="str">
        <f t="shared" si="3"/>
        <v/>
      </c>
      <c r="J54" s="99"/>
      <c r="K54" s="302">
        <f t="shared" si="2"/>
        <v>0</v>
      </c>
    </row>
    <row r="55" spans="1:11" ht="17.25" customHeight="1">
      <c r="A55" s="1398" t="s">
        <v>4642</v>
      </c>
      <c r="B55" s="1415"/>
      <c r="C55" s="1416"/>
      <c r="D55" s="461"/>
      <c r="E55" s="99"/>
      <c r="F55" s="99"/>
      <c r="H55" s="301">
        <f t="shared" si="1"/>
        <v>0</v>
      </c>
      <c r="I55" s="303"/>
      <c r="J55" s="99"/>
      <c r="K55" s="302">
        <f t="shared" si="2"/>
        <v>0</v>
      </c>
    </row>
    <row r="56" spans="1:11" ht="17.25" customHeight="1">
      <c r="A56" s="1398" t="s">
        <v>4644</v>
      </c>
      <c r="B56" s="1415"/>
      <c r="C56" s="1416"/>
      <c r="D56" s="461"/>
      <c r="E56" s="99"/>
      <c r="F56" s="99"/>
      <c r="H56" s="301">
        <f t="shared" si="1"/>
        <v>0</v>
      </c>
      <c r="I56" s="303"/>
      <c r="J56" s="99"/>
      <c r="K56" s="302">
        <f t="shared" si="2"/>
        <v>0</v>
      </c>
    </row>
    <row r="57" spans="1:11" ht="17.25" customHeight="1">
      <c r="A57" s="459" t="s">
        <v>1814</v>
      </c>
      <c r="B57" s="429"/>
      <c r="C57" s="460">
        <f>ROUND(试算平衡表!I189,2)</f>
        <v>0</v>
      </c>
      <c r="D57" s="461">
        <f>ROUND(试算平衡表!N189,2)</f>
        <v>0</v>
      </c>
      <c r="E57" s="99"/>
      <c r="F57" s="99"/>
      <c r="H57" s="301">
        <f t="shared" ref="H57:H67" si="4">C57-D57</f>
        <v>0</v>
      </c>
      <c r="I57" s="303" t="str">
        <f t="shared" ref="I57:I67" si="5">IFERROR(IF(OR(ABS((C57-D57)/D57)&gt;0.3,ABS((C57-D57))&gt;$I$4),(C57-D57)/D57,""),"")</f>
        <v/>
      </c>
      <c r="J57" s="99"/>
      <c r="K57" s="302">
        <f t="shared" ref="K57:K67" si="6">IF(I57&lt;&gt;"",A57&amp;"2012年发生额为"&amp;TEXT(C57,"0,000.00")&amp;"元，比上年数"&amp;IF(I57&gt;0,"增加","减少")&amp;TEXT(ABS(I57),"00.00%")&amp;"，主要是由于"&amp;J57&amp;"所致。",0)</f>
        <v>0</v>
      </c>
    </row>
    <row r="58" spans="1:11" ht="17.25" customHeight="1">
      <c r="A58" s="1475" t="s">
        <v>4821</v>
      </c>
      <c r="B58" s="1415"/>
      <c r="C58" s="460">
        <f>ROUND(试算平衡表!I190,2)</f>
        <v>0</v>
      </c>
      <c r="D58" s="461">
        <f>ROUND(试算平衡表!N190,2)</f>
        <v>0</v>
      </c>
      <c r="E58" s="99"/>
      <c r="F58" s="99"/>
      <c r="H58" s="301">
        <f t="shared" ref="H58" si="7">C58-D58</f>
        <v>0</v>
      </c>
      <c r="I58" s="303" t="str">
        <f t="shared" ref="I58" si="8">IFERROR(IF(OR(ABS((C58-D58)/D58)&gt;0.3,ABS((C58-D58))&gt;$I$4),(C58-D58)/D58,""),"")</f>
        <v/>
      </c>
      <c r="J58" s="99"/>
      <c r="K58" s="302">
        <f t="shared" ref="K58" si="9">IF(I58&lt;&gt;"",A58&amp;"2012年发生额为"&amp;TEXT(C58,"0,000.00")&amp;"元，比上年数"&amp;IF(I58&gt;0,"增加","减少")&amp;TEXT(ABS(I58),"00.00%")&amp;"，主要是由于"&amp;J58&amp;"所致。",0)</f>
        <v>0</v>
      </c>
    </row>
    <row r="59" spans="1:11" ht="17.25" customHeight="1">
      <c r="A59" s="547" t="s">
        <v>2087</v>
      </c>
      <c r="B59" s="429"/>
      <c r="C59" s="460">
        <f>ROUND(试算平衡表!I191,2)</f>
        <v>0</v>
      </c>
      <c r="D59" s="461">
        <f>ROUND(试算平衡表!N191,2)</f>
        <v>0</v>
      </c>
      <c r="E59" s="99"/>
      <c r="F59" s="99"/>
      <c r="H59" s="301">
        <f t="shared" si="4"/>
        <v>0</v>
      </c>
      <c r="I59" s="303" t="str">
        <f t="shared" si="5"/>
        <v/>
      </c>
      <c r="J59" s="99"/>
      <c r="K59" s="302">
        <f t="shared" si="6"/>
        <v>0</v>
      </c>
    </row>
    <row r="60" spans="1:11" ht="17.25" customHeight="1">
      <c r="A60" s="550" t="s">
        <v>2120</v>
      </c>
      <c r="B60" s="429"/>
      <c r="C60" s="460">
        <f>ROUND(试算平衡表!I192,2)</f>
        <v>0</v>
      </c>
      <c r="D60" s="461">
        <f>ROUND(试算平衡表!N192,2)</f>
        <v>0</v>
      </c>
      <c r="E60" s="99"/>
      <c r="F60" s="99"/>
      <c r="H60" s="301">
        <f t="shared" si="4"/>
        <v>0</v>
      </c>
      <c r="I60" s="303" t="str">
        <f t="shared" si="5"/>
        <v/>
      </c>
      <c r="J60" s="99"/>
      <c r="K60" s="302">
        <f t="shared" si="6"/>
        <v>0</v>
      </c>
    </row>
    <row r="61" spans="1:11" ht="17.25" customHeight="1">
      <c r="A61" s="550" t="s">
        <v>1817</v>
      </c>
      <c r="B61" s="429"/>
      <c r="C61" s="460">
        <f>ROUND(试算平衡表!I193,2)</f>
        <v>0</v>
      </c>
      <c r="D61" s="461">
        <f>ROUND(试算平衡表!N193,2)</f>
        <v>0</v>
      </c>
      <c r="E61" s="99"/>
      <c r="F61" s="99"/>
      <c r="H61" s="301">
        <f t="shared" si="4"/>
        <v>0</v>
      </c>
      <c r="I61" s="303" t="str">
        <f t="shared" si="5"/>
        <v/>
      </c>
      <c r="J61" s="99"/>
      <c r="K61" s="302">
        <f t="shared" si="6"/>
        <v>0</v>
      </c>
    </row>
    <row r="62" spans="1:11" ht="17.25" customHeight="1">
      <c r="A62" s="547" t="s">
        <v>1818</v>
      </c>
      <c r="B62" s="429"/>
      <c r="C62" s="460">
        <f>ROUND(试算平衡表!I194,2)</f>
        <v>0</v>
      </c>
      <c r="D62" s="461">
        <f>ROUND(试算平衡表!N194,2)</f>
        <v>0</v>
      </c>
      <c r="E62" s="99"/>
      <c r="F62" s="99"/>
      <c r="H62" s="301">
        <f t="shared" si="4"/>
        <v>0</v>
      </c>
      <c r="I62" s="303" t="str">
        <f t="shared" si="5"/>
        <v/>
      </c>
      <c r="J62" s="99"/>
      <c r="K62" s="302">
        <f t="shared" si="6"/>
        <v>0</v>
      </c>
    </row>
    <row r="63" spans="1:11" ht="17.25" customHeight="1">
      <c r="A63" s="550" t="s">
        <v>1819</v>
      </c>
      <c r="B63" s="429"/>
      <c r="C63" s="460">
        <f>ROUND(试算平衡表!I195,2)</f>
        <v>0</v>
      </c>
      <c r="D63" s="461">
        <f>ROUND(试算平衡表!N195,2)</f>
        <v>0</v>
      </c>
      <c r="E63" s="99"/>
      <c r="F63" s="99"/>
      <c r="H63" s="301">
        <f t="shared" si="4"/>
        <v>0</v>
      </c>
      <c r="I63" s="303" t="str">
        <f t="shared" si="5"/>
        <v/>
      </c>
      <c r="J63" s="99"/>
      <c r="K63" s="302">
        <f t="shared" si="6"/>
        <v>0</v>
      </c>
    </row>
    <row r="64" spans="1:11" ht="17.25" customHeight="1">
      <c r="A64" s="550" t="s">
        <v>2025</v>
      </c>
      <c r="B64" s="429"/>
      <c r="C64" s="460">
        <f>ROUND(试算平衡表!I196,2)</f>
        <v>0</v>
      </c>
      <c r="D64" s="461">
        <f>ROUND(试算平衡表!N196,2)</f>
        <v>0</v>
      </c>
      <c r="E64" s="99"/>
      <c r="F64" s="99"/>
      <c r="H64" s="301">
        <f t="shared" si="4"/>
        <v>0</v>
      </c>
      <c r="I64" s="303" t="str">
        <f t="shared" si="5"/>
        <v/>
      </c>
      <c r="J64" s="99"/>
      <c r="K64" s="302">
        <f t="shared" si="6"/>
        <v>0</v>
      </c>
    </row>
    <row r="65" spans="1:11" ht="17.25" customHeight="1">
      <c r="A65" s="550" t="s">
        <v>2106</v>
      </c>
      <c r="B65" s="429"/>
      <c r="C65" s="460">
        <f>ROUND(试算平衡表!I197,2)</f>
        <v>0</v>
      </c>
      <c r="D65" s="461">
        <f>ROUND(试算平衡表!N197,2)</f>
        <v>0</v>
      </c>
      <c r="E65" s="99"/>
      <c r="F65" s="99"/>
      <c r="H65" s="301">
        <f t="shared" si="4"/>
        <v>0</v>
      </c>
      <c r="I65" s="303" t="str">
        <f t="shared" si="5"/>
        <v/>
      </c>
      <c r="J65" s="99"/>
      <c r="K65" s="302">
        <f t="shared" si="6"/>
        <v>0</v>
      </c>
    </row>
    <row r="66" spans="1:11" ht="17.25" customHeight="1">
      <c r="A66" s="550" t="s">
        <v>1822</v>
      </c>
      <c r="B66" s="429"/>
      <c r="C66" s="460">
        <f>ROUND(试算平衡表!I198,2)</f>
        <v>0</v>
      </c>
      <c r="D66" s="461">
        <f>ROUND(试算平衡表!N198,2)</f>
        <v>0</v>
      </c>
      <c r="E66" s="99"/>
      <c r="F66" s="99"/>
      <c r="H66" s="301">
        <f t="shared" si="4"/>
        <v>0</v>
      </c>
      <c r="I66" s="303" t="str">
        <f t="shared" si="5"/>
        <v/>
      </c>
      <c r="J66" s="99"/>
      <c r="K66" s="302">
        <f t="shared" si="6"/>
        <v>0</v>
      </c>
    </row>
    <row r="67" spans="1:11" ht="17.25" customHeight="1">
      <c r="A67" s="550" t="s">
        <v>2107</v>
      </c>
      <c r="B67" s="429"/>
      <c r="C67" s="460">
        <f>ROUND(试算平衡表!I199,2)</f>
        <v>0</v>
      </c>
      <c r="D67" s="461">
        <f>ROUND(试算平衡表!N199,2)</f>
        <v>0</v>
      </c>
      <c r="E67" s="99"/>
      <c r="F67" s="99"/>
      <c r="H67" s="301">
        <f t="shared" si="4"/>
        <v>0</v>
      </c>
      <c r="I67" s="303" t="str">
        <f t="shared" si="5"/>
        <v/>
      </c>
      <c r="J67" s="99"/>
      <c r="K67" s="302">
        <f t="shared" si="6"/>
        <v>0</v>
      </c>
    </row>
    <row r="68" spans="1:11" ht="17.25" customHeight="1">
      <c r="A68" s="1398" t="s">
        <v>4822</v>
      </c>
      <c r="B68" s="1415"/>
      <c r="C68" s="460">
        <f>ROUND(试算平衡表!I200,2)</f>
        <v>0</v>
      </c>
      <c r="D68" s="461">
        <f>ROUND(试算平衡表!N200,2)</f>
        <v>0</v>
      </c>
      <c r="E68" s="99"/>
      <c r="F68" s="99"/>
      <c r="H68" s="301">
        <f t="shared" ref="H68" si="10">C68-D68</f>
        <v>0</v>
      </c>
      <c r="I68" s="303" t="str">
        <f t="shared" ref="I68" si="11">IFERROR(IF(OR(ABS((C68-D68)/D68)&gt;0.3,ABS((C68-D68))&gt;$I$4),(C68-D68)/D68,""),"")</f>
        <v/>
      </c>
      <c r="J68" s="99"/>
      <c r="K68" s="302">
        <f t="shared" ref="K68" si="12">IF(I68&lt;&gt;"",A68&amp;"2012年发生额为"&amp;TEXT(C68,"0,000.00")&amp;"元，比上年数"&amp;IF(I68&gt;0,"增加","减少")&amp;TEXT(ABS(I68),"00.00%")&amp;"，主要是由于"&amp;J68&amp;"所致。",0)</f>
        <v>0</v>
      </c>
    </row>
    <row r="69" spans="1:11" ht="17.25" customHeight="1">
      <c r="A69" s="476" t="s">
        <v>2108</v>
      </c>
      <c r="B69" s="429"/>
      <c r="C69" s="460">
        <f>ROUND(试算平衡表!I201,2)</f>
        <v>75150.22</v>
      </c>
      <c r="D69" s="461">
        <f>ROUND(试算平衡表!N201,2)</f>
        <v>3772876.91</v>
      </c>
      <c r="E69" s="102">
        <f>C52+C57-C69</f>
        <v>0</v>
      </c>
      <c r="F69" s="102">
        <f>D52+D57-D69</f>
        <v>0</v>
      </c>
      <c r="H69" s="301">
        <f>C69-D69</f>
        <v>-3697726.69</v>
      </c>
      <c r="I69" s="303">
        <f>IFERROR(IF(OR(ABS((C69-D69)/D69)&gt;0.3,ABS((C69-D69))&gt;$I$4),(C69-D69)/D69,""),"")</f>
        <v>-0.98008145460541929</v>
      </c>
      <c r="J69" s="99"/>
      <c r="K69" s="302" t="str">
        <f>IF(I69&lt;&gt;"",A69&amp;"2012年发生额为"&amp;TEXT(C69,"0,000.00")&amp;"元，比上年数"&amp;IF(I69&gt;0,"增加","减少")&amp;TEXT(ABS(I69),"00.00%")&amp;"，主要是由于"&amp;J69&amp;"所致。",0)</f>
        <v>八、综合收益总额2012年发生额为75,150.22元，比上年数减少98.01%，主要是由于所致。</v>
      </c>
    </row>
    <row r="70" spans="1:11" ht="17.25" customHeight="1">
      <c r="A70" s="473" t="s">
        <v>2109</v>
      </c>
      <c r="B70" s="429"/>
      <c r="C70" s="460">
        <f>ROUND(试算平衡表!I202,2)</f>
        <v>75150.22</v>
      </c>
      <c r="D70" s="461">
        <f>ROUND(试算平衡表!N202,2)</f>
        <v>3772876.91</v>
      </c>
      <c r="E70" s="102">
        <f>C69-C70-C71</f>
        <v>0</v>
      </c>
      <c r="F70" s="102">
        <f>D69-D70-D71</f>
        <v>0</v>
      </c>
      <c r="H70" s="301">
        <f>C70-D70</f>
        <v>-3697726.69</v>
      </c>
      <c r="I70" s="303">
        <f>IFERROR(IF(OR(ABS((C70-D70)/D70)&gt;0.3,ABS((C70-D70))&gt;$I$4),(C70-D70)/D70,""),"")</f>
        <v>-0.98008145460541929</v>
      </c>
      <c r="J70" s="99"/>
      <c r="K70" s="302" t="str">
        <f>IF(I70&lt;&gt;"",A70&amp;"2012年发生额为"&amp;TEXT(C70,"0,000.00")&amp;"元，比上年数"&amp;IF(I70&gt;0,"增加","减少")&amp;TEXT(ABS(I70),"00.00%")&amp;"，主要是由于"&amp;J70&amp;"所致。",0)</f>
        <v>归属于母公司所有者的综合收益总额2012年发生额为75,150.22元，比上年数减少98.01%，主要是由于所致。</v>
      </c>
    </row>
    <row r="71" spans="1:11" ht="17.25" customHeight="1">
      <c r="A71" s="473" t="s">
        <v>697</v>
      </c>
      <c r="B71" s="429"/>
      <c r="C71" s="460">
        <f>ROUND(试算平衡表!I203,2)</f>
        <v>0</v>
      </c>
      <c r="D71" s="461">
        <f>ROUND(试算平衡表!N203,2)</f>
        <v>0</v>
      </c>
      <c r="E71" s="99"/>
      <c r="F71" s="99"/>
      <c r="G71" s="46"/>
      <c r="I71" s="304" t="str">
        <f>IFERROR(IF(OR(ABS((C71-D71)/D71)&gt;0.3,ABS((C71-D71))&gt;$I$4),(C71-D71)/D71,""),"")</f>
        <v/>
      </c>
      <c r="J71" s="299"/>
      <c r="K71" s="300"/>
    </row>
    <row r="72" spans="1:11" ht="17.25" customHeight="1">
      <c r="A72" s="477" t="s">
        <v>691</v>
      </c>
      <c r="B72" s="478"/>
      <c r="C72" s="576">
        <f>ROUND(试算平衡表!I204,2)</f>
        <v>0</v>
      </c>
      <c r="D72" s="577">
        <f>ROUND(试算平衡表!N204,2)</f>
        <v>0</v>
      </c>
      <c r="E72" s="99"/>
      <c r="F72" s="99"/>
      <c r="H72" s="301">
        <f t="shared" si="1"/>
        <v>0</v>
      </c>
      <c r="I72" s="303" t="str">
        <f t="shared" si="3"/>
        <v/>
      </c>
      <c r="J72" s="99"/>
      <c r="K72" s="302">
        <f t="shared" si="2"/>
        <v>0</v>
      </c>
    </row>
    <row r="73" spans="1:11" ht="17.25" customHeight="1">
      <c r="A73" s="473" t="s">
        <v>692</v>
      </c>
      <c r="B73" s="429"/>
      <c r="C73" s="460">
        <f>ROUND(试算平衡表!I205,2)</f>
        <v>0</v>
      </c>
      <c r="D73" s="461">
        <f>ROUND(试算平衡表!N205,2)</f>
        <v>0</v>
      </c>
      <c r="E73" s="99"/>
      <c r="F73" s="99"/>
      <c r="H73" s="301">
        <f t="shared" si="1"/>
        <v>0</v>
      </c>
      <c r="I73" s="303" t="str">
        <f t="shared" si="3"/>
        <v/>
      </c>
      <c r="J73" s="99"/>
      <c r="K73" s="302">
        <f t="shared" si="2"/>
        <v>0</v>
      </c>
    </row>
    <row r="74" spans="1:11" ht="17.25" customHeight="1" thickBot="1">
      <c r="A74" s="473" t="s">
        <v>693</v>
      </c>
      <c r="B74" s="429"/>
      <c r="C74" s="460">
        <f>ROUND(试算平衡表!I206,2)</f>
        <v>0</v>
      </c>
      <c r="D74" s="461">
        <f>ROUND(试算平衡表!N206,2)</f>
        <v>0</v>
      </c>
      <c r="E74" s="99"/>
      <c r="F74" s="99"/>
      <c r="H74" s="301">
        <f t="shared" si="1"/>
        <v>0</v>
      </c>
      <c r="I74" s="303" t="str">
        <f t="shared" si="3"/>
        <v/>
      </c>
      <c r="J74" s="99"/>
      <c r="K74" s="302">
        <f t="shared" si="2"/>
        <v>0</v>
      </c>
    </row>
    <row r="75" spans="1:11" ht="17.25" customHeight="1">
      <c r="A75" s="1684" t="s">
        <v>2088</v>
      </c>
      <c r="B75" s="1684"/>
      <c r="C75" s="1684"/>
      <c r="D75" s="1684"/>
    </row>
    <row r="76" spans="1:11" ht="42" customHeight="1">
      <c r="A76" s="1705" t="s">
        <v>2115</v>
      </c>
      <c r="B76" s="1705"/>
      <c r="C76" s="1705"/>
      <c r="D76" s="1705"/>
    </row>
    <row r="77" spans="1:11" ht="19.5" customHeight="1">
      <c r="C77" s="462"/>
      <c r="D77" s="462"/>
    </row>
    <row r="78" spans="1:11" ht="14.25">
      <c r="A78" s="456" t="s">
        <v>2111</v>
      </c>
      <c r="B78" s="578"/>
      <c r="C78" s="579">
        <f>C5-C6-C9-C10-C11</f>
        <v>0</v>
      </c>
      <c r="D78" s="579">
        <f>D5-D6-D9-D10-D11</f>
        <v>0</v>
      </c>
    </row>
    <row r="79" spans="1:11" ht="14.25">
      <c r="A79" s="456" t="s">
        <v>2089</v>
      </c>
      <c r="B79" s="578"/>
      <c r="C79" s="579">
        <f>C6-C7-C8</f>
        <v>0</v>
      </c>
      <c r="D79" s="579">
        <f>D6-D7-D8</f>
        <v>0</v>
      </c>
    </row>
    <row r="80" spans="1:11" ht="14.25">
      <c r="A80" s="456" t="s">
        <v>2090</v>
      </c>
      <c r="B80" s="578"/>
      <c r="C80" s="579">
        <f>C12-C13-C16-C17-C18-C19-C20-C21-C22-C23-C24-C25-C28-C32-C33</f>
        <v>5.8207660913467407E-10</v>
      </c>
      <c r="D80" s="579">
        <f>D12-D13-D16-D17-D18-D19-D20-D21-D22-D23-D24-D25-D28-D32-D33</f>
        <v>-1.0404619388282299E-9</v>
      </c>
    </row>
    <row r="81" spans="1:4" ht="14.25">
      <c r="A81" s="456" t="s">
        <v>2091</v>
      </c>
      <c r="B81" s="578"/>
      <c r="C81" s="579">
        <f>C13-C14-C15</f>
        <v>0</v>
      </c>
      <c r="D81" s="579">
        <f>D13-D14-D15</f>
        <v>0</v>
      </c>
    </row>
    <row r="82" spans="1:4" ht="14.25">
      <c r="A82" s="456" t="s">
        <v>2092</v>
      </c>
      <c r="B82" s="305"/>
      <c r="C82" s="417">
        <f>IF(C25-C26&gt;0,0,C25-C26)</f>
        <v>0</v>
      </c>
      <c r="D82" s="417">
        <f>IF(D25-D26&gt;0,0,D25-D26)</f>
        <v>0</v>
      </c>
    </row>
    <row r="83" spans="1:4" ht="14.25">
      <c r="A83" s="456" t="s">
        <v>2093</v>
      </c>
      <c r="B83" s="305"/>
      <c r="C83" s="417">
        <f>IF(C28-C29+C30-C31&gt;0,0,C28-C29+C30-C31)</f>
        <v>0</v>
      </c>
      <c r="D83" s="417">
        <f>IF(D28-D29+D30-D31&gt;0,0,D28-D29+D30-D31)</f>
        <v>0</v>
      </c>
    </row>
    <row r="84" spans="1:4" ht="14.25">
      <c r="A84" s="456" t="s">
        <v>2094</v>
      </c>
      <c r="B84" s="305"/>
      <c r="C84" s="417">
        <f>IF(C41-C42-C43-C44-C45&gt;0,0,C41-C42-C43-C44-C45)</f>
        <v>0</v>
      </c>
      <c r="D84" s="417">
        <f>IF(D41-D42-D43-D44-D45&gt;0,0,D41-D42-D43-D44-D45)</f>
        <v>0</v>
      </c>
    </row>
    <row r="85" spans="1:4" ht="14.25">
      <c r="A85" s="456" t="s">
        <v>2095</v>
      </c>
      <c r="B85" s="305"/>
      <c r="C85" s="417">
        <f>IF(C46-C47-C48-C49&gt;0,0,C46-C47-C48-C49)</f>
        <v>0</v>
      </c>
      <c r="D85" s="417">
        <f>IF(D46-D47-D48-D49&gt;0,0,D46-D47-D48-D49)</f>
        <v>0</v>
      </c>
    </row>
    <row r="86" spans="1:4" ht="14.25">
      <c r="A86" s="456" t="s">
        <v>2096</v>
      </c>
      <c r="B86" s="305"/>
      <c r="C86" s="417">
        <f>C5-C12+C34+C35+C39-C40+C37</f>
        <v>-8.7311491370201111E-11</v>
      </c>
      <c r="D86" s="417">
        <f>D5-D12+D34+D35+D39-D40+D37</f>
        <v>9.3132257461547852E-10</v>
      </c>
    </row>
    <row r="87" spans="1:4" ht="14.25">
      <c r="A87" s="456" t="s">
        <v>2097</v>
      </c>
      <c r="B87" s="305"/>
      <c r="C87" s="417">
        <f>C40+C41-C46-C50</f>
        <v>0</v>
      </c>
      <c r="D87" s="417">
        <f>D40+D41-D46-D50</f>
        <v>0</v>
      </c>
    </row>
    <row r="88" spans="1:4" ht="14.25">
      <c r="A88" s="456" t="s">
        <v>2098</v>
      </c>
      <c r="B88" s="305"/>
      <c r="C88" s="417">
        <f>C50-C51-C52</f>
        <v>0</v>
      </c>
      <c r="D88" s="417">
        <f>D50-D51-D52</f>
        <v>0</v>
      </c>
    </row>
    <row r="89" spans="1:4" ht="14.25">
      <c r="A89" s="456" t="s">
        <v>2099</v>
      </c>
      <c r="B89" s="305"/>
      <c r="C89" s="417">
        <f>C52-C53-C54</f>
        <v>0</v>
      </c>
      <c r="D89" s="417">
        <f>D52-D53-D54</f>
        <v>0</v>
      </c>
    </row>
    <row r="90" spans="1:4" ht="14.25">
      <c r="A90" s="456" t="s">
        <v>2100</v>
      </c>
      <c r="B90" s="305"/>
      <c r="C90" s="417">
        <f>C57-C58-C68</f>
        <v>0</v>
      </c>
      <c r="D90" s="417">
        <f>D57-D58-D68</f>
        <v>0</v>
      </c>
    </row>
    <row r="91" spans="1:4" ht="14.25">
      <c r="A91" s="456" t="s">
        <v>2101</v>
      </c>
      <c r="B91" s="305"/>
      <c r="C91" s="417">
        <f>IF(C59-C60-C61&gt;0,0,C59-C60-C61)</f>
        <v>0</v>
      </c>
      <c r="D91" s="417">
        <f>IF(D59-D60-D61&gt;0,0,D59-D60-D61)</f>
        <v>0</v>
      </c>
    </row>
    <row r="92" spans="1:4" ht="14.25">
      <c r="A92" s="456" t="s">
        <v>2112</v>
      </c>
      <c r="B92" s="305"/>
      <c r="C92" s="417">
        <f>IF(C62-C63-C64-C65-C66-C67&gt;0,0,C62-C63-C64-C65-C66-C67)</f>
        <v>0</v>
      </c>
      <c r="D92" s="417">
        <f>IF(D62-D63-D64-D65-D66-D67&gt;0,0,D62-D63-D64-D65-D66-D67)</f>
        <v>0</v>
      </c>
    </row>
    <row r="93" spans="1:4" ht="14.25">
      <c r="A93" s="456" t="s">
        <v>2113</v>
      </c>
      <c r="B93" s="305"/>
      <c r="C93" s="417">
        <f>C52+C57-C69</f>
        <v>0</v>
      </c>
      <c r="D93" s="417">
        <f>D52+D57-D69</f>
        <v>0</v>
      </c>
    </row>
    <row r="94" spans="1:4" ht="14.25">
      <c r="A94" s="456" t="s">
        <v>2121</v>
      </c>
      <c r="B94" s="307"/>
      <c r="C94" s="419">
        <f>C58-C59-C62</f>
        <v>0</v>
      </c>
      <c r="D94" s="419">
        <f>D58-D59-D62</f>
        <v>0</v>
      </c>
    </row>
  </sheetData>
  <sheetProtection formatCells="0" formatColumns="0" formatRows="0" autoFilter="0"/>
  <mergeCells count="5">
    <mergeCell ref="A1:D1"/>
    <mergeCell ref="A2:D2"/>
    <mergeCell ref="A75:D75"/>
    <mergeCell ref="A76:D76"/>
    <mergeCell ref="G1:H2"/>
  </mergeCells>
  <phoneticPr fontId="5" type="noConversion"/>
  <hyperlinks>
    <hyperlink ref="G1" location="附注填写封面!B3" display="返回目录" xr:uid="{00000000-0004-0000-0C00-000000000000}"/>
  </hyperlinks>
  <printOptions horizontalCentered="1"/>
  <pageMargins left="0.74803149606299213" right="0.35433070866141736" top="0.78740157480314965" bottom="0.70866141732283472" header="0.51181102362204722" footer="0.31496062992125984"/>
  <pageSetup paperSize="9" scale="67" firstPageNumber="5" orientation="portrait" blackAndWhite="1" useFirstPageNumber="1" r:id="rId1"/>
  <headerFooter alignWithMargins="0">
    <oddFooter>&amp;C&amp;"Times New Roman,常规"&amp;P</oddFooter>
  </headerFooter>
  <rowBreaks count="1" manualBreakCount="1">
    <brk id="76" max="16383" man="1"/>
  </rowBreaks>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tabColor rgb="FF0099FF"/>
    <pageSetUpPr autoPageBreaks="0"/>
  </sheetPr>
  <dimension ref="A1:N82"/>
  <sheetViews>
    <sheetView showGridLines="0" showZeros="0" zoomScale="90" zoomScaleNormal="90" zoomScaleSheetLayoutView="100" zoomScalePageLayoutView="90" workbookViewId="0">
      <pane xSplit="1" ySplit="4" topLeftCell="B62" activePane="bottomRight" state="frozen"/>
      <selection activeCell="A5" sqref="A5:A6"/>
      <selection pane="topRight" activeCell="A5" sqref="A5:A6"/>
      <selection pane="bottomLeft" activeCell="A5" sqref="A5:A6"/>
      <selection pane="bottomRight" activeCell="C39" sqref="C39"/>
    </sheetView>
  </sheetViews>
  <sheetFormatPr defaultColWidth="9" defaultRowHeight="14.25"/>
  <cols>
    <col min="1" max="1" width="60.125" style="581" customWidth="1"/>
    <col min="2" max="2" width="14.125" style="589" customWidth="1"/>
    <col min="3" max="3" width="22.625" style="581" customWidth="1"/>
    <col min="4" max="4" width="22.625" style="580" customWidth="1"/>
    <col min="5" max="5" width="4.125" style="98" bestFit="1" customWidth="1"/>
    <col min="6" max="6" width="11.375" style="98" bestFit="1" customWidth="1"/>
    <col min="7" max="7" width="6.625" style="88" customWidth="1"/>
    <col min="8" max="8" width="11.875" style="128" bestFit="1" customWidth="1"/>
    <col min="9" max="9" width="7.875" style="130" customWidth="1"/>
    <col min="10" max="10" width="7.875" style="88" customWidth="1"/>
    <col min="11" max="11" width="11.125" style="142" customWidth="1"/>
    <col min="12" max="12" width="15.375" style="1565" customWidth="1"/>
    <col min="13" max="14" width="9.5" style="119" customWidth="1"/>
    <col min="15" max="16384" width="9" style="88"/>
  </cols>
  <sheetData>
    <row r="1" spans="1:14" ht="15.75">
      <c r="A1" s="1707" t="str">
        <f>封面!C7&amp;"现金流量表"</f>
        <v>现金流量表</v>
      </c>
      <c r="B1" s="1707"/>
      <c r="C1" s="1707"/>
      <c r="D1" s="1707"/>
      <c r="G1" s="1706" t="s">
        <v>243</v>
      </c>
      <c r="H1" s="1706"/>
    </row>
    <row r="2" spans="1:14" ht="22.7" customHeight="1">
      <c r="A2" s="1708" t="str">
        <f>封面!$C$6</f>
        <v>2019年1-5月</v>
      </c>
      <c r="B2" s="1709"/>
      <c r="C2" s="1709"/>
      <c r="D2" s="1709"/>
      <c r="G2" s="1706"/>
      <c r="H2" s="1706"/>
    </row>
    <row r="3" spans="1:14" ht="17.25" customHeight="1" thickBot="1">
      <c r="A3" s="423" t="str">
        <f>审定资产负债表!A3</f>
        <v>编制单位：华鼎资本（北京）有限公司</v>
      </c>
      <c r="B3" s="127"/>
      <c r="C3" s="457"/>
      <c r="D3" s="424" t="s">
        <v>2027</v>
      </c>
      <c r="G3" s="129"/>
    </row>
    <row r="4" spans="1:14" ht="16.5" customHeight="1">
      <c r="A4" s="425" t="s">
        <v>529</v>
      </c>
      <c r="B4" s="582" t="s">
        <v>2134</v>
      </c>
      <c r="C4" s="458" t="s">
        <v>2085</v>
      </c>
      <c r="D4" s="427" t="s">
        <v>2086</v>
      </c>
      <c r="E4" s="99"/>
      <c r="F4" s="99"/>
      <c r="H4" s="133" t="s">
        <v>246</v>
      </c>
      <c r="I4" s="133" t="s">
        <v>245</v>
      </c>
      <c r="J4" s="134" t="s">
        <v>249</v>
      </c>
      <c r="K4" s="133" t="s">
        <v>248</v>
      </c>
      <c r="L4" s="1558" t="s">
        <v>4977</v>
      </c>
      <c r="M4" s="1558" t="s">
        <v>4994</v>
      </c>
      <c r="N4" s="1558" t="s">
        <v>4995</v>
      </c>
    </row>
    <row r="5" spans="1:14" ht="16.5" customHeight="1">
      <c r="A5" s="442" t="s">
        <v>698</v>
      </c>
      <c r="B5" s="583"/>
      <c r="C5" s="485"/>
      <c r="D5" s="487"/>
      <c r="E5" s="99"/>
      <c r="F5" s="99"/>
      <c r="G5" s="89"/>
    </row>
    <row r="6" spans="1:14" ht="16.5" customHeight="1">
      <c r="A6" s="443" t="s">
        <v>699</v>
      </c>
      <c r="B6" s="583"/>
      <c r="C6" s="460">
        <f>ROUND(未审现金流量表!H6,2)</f>
        <v>0</v>
      </c>
      <c r="D6" s="460">
        <f>ROUND(未审现金流量表!N6,2)</f>
        <v>17000000</v>
      </c>
      <c r="E6" s="99"/>
      <c r="F6" s="99"/>
      <c r="G6" s="89"/>
      <c r="H6" s="309">
        <f>C6-D6</f>
        <v>-17000000</v>
      </c>
      <c r="I6" s="310">
        <f t="shared" ref="I6:I37" si="0">IFERROR(IF(ABS((C6-D6)/D6)&gt;0.3,(C6-D6)/D6,""),"")</f>
        <v>-1</v>
      </c>
      <c r="J6" s="26"/>
      <c r="K6" s="311" t="str">
        <f>IF(I6&lt;&gt;"",A6&amp;"2012年12月31日期末数为"&amp;TEXT(C6,"0,000.00")&amp;"元，比期初数"&amp;IF(I6&gt;0,"增加","减少")&amp;TEXT(ABS(I6),"00.00%")&amp;"，其主要原因是"&amp;J6&amp;"。",0)</f>
        <v xml:space="preserve">    销售商品、提供劳务收到的现金2012年12月31日期末数为0,000.00元，比期初数减少100.00%，其主要原因是。</v>
      </c>
      <c r="L6" s="1566" t="s">
        <v>4996</v>
      </c>
      <c r="M6" s="119">
        <f>IFERROR(C30/审定利润表!C52,0)</f>
        <v>-66.097020208324082</v>
      </c>
      <c r="N6" s="119">
        <f>IFERROR(D30/审定利润表!D52,0)</f>
        <v>-3.2905772693230986E-2</v>
      </c>
    </row>
    <row r="7" spans="1:14" ht="16.5" customHeight="1">
      <c r="A7" s="491" t="s">
        <v>700</v>
      </c>
      <c r="B7" s="583"/>
      <c r="C7" s="460">
        <f>ROUND(未审现金流量表!H7,2)</f>
        <v>0</v>
      </c>
      <c r="D7" s="460">
        <f>ROUND(未审现金流量表!N7,2)</f>
        <v>0</v>
      </c>
      <c r="E7" s="99"/>
      <c r="F7" s="99"/>
      <c r="G7" s="89"/>
      <c r="H7" s="309">
        <f t="shared" ref="H7:H61" si="1">C7-D7</f>
        <v>0</v>
      </c>
      <c r="I7" s="310" t="str">
        <f t="shared" si="0"/>
        <v/>
      </c>
      <c r="J7" s="26"/>
      <c r="K7" s="311">
        <f t="shared" ref="K7:K61" si="2">IF(I7&lt;&gt;"",A7&amp;"2012年12月31日期末数为"&amp;TEXT(C7,"0,000.00")&amp;"元，比期初数"&amp;IF(I7&gt;0,"增加","减少")&amp;TEXT(ABS(I7),"00.00%")&amp;"，其主要原因是"&amp;J7&amp;"。",0)</f>
        <v>0</v>
      </c>
      <c r="L7" s="1567" t="s">
        <v>4997</v>
      </c>
    </row>
    <row r="8" spans="1:14" ht="16.5" customHeight="1">
      <c r="A8" s="491" t="s">
        <v>701</v>
      </c>
      <c r="B8" s="583"/>
      <c r="C8" s="460">
        <f>ROUND(未审现金流量表!H8,2)</f>
        <v>0</v>
      </c>
      <c r="D8" s="460">
        <f>ROUND(未审现金流量表!N8,2)</f>
        <v>0</v>
      </c>
      <c r="E8" s="99"/>
      <c r="F8" s="99"/>
      <c r="G8" s="89"/>
      <c r="H8" s="309">
        <f t="shared" si="1"/>
        <v>0</v>
      </c>
      <c r="I8" s="310" t="str">
        <f t="shared" si="0"/>
        <v/>
      </c>
      <c r="J8" s="26"/>
      <c r="K8" s="311">
        <f t="shared" si="2"/>
        <v>0</v>
      </c>
      <c r="L8" s="1567" t="s">
        <v>4998</v>
      </c>
    </row>
    <row r="9" spans="1:14" ht="16.5" customHeight="1">
      <c r="A9" s="491" t="s">
        <v>702</v>
      </c>
      <c r="B9" s="583"/>
      <c r="C9" s="460">
        <f>ROUND(未审现金流量表!H9,2)</f>
        <v>0</v>
      </c>
      <c r="D9" s="460">
        <f>ROUND(未审现金流量表!N9,2)</f>
        <v>0</v>
      </c>
      <c r="E9" s="99"/>
      <c r="F9" s="99"/>
      <c r="G9" s="89"/>
      <c r="H9" s="309">
        <f t="shared" si="1"/>
        <v>0</v>
      </c>
      <c r="I9" s="310" t="str">
        <f t="shared" si="0"/>
        <v/>
      </c>
      <c r="J9" s="26"/>
      <c r="K9" s="311">
        <f t="shared" si="2"/>
        <v>0</v>
      </c>
    </row>
    <row r="10" spans="1:14" ht="16.5" customHeight="1">
      <c r="A10" s="491" t="s">
        <v>703</v>
      </c>
      <c r="B10" s="583"/>
      <c r="C10" s="460">
        <f>ROUND(未审现金流量表!H10,2)</f>
        <v>0</v>
      </c>
      <c r="D10" s="460">
        <f>ROUND(未审现金流量表!N10,2)</f>
        <v>0</v>
      </c>
      <c r="E10" s="99"/>
      <c r="F10" s="99"/>
      <c r="G10" s="89"/>
      <c r="H10" s="309">
        <f t="shared" si="1"/>
        <v>0</v>
      </c>
      <c r="I10" s="310" t="str">
        <f t="shared" si="0"/>
        <v/>
      </c>
      <c r="J10" s="26"/>
      <c r="K10" s="311">
        <f t="shared" si="2"/>
        <v>0</v>
      </c>
    </row>
    <row r="11" spans="1:14" ht="16.5" customHeight="1">
      <c r="A11" s="491" t="s">
        <v>704</v>
      </c>
      <c r="B11" s="583"/>
      <c r="C11" s="460">
        <f>ROUND(未审现金流量表!H11,2)</f>
        <v>0</v>
      </c>
      <c r="D11" s="460">
        <f>ROUND(未审现金流量表!N11,2)</f>
        <v>0</v>
      </c>
      <c r="E11" s="99"/>
      <c r="F11" s="99"/>
      <c r="G11" s="89"/>
      <c r="H11" s="309">
        <f t="shared" si="1"/>
        <v>0</v>
      </c>
      <c r="I11" s="310" t="str">
        <f t="shared" si="0"/>
        <v/>
      </c>
      <c r="J11" s="26"/>
      <c r="K11" s="311">
        <f t="shared" si="2"/>
        <v>0</v>
      </c>
    </row>
    <row r="12" spans="1:14" ht="16.5" customHeight="1">
      <c r="A12" s="492" t="s">
        <v>705</v>
      </c>
      <c r="B12" s="583"/>
      <c r="C12" s="460">
        <f>ROUND(未审现金流量表!H12,2)</f>
        <v>0</v>
      </c>
      <c r="D12" s="460">
        <f>ROUND(未审现金流量表!N12,2)</f>
        <v>0</v>
      </c>
      <c r="E12" s="99"/>
      <c r="F12" s="99"/>
      <c r="G12" s="89"/>
      <c r="H12" s="309">
        <f t="shared" si="1"/>
        <v>0</v>
      </c>
      <c r="I12" s="310" t="str">
        <f t="shared" si="0"/>
        <v/>
      </c>
      <c r="J12" s="26"/>
      <c r="K12" s="311">
        <f t="shared" si="2"/>
        <v>0</v>
      </c>
    </row>
    <row r="13" spans="1:14" ht="16.5" customHeight="1">
      <c r="A13" s="492" t="s">
        <v>2135</v>
      </c>
      <c r="B13" s="583"/>
      <c r="C13" s="460">
        <f>ROUND(未审现金流量表!H13,2)</f>
        <v>0</v>
      </c>
      <c r="D13" s="460">
        <f>ROUND(未审现金流量表!N13,2)</f>
        <v>0</v>
      </c>
      <c r="E13" s="99"/>
      <c r="F13" s="99"/>
      <c r="G13" s="89"/>
      <c r="H13" s="309">
        <f t="shared" si="1"/>
        <v>0</v>
      </c>
      <c r="I13" s="310" t="str">
        <f t="shared" si="0"/>
        <v/>
      </c>
      <c r="J13" s="26"/>
      <c r="K13" s="311">
        <f t="shared" si="2"/>
        <v>0</v>
      </c>
    </row>
    <row r="14" spans="1:14" ht="16.5" customHeight="1">
      <c r="A14" s="492" t="s">
        <v>707</v>
      </c>
      <c r="B14" s="583"/>
      <c r="C14" s="460">
        <f>ROUND(未审现金流量表!H14,2)</f>
        <v>0</v>
      </c>
      <c r="D14" s="460">
        <f>ROUND(未审现金流量表!N14,2)</f>
        <v>0</v>
      </c>
      <c r="E14" s="99"/>
      <c r="F14" s="99"/>
      <c r="G14" s="89"/>
      <c r="H14" s="309">
        <f t="shared" si="1"/>
        <v>0</v>
      </c>
      <c r="I14" s="310" t="str">
        <f t="shared" si="0"/>
        <v/>
      </c>
      <c r="J14" s="26"/>
      <c r="K14" s="311">
        <f t="shared" si="2"/>
        <v>0</v>
      </c>
    </row>
    <row r="15" spans="1:14" ht="16.5" customHeight="1">
      <c r="A15" s="492" t="s">
        <v>708</v>
      </c>
      <c r="B15" s="583"/>
      <c r="C15" s="460">
        <f>ROUND(未审现金流量表!H15,2)</f>
        <v>0</v>
      </c>
      <c r="D15" s="460">
        <f>ROUND(未审现金流量表!N15,2)</f>
        <v>0</v>
      </c>
      <c r="E15" s="99"/>
      <c r="F15" s="99"/>
      <c r="G15" s="89"/>
      <c r="H15" s="309">
        <f t="shared" si="1"/>
        <v>0</v>
      </c>
      <c r="I15" s="310" t="str">
        <f t="shared" si="0"/>
        <v/>
      </c>
      <c r="J15" s="26"/>
      <c r="K15" s="311">
        <f t="shared" si="2"/>
        <v>0</v>
      </c>
    </row>
    <row r="16" spans="1:14" ht="16.5" customHeight="1">
      <c r="A16" s="492" t="s">
        <v>709</v>
      </c>
      <c r="B16" s="583"/>
      <c r="C16" s="460">
        <f>ROUND(未审现金流量表!H16,2)</f>
        <v>0</v>
      </c>
      <c r="D16" s="460">
        <f>ROUND(未审现金流量表!N16,2)</f>
        <v>0</v>
      </c>
      <c r="E16" s="99"/>
      <c r="F16" s="99"/>
      <c r="G16" s="89"/>
      <c r="H16" s="309">
        <f t="shared" si="1"/>
        <v>0</v>
      </c>
      <c r="I16" s="310" t="str">
        <f t="shared" si="0"/>
        <v/>
      </c>
      <c r="J16" s="26"/>
      <c r="K16" s="311">
        <f t="shared" si="2"/>
        <v>0</v>
      </c>
    </row>
    <row r="17" spans="1:11" ht="16.5" customHeight="1">
      <c r="A17" s="443" t="s">
        <v>710</v>
      </c>
      <c r="B17" s="583"/>
      <c r="C17" s="460">
        <f>ROUND(未审现金流量表!H17,2)</f>
        <v>0</v>
      </c>
      <c r="D17" s="460">
        <f>ROUND(未审现金流量表!N17,2)</f>
        <v>511678</v>
      </c>
      <c r="E17" s="99"/>
      <c r="F17" s="99"/>
      <c r="G17" s="89"/>
      <c r="H17" s="309">
        <f t="shared" si="1"/>
        <v>-511678</v>
      </c>
      <c r="I17" s="310">
        <f t="shared" si="0"/>
        <v>-1</v>
      </c>
      <c r="J17" s="26"/>
      <c r="K17" s="311" t="str">
        <f t="shared" si="2"/>
        <v xml:space="preserve">    收到的税费返还2012年12月31日期末数为0,000.00元，比期初数减少100.00%，其主要原因是。</v>
      </c>
    </row>
    <row r="18" spans="1:11" ht="16.5" customHeight="1">
      <c r="A18" s="443" t="s">
        <v>711</v>
      </c>
      <c r="B18" s="583"/>
      <c r="C18" s="460">
        <f>ROUND(未审现金流量表!H18,2)</f>
        <v>3501.21</v>
      </c>
      <c r="D18" s="460">
        <f>ROUND(未审现金流量表!N18,2)</f>
        <v>278279.76</v>
      </c>
      <c r="E18" s="99"/>
      <c r="F18" s="99"/>
      <c r="G18" s="89"/>
      <c r="H18" s="309">
        <f t="shared" si="1"/>
        <v>-274778.55</v>
      </c>
      <c r="I18" s="310">
        <f t="shared" si="0"/>
        <v>-0.98741838069718035</v>
      </c>
      <c r="J18" s="26"/>
      <c r="K18" s="311" t="str">
        <f t="shared" si="2"/>
        <v xml:space="preserve">    收到的其他与经营活动有关的现金2012年12月31日期末数为3,501.21元，比期初数减少98.74%，其主要原因是。</v>
      </c>
    </row>
    <row r="19" spans="1:11" ht="16.5" customHeight="1">
      <c r="A19" s="439" t="s">
        <v>712</v>
      </c>
      <c r="B19" s="584"/>
      <c r="C19" s="460">
        <f>SUM(C6:C18)</f>
        <v>3501.21</v>
      </c>
      <c r="D19" s="461">
        <f>SUM(D6:D18)</f>
        <v>17789957.760000002</v>
      </c>
      <c r="E19" s="102">
        <f>SUM(C6:C18)-C19</f>
        <v>0</v>
      </c>
      <c r="F19" s="102">
        <f>SUM(D6:D18)-D19</f>
        <v>0</v>
      </c>
      <c r="G19" s="89"/>
      <c r="H19" s="309">
        <f t="shared" si="1"/>
        <v>-17786456.550000001</v>
      </c>
      <c r="I19" s="310">
        <f t="shared" si="0"/>
        <v>-0.99980319177553789</v>
      </c>
      <c r="J19" s="26"/>
      <c r="K19" s="311" t="str">
        <f t="shared" si="2"/>
        <v>经营活动现金流入小计2012年12月31日期末数为3,501.21元，比期初数减少99.98%，其主要原因是。</v>
      </c>
    </row>
    <row r="20" spans="1:11" ht="16.5" customHeight="1">
      <c r="A20" s="443" t="s">
        <v>713</v>
      </c>
      <c r="B20" s="583"/>
      <c r="C20" s="460">
        <f>ROUND(未审现金流量表!H20,2)</f>
        <v>0</v>
      </c>
      <c r="D20" s="460">
        <f>ROUND(未审现金流量表!N20,2)</f>
        <v>0</v>
      </c>
      <c r="E20" s="99"/>
      <c r="F20" s="99"/>
      <c r="G20" s="89"/>
      <c r="H20" s="309">
        <f t="shared" si="1"/>
        <v>0</v>
      </c>
      <c r="I20" s="310" t="str">
        <f t="shared" si="0"/>
        <v/>
      </c>
      <c r="J20" s="26"/>
      <c r="K20" s="311">
        <f t="shared" si="2"/>
        <v>0</v>
      </c>
    </row>
    <row r="21" spans="1:11" ht="16.5" customHeight="1">
      <c r="A21" s="492" t="s">
        <v>714</v>
      </c>
      <c r="B21" s="583"/>
      <c r="C21" s="460">
        <f>ROUND(未审现金流量表!H21,2)</f>
        <v>0</v>
      </c>
      <c r="D21" s="460">
        <f>ROUND(未审现金流量表!N21,2)</f>
        <v>0</v>
      </c>
      <c r="E21" s="99"/>
      <c r="F21" s="99"/>
      <c r="G21" s="89"/>
      <c r="H21" s="309">
        <f t="shared" si="1"/>
        <v>0</v>
      </c>
      <c r="I21" s="310" t="str">
        <f t="shared" si="0"/>
        <v/>
      </c>
      <c r="J21" s="26"/>
      <c r="K21" s="311">
        <f t="shared" si="2"/>
        <v>0</v>
      </c>
    </row>
    <row r="22" spans="1:11" ht="16.5" customHeight="1">
      <c r="A22" s="492" t="s">
        <v>715</v>
      </c>
      <c r="B22" s="583"/>
      <c r="C22" s="460">
        <f>ROUND(未审现金流量表!H22,2)</f>
        <v>0</v>
      </c>
      <c r="D22" s="460">
        <f>ROUND(未审现金流量表!N22,2)</f>
        <v>0</v>
      </c>
      <c r="E22" s="99"/>
      <c r="F22" s="99"/>
      <c r="G22" s="89"/>
      <c r="H22" s="309">
        <f t="shared" si="1"/>
        <v>0</v>
      </c>
      <c r="I22" s="310" t="str">
        <f t="shared" si="0"/>
        <v/>
      </c>
      <c r="J22" s="26"/>
      <c r="K22" s="311">
        <f t="shared" si="2"/>
        <v>0</v>
      </c>
    </row>
    <row r="23" spans="1:11" ht="16.5" customHeight="1">
      <c r="A23" s="492" t="s">
        <v>716</v>
      </c>
      <c r="B23" s="583"/>
      <c r="C23" s="460">
        <f>ROUND(未审现金流量表!H23,2)</f>
        <v>0</v>
      </c>
      <c r="D23" s="460">
        <f>ROUND(未审现金流量表!N23,2)</f>
        <v>0</v>
      </c>
      <c r="E23" s="99"/>
      <c r="F23" s="99"/>
      <c r="G23" s="89"/>
      <c r="H23" s="309">
        <f t="shared" si="1"/>
        <v>0</v>
      </c>
      <c r="I23" s="310" t="str">
        <f t="shared" si="0"/>
        <v/>
      </c>
      <c r="J23" s="26"/>
      <c r="K23" s="311">
        <f t="shared" si="2"/>
        <v>0</v>
      </c>
    </row>
    <row r="24" spans="1:11" ht="16.5" customHeight="1">
      <c r="A24" s="492" t="s">
        <v>717</v>
      </c>
      <c r="B24" s="583"/>
      <c r="C24" s="460">
        <f>ROUND(未审现金流量表!H24,2)</f>
        <v>0</v>
      </c>
      <c r="D24" s="460">
        <f>ROUND(未审现金流量表!N24,2)</f>
        <v>0</v>
      </c>
      <c r="E24" s="99"/>
      <c r="F24" s="99"/>
      <c r="G24" s="89"/>
      <c r="H24" s="309">
        <f t="shared" si="1"/>
        <v>0</v>
      </c>
      <c r="I24" s="310" t="str">
        <f t="shared" si="0"/>
        <v/>
      </c>
      <c r="J24" s="26"/>
      <c r="K24" s="311">
        <f t="shared" si="2"/>
        <v>0</v>
      </c>
    </row>
    <row r="25" spans="1:11" ht="16.5" customHeight="1">
      <c r="A25" s="492" t="s">
        <v>718</v>
      </c>
      <c r="B25" s="583"/>
      <c r="C25" s="460">
        <f>ROUND(未审现金流量表!H25,2)</f>
        <v>0</v>
      </c>
      <c r="D25" s="460">
        <f>ROUND(未审现金流量表!N25,2)</f>
        <v>0</v>
      </c>
      <c r="E25" s="99"/>
      <c r="F25" s="99"/>
      <c r="G25" s="89"/>
      <c r="H25" s="309">
        <f t="shared" si="1"/>
        <v>0</v>
      </c>
      <c r="I25" s="310" t="str">
        <f t="shared" si="0"/>
        <v/>
      </c>
      <c r="J25" s="26"/>
      <c r="K25" s="311">
        <f t="shared" si="2"/>
        <v>0</v>
      </c>
    </row>
    <row r="26" spans="1:11" ht="16.5" customHeight="1">
      <c r="A26" s="443" t="s">
        <v>719</v>
      </c>
      <c r="B26" s="583"/>
      <c r="C26" s="460">
        <f>ROUND(未审现金流量表!H26,2)</f>
        <v>2808839.93</v>
      </c>
      <c r="D26" s="460">
        <f>ROUND(未审现金流量表!N26,2)</f>
        <v>7355606.5899999999</v>
      </c>
      <c r="E26" s="99"/>
      <c r="F26" s="99"/>
      <c r="G26" s="89"/>
      <c r="H26" s="309">
        <f t="shared" si="1"/>
        <v>-4546766.66</v>
      </c>
      <c r="I26" s="310">
        <f t="shared" si="0"/>
        <v>-0.61813619371397077</v>
      </c>
      <c r="J26" s="26"/>
      <c r="K26" s="311" t="str">
        <f t="shared" si="2"/>
        <v xml:space="preserve">    支付给职工以及为职工支付的现金2012年12月31日期末数为2,808,839.93元，比期初数减少61.81%，其主要原因是。</v>
      </c>
    </row>
    <row r="27" spans="1:11" ht="16.5" customHeight="1">
      <c r="A27" s="443" t="s">
        <v>720</v>
      </c>
      <c r="B27" s="583"/>
      <c r="C27" s="460">
        <f>ROUND(未审现金流量表!H27,2)</f>
        <v>968652.25</v>
      </c>
      <c r="D27" s="460">
        <f>ROUND(未审现金流量表!N27,2)</f>
        <v>6419475.4900000002</v>
      </c>
      <c r="E27" s="99"/>
      <c r="F27" s="99"/>
      <c r="G27" s="89"/>
      <c r="H27" s="309">
        <f t="shared" si="1"/>
        <v>-5450823.2400000002</v>
      </c>
      <c r="I27" s="310">
        <f t="shared" si="0"/>
        <v>-0.84910725938452025</v>
      </c>
      <c r="J27" s="26"/>
      <c r="K27" s="311" t="str">
        <f t="shared" si="2"/>
        <v xml:space="preserve">    支付的各项税费2012年12月31日期末数为968,652.25元，比期初数减少84.91%，其主要原因是。</v>
      </c>
    </row>
    <row r="28" spans="1:11" ht="16.5" customHeight="1">
      <c r="A28" s="443" t="s">
        <v>721</v>
      </c>
      <c r="B28" s="583"/>
      <c r="C28" s="460">
        <f>ROUND(未审现金流量表!H28,2)</f>
        <v>1193214.6399999999</v>
      </c>
      <c r="D28" s="460">
        <f>ROUND(未审现金流量表!N28,2)</f>
        <v>4139025.11</v>
      </c>
      <c r="E28" s="99"/>
      <c r="F28" s="99"/>
      <c r="G28" s="89"/>
      <c r="H28" s="309">
        <f t="shared" si="1"/>
        <v>-2945810.4699999997</v>
      </c>
      <c r="I28" s="310">
        <f t="shared" si="0"/>
        <v>-0.71171601807460405</v>
      </c>
      <c r="J28" s="26"/>
      <c r="K28" s="311" t="str">
        <f t="shared" si="2"/>
        <v xml:space="preserve">    支付的其他与经营活动有关的现金2012年12月31日期末数为1,193,214.64元，比期初数减少71.17%，其主要原因是。</v>
      </c>
    </row>
    <row r="29" spans="1:11" ht="16.5" customHeight="1">
      <c r="A29" s="439" t="s">
        <v>722</v>
      </c>
      <c r="B29" s="584"/>
      <c r="C29" s="460">
        <f>SUM(C20:C28)</f>
        <v>4970706.82</v>
      </c>
      <c r="D29" s="461">
        <f>SUM(D20:D28)</f>
        <v>17914107.190000001</v>
      </c>
      <c r="E29" s="102">
        <f>SUM(C20:C28)-C29</f>
        <v>0</v>
      </c>
      <c r="F29" s="102">
        <f>SUM(D20:D28)-D29</f>
        <v>0</v>
      </c>
      <c r="G29" s="89"/>
      <c r="H29" s="309">
        <f t="shared" si="1"/>
        <v>-12943400.370000001</v>
      </c>
      <c r="I29" s="310">
        <f t="shared" si="0"/>
        <v>-0.72252556226889475</v>
      </c>
      <c r="J29" s="26"/>
      <c r="K29" s="311" t="str">
        <f t="shared" si="2"/>
        <v>经营活动现金流出小计2012年12月31日期末数为4,970,706.82元，比期初数减少72.25%，其主要原因是。</v>
      </c>
    </row>
    <row r="30" spans="1:11" ht="16.5" customHeight="1">
      <c r="A30" s="442" t="s">
        <v>723</v>
      </c>
      <c r="B30" s="429"/>
      <c r="C30" s="460">
        <f>C19-C29</f>
        <v>-4967205.6100000003</v>
      </c>
      <c r="D30" s="461">
        <f>D19-D29</f>
        <v>-124149.4299999997</v>
      </c>
      <c r="E30" s="102">
        <f>C19-C29-C30</f>
        <v>0</v>
      </c>
      <c r="F30" s="102">
        <f>D19-D29-D30</f>
        <v>0</v>
      </c>
      <c r="G30" s="89"/>
      <c r="H30" s="309">
        <f t="shared" si="1"/>
        <v>-4843056.1800000006</v>
      </c>
      <c r="I30" s="310">
        <f t="shared" si="0"/>
        <v>39.009894608457017</v>
      </c>
      <c r="J30" s="26"/>
      <c r="K30" s="311" t="str">
        <f t="shared" si="2"/>
        <v xml:space="preserve">    经营活动产生的现金流量净额2012年12月31日期末数为-4,967,205.61元，比期初数增加3900.99%，其主要原因是。</v>
      </c>
    </row>
    <row r="31" spans="1:11" ht="16.5" customHeight="1">
      <c r="A31" s="442" t="s">
        <v>724</v>
      </c>
      <c r="B31" s="429"/>
      <c r="C31" s="495"/>
      <c r="D31" s="497"/>
      <c r="E31" s="99"/>
      <c r="F31" s="99"/>
      <c r="G31" s="89"/>
      <c r="H31" s="309">
        <f t="shared" si="1"/>
        <v>0</v>
      </c>
      <c r="I31" s="310" t="str">
        <f t="shared" si="0"/>
        <v/>
      </c>
      <c r="J31" s="26"/>
      <c r="K31" s="311">
        <f t="shared" si="2"/>
        <v>0</v>
      </c>
    </row>
    <row r="32" spans="1:11" ht="16.5" customHeight="1">
      <c r="A32" s="443" t="s">
        <v>725</v>
      </c>
      <c r="B32" s="429"/>
      <c r="C32" s="460">
        <f>ROUND(未审现金流量表!H32,2)</f>
        <v>0</v>
      </c>
      <c r="D32" s="460">
        <f>ROUND(未审现金流量表!N32,2)</f>
        <v>0</v>
      </c>
      <c r="E32" s="99"/>
      <c r="F32" s="99"/>
      <c r="H32" s="309">
        <f t="shared" si="1"/>
        <v>0</v>
      </c>
      <c r="I32" s="310" t="str">
        <f t="shared" si="0"/>
        <v/>
      </c>
      <c r="J32" s="26"/>
      <c r="K32" s="311">
        <f t="shared" si="2"/>
        <v>0</v>
      </c>
    </row>
    <row r="33" spans="1:11" ht="16.5" customHeight="1">
      <c r="A33" s="443" t="s">
        <v>726</v>
      </c>
      <c r="B33" s="583"/>
      <c r="C33" s="460">
        <f>ROUND(未审现金流量表!H33,2)</f>
        <v>0</v>
      </c>
      <c r="D33" s="460">
        <f>ROUND(未审现金流量表!N33,2)</f>
        <v>0</v>
      </c>
      <c r="E33" s="99"/>
      <c r="F33" s="99"/>
      <c r="G33" s="48"/>
      <c r="H33" s="309">
        <f t="shared" si="1"/>
        <v>0</v>
      </c>
      <c r="I33" s="310" t="str">
        <f t="shared" si="0"/>
        <v/>
      </c>
      <c r="J33" s="26"/>
      <c r="K33" s="311">
        <f t="shared" si="2"/>
        <v>0</v>
      </c>
    </row>
    <row r="34" spans="1:11" ht="16.5" customHeight="1">
      <c r="A34" s="443" t="s">
        <v>727</v>
      </c>
      <c r="B34" s="583"/>
      <c r="C34" s="460">
        <f>ROUND(未审现金流量表!H34,2)</f>
        <v>0</v>
      </c>
      <c r="D34" s="460">
        <f>ROUND(未审现金流量表!N34,2)</f>
        <v>0</v>
      </c>
      <c r="E34" s="99"/>
      <c r="F34" s="99"/>
      <c r="G34" s="48"/>
      <c r="H34" s="309">
        <f t="shared" si="1"/>
        <v>0</v>
      </c>
      <c r="I34" s="310" t="str">
        <f t="shared" si="0"/>
        <v/>
      </c>
      <c r="J34" s="26"/>
      <c r="K34" s="311">
        <f t="shared" si="2"/>
        <v>0</v>
      </c>
    </row>
    <row r="35" spans="1:11" ht="16.5" customHeight="1">
      <c r="A35" s="443" t="s">
        <v>728</v>
      </c>
      <c r="B35" s="583"/>
      <c r="C35" s="460">
        <f>ROUND(未审现金流量表!H35,2)</f>
        <v>0</v>
      </c>
      <c r="D35" s="460">
        <f>ROUND(未审现金流量表!N35,2)</f>
        <v>0</v>
      </c>
      <c r="E35" s="99"/>
      <c r="F35" s="99"/>
      <c r="H35" s="309">
        <f t="shared" si="1"/>
        <v>0</v>
      </c>
      <c r="I35" s="310" t="str">
        <f t="shared" si="0"/>
        <v/>
      </c>
      <c r="J35" s="26"/>
      <c r="K35" s="311">
        <f t="shared" si="2"/>
        <v>0</v>
      </c>
    </row>
    <row r="36" spans="1:11" ht="16.5" customHeight="1">
      <c r="A36" s="443" t="s">
        <v>729</v>
      </c>
      <c r="B36" s="583"/>
      <c r="C36" s="460">
        <f>ROUND(未审现金流量表!H36,2)</f>
        <v>0</v>
      </c>
      <c r="D36" s="460">
        <f>ROUND(未审现金流量表!N36,2)</f>
        <v>0</v>
      </c>
      <c r="E36" s="99"/>
      <c r="F36" s="99"/>
      <c r="G36" s="48"/>
      <c r="H36" s="309">
        <f t="shared" si="1"/>
        <v>0</v>
      </c>
      <c r="I36" s="310" t="str">
        <f t="shared" si="0"/>
        <v/>
      </c>
      <c r="J36" s="26"/>
      <c r="K36" s="311">
        <f t="shared" si="2"/>
        <v>0</v>
      </c>
    </row>
    <row r="37" spans="1:11" ht="16.5" customHeight="1">
      <c r="A37" s="439" t="s">
        <v>730</v>
      </c>
      <c r="B37" s="584"/>
      <c r="C37" s="460">
        <f>SUM(C32:C36)</f>
        <v>0</v>
      </c>
      <c r="D37" s="461">
        <f>SUM(D32:D36)</f>
        <v>0</v>
      </c>
      <c r="E37" s="102">
        <f>SUM(C32:C36)-C37</f>
        <v>0</v>
      </c>
      <c r="F37" s="102">
        <f>SUM(D32:D36)-D37</f>
        <v>0</v>
      </c>
      <c r="G37" s="48"/>
      <c r="H37" s="309">
        <f t="shared" si="1"/>
        <v>0</v>
      </c>
      <c r="I37" s="310" t="str">
        <f t="shared" si="0"/>
        <v/>
      </c>
      <c r="J37" s="26"/>
      <c r="K37" s="311">
        <f t="shared" si="2"/>
        <v>0</v>
      </c>
    </row>
    <row r="38" spans="1:11" ht="16.5" customHeight="1">
      <c r="A38" s="443" t="s">
        <v>731</v>
      </c>
      <c r="B38" s="583"/>
      <c r="C38" s="460">
        <f>ROUND(未审现金流量表!H38,2)</f>
        <v>0</v>
      </c>
      <c r="D38" s="460">
        <f>ROUND(未审现金流量表!N38,2)</f>
        <v>721377.37</v>
      </c>
      <c r="E38" s="99"/>
      <c r="F38" s="99"/>
      <c r="H38" s="309">
        <f t="shared" si="1"/>
        <v>-721377.37</v>
      </c>
      <c r="I38" s="310">
        <f t="shared" ref="I38:I61" si="3">IFERROR(IF(ABS((C38-D38)/D38)&gt;0.3,(C38-D38)/D38,""),"")</f>
        <v>-1</v>
      </c>
      <c r="J38" s="26"/>
      <c r="K38" s="311" t="str">
        <f t="shared" si="2"/>
        <v xml:space="preserve">    购建固定资产、无形资产和其他长期资产支付的现金2012年12月31日期末数为0,000.00元，比期初数减少100.00%，其主要原因是。</v>
      </c>
    </row>
    <row r="39" spans="1:11" ht="16.5" customHeight="1">
      <c r="A39" s="443" t="s">
        <v>732</v>
      </c>
      <c r="B39" s="583"/>
      <c r="C39" s="460">
        <f>ROUND(未审现金流量表!H39,2)</f>
        <v>30000</v>
      </c>
      <c r="D39" s="460">
        <f>ROUND(未审现金流量表!N39,2)</f>
        <v>330000</v>
      </c>
      <c r="E39" s="99"/>
      <c r="F39" s="99"/>
      <c r="H39" s="309">
        <f t="shared" si="1"/>
        <v>-300000</v>
      </c>
      <c r="I39" s="310">
        <f t="shared" si="3"/>
        <v>-0.90909090909090906</v>
      </c>
      <c r="J39" s="26"/>
      <c r="K39" s="311" t="str">
        <f t="shared" si="2"/>
        <v xml:space="preserve">    投资支付的现金2012年12月31日期末数为30,000.00元，比期初数减少90.91%，其主要原因是。</v>
      </c>
    </row>
    <row r="40" spans="1:11" ht="16.5" customHeight="1">
      <c r="A40" s="443" t="s">
        <v>733</v>
      </c>
      <c r="B40" s="583"/>
      <c r="C40" s="460">
        <f>ROUND(未审现金流量表!H40,2)</f>
        <v>0</v>
      </c>
      <c r="D40" s="460">
        <f>ROUND(未审现金流量表!N40,2)</f>
        <v>0</v>
      </c>
      <c r="E40" s="99"/>
      <c r="F40" s="99"/>
      <c r="H40" s="309">
        <f t="shared" si="1"/>
        <v>0</v>
      </c>
      <c r="I40" s="310" t="str">
        <f t="shared" si="3"/>
        <v/>
      </c>
      <c r="J40" s="26"/>
      <c r="K40" s="311">
        <f t="shared" si="2"/>
        <v>0</v>
      </c>
    </row>
    <row r="41" spans="1:11" ht="16.5" customHeight="1">
      <c r="A41" s="443" t="s">
        <v>734</v>
      </c>
      <c r="B41" s="583"/>
      <c r="C41" s="460">
        <f>ROUND(未审现金流量表!H41,2)</f>
        <v>0</v>
      </c>
      <c r="D41" s="460">
        <f>ROUND(未审现金流量表!N41,2)</f>
        <v>0</v>
      </c>
      <c r="E41" s="99"/>
      <c r="F41" s="99"/>
      <c r="H41" s="309">
        <f t="shared" si="1"/>
        <v>0</v>
      </c>
      <c r="I41" s="310" t="str">
        <f t="shared" si="3"/>
        <v/>
      </c>
      <c r="J41" s="26"/>
      <c r="K41" s="311">
        <f t="shared" si="2"/>
        <v>0</v>
      </c>
    </row>
    <row r="42" spans="1:11" ht="16.5" customHeight="1">
      <c r="A42" s="443" t="s">
        <v>735</v>
      </c>
      <c r="B42" s="583"/>
      <c r="C42" s="460">
        <f>ROUND(未审现金流量表!H42,2)</f>
        <v>0</v>
      </c>
      <c r="D42" s="460">
        <f>ROUND(未审现金流量表!N42,2)</f>
        <v>0</v>
      </c>
      <c r="E42" s="99"/>
      <c r="F42" s="99"/>
      <c r="H42" s="309">
        <f t="shared" si="1"/>
        <v>0</v>
      </c>
      <c r="I42" s="310" t="str">
        <f t="shared" si="3"/>
        <v/>
      </c>
      <c r="J42" s="26"/>
      <c r="K42" s="311">
        <f t="shared" si="2"/>
        <v>0</v>
      </c>
    </row>
    <row r="43" spans="1:11" ht="16.5" customHeight="1">
      <c r="A43" s="439" t="s">
        <v>736</v>
      </c>
      <c r="B43" s="584"/>
      <c r="C43" s="460">
        <f>SUM(C38:C42)</f>
        <v>30000</v>
      </c>
      <c r="D43" s="461">
        <f>SUM(D38:D42)</f>
        <v>1051377.3700000001</v>
      </c>
      <c r="E43" s="102">
        <f>SUM(C38:C42)-C43</f>
        <v>0</v>
      </c>
      <c r="F43" s="102">
        <f>SUM(D38:D42)-D43</f>
        <v>0</v>
      </c>
      <c r="H43" s="309">
        <f t="shared" si="1"/>
        <v>-1021377.3700000001</v>
      </c>
      <c r="I43" s="310">
        <f t="shared" si="3"/>
        <v>-0.9714660017839265</v>
      </c>
      <c r="J43" s="26"/>
      <c r="K43" s="311" t="str">
        <f t="shared" si="2"/>
        <v>投资活动现金流出小计2012年12月31日期末数为30,000.00元，比期初数减少97.15%，其主要原因是。</v>
      </c>
    </row>
    <row r="44" spans="1:11" ht="16.5" customHeight="1">
      <c r="A44" s="442" t="s">
        <v>737</v>
      </c>
      <c r="B44" s="584"/>
      <c r="C44" s="460">
        <f>C37-C43</f>
        <v>-30000</v>
      </c>
      <c r="D44" s="461">
        <f>D37-D43</f>
        <v>-1051377.3700000001</v>
      </c>
      <c r="E44" s="102">
        <f>C37-C43-C44</f>
        <v>0</v>
      </c>
      <c r="F44" s="102">
        <f>D37-D43-D44</f>
        <v>0</v>
      </c>
      <c r="H44" s="309">
        <f t="shared" si="1"/>
        <v>1021377.3700000001</v>
      </c>
      <c r="I44" s="310">
        <f t="shared" si="3"/>
        <v>-0.9714660017839265</v>
      </c>
      <c r="J44" s="26"/>
      <c r="K44" s="311" t="str">
        <f t="shared" si="2"/>
        <v xml:space="preserve">    投资活动产生的现金流量净额2012年12月31日期末数为-30,000.00元，比期初数减少97.15%，其主要原因是。</v>
      </c>
    </row>
    <row r="45" spans="1:11" ht="16.5" customHeight="1">
      <c r="A45" s="442" t="s">
        <v>738</v>
      </c>
      <c r="B45" s="584"/>
      <c r="C45" s="495"/>
      <c r="D45" s="497"/>
      <c r="E45" s="99"/>
      <c r="F45" s="99"/>
      <c r="H45" s="309">
        <f t="shared" si="1"/>
        <v>0</v>
      </c>
      <c r="I45" s="310" t="str">
        <f t="shared" si="3"/>
        <v/>
      </c>
      <c r="J45" s="26"/>
      <c r="K45" s="311">
        <f t="shared" si="2"/>
        <v>0</v>
      </c>
    </row>
    <row r="46" spans="1:11" ht="16.5" customHeight="1">
      <c r="A46" s="443" t="s">
        <v>739</v>
      </c>
      <c r="B46" s="584"/>
      <c r="C46" s="460">
        <f>ROUND(未审现金流量表!H46,2)</f>
        <v>0</v>
      </c>
      <c r="D46" s="460">
        <f>ROUND(未审现金流量表!N46,2)</f>
        <v>0</v>
      </c>
      <c r="E46" s="99"/>
      <c r="F46" s="99"/>
      <c r="H46" s="309">
        <f t="shared" si="1"/>
        <v>0</v>
      </c>
      <c r="I46" s="310" t="str">
        <f t="shared" si="3"/>
        <v/>
      </c>
      <c r="J46" s="26"/>
      <c r="K46" s="311">
        <f t="shared" si="2"/>
        <v>0</v>
      </c>
    </row>
    <row r="47" spans="1:11" ht="16.5" customHeight="1">
      <c r="A47" s="450" t="s">
        <v>740</v>
      </c>
      <c r="B47" s="584"/>
      <c r="C47" s="460">
        <f>ROUND(未审现金流量表!H47,2)</f>
        <v>0</v>
      </c>
      <c r="D47" s="460">
        <f>ROUND(未审现金流量表!N47,2)</f>
        <v>0</v>
      </c>
      <c r="E47" s="99"/>
      <c r="F47" s="99"/>
      <c r="H47" s="309">
        <f t="shared" si="1"/>
        <v>0</v>
      </c>
      <c r="I47" s="310" t="str">
        <f t="shared" si="3"/>
        <v/>
      </c>
      <c r="J47" s="26"/>
      <c r="K47" s="311">
        <f t="shared" si="2"/>
        <v>0</v>
      </c>
    </row>
    <row r="48" spans="1:11" ht="16.5" customHeight="1">
      <c r="A48" s="443" t="s">
        <v>741</v>
      </c>
      <c r="B48" s="584"/>
      <c r="C48" s="460">
        <f>ROUND(未审现金流量表!H48,2)</f>
        <v>0</v>
      </c>
      <c r="D48" s="460">
        <f>ROUND(未审现金流量表!N48,2)</f>
        <v>0</v>
      </c>
      <c r="E48" s="99"/>
      <c r="F48" s="99"/>
      <c r="H48" s="309">
        <f t="shared" si="1"/>
        <v>0</v>
      </c>
      <c r="I48" s="310" t="str">
        <f t="shared" si="3"/>
        <v/>
      </c>
      <c r="J48" s="26"/>
      <c r="K48" s="311">
        <f t="shared" si="2"/>
        <v>0</v>
      </c>
    </row>
    <row r="49" spans="1:11" ht="16.5" customHeight="1">
      <c r="A49" s="443" t="s">
        <v>742</v>
      </c>
      <c r="B49" s="584"/>
      <c r="C49" s="460">
        <f>ROUND(未审现金流量表!H49,2)</f>
        <v>0</v>
      </c>
      <c r="D49" s="460">
        <f>ROUND(未审现金流量表!N49,2)</f>
        <v>0</v>
      </c>
      <c r="E49" s="99"/>
      <c r="F49" s="99"/>
      <c r="H49" s="309">
        <f t="shared" si="1"/>
        <v>0</v>
      </c>
      <c r="I49" s="310" t="str">
        <f t="shared" si="3"/>
        <v/>
      </c>
      <c r="J49" s="26"/>
      <c r="K49" s="311">
        <f t="shared" si="2"/>
        <v>0</v>
      </c>
    </row>
    <row r="50" spans="1:11" ht="16.5" customHeight="1">
      <c r="A50" s="443" t="s">
        <v>743</v>
      </c>
      <c r="B50" s="584"/>
      <c r="C50" s="460">
        <f>ROUND(未审现金流量表!H50,2)</f>
        <v>0</v>
      </c>
      <c r="D50" s="460">
        <f>ROUND(未审现金流量表!N50,2)</f>
        <v>0</v>
      </c>
      <c r="E50" s="99"/>
      <c r="F50" s="99"/>
      <c r="H50" s="309">
        <f t="shared" si="1"/>
        <v>0</v>
      </c>
      <c r="I50" s="310" t="str">
        <f t="shared" si="3"/>
        <v/>
      </c>
      <c r="J50" s="26"/>
      <c r="K50" s="311">
        <f t="shared" si="2"/>
        <v>0</v>
      </c>
    </row>
    <row r="51" spans="1:11" ht="16.5" customHeight="1">
      <c r="A51" s="439" t="s">
        <v>744</v>
      </c>
      <c r="B51" s="583"/>
      <c r="C51" s="460">
        <f>C46+C48+C49+C50</f>
        <v>0</v>
      </c>
      <c r="D51" s="461">
        <f>D46+D48+D49+D50</f>
        <v>0</v>
      </c>
      <c r="E51" s="102">
        <f>SUM(C46:C50)-C47-C51</f>
        <v>0</v>
      </c>
      <c r="F51" s="102">
        <f>SUM(D46:D50)-D47-D51</f>
        <v>0</v>
      </c>
      <c r="H51" s="309">
        <f t="shared" si="1"/>
        <v>0</v>
      </c>
      <c r="I51" s="310" t="str">
        <f t="shared" si="3"/>
        <v/>
      </c>
      <c r="J51" s="26"/>
      <c r="K51" s="311">
        <f t="shared" si="2"/>
        <v>0</v>
      </c>
    </row>
    <row r="52" spans="1:11" ht="16.5" customHeight="1">
      <c r="A52" s="443" t="s">
        <v>745</v>
      </c>
      <c r="B52" s="583"/>
      <c r="C52" s="460">
        <f>ROUND(未审现金流量表!H52,2)</f>
        <v>0</v>
      </c>
      <c r="D52" s="460">
        <f>ROUND(未审现金流量表!N52,2)</f>
        <v>0</v>
      </c>
      <c r="E52" s="99"/>
      <c r="F52" s="99"/>
      <c r="H52" s="309">
        <f t="shared" si="1"/>
        <v>0</v>
      </c>
      <c r="I52" s="310" t="str">
        <f t="shared" si="3"/>
        <v/>
      </c>
      <c r="J52" s="26"/>
      <c r="K52" s="311">
        <f t="shared" si="2"/>
        <v>0</v>
      </c>
    </row>
    <row r="53" spans="1:11" ht="16.5" customHeight="1">
      <c r="A53" s="443" t="s">
        <v>746</v>
      </c>
      <c r="B53" s="583"/>
      <c r="C53" s="460">
        <f>ROUND(未审现金流量表!H53,2)</f>
        <v>0</v>
      </c>
      <c r="D53" s="460">
        <f>ROUND(未审现金流量表!N53,2)</f>
        <v>14900000</v>
      </c>
      <c r="E53" s="99"/>
      <c r="F53" s="99"/>
      <c r="H53" s="309">
        <f t="shared" si="1"/>
        <v>-14900000</v>
      </c>
      <c r="I53" s="310">
        <f t="shared" si="3"/>
        <v>-1</v>
      </c>
      <c r="J53" s="26"/>
      <c r="K53" s="311" t="str">
        <f t="shared" si="2"/>
        <v xml:space="preserve">    分配股利、利润或偿付利息支付的现金2012年12月31日期末数为0,000.00元，比期初数减少100.00%，其主要原因是。</v>
      </c>
    </row>
    <row r="54" spans="1:11" ht="16.5" customHeight="1">
      <c r="A54" s="450" t="s">
        <v>747</v>
      </c>
      <c r="B54" s="583"/>
      <c r="C54" s="460">
        <f>ROUND(未审现金流量表!H54,2)</f>
        <v>0</v>
      </c>
      <c r="D54" s="460">
        <f>ROUND(未审现金流量表!N54,2)</f>
        <v>0</v>
      </c>
      <c r="E54" s="99"/>
      <c r="F54" s="99"/>
      <c r="H54" s="309">
        <f t="shared" si="1"/>
        <v>0</v>
      </c>
      <c r="I54" s="310" t="str">
        <f t="shared" si="3"/>
        <v/>
      </c>
      <c r="J54" s="26"/>
      <c r="K54" s="311">
        <f t="shared" si="2"/>
        <v>0</v>
      </c>
    </row>
    <row r="55" spans="1:11" ht="16.5" customHeight="1">
      <c r="A55" s="443" t="s">
        <v>748</v>
      </c>
      <c r="B55" s="583"/>
      <c r="C55" s="460">
        <f>ROUND(未审现金流量表!H55,2)</f>
        <v>0</v>
      </c>
      <c r="D55" s="460">
        <f>ROUND(未审现金流量表!N55,2)</f>
        <v>0</v>
      </c>
      <c r="E55" s="99"/>
      <c r="F55" s="99"/>
      <c r="H55" s="309">
        <f t="shared" si="1"/>
        <v>0</v>
      </c>
      <c r="I55" s="310" t="str">
        <f t="shared" si="3"/>
        <v/>
      </c>
      <c r="J55" s="26"/>
      <c r="K55" s="311">
        <f t="shared" si="2"/>
        <v>0</v>
      </c>
    </row>
    <row r="56" spans="1:11" ht="16.5" customHeight="1">
      <c r="A56" s="439" t="s">
        <v>749</v>
      </c>
      <c r="B56" s="584"/>
      <c r="C56" s="585">
        <f>C52+C53+C55</f>
        <v>0</v>
      </c>
      <c r="D56" s="461">
        <f>D52+D53+D55</f>
        <v>14900000</v>
      </c>
      <c r="E56" s="102">
        <f>SUM(C52:C55)-C54-C56</f>
        <v>0</v>
      </c>
      <c r="F56" s="102">
        <f>SUM(D52:D55)-D54-D56</f>
        <v>0</v>
      </c>
      <c r="H56" s="309">
        <f t="shared" si="1"/>
        <v>-14900000</v>
      </c>
      <c r="I56" s="310">
        <f t="shared" si="3"/>
        <v>-1</v>
      </c>
      <c r="J56" s="26"/>
      <c r="K56" s="311" t="str">
        <f t="shared" si="2"/>
        <v>筹资活动现金流出小计2012年12月31日期末数为0,000.00元，比期初数减少100.00%，其主要原因是。</v>
      </c>
    </row>
    <row r="57" spans="1:11" ht="16.5" customHeight="1">
      <c r="A57" s="442" t="s">
        <v>750</v>
      </c>
      <c r="B57" s="583"/>
      <c r="C57" s="460">
        <f>C51-C56</f>
        <v>0</v>
      </c>
      <c r="D57" s="461">
        <f>D51-D56</f>
        <v>-14900000</v>
      </c>
      <c r="E57" s="102">
        <f>C51-C56-C57</f>
        <v>0</v>
      </c>
      <c r="F57" s="102">
        <f>D51-D56-D57</f>
        <v>0</v>
      </c>
      <c r="H57" s="309">
        <f t="shared" si="1"/>
        <v>14900000</v>
      </c>
      <c r="I57" s="310">
        <f t="shared" si="3"/>
        <v>-1</v>
      </c>
      <c r="J57" s="26"/>
      <c r="K57" s="311" t="str">
        <f t="shared" si="2"/>
        <v xml:space="preserve">    筹资活动产生的现金流量净额2012年12月31日期末数为0,000.00元，比期初数减少100.00%，其主要原因是。</v>
      </c>
    </row>
    <row r="58" spans="1:11" ht="16.5" customHeight="1">
      <c r="A58" s="442" t="s">
        <v>751</v>
      </c>
      <c r="B58" s="583"/>
      <c r="C58" s="460">
        <f>ROUND(未审现金流量表!H58,2)</f>
        <v>0</v>
      </c>
      <c r="D58" s="460">
        <f>ROUND(未审现金流量表!N58,2)</f>
        <v>0</v>
      </c>
      <c r="E58" s="99"/>
      <c r="F58" s="99"/>
      <c r="H58" s="309">
        <f t="shared" si="1"/>
        <v>0</v>
      </c>
      <c r="I58" s="310" t="str">
        <f t="shared" si="3"/>
        <v/>
      </c>
      <c r="J58" s="26"/>
      <c r="K58" s="311">
        <f t="shared" si="2"/>
        <v>0</v>
      </c>
    </row>
    <row r="59" spans="1:11" ht="16.5" customHeight="1">
      <c r="A59" s="442" t="s">
        <v>752</v>
      </c>
      <c r="B59" s="429"/>
      <c r="C59" s="460">
        <f>C30+C44+C57+C58</f>
        <v>-4997205.6100000003</v>
      </c>
      <c r="D59" s="461">
        <f>D30+D44+D57+D58</f>
        <v>-16075526.800000001</v>
      </c>
      <c r="E59" s="102">
        <f>C30+C44+C57+C58-C59</f>
        <v>0</v>
      </c>
      <c r="F59" s="102">
        <f>D30+D44+D57+D58-D59</f>
        <v>0</v>
      </c>
      <c r="H59" s="309">
        <f t="shared" si="1"/>
        <v>11078321.190000001</v>
      </c>
      <c r="I59" s="310">
        <f t="shared" si="3"/>
        <v>-0.68914203110283145</v>
      </c>
      <c r="J59" s="26"/>
      <c r="K59" s="311" t="str">
        <f t="shared" si="2"/>
        <v>五、现金及现金等价物净增加额2012年12月31日期末数为-4,997,205.61元，比期初数减少68.91%，其主要原因是。</v>
      </c>
    </row>
    <row r="60" spans="1:11" ht="16.5" customHeight="1">
      <c r="A60" s="443" t="s">
        <v>753</v>
      </c>
      <c r="B60" s="429"/>
      <c r="C60" s="460">
        <f>ROUND(未审现金流量表!H60,2)</f>
        <v>6270239.29</v>
      </c>
      <c r="D60" s="460">
        <f>ROUND(未审现金流量表!N60,2)</f>
        <v>22345766.09</v>
      </c>
      <c r="E60" s="102">
        <f>C61-C60-C59</f>
        <v>0</v>
      </c>
      <c r="F60" s="102">
        <f>D61-D60-D59</f>
        <v>0</v>
      </c>
      <c r="H60" s="309">
        <f t="shared" si="1"/>
        <v>-16075526.800000001</v>
      </c>
      <c r="I60" s="310">
        <f t="shared" si="3"/>
        <v>-0.71939922467880812</v>
      </c>
      <c r="J60" s="26"/>
      <c r="K60" s="311" t="str">
        <f t="shared" si="2"/>
        <v xml:space="preserve">    加：期初现金及现金等价物余额2012年12月31日期末数为6,270,239.29元，比期初数减少71.94%，其主要原因是。</v>
      </c>
    </row>
    <row r="61" spans="1:11" ht="16.5" customHeight="1" thickBot="1">
      <c r="A61" s="498" t="s">
        <v>754</v>
      </c>
      <c r="B61" s="447"/>
      <c r="C61" s="574">
        <f>C59+C60</f>
        <v>1273033.6799999997</v>
      </c>
      <c r="D61" s="575">
        <f>D59+D60</f>
        <v>6270239.2899999991</v>
      </c>
      <c r="E61" s="102">
        <f>C61-审定资产负债表!C6+货币资金!D110</f>
        <v>-2.3283064365386963E-10</v>
      </c>
      <c r="F61" s="102">
        <f>D61-审定资产负债表!D6+货币资金!E110</f>
        <v>-9.3132257461547852E-10</v>
      </c>
      <c r="H61" s="309">
        <f t="shared" si="1"/>
        <v>-4997205.6099999994</v>
      </c>
      <c r="I61" s="310">
        <f t="shared" si="3"/>
        <v>-0.79697207377232326</v>
      </c>
      <c r="J61" s="26"/>
      <c r="K61" s="311" t="str">
        <f t="shared" si="2"/>
        <v>六、期末现金及现金等价物余额2012年12月31日期末数为1,273,033.68元，比期初数减少79.70%，其主要原因是。</v>
      </c>
    </row>
    <row r="62" spans="1:11" ht="16.5" customHeight="1">
      <c r="A62" s="1678" t="s">
        <v>2088</v>
      </c>
      <c r="B62" s="1678"/>
      <c r="C62" s="1678"/>
      <c r="D62" s="1678"/>
      <c r="E62" s="102">
        <f>C60-D61</f>
        <v>0</v>
      </c>
      <c r="F62" s="99"/>
    </row>
    <row r="63" spans="1:11" ht="37.5" customHeight="1">
      <c r="A63" s="1705" t="s">
        <v>2122</v>
      </c>
      <c r="B63" s="1705"/>
      <c r="C63" s="1705"/>
      <c r="D63" s="1705"/>
    </row>
    <row r="65" spans="1:14" s="104" customFormat="1" ht="11.25" customHeight="1">
      <c r="A65" s="580"/>
      <c r="B65" s="586" t="s">
        <v>2123</v>
      </c>
      <c r="C65" s="587">
        <f>SUM(C6:C18)-C19</f>
        <v>0</v>
      </c>
      <c r="D65" s="587">
        <f>SUM(D6:D18)-D19</f>
        <v>0</v>
      </c>
      <c r="E65" s="119"/>
      <c r="F65" s="119"/>
      <c r="G65" s="119"/>
      <c r="H65" s="128"/>
      <c r="I65" s="130"/>
      <c r="J65" s="105"/>
      <c r="K65" s="122"/>
      <c r="L65" s="1565"/>
      <c r="M65" s="119"/>
      <c r="N65" s="119"/>
    </row>
    <row r="66" spans="1:14" s="104" customFormat="1" ht="11.25" customHeight="1">
      <c r="A66" s="580"/>
      <c r="B66" s="586" t="s">
        <v>2124</v>
      </c>
      <c r="C66" s="587">
        <f>SUM(C20:C28)-C29</f>
        <v>0</v>
      </c>
      <c r="D66" s="587">
        <f>SUM(D20:D28)-D29</f>
        <v>0</v>
      </c>
      <c r="E66" s="119"/>
      <c r="F66" s="119"/>
      <c r="G66" s="119"/>
      <c r="H66" s="128"/>
      <c r="I66" s="130"/>
      <c r="J66" s="105"/>
      <c r="K66" s="122"/>
      <c r="L66" s="1565"/>
      <c r="M66" s="119"/>
      <c r="N66" s="119"/>
    </row>
    <row r="67" spans="1:14" s="104" customFormat="1" ht="11.25" customHeight="1">
      <c r="A67" s="580"/>
      <c r="B67" s="586" t="s">
        <v>2125</v>
      </c>
      <c r="C67" s="587">
        <f>C19-C29-C30</f>
        <v>0</v>
      </c>
      <c r="D67" s="587">
        <f>D19-D29-D30</f>
        <v>0</v>
      </c>
      <c r="E67" s="119"/>
      <c r="F67" s="119"/>
      <c r="G67" s="119"/>
      <c r="H67" s="128"/>
      <c r="I67" s="130"/>
      <c r="J67" s="105"/>
      <c r="K67" s="122"/>
      <c r="L67" s="1565"/>
      <c r="M67" s="119"/>
      <c r="N67" s="119"/>
    </row>
    <row r="68" spans="1:14" s="104" customFormat="1" ht="11.25" customHeight="1">
      <c r="A68" s="580"/>
      <c r="B68" s="586" t="s">
        <v>2126</v>
      </c>
      <c r="C68" s="587">
        <f>SUM(C32:C36)-C37</f>
        <v>0</v>
      </c>
      <c r="D68" s="587">
        <f>SUM(D32:D36)-D37</f>
        <v>0</v>
      </c>
      <c r="E68" s="119"/>
      <c r="F68" s="119"/>
      <c r="G68" s="119"/>
      <c r="H68" s="128"/>
      <c r="I68" s="130"/>
      <c r="J68" s="105"/>
      <c r="K68" s="122"/>
      <c r="L68" s="1565"/>
      <c r="M68" s="119"/>
      <c r="N68" s="119"/>
    </row>
    <row r="69" spans="1:14" s="104" customFormat="1" ht="11.25" customHeight="1">
      <c r="A69" s="580"/>
      <c r="B69" s="586" t="s">
        <v>2127</v>
      </c>
      <c r="C69" s="587">
        <f>SUM(C38:C42)-C43</f>
        <v>0</v>
      </c>
      <c r="D69" s="587">
        <f>SUM(D38:D42)-D43</f>
        <v>0</v>
      </c>
      <c r="E69" s="119"/>
      <c r="F69" s="119"/>
      <c r="G69" s="119"/>
      <c r="H69" s="128"/>
      <c r="I69" s="130"/>
      <c r="J69" s="105"/>
      <c r="K69" s="122"/>
      <c r="L69" s="1565"/>
      <c r="M69" s="119"/>
      <c r="N69" s="119"/>
    </row>
    <row r="70" spans="1:14" s="104" customFormat="1" ht="11.25" customHeight="1">
      <c r="A70" s="580"/>
      <c r="B70" s="586" t="s">
        <v>2128</v>
      </c>
      <c r="C70" s="587">
        <f>C37-C43-C44</f>
        <v>0</v>
      </c>
      <c r="D70" s="587">
        <f>D37-D43-D44</f>
        <v>0</v>
      </c>
      <c r="E70" s="119"/>
      <c r="F70" s="119"/>
      <c r="G70" s="119"/>
      <c r="H70" s="128"/>
      <c r="I70" s="130"/>
      <c r="J70" s="105"/>
      <c r="K70" s="122"/>
      <c r="L70" s="1565"/>
      <c r="M70" s="119"/>
      <c r="N70" s="119"/>
    </row>
    <row r="71" spans="1:14" s="104" customFormat="1" ht="11.25" customHeight="1">
      <c r="A71" s="580"/>
      <c r="B71" s="586" t="s">
        <v>2129</v>
      </c>
      <c r="C71" s="587">
        <f>C51-C50-C49-C48-C46</f>
        <v>0</v>
      </c>
      <c r="D71" s="587">
        <f>D51-D50-D49-D48-D46</f>
        <v>0</v>
      </c>
      <c r="E71" s="119"/>
      <c r="F71" s="119"/>
      <c r="G71" s="119"/>
      <c r="H71" s="128"/>
      <c r="I71" s="130"/>
      <c r="J71" s="105"/>
      <c r="K71" s="122"/>
      <c r="L71" s="1565"/>
      <c r="M71" s="119"/>
      <c r="N71" s="119"/>
    </row>
    <row r="72" spans="1:14" s="104" customFormat="1" ht="11.25" customHeight="1">
      <c r="A72" s="580"/>
      <c r="B72" s="586" t="s">
        <v>2130</v>
      </c>
      <c r="C72" s="587">
        <f>C56-C55-C53-C52</f>
        <v>0</v>
      </c>
      <c r="D72" s="587">
        <f>D56-D55-D53-D52</f>
        <v>0</v>
      </c>
      <c r="E72" s="119"/>
      <c r="F72" s="119"/>
      <c r="G72" s="119"/>
      <c r="H72" s="128"/>
      <c r="I72" s="130"/>
      <c r="J72" s="105"/>
      <c r="K72" s="122"/>
      <c r="L72" s="1565"/>
      <c r="M72" s="119"/>
      <c r="N72" s="119"/>
    </row>
    <row r="73" spans="1:14" s="104" customFormat="1" ht="11.25" customHeight="1">
      <c r="A73" s="580"/>
      <c r="B73" s="586" t="s">
        <v>2131</v>
      </c>
      <c r="C73" s="587">
        <f>C51-C56-C57</f>
        <v>0</v>
      </c>
      <c r="D73" s="587">
        <f>D51-D56-D57</f>
        <v>0</v>
      </c>
      <c r="E73" s="119"/>
      <c r="F73" s="119"/>
      <c r="G73" s="119"/>
      <c r="H73" s="128"/>
      <c r="I73" s="130"/>
      <c r="J73" s="105"/>
      <c r="K73" s="122"/>
      <c r="L73" s="1565"/>
      <c r="M73" s="119"/>
      <c r="N73" s="119"/>
    </row>
    <row r="74" spans="1:14" s="104" customFormat="1" ht="11.25" customHeight="1">
      <c r="A74" s="580"/>
      <c r="B74" s="586" t="s">
        <v>2132</v>
      </c>
      <c r="C74" s="587">
        <f>C30+C44+C57+C58-C59</f>
        <v>0</v>
      </c>
      <c r="D74" s="587">
        <f>D30+D44+D57+D58-D59</f>
        <v>0</v>
      </c>
      <c r="E74" s="119"/>
      <c r="F74" s="119"/>
      <c r="G74" s="119"/>
      <c r="H74" s="128"/>
      <c r="I74" s="130"/>
      <c r="J74" s="105"/>
      <c r="K74" s="122"/>
      <c r="L74" s="1565"/>
      <c r="M74" s="119"/>
      <c r="N74" s="119"/>
    </row>
    <row r="75" spans="1:14" s="104" customFormat="1" ht="11.25" customHeight="1">
      <c r="A75" s="580"/>
      <c r="B75" s="586" t="s">
        <v>2132</v>
      </c>
      <c r="C75" s="587">
        <f>C61-C60-C59</f>
        <v>0</v>
      </c>
      <c r="D75" s="587">
        <f>D61-D60-D59</f>
        <v>0</v>
      </c>
      <c r="E75" s="119"/>
      <c r="F75" s="119"/>
      <c r="G75" s="119"/>
      <c r="H75" s="128"/>
      <c r="I75" s="130"/>
      <c r="J75" s="105"/>
      <c r="K75" s="122"/>
      <c r="L75" s="1565"/>
      <c r="M75" s="119"/>
      <c r="N75" s="119"/>
    </row>
    <row r="76" spans="1:14" s="104" customFormat="1" ht="11.25" customHeight="1">
      <c r="A76" s="580"/>
      <c r="B76" s="586" t="s">
        <v>2133</v>
      </c>
      <c r="C76" s="587">
        <f>C61-审定资产负债表!C6+货币资金!D110</f>
        <v>-2.3283064365386963E-10</v>
      </c>
      <c r="D76" s="587">
        <f>D61-未审资产负债表!D6+货币资金!E110</f>
        <v>-9.3132257461547852E-10</v>
      </c>
      <c r="E76" s="119"/>
      <c r="F76" s="119"/>
      <c r="G76" s="119"/>
      <c r="H76" s="128"/>
      <c r="I76" s="130"/>
      <c r="J76" s="105"/>
      <c r="K76" s="122"/>
      <c r="L76" s="1565"/>
      <c r="M76" s="119"/>
      <c r="N76" s="119"/>
    </row>
    <row r="77" spans="1:14" s="104" customFormat="1" ht="11.25" customHeight="1">
      <c r="A77" s="580"/>
      <c r="B77" s="586" t="s">
        <v>303</v>
      </c>
      <c r="C77" s="587">
        <f>C60-审定资产负债表!D6+货币资金!E110</f>
        <v>0</v>
      </c>
      <c r="D77" s="581"/>
      <c r="E77" s="108"/>
      <c r="F77" s="108"/>
      <c r="G77" s="108"/>
      <c r="H77" s="128"/>
      <c r="I77" s="130"/>
      <c r="J77" s="105"/>
      <c r="K77" s="122"/>
      <c r="L77" s="1565"/>
      <c r="M77" s="119"/>
      <c r="N77" s="119"/>
    </row>
    <row r="78" spans="1:14" s="104" customFormat="1" ht="11.25" customHeight="1">
      <c r="A78" s="580"/>
      <c r="B78" s="586" t="s">
        <v>298</v>
      </c>
      <c r="C78" s="417">
        <f>IF(C46-C47&gt;0,0,C46-C47)</f>
        <v>0</v>
      </c>
      <c r="D78" s="417">
        <f>IF(D46-D47&gt;0,0,D46-D47)</f>
        <v>0</v>
      </c>
      <c r="E78" s="99"/>
      <c r="F78" s="99"/>
      <c r="G78" s="99"/>
      <c r="H78" s="305"/>
      <c r="I78" s="306"/>
      <c r="J78" s="105"/>
      <c r="K78" s="122"/>
      <c r="L78" s="1565"/>
      <c r="M78" s="119"/>
      <c r="N78" s="119"/>
    </row>
    <row r="79" spans="1:14" s="104" customFormat="1" ht="11.25" customHeight="1">
      <c r="A79" s="580"/>
      <c r="B79" s="588" t="s">
        <v>299</v>
      </c>
      <c r="C79" s="419">
        <f>IF(C53-C54&gt;0,0,C53-C54)</f>
        <v>0</v>
      </c>
      <c r="D79" s="419">
        <f>IF(D53-D54&gt;0,0,D53-D54)</f>
        <v>0</v>
      </c>
      <c r="E79" s="282"/>
      <c r="F79" s="282"/>
      <c r="G79" s="282"/>
      <c r="H79" s="307"/>
      <c r="I79" s="308"/>
      <c r="J79" s="105"/>
      <c r="K79" s="122"/>
      <c r="L79" s="1565"/>
      <c r="M79" s="119"/>
      <c r="N79" s="119"/>
    </row>
    <row r="81" spans="2:4">
      <c r="B81" s="586" t="s">
        <v>4454</v>
      </c>
      <c r="C81" s="587" t="str">
        <f>IF((C48-C52)-(审定资产负债表!C60-审定资产负债表!D60+审定资产负债表!C85-审定资产负债表!D85+审定资产负债表!C89-审定资产负债表!D89+审定资产负债表!C90-审定资产负债表!D90)&lt;=0,"","请核实数据勾稽关系")</f>
        <v/>
      </c>
      <c r="D81" s="587"/>
    </row>
    <row r="82" spans="2:4">
      <c r="B82" s="586" t="s">
        <v>4455</v>
      </c>
      <c r="C82" s="587" t="str">
        <f>IF(C53-审定资产负债表!D77+审定资产负债表!D78-审定资产负债表!C77-审定资产负债表!C78-财务费用!D3+审定所有者权益变动表!J30&lt;=0,"","请核实数据勾稽关系")</f>
        <v/>
      </c>
      <c r="D82" s="587"/>
    </row>
  </sheetData>
  <sheetProtection formatCells="0" formatColumns="0" formatRows="0" autoFilter="0"/>
  <mergeCells count="5">
    <mergeCell ref="A1:D1"/>
    <mergeCell ref="A2:D2"/>
    <mergeCell ref="A62:D62"/>
    <mergeCell ref="A63:D63"/>
    <mergeCell ref="G1:H2"/>
  </mergeCells>
  <phoneticPr fontId="5" type="noConversion"/>
  <hyperlinks>
    <hyperlink ref="G1" location="附注填写封面!B3" display="返回目录" xr:uid="{00000000-0004-0000-0D00-000000000000}"/>
  </hyperlinks>
  <printOptions horizontalCentered="1"/>
  <pageMargins left="0.74803149606299213" right="0.23622047244094491" top="0.59055118110236227" bottom="0.39370078740157483" header="0.51181102362204722" footer="0.27559055118110237"/>
  <pageSetup paperSize="9" scale="68" firstPageNumber="6" orientation="portrait" blackAndWhite="1" useFirstPageNumber="1" r:id="rId1"/>
  <headerFooter alignWithMargins="0">
    <oddFooter>&amp;C&amp;"Times New Roman,常规"&amp;P</oddFooter>
  </headerFooter>
  <drawing r:id="rId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0099FF"/>
    <pageSetUpPr autoPageBreaks="0"/>
  </sheetPr>
  <dimension ref="A1:AF113"/>
  <sheetViews>
    <sheetView showGridLines="0" showZeros="0" zoomScaleSheetLayoutView="75" workbookViewId="0">
      <pane xSplit="1" ySplit="6" topLeftCell="B37" activePane="bottomRight" state="frozen"/>
      <selection activeCell="A5" sqref="A5:A6"/>
      <selection pane="topRight" activeCell="A5" sqref="A5:A6"/>
      <selection pane="bottomLeft" activeCell="A5" sqref="A5:A6"/>
      <selection pane="bottomRight" activeCell="J44" sqref="J44"/>
    </sheetView>
  </sheetViews>
  <sheetFormatPr defaultColWidth="9" defaultRowHeight="12.75"/>
  <cols>
    <col min="1" max="1" width="37.125" style="597" customWidth="1"/>
    <col min="2" max="7" width="9" style="597" bestFit="1" customWidth="1"/>
    <col min="8" max="8" width="10" style="597" bestFit="1" customWidth="1"/>
    <col min="9" max="9" width="9" style="597" bestFit="1" customWidth="1"/>
    <col min="10" max="10" width="11" style="597" bestFit="1" customWidth="1"/>
    <col min="11" max="11" width="5.125" style="597" bestFit="1" customWidth="1"/>
    <col min="12" max="12" width="10.875" style="597" bestFit="1" customWidth="1"/>
    <col min="13" max="13" width="9" style="597" bestFit="1" customWidth="1"/>
    <col min="14" max="14" width="11" style="597" bestFit="1" customWidth="1"/>
    <col min="15" max="22" width="9" style="597" bestFit="1" customWidth="1"/>
    <col min="23" max="23" width="11" style="597" bestFit="1" customWidth="1"/>
    <col min="24" max="24" width="5.125" style="597" bestFit="1" customWidth="1"/>
    <col min="25" max="25" width="9.375" style="597" customWidth="1"/>
    <col min="26" max="26" width="9" style="597" bestFit="1" customWidth="1"/>
    <col min="27" max="27" width="19.125" style="597" bestFit="1" customWidth="1"/>
    <col min="28" max="31" width="4.125" style="305" bestFit="1" customWidth="1"/>
    <col min="32" max="32" width="9" style="415"/>
    <col min="33" max="16384" width="9" style="597"/>
  </cols>
  <sheetData>
    <row r="1" spans="1:32" ht="24.95" customHeight="1">
      <c r="A1" s="595" t="str">
        <f>封面!C7&amp;"所有者权益变动表"</f>
        <v>所有者权益变动表</v>
      </c>
      <c r="B1" s="596"/>
      <c r="C1" s="596"/>
      <c r="D1" s="596"/>
      <c r="E1" s="596"/>
      <c r="F1" s="596"/>
      <c r="G1" s="596"/>
      <c r="H1" s="596"/>
      <c r="I1" s="596"/>
      <c r="J1" s="596"/>
      <c r="K1" s="596"/>
      <c r="L1" s="596"/>
      <c r="M1" s="596"/>
      <c r="N1" s="596"/>
      <c r="O1" s="596"/>
      <c r="P1" s="596"/>
      <c r="Q1" s="596"/>
      <c r="R1" s="596"/>
      <c r="S1" s="596"/>
      <c r="T1" s="596"/>
      <c r="U1" s="596"/>
      <c r="V1" s="596"/>
      <c r="W1" s="596"/>
      <c r="X1" s="596"/>
      <c r="Y1" s="596"/>
      <c r="Z1" s="596"/>
      <c r="AA1" s="596"/>
    </row>
    <row r="2" spans="1:32" ht="19.5" customHeight="1">
      <c r="A2" s="595" t="str">
        <f>封面!$C$6</f>
        <v>2019年1-5月</v>
      </c>
      <c r="B2" s="596"/>
      <c r="C2" s="596"/>
      <c r="D2" s="596"/>
      <c r="E2" s="596"/>
      <c r="F2" s="596"/>
      <c r="G2" s="596"/>
      <c r="H2" s="596"/>
      <c r="I2" s="596"/>
      <c r="J2" s="596"/>
      <c r="K2" s="596"/>
      <c r="L2" s="596"/>
      <c r="M2" s="596"/>
      <c r="N2" s="596"/>
      <c r="O2" s="596"/>
      <c r="P2" s="596"/>
      <c r="Q2" s="596"/>
      <c r="R2" s="596"/>
      <c r="S2" s="596"/>
      <c r="T2" s="596"/>
      <c r="U2" s="596"/>
      <c r="V2" s="596"/>
      <c r="W2" s="596"/>
      <c r="X2" s="596"/>
      <c r="Y2" s="596"/>
      <c r="Z2" s="596"/>
      <c r="AA2" s="596"/>
      <c r="AE2" s="1710" t="s">
        <v>1586</v>
      </c>
      <c r="AF2" s="1710"/>
    </row>
    <row r="3" spans="1:32" ht="19.5" customHeight="1" thickBot="1">
      <c r="A3" s="598" t="str">
        <f>审定资产负债表!A3</f>
        <v>编制单位：华鼎资本（北京）有限公司</v>
      </c>
      <c r="B3" s="599"/>
      <c r="C3" s="599"/>
      <c r="D3" s="599"/>
      <c r="E3" s="599"/>
      <c r="F3" s="599"/>
      <c r="G3" s="599"/>
      <c r="H3" s="599"/>
      <c r="I3" s="599"/>
      <c r="L3" s="424"/>
      <c r="AA3" s="600" t="s">
        <v>2153</v>
      </c>
      <c r="AE3" s="1710"/>
      <c r="AF3" s="1710"/>
    </row>
    <row r="4" spans="1:32" ht="15.75" customHeight="1">
      <c r="A4" s="1713" t="s">
        <v>529</v>
      </c>
      <c r="B4" s="1715" t="s">
        <v>2154</v>
      </c>
      <c r="C4" s="1715"/>
      <c r="D4" s="1715"/>
      <c r="E4" s="1715"/>
      <c r="F4" s="1715"/>
      <c r="G4" s="1715"/>
      <c r="H4" s="1715"/>
      <c r="I4" s="1715"/>
      <c r="J4" s="1715"/>
      <c r="K4" s="1715"/>
      <c r="L4" s="1715"/>
      <c r="M4" s="1715"/>
      <c r="N4" s="1715"/>
      <c r="O4" s="1715" t="s">
        <v>2155</v>
      </c>
      <c r="P4" s="1715"/>
      <c r="Q4" s="1715"/>
      <c r="R4" s="1715"/>
      <c r="S4" s="1715"/>
      <c r="T4" s="1715"/>
      <c r="U4" s="1715"/>
      <c r="V4" s="1715"/>
      <c r="W4" s="1715"/>
      <c r="X4" s="1715"/>
      <c r="Y4" s="1715"/>
      <c r="Z4" s="1715"/>
      <c r="AA4" s="1716"/>
    </row>
    <row r="5" spans="1:32" ht="15.75" customHeight="1">
      <c r="A5" s="1714"/>
      <c r="B5" s="1711" t="s">
        <v>2156</v>
      </c>
      <c r="C5" s="1711"/>
      <c r="D5" s="1711"/>
      <c r="E5" s="1711"/>
      <c r="F5" s="1711"/>
      <c r="G5" s="1711"/>
      <c r="H5" s="1711"/>
      <c r="I5" s="1711"/>
      <c r="J5" s="1711"/>
      <c r="K5" s="1711"/>
      <c r="L5" s="1711"/>
      <c r="M5" s="1712" t="s">
        <v>2157</v>
      </c>
      <c r="N5" s="1712" t="s">
        <v>2158</v>
      </c>
      <c r="O5" s="1711" t="s">
        <v>2156</v>
      </c>
      <c r="P5" s="1711"/>
      <c r="Q5" s="1711"/>
      <c r="R5" s="1711"/>
      <c r="S5" s="1711"/>
      <c r="T5" s="1711"/>
      <c r="U5" s="1711"/>
      <c r="V5" s="1711"/>
      <c r="W5" s="1711"/>
      <c r="X5" s="1711"/>
      <c r="Y5" s="1711"/>
      <c r="Z5" s="1712" t="s">
        <v>2157</v>
      </c>
      <c r="AA5" s="1717" t="s">
        <v>2158</v>
      </c>
    </row>
    <row r="6" spans="1:32" ht="22.5" customHeight="1">
      <c r="A6" s="1714"/>
      <c r="B6" s="601" t="s">
        <v>2159</v>
      </c>
      <c r="C6" s="601" t="s">
        <v>2160</v>
      </c>
      <c r="D6" s="602" t="s">
        <v>2161</v>
      </c>
      <c r="E6" s="601" t="s">
        <v>2162</v>
      </c>
      <c r="F6" s="601" t="s">
        <v>2163</v>
      </c>
      <c r="G6" s="601" t="s">
        <v>2164</v>
      </c>
      <c r="H6" s="602" t="s">
        <v>2165</v>
      </c>
      <c r="I6" s="601" t="s">
        <v>2166</v>
      </c>
      <c r="J6" s="602" t="s">
        <v>2167</v>
      </c>
      <c r="K6" s="602" t="s">
        <v>2168</v>
      </c>
      <c r="L6" s="602" t="s">
        <v>2169</v>
      </c>
      <c r="M6" s="1712"/>
      <c r="N6" s="1712"/>
      <c r="O6" s="601" t="s">
        <v>2159</v>
      </c>
      <c r="P6" s="601" t="s">
        <v>2160</v>
      </c>
      <c r="Q6" s="602" t="s">
        <v>2161</v>
      </c>
      <c r="R6" s="601" t="s">
        <v>2162</v>
      </c>
      <c r="S6" s="601" t="s">
        <v>2163</v>
      </c>
      <c r="T6" s="601" t="s">
        <v>2164</v>
      </c>
      <c r="U6" s="602" t="s">
        <v>2165</v>
      </c>
      <c r="V6" s="601" t="s">
        <v>2166</v>
      </c>
      <c r="W6" s="602" t="s">
        <v>2167</v>
      </c>
      <c r="X6" s="602" t="s">
        <v>2168</v>
      </c>
      <c r="Y6" s="602" t="s">
        <v>2169</v>
      </c>
      <c r="Z6" s="1712"/>
      <c r="AA6" s="1717"/>
    </row>
    <row r="7" spans="1:32" ht="15.75" customHeight="1">
      <c r="A7" s="451" t="s">
        <v>2170</v>
      </c>
      <c r="B7" s="460">
        <f>O38</f>
        <v>10000</v>
      </c>
      <c r="C7" s="460">
        <f>P38</f>
        <v>0</v>
      </c>
      <c r="D7" s="460">
        <f>Q38</f>
        <v>0</v>
      </c>
      <c r="E7" s="460">
        <f>R38</f>
        <v>0</v>
      </c>
      <c r="F7" s="460">
        <f t="shared" ref="F7:K7" si="0">S38</f>
        <v>0</v>
      </c>
      <c r="G7" s="460">
        <f t="shared" si="0"/>
        <v>0</v>
      </c>
      <c r="H7" s="460">
        <f t="shared" si="0"/>
        <v>3513183.4899999998</v>
      </c>
      <c r="I7" s="460">
        <f t="shared" si="0"/>
        <v>0</v>
      </c>
      <c r="J7" s="460">
        <f t="shared" si="0"/>
        <v>3398651.3100000005</v>
      </c>
      <c r="K7" s="460">
        <f t="shared" si="0"/>
        <v>0</v>
      </c>
      <c r="L7" s="440">
        <f>SUM(B7:D7)-E7+SUM(F7:K7)</f>
        <v>6921834.8000000007</v>
      </c>
      <c r="M7" s="460">
        <f>Z38</f>
        <v>0</v>
      </c>
      <c r="N7" s="440">
        <f>L7+M7</f>
        <v>6921834.8000000007</v>
      </c>
      <c r="O7" s="434">
        <v>10000</v>
      </c>
      <c r="P7" s="434"/>
      <c r="Q7" s="434"/>
      <c r="R7" s="434"/>
      <c r="S7" s="434"/>
      <c r="T7" s="434"/>
      <c r="U7" s="434">
        <v>3135895.8</v>
      </c>
      <c r="V7" s="434"/>
      <c r="W7" s="434">
        <v>14903062.09</v>
      </c>
      <c r="X7" s="434"/>
      <c r="Y7" s="440">
        <f>SUM(O7:Q7)-R7+SUM(S7:X7)</f>
        <v>18048957.890000001</v>
      </c>
      <c r="Z7" s="434"/>
      <c r="AA7" s="441">
        <f t="shared" ref="AA7:AA23" si="1">Y7+Z7</f>
        <v>18048957.890000001</v>
      </c>
      <c r="AB7" s="417">
        <f>B7+C7+D7-E7+F7+G7+H7+I7+J7+K7-L7</f>
        <v>0</v>
      </c>
      <c r="AC7" s="417">
        <f>N7-M7-L7</f>
        <v>0</v>
      </c>
      <c r="AD7" s="417">
        <f>O7+P7+Q7-R7+S7+T7+U7+V7+W7+X7-Y7</f>
        <v>0</v>
      </c>
      <c r="AE7" s="417">
        <f>AA7-Z7-Y7</f>
        <v>0</v>
      </c>
    </row>
    <row r="8" spans="1:32" ht="15.75" customHeight="1">
      <c r="A8" s="591" t="s">
        <v>2171</v>
      </c>
      <c r="B8" s="430"/>
      <c r="C8" s="430"/>
      <c r="D8" s="430"/>
      <c r="E8" s="430"/>
      <c r="F8" s="430"/>
      <c r="G8" s="430"/>
      <c r="H8" s="430"/>
      <c r="I8" s="430"/>
      <c r="J8" s="430"/>
      <c r="K8" s="430"/>
      <c r="L8" s="440">
        <f t="shared" ref="L8:L37" si="2">SUM(B8:D8)-E8+SUM(F8:K8)</f>
        <v>0</v>
      </c>
      <c r="M8" s="430"/>
      <c r="N8" s="440">
        <f>L8+M8</f>
        <v>0</v>
      </c>
      <c r="O8" s="434"/>
      <c r="P8" s="434"/>
      <c r="Q8" s="434"/>
      <c r="R8" s="434"/>
      <c r="S8" s="434"/>
      <c r="T8" s="434"/>
      <c r="U8" s="434"/>
      <c r="V8" s="434"/>
      <c r="W8" s="434"/>
      <c r="X8" s="434"/>
      <c r="Y8" s="440">
        <f t="shared" ref="Y8:Y13" si="3">SUM(O8:Q8)-R8+SUM(S8:X8)</f>
        <v>0</v>
      </c>
      <c r="Z8" s="434"/>
      <c r="AA8" s="441">
        <f t="shared" si="1"/>
        <v>0</v>
      </c>
      <c r="AB8" s="417">
        <f t="shared" ref="AB8:AB38" si="4">B8+C8+D8-E8+F8+G8+H8+I8+J8+K8-L8</f>
        <v>0</v>
      </c>
      <c r="AC8" s="417">
        <f t="shared" ref="AC8:AC38" si="5">N8-M8-L8</f>
        <v>0</v>
      </c>
      <c r="AD8" s="417">
        <f t="shared" ref="AD8:AD38" si="6">O8+P8+Q8-R8+S8+T8+U8+V8+W8+X8-Y8</f>
        <v>0</v>
      </c>
      <c r="AE8" s="417">
        <f t="shared" ref="AE8:AE38" si="7">AA8-Z8-Y8</f>
        <v>0</v>
      </c>
    </row>
    <row r="9" spans="1:32" ht="15.75" customHeight="1">
      <c r="A9" s="591" t="s">
        <v>2172</v>
      </c>
      <c r="B9" s="430"/>
      <c r="C9" s="430"/>
      <c r="D9" s="430"/>
      <c r="E9" s="430"/>
      <c r="F9" s="430"/>
      <c r="G9" s="430"/>
      <c r="H9" s="430"/>
      <c r="I9" s="430"/>
      <c r="J9" s="430"/>
      <c r="K9" s="430"/>
      <c r="L9" s="440">
        <f t="shared" si="2"/>
        <v>0</v>
      </c>
      <c r="M9" s="430"/>
      <c r="N9" s="440">
        <f>L9+M9</f>
        <v>0</v>
      </c>
      <c r="O9" s="434">
        <v>0</v>
      </c>
      <c r="P9" s="434"/>
      <c r="Q9" s="434">
        <v>0</v>
      </c>
      <c r="R9" s="434">
        <v>0</v>
      </c>
      <c r="S9" s="434"/>
      <c r="T9" s="434">
        <v>0</v>
      </c>
      <c r="U9" s="434">
        <v>0</v>
      </c>
      <c r="V9" s="434">
        <v>0</v>
      </c>
      <c r="W9" s="434">
        <v>0</v>
      </c>
      <c r="X9" s="434">
        <v>0</v>
      </c>
      <c r="Y9" s="440">
        <f t="shared" si="3"/>
        <v>0</v>
      </c>
      <c r="Z9" s="434">
        <v>0</v>
      </c>
      <c r="AA9" s="441">
        <f t="shared" si="1"/>
        <v>0</v>
      </c>
      <c r="AB9" s="417">
        <f t="shared" si="4"/>
        <v>0</v>
      </c>
      <c r="AC9" s="417">
        <f t="shared" si="5"/>
        <v>0</v>
      </c>
      <c r="AD9" s="417">
        <f t="shared" si="6"/>
        <v>0</v>
      </c>
      <c r="AE9" s="417">
        <f t="shared" si="7"/>
        <v>0</v>
      </c>
    </row>
    <row r="10" spans="1:32" ht="15.75" customHeight="1">
      <c r="A10" s="591" t="s">
        <v>2173</v>
      </c>
      <c r="B10" s="430"/>
      <c r="C10" s="430"/>
      <c r="D10" s="430"/>
      <c r="E10" s="430"/>
      <c r="F10" s="430"/>
      <c r="G10" s="430"/>
      <c r="H10" s="430"/>
      <c r="I10" s="430"/>
      <c r="J10" s="430"/>
      <c r="K10" s="430"/>
      <c r="L10" s="440">
        <f t="shared" si="2"/>
        <v>0</v>
      </c>
      <c r="M10" s="430"/>
      <c r="N10" s="440">
        <f>L10+M10</f>
        <v>0</v>
      </c>
      <c r="O10" s="434"/>
      <c r="P10" s="434"/>
      <c r="Q10" s="434"/>
      <c r="R10" s="434"/>
      <c r="S10" s="434"/>
      <c r="T10" s="434"/>
      <c r="U10" s="434"/>
      <c r="V10" s="434"/>
      <c r="W10" s="434"/>
      <c r="X10" s="434"/>
      <c r="Y10" s="440">
        <f t="shared" si="3"/>
        <v>0</v>
      </c>
      <c r="Z10" s="434"/>
      <c r="AA10" s="441">
        <f t="shared" si="1"/>
        <v>0</v>
      </c>
      <c r="AB10" s="417">
        <f t="shared" si="4"/>
        <v>0</v>
      </c>
      <c r="AC10" s="417">
        <f t="shared" si="5"/>
        <v>0</v>
      </c>
      <c r="AD10" s="417">
        <f t="shared" si="6"/>
        <v>0</v>
      </c>
      <c r="AE10" s="417">
        <f t="shared" si="7"/>
        <v>0</v>
      </c>
    </row>
    <row r="11" spans="1:32" ht="15.75" customHeight="1">
      <c r="A11" s="451" t="s">
        <v>2174</v>
      </c>
      <c r="B11" s="440">
        <f>SUM(B7:B10)</f>
        <v>10000</v>
      </c>
      <c r="C11" s="440">
        <f>SUM(C7:C10)</f>
        <v>0</v>
      </c>
      <c r="D11" s="440">
        <f t="shared" ref="D11:K11" si="8">SUM(D7:D10)</f>
        <v>0</v>
      </c>
      <c r="E11" s="440">
        <f t="shared" si="8"/>
        <v>0</v>
      </c>
      <c r="F11" s="440">
        <f>SUM(F7:F10)</f>
        <v>0</v>
      </c>
      <c r="G11" s="440">
        <f t="shared" si="8"/>
        <v>0</v>
      </c>
      <c r="H11" s="440">
        <f t="shared" si="8"/>
        <v>3513183.4899999998</v>
      </c>
      <c r="I11" s="440">
        <f t="shared" si="8"/>
        <v>0</v>
      </c>
      <c r="J11" s="440">
        <f t="shared" si="8"/>
        <v>3398651.3100000005</v>
      </c>
      <c r="K11" s="440">
        <f t="shared" si="8"/>
        <v>0</v>
      </c>
      <c r="L11" s="440">
        <f t="shared" si="2"/>
        <v>6921834.8000000007</v>
      </c>
      <c r="M11" s="440">
        <f>SUM(M7:M10)</f>
        <v>0</v>
      </c>
      <c r="N11" s="440">
        <f t="shared" ref="N11:N23" si="9">L11+M11</f>
        <v>6921834.8000000007</v>
      </c>
      <c r="O11" s="440">
        <f>SUM(O7:O10)</f>
        <v>10000</v>
      </c>
      <c r="P11" s="440">
        <f>SUM(P7:P10)</f>
        <v>0</v>
      </c>
      <c r="Q11" s="440">
        <f t="shared" ref="Q11:Z11" si="10">SUM(Q7:Q10)</f>
        <v>0</v>
      </c>
      <c r="R11" s="440">
        <f t="shared" si="10"/>
        <v>0</v>
      </c>
      <c r="S11" s="440">
        <f>SUM(S7:S10)</f>
        <v>0</v>
      </c>
      <c r="T11" s="440">
        <f t="shared" si="10"/>
        <v>0</v>
      </c>
      <c r="U11" s="440">
        <f t="shared" si="10"/>
        <v>3135895.8</v>
      </c>
      <c r="V11" s="440">
        <f t="shared" si="10"/>
        <v>0</v>
      </c>
      <c r="W11" s="440">
        <f t="shared" si="10"/>
        <v>14903062.09</v>
      </c>
      <c r="X11" s="440">
        <f t="shared" si="10"/>
        <v>0</v>
      </c>
      <c r="Y11" s="440">
        <f t="shared" si="3"/>
        <v>18048957.890000001</v>
      </c>
      <c r="Z11" s="440">
        <f t="shared" si="10"/>
        <v>0</v>
      </c>
      <c r="AA11" s="441">
        <f t="shared" si="1"/>
        <v>18048957.890000001</v>
      </c>
      <c r="AB11" s="417">
        <f t="shared" si="4"/>
        <v>0</v>
      </c>
      <c r="AC11" s="417">
        <f t="shared" si="5"/>
        <v>0</v>
      </c>
      <c r="AD11" s="417">
        <f t="shared" si="6"/>
        <v>0</v>
      </c>
      <c r="AE11" s="417">
        <f t="shared" si="7"/>
        <v>0</v>
      </c>
    </row>
    <row r="12" spans="1:32" ht="15.75" customHeight="1">
      <c r="A12" s="451" t="s">
        <v>2175</v>
      </c>
      <c r="B12" s="440">
        <f t="shared" ref="B12:K12" si="11">B13+B14+B19+B22+B32</f>
        <v>0</v>
      </c>
      <c r="C12" s="440">
        <f t="shared" si="11"/>
        <v>0</v>
      </c>
      <c r="D12" s="440">
        <f t="shared" si="11"/>
        <v>0</v>
      </c>
      <c r="E12" s="440">
        <f t="shared" si="11"/>
        <v>0</v>
      </c>
      <c r="F12" s="440">
        <f t="shared" si="11"/>
        <v>0</v>
      </c>
      <c r="G12" s="440">
        <f t="shared" si="11"/>
        <v>0</v>
      </c>
      <c r="H12" s="440">
        <f t="shared" si="11"/>
        <v>0</v>
      </c>
      <c r="I12" s="440">
        <f t="shared" si="11"/>
        <v>0</v>
      </c>
      <c r="J12" s="440">
        <f t="shared" si="11"/>
        <v>75150.22</v>
      </c>
      <c r="K12" s="440">
        <f t="shared" si="11"/>
        <v>0</v>
      </c>
      <c r="L12" s="440">
        <f t="shared" si="2"/>
        <v>75150.22</v>
      </c>
      <c r="M12" s="440">
        <f>M13+M14+M19+M22+M32</f>
        <v>0</v>
      </c>
      <c r="N12" s="440">
        <f t="shared" si="9"/>
        <v>75150.22</v>
      </c>
      <c r="O12" s="440">
        <f t="shared" ref="O12:X12" si="12">O13+O14+O19+O22+O32</f>
        <v>0</v>
      </c>
      <c r="P12" s="440">
        <f t="shared" si="12"/>
        <v>0</v>
      </c>
      <c r="Q12" s="440">
        <f t="shared" si="12"/>
        <v>0</v>
      </c>
      <c r="R12" s="440">
        <f t="shared" si="12"/>
        <v>0</v>
      </c>
      <c r="S12" s="440">
        <f t="shared" si="12"/>
        <v>0</v>
      </c>
      <c r="T12" s="440">
        <f t="shared" si="12"/>
        <v>0</v>
      </c>
      <c r="U12" s="440">
        <f t="shared" si="12"/>
        <v>377287.69</v>
      </c>
      <c r="V12" s="440">
        <f t="shared" si="12"/>
        <v>0</v>
      </c>
      <c r="W12" s="440">
        <f t="shared" si="12"/>
        <v>-11504410.779999999</v>
      </c>
      <c r="X12" s="440">
        <f t="shared" si="12"/>
        <v>0</v>
      </c>
      <c r="Y12" s="440">
        <f t="shared" si="3"/>
        <v>-11127123.09</v>
      </c>
      <c r="Z12" s="440">
        <f>Z13+Z14+Z19+Z22+Z32</f>
        <v>0</v>
      </c>
      <c r="AA12" s="441">
        <f t="shared" si="1"/>
        <v>-11127123.09</v>
      </c>
      <c r="AB12" s="417">
        <f t="shared" si="4"/>
        <v>0</v>
      </c>
      <c r="AC12" s="417">
        <f t="shared" si="5"/>
        <v>0</v>
      </c>
      <c r="AD12" s="417">
        <f t="shared" si="6"/>
        <v>0</v>
      </c>
      <c r="AE12" s="417">
        <f t="shared" si="7"/>
        <v>0</v>
      </c>
    </row>
    <row r="13" spans="1:32" ht="15.75" customHeight="1">
      <c r="A13" s="450" t="s">
        <v>2176</v>
      </c>
      <c r="B13" s="434"/>
      <c r="C13" s="434"/>
      <c r="D13" s="434"/>
      <c r="E13" s="434"/>
      <c r="F13" s="440">
        <f>审定利润表!C70-审定利润表!C53</f>
        <v>0</v>
      </c>
      <c r="G13" s="434"/>
      <c r="H13" s="434"/>
      <c r="I13" s="434"/>
      <c r="J13" s="440">
        <f>审定利润表!C53</f>
        <v>75150.22</v>
      </c>
      <c r="K13" s="434"/>
      <c r="L13" s="440">
        <f t="shared" si="2"/>
        <v>75150.22</v>
      </c>
      <c r="M13" s="440">
        <f>审定利润表!C71</f>
        <v>0</v>
      </c>
      <c r="N13" s="440">
        <f t="shared" si="9"/>
        <v>75150.22</v>
      </c>
      <c r="O13" s="434"/>
      <c r="P13" s="434"/>
      <c r="Q13" s="434"/>
      <c r="R13" s="434"/>
      <c r="S13" s="440">
        <f>审定利润表!D70-审定利润表!D53</f>
        <v>0</v>
      </c>
      <c r="T13" s="434"/>
      <c r="U13" s="434"/>
      <c r="V13" s="434"/>
      <c r="W13" s="440">
        <f>审定利润表!D53</f>
        <v>3772876.91</v>
      </c>
      <c r="X13" s="434"/>
      <c r="Y13" s="440">
        <f t="shared" si="3"/>
        <v>3772876.91</v>
      </c>
      <c r="Z13" s="440">
        <f>审定利润表!D71</f>
        <v>0</v>
      </c>
      <c r="AA13" s="441">
        <f t="shared" si="1"/>
        <v>3772876.91</v>
      </c>
      <c r="AB13" s="417">
        <f t="shared" si="4"/>
        <v>0</v>
      </c>
      <c r="AC13" s="417">
        <f t="shared" si="5"/>
        <v>0</v>
      </c>
      <c r="AD13" s="417">
        <f t="shared" si="6"/>
        <v>0</v>
      </c>
      <c r="AE13" s="417">
        <f t="shared" si="7"/>
        <v>0</v>
      </c>
    </row>
    <row r="14" spans="1:32" ht="15.75" customHeight="1">
      <c r="A14" s="450" t="s">
        <v>2177</v>
      </c>
      <c r="B14" s="440">
        <f>SUM(B15:B18)</f>
        <v>0</v>
      </c>
      <c r="C14" s="440">
        <f>C16</f>
        <v>0</v>
      </c>
      <c r="D14" s="440">
        <f>SUM(D15:D18)</f>
        <v>0</v>
      </c>
      <c r="E14" s="440">
        <f t="shared" ref="E14:K14" si="13">E18</f>
        <v>0</v>
      </c>
      <c r="F14" s="440">
        <f t="shared" si="13"/>
        <v>0</v>
      </c>
      <c r="G14" s="440">
        <f t="shared" si="13"/>
        <v>0</v>
      </c>
      <c r="H14" s="440">
        <f t="shared" si="13"/>
        <v>0</v>
      </c>
      <c r="I14" s="440">
        <f t="shared" si="13"/>
        <v>0</v>
      </c>
      <c r="J14" s="440">
        <f t="shared" si="13"/>
        <v>0</v>
      </c>
      <c r="K14" s="440">
        <f t="shared" si="13"/>
        <v>0</v>
      </c>
      <c r="L14" s="440">
        <f t="shared" si="2"/>
        <v>0</v>
      </c>
      <c r="M14" s="440">
        <f>SUM(M15:M18)</f>
        <v>0</v>
      </c>
      <c r="N14" s="440">
        <f t="shared" si="9"/>
        <v>0</v>
      </c>
      <c r="O14" s="440">
        <f>SUM(O15:O18)</f>
        <v>0</v>
      </c>
      <c r="P14" s="440">
        <f>P16</f>
        <v>0</v>
      </c>
      <c r="Q14" s="440">
        <f>SUM(Q15:Q18)</f>
        <v>0</v>
      </c>
      <c r="R14" s="440">
        <f t="shared" ref="R14:X14" si="14">R18</f>
        <v>0</v>
      </c>
      <c r="S14" s="440">
        <f t="shared" si="14"/>
        <v>0</v>
      </c>
      <c r="T14" s="440">
        <f t="shared" si="14"/>
        <v>0</v>
      </c>
      <c r="U14" s="440">
        <f t="shared" si="14"/>
        <v>0</v>
      </c>
      <c r="V14" s="440">
        <f t="shared" si="14"/>
        <v>0</v>
      </c>
      <c r="W14" s="440">
        <f t="shared" si="14"/>
        <v>0</v>
      </c>
      <c r="X14" s="440">
        <f t="shared" si="14"/>
        <v>0</v>
      </c>
      <c r="Y14" s="440">
        <f>SUM(O14:Q14)-R14+SUM(S14:X14)</f>
        <v>0</v>
      </c>
      <c r="Z14" s="440">
        <f>SUM(Z15:Z18)</f>
        <v>0</v>
      </c>
      <c r="AA14" s="441">
        <f t="shared" si="1"/>
        <v>0</v>
      </c>
      <c r="AB14" s="417">
        <f t="shared" si="4"/>
        <v>0</v>
      </c>
      <c r="AC14" s="417">
        <f t="shared" si="5"/>
        <v>0</v>
      </c>
      <c r="AD14" s="417">
        <f t="shared" si="6"/>
        <v>0</v>
      </c>
      <c r="AE14" s="417">
        <f t="shared" si="7"/>
        <v>0</v>
      </c>
    </row>
    <row r="15" spans="1:32" ht="15.75" customHeight="1">
      <c r="A15" s="475" t="s">
        <v>2136</v>
      </c>
      <c r="B15" s="434">
        <v>0</v>
      </c>
      <c r="C15" s="434"/>
      <c r="D15" s="434">
        <v>0</v>
      </c>
      <c r="E15" s="430"/>
      <c r="F15" s="430"/>
      <c r="G15" s="430"/>
      <c r="H15" s="430"/>
      <c r="I15" s="430"/>
      <c r="J15" s="430"/>
      <c r="K15" s="430"/>
      <c r="L15" s="440">
        <f t="shared" si="2"/>
        <v>0</v>
      </c>
      <c r="M15" s="434"/>
      <c r="N15" s="440">
        <f t="shared" si="9"/>
        <v>0</v>
      </c>
      <c r="O15" s="434">
        <v>0</v>
      </c>
      <c r="P15" s="434"/>
      <c r="Q15" s="434">
        <v>0</v>
      </c>
      <c r="R15" s="430"/>
      <c r="S15" s="430"/>
      <c r="T15" s="430"/>
      <c r="U15" s="430"/>
      <c r="V15" s="430"/>
      <c r="W15" s="430"/>
      <c r="X15" s="430"/>
      <c r="Y15" s="440">
        <f>SUM(O15:Q15)</f>
        <v>0</v>
      </c>
      <c r="Z15" s="434"/>
      <c r="AA15" s="441">
        <f t="shared" si="1"/>
        <v>0</v>
      </c>
      <c r="AB15" s="417">
        <f t="shared" si="4"/>
        <v>0</v>
      </c>
      <c r="AC15" s="417">
        <f t="shared" si="5"/>
        <v>0</v>
      </c>
      <c r="AD15" s="417">
        <f t="shared" si="6"/>
        <v>0</v>
      </c>
      <c r="AE15" s="417">
        <f t="shared" si="7"/>
        <v>0</v>
      </c>
    </row>
    <row r="16" spans="1:32" ht="15.75" customHeight="1">
      <c r="A16" s="475" t="s">
        <v>2137</v>
      </c>
      <c r="B16" s="434"/>
      <c r="C16" s="434"/>
      <c r="D16" s="434"/>
      <c r="E16" s="430"/>
      <c r="F16" s="430"/>
      <c r="G16" s="430"/>
      <c r="H16" s="430"/>
      <c r="I16" s="430"/>
      <c r="J16" s="430"/>
      <c r="K16" s="430"/>
      <c r="L16" s="440">
        <f t="shared" si="2"/>
        <v>0</v>
      </c>
      <c r="M16" s="434"/>
      <c r="N16" s="440">
        <f t="shared" si="9"/>
        <v>0</v>
      </c>
      <c r="O16" s="434"/>
      <c r="P16" s="434"/>
      <c r="Q16" s="434"/>
      <c r="R16" s="430"/>
      <c r="S16" s="430"/>
      <c r="T16" s="430"/>
      <c r="U16" s="430"/>
      <c r="V16" s="430"/>
      <c r="W16" s="430"/>
      <c r="X16" s="430"/>
      <c r="Y16" s="440">
        <f>SUM(O16:Q16)</f>
        <v>0</v>
      </c>
      <c r="Z16" s="434"/>
      <c r="AA16" s="441">
        <f>Y16+Z16</f>
        <v>0</v>
      </c>
      <c r="AB16" s="417">
        <f t="shared" si="4"/>
        <v>0</v>
      </c>
      <c r="AC16" s="417">
        <f t="shared" si="5"/>
        <v>0</v>
      </c>
      <c r="AD16" s="417">
        <f t="shared" si="6"/>
        <v>0</v>
      </c>
      <c r="AE16" s="417">
        <f t="shared" si="7"/>
        <v>0</v>
      </c>
    </row>
    <row r="17" spans="1:31" ht="15.75" customHeight="1">
      <c r="A17" s="475" t="s">
        <v>2138</v>
      </c>
      <c r="B17" s="434">
        <v>0</v>
      </c>
      <c r="C17" s="434"/>
      <c r="D17" s="434">
        <v>0</v>
      </c>
      <c r="E17" s="430"/>
      <c r="F17" s="430"/>
      <c r="G17" s="430"/>
      <c r="H17" s="430"/>
      <c r="I17" s="430"/>
      <c r="J17" s="430"/>
      <c r="K17" s="430"/>
      <c r="L17" s="440">
        <f t="shared" si="2"/>
        <v>0</v>
      </c>
      <c r="M17" s="434">
        <v>0</v>
      </c>
      <c r="N17" s="440">
        <f t="shared" si="9"/>
        <v>0</v>
      </c>
      <c r="O17" s="434">
        <v>0</v>
      </c>
      <c r="P17" s="434"/>
      <c r="Q17" s="434">
        <v>0</v>
      </c>
      <c r="R17" s="430"/>
      <c r="S17" s="430"/>
      <c r="T17" s="430"/>
      <c r="U17" s="430"/>
      <c r="V17" s="430"/>
      <c r="W17" s="430"/>
      <c r="X17" s="430"/>
      <c r="Y17" s="440">
        <f>SUM(O17:Q17)</f>
        <v>0</v>
      </c>
      <c r="Z17" s="434">
        <v>0</v>
      </c>
      <c r="AA17" s="441">
        <f t="shared" si="1"/>
        <v>0</v>
      </c>
      <c r="AB17" s="417">
        <f t="shared" si="4"/>
        <v>0</v>
      </c>
      <c r="AC17" s="417">
        <f t="shared" si="5"/>
        <v>0</v>
      </c>
      <c r="AD17" s="417">
        <f t="shared" si="6"/>
        <v>0</v>
      </c>
      <c r="AE17" s="417">
        <f t="shared" si="7"/>
        <v>0</v>
      </c>
    </row>
    <row r="18" spans="1:31" ht="15.75" customHeight="1">
      <c r="A18" s="475" t="s">
        <v>2139</v>
      </c>
      <c r="B18" s="434">
        <v>0</v>
      </c>
      <c r="C18" s="434"/>
      <c r="D18" s="434"/>
      <c r="E18" s="434">
        <v>0</v>
      </c>
      <c r="F18" s="434"/>
      <c r="G18" s="434">
        <v>0</v>
      </c>
      <c r="H18" s="434">
        <v>0</v>
      </c>
      <c r="I18" s="434">
        <v>0</v>
      </c>
      <c r="J18" s="434"/>
      <c r="K18" s="434">
        <v>0</v>
      </c>
      <c r="L18" s="440">
        <f t="shared" si="2"/>
        <v>0</v>
      </c>
      <c r="M18" s="434"/>
      <c r="N18" s="440">
        <f t="shared" si="9"/>
        <v>0</v>
      </c>
      <c r="O18" s="434">
        <v>0</v>
      </c>
      <c r="P18" s="434"/>
      <c r="Q18" s="434"/>
      <c r="R18" s="434">
        <v>0</v>
      </c>
      <c r="S18" s="434"/>
      <c r="T18" s="434">
        <v>0</v>
      </c>
      <c r="U18" s="434">
        <v>0</v>
      </c>
      <c r="V18" s="434">
        <v>0</v>
      </c>
      <c r="W18" s="434"/>
      <c r="X18" s="434">
        <v>0</v>
      </c>
      <c r="Y18" s="440">
        <f>SUM(O18:Q18)-R18+SUM(S18:X18)</f>
        <v>0</v>
      </c>
      <c r="Z18" s="434"/>
      <c r="AA18" s="441">
        <f t="shared" si="1"/>
        <v>0</v>
      </c>
      <c r="AB18" s="417">
        <f t="shared" si="4"/>
        <v>0</v>
      </c>
      <c r="AC18" s="417">
        <f t="shared" si="5"/>
        <v>0</v>
      </c>
      <c r="AD18" s="417">
        <f t="shared" si="6"/>
        <v>0</v>
      </c>
      <c r="AE18" s="417">
        <f t="shared" si="7"/>
        <v>0</v>
      </c>
    </row>
    <row r="19" spans="1:31" ht="15.75" customHeight="1">
      <c r="A19" s="450" t="s">
        <v>2178</v>
      </c>
      <c r="B19" s="434"/>
      <c r="C19" s="434"/>
      <c r="D19" s="434"/>
      <c r="E19" s="434"/>
      <c r="F19" s="434"/>
      <c r="G19" s="440">
        <f>G20+G21</f>
        <v>0</v>
      </c>
      <c r="H19" s="434"/>
      <c r="I19" s="434"/>
      <c r="J19" s="434"/>
      <c r="K19" s="434"/>
      <c r="L19" s="440">
        <f t="shared" si="2"/>
        <v>0</v>
      </c>
      <c r="M19" s="440">
        <f>M20+M21</f>
        <v>0</v>
      </c>
      <c r="N19" s="440">
        <f t="shared" si="9"/>
        <v>0</v>
      </c>
      <c r="O19" s="434"/>
      <c r="P19" s="434"/>
      <c r="Q19" s="434"/>
      <c r="R19" s="434"/>
      <c r="S19" s="434"/>
      <c r="T19" s="440">
        <f>T20+T21</f>
        <v>0</v>
      </c>
      <c r="U19" s="434"/>
      <c r="V19" s="434"/>
      <c r="W19" s="434"/>
      <c r="X19" s="434"/>
      <c r="Y19" s="440">
        <f>SUM(O19:Q19)-R19+SUM(S19:X19)</f>
        <v>0</v>
      </c>
      <c r="Z19" s="440">
        <f>Z20+Z21</f>
        <v>0</v>
      </c>
      <c r="AA19" s="441">
        <f t="shared" si="1"/>
        <v>0</v>
      </c>
      <c r="AB19" s="417">
        <f t="shared" si="4"/>
        <v>0</v>
      </c>
      <c r="AC19" s="417">
        <f t="shared" si="5"/>
        <v>0</v>
      </c>
      <c r="AD19" s="417">
        <f t="shared" si="6"/>
        <v>0</v>
      </c>
      <c r="AE19" s="417">
        <f t="shared" si="7"/>
        <v>0</v>
      </c>
    </row>
    <row r="20" spans="1:31" ht="15.75" customHeight="1">
      <c r="A20" s="475" t="s">
        <v>2140</v>
      </c>
      <c r="B20" s="430"/>
      <c r="C20" s="430"/>
      <c r="D20" s="430"/>
      <c r="E20" s="430"/>
      <c r="F20" s="430"/>
      <c r="G20" s="434"/>
      <c r="H20" s="430"/>
      <c r="I20" s="430"/>
      <c r="J20" s="430"/>
      <c r="K20" s="430"/>
      <c r="L20" s="440">
        <f t="shared" si="2"/>
        <v>0</v>
      </c>
      <c r="M20" s="434"/>
      <c r="N20" s="440">
        <f t="shared" si="9"/>
        <v>0</v>
      </c>
      <c r="O20" s="430"/>
      <c r="P20" s="430"/>
      <c r="Q20" s="430"/>
      <c r="R20" s="430"/>
      <c r="S20" s="430"/>
      <c r="T20" s="434"/>
      <c r="U20" s="430"/>
      <c r="V20" s="430"/>
      <c r="W20" s="430"/>
      <c r="X20" s="430"/>
      <c r="Y20" s="440">
        <f>T20</f>
        <v>0</v>
      </c>
      <c r="Z20" s="434"/>
      <c r="AA20" s="441">
        <f t="shared" si="1"/>
        <v>0</v>
      </c>
      <c r="AB20" s="417">
        <f t="shared" si="4"/>
        <v>0</v>
      </c>
      <c r="AC20" s="417">
        <f t="shared" si="5"/>
        <v>0</v>
      </c>
      <c r="AD20" s="417">
        <f t="shared" si="6"/>
        <v>0</v>
      </c>
      <c r="AE20" s="417">
        <f t="shared" si="7"/>
        <v>0</v>
      </c>
    </row>
    <row r="21" spans="1:31" ht="15.75" customHeight="1">
      <c r="A21" s="475" t="s">
        <v>2141</v>
      </c>
      <c r="B21" s="430"/>
      <c r="C21" s="430"/>
      <c r="D21" s="430"/>
      <c r="E21" s="430"/>
      <c r="F21" s="430"/>
      <c r="G21" s="434"/>
      <c r="H21" s="430"/>
      <c r="I21" s="430"/>
      <c r="J21" s="430"/>
      <c r="K21" s="430"/>
      <c r="L21" s="440">
        <f t="shared" si="2"/>
        <v>0</v>
      </c>
      <c r="M21" s="434"/>
      <c r="N21" s="440">
        <f t="shared" si="9"/>
        <v>0</v>
      </c>
      <c r="O21" s="430"/>
      <c r="P21" s="430"/>
      <c r="Q21" s="430"/>
      <c r="R21" s="430"/>
      <c r="S21" s="430"/>
      <c r="T21" s="434"/>
      <c r="U21" s="430"/>
      <c r="V21" s="430"/>
      <c r="W21" s="430"/>
      <c r="X21" s="430"/>
      <c r="Y21" s="440">
        <f>T21</f>
        <v>0</v>
      </c>
      <c r="Z21" s="434"/>
      <c r="AA21" s="441">
        <f t="shared" si="1"/>
        <v>0</v>
      </c>
      <c r="AB21" s="417">
        <f t="shared" si="4"/>
        <v>0</v>
      </c>
      <c r="AC21" s="417">
        <f t="shared" si="5"/>
        <v>0</v>
      </c>
      <c r="AD21" s="417">
        <f t="shared" si="6"/>
        <v>0</v>
      </c>
      <c r="AE21" s="417">
        <f t="shared" si="7"/>
        <v>0</v>
      </c>
    </row>
    <row r="22" spans="1:31" ht="15.75" customHeight="1">
      <c r="A22" s="450" t="s">
        <v>2179</v>
      </c>
      <c r="B22" s="440">
        <f t="shared" ref="B22:H22" si="15">B23+B31</f>
        <v>0</v>
      </c>
      <c r="C22" s="440">
        <f t="shared" si="15"/>
        <v>0</v>
      </c>
      <c r="D22" s="440">
        <f t="shared" si="15"/>
        <v>0</v>
      </c>
      <c r="E22" s="440">
        <f t="shared" si="15"/>
        <v>0</v>
      </c>
      <c r="F22" s="440">
        <f t="shared" si="15"/>
        <v>0</v>
      </c>
      <c r="G22" s="440">
        <f t="shared" si="15"/>
        <v>0</v>
      </c>
      <c r="H22" s="440">
        <f t="shared" si="15"/>
        <v>0</v>
      </c>
      <c r="I22" s="440">
        <f>I23+I29+I31</f>
        <v>0</v>
      </c>
      <c r="J22" s="440">
        <f>J23+J29+J30+J31</f>
        <v>0</v>
      </c>
      <c r="K22" s="440">
        <f>K23+K31</f>
        <v>0</v>
      </c>
      <c r="L22" s="440">
        <f t="shared" si="2"/>
        <v>0</v>
      </c>
      <c r="M22" s="440">
        <f>M23+M30+M31</f>
        <v>0</v>
      </c>
      <c r="N22" s="440">
        <f t="shared" si="9"/>
        <v>0</v>
      </c>
      <c r="O22" s="440">
        <f t="shared" ref="O22:U22" si="16">O23+O31</f>
        <v>0</v>
      </c>
      <c r="P22" s="440">
        <f t="shared" si="16"/>
        <v>0</v>
      </c>
      <c r="Q22" s="440">
        <f t="shared" si="16"/>
        <v>0</v>
      </c>
      <c r="R22" s="440">
        <f t="shared" si="16"/>
        <v>0</v>
      </c>
      <c r="S22" s="440">
        <f t="shared" si="16"/>
        <v>0</v>
      </c>
      <c r="T22" s="440">
        <f t="shared" si="16"/>
        <v>0</v>
      </c>
      <c r="U22" s="440">
        <f t="shared" si="16"/>
        <v>377287.69</v>
      </c>
      <c r="V22" s="440">
        <f>V23+V29+V31</f>
        <v>0</v>
      </c>
      <c r="W22" s="440">
        <f>W23+W29+W30+W31</f>
        <v>-15277287.689999999</v>
      </c>
      <c r="X22" s="440">
        <f>X23+X31</f>
        <v>0</v>
      </c>
      <c r="Y22" s="440">
        <f>SUM(O22:Q22)-R22+SUM(S22:X22)</f>
        <v>-14900000</v>
      </c>
      <c r="Z22" s="440">
        <f>Z23+Z30+Z31</f>
        <v>0</v>
      </c>
      <c r="AA22" s="441">
        <f t="shared" si="1"/>
        <v>-14900000</v>
      </c>
      <c r="AB22" s="417">
        <f t="shared" si="4"/>
        <v>0</v>
      </c>
      <c r="AC22" s="417">
        <f t="shared" si="5"/>
        <v>0</v>
      </c>
      <c r="AD22" s="417">
        <f t="shared" si="6"/>
        <v>0</v>
      </c>
      <c r="AE22" s="417">
        <f t="shared" si="7"/>
        <v>0</v>
      </c>
    </row>
    <row r="23" spans="1:31" ht="15.75" customHeight="1">
      <c r="A23" s="475" t="s">
        <v>2142</v>
      </c>
      <c r="B23" s="434">
        <v>0</v>
      </c>
      <c r="C23" s="434"/>
      <c r="D23" s="434">
        <v>0</v>
      </c>
      <c r="E23" s="434">
        <v>0</v>
      </c>
      <c r="F23" s="434"/>
      <c r="G23" s="434">
        <v>0</v>
      </c>
      <c r="H23" s="434"/>
      <c r="I23" s="434"/>
      <c r="J23" s="434"/>
      <c r="K23" s="434">
        <v>0</v>
      </c>
      <c r="L23" s="440">
        <f t="shared" si="2"/>
        <v>0</v>
      </c>
      <c r="M23" s="434">
        <v>0</v>
      </c>
      <c r="N23" s="440">
        <f t="shared" si="9"/>
        <v>0</v>
      </c>
      <c r="O23" s="434">
        <v>0</v>
      </c>
      <c r="P23" s="434"/>
      <c r="Q23" s="434">
        <v>0</v>
      </c>
      <c r="R23" s="434">
        <v>0</v>
      </c>
      <c r="S23" s="434"/>
      <c r="T23" s="434">
        <v>0</v>
      </c>
      <c r="U23" s="434">
        <v>377287.69</v>
      </c>
      <c r="V23" s="434">
        <v>0</v>
      </c>
      <c r="W23" s="434">
        <v>-377287.69</v>
      </c>
      <c r="X23" s="434">
        <v>0</v>
      </c>
      <c r="Y23" s="440">
        <f>SUM(O23:Q23)-R23+SUM(S23:X23)</f>
        <v>0</v>
      </c>
      <c r="Z23" s="434">
        <v>0</v>
      </c>
      <c r="AA23" s="441">
        <f t="shared" si="1"/>
        <v>0</v>
      </c>
      <c r="AB23" s="417">
        <f t="shared" si="4"/>
        <v>0</v>
      </c>
      <c r="AC23" s="417">
        <f t="shared" si="5"/>
        <v>0</v>
      </c>
      <c r="AD23" s="417">
        <f t="shared" si="6"/>
        <v>0</v>
      </c>
      <c r="AE23" s="417">
        <f t="shared" si="7"/>
        <v>0</v>
      </c>
    </row>
    <row r="24" spans="1:31" ht="15.75" customHeight="1">
      <c r="A24" s="1399" t="s">
        <v>4645</v>
      </c>
      <c r="B24" s="430"/>
      <c r="C24" s="430"/>
      <c r="D24" s="430"/>
      <c r="E24" s="430"/>
      <c r="F24" s="430"/>
      <c r="G24" s="430"/>
      <c r="H24" s="434"/>
      <c r="I24" s="430"/>
      <c r="J24" s="434"/>
      <c r="K24" s="430"/>
      <c r="L24" s="440">
        <f t="shared" si="2"/>
        <v>0</v>
      </c>
      <c r="M24" s="430"/>
      <c r="N24" s="440">
        <f t="shared" ref="N24:N29" si="17">L24</f>
        <v>0</v>
      </c>
      <c r="O24" s="430"/>
      <c r="P24" s="430"/>
      <c r="Q24" s="430"/>
      <c r="R24" s="430"/>
      <c r="S24" s="430"/>
      <c r="T24" s="430"/>
      <c r="U24" s="434">
        <v>377287.69</v>
      </c>
      <c r="V24" s="430"/>
      <c r="W24" s="434">
        <v>-377287.69</v>
      </c>
      <c r="X24" s="430"/>
      <c r="Y24" s="440">
        <f>U24+W24</f>
        <v>0</v>
      </c>
      <c r="Z24" s="430"/>
      <c r="AA24" s="441">
        <f t="shared" ref="AA24:AA29" si="18">Y24</f>
        <v>0</v>
      </c>
      <c r="AB24" s="417">
        <f t="shared" si="4"/>
        <v>0</v>
      </c>
      <c r="AC24" s="417">
        <f t="shared" si="5"/>
        <v>0</v>
      </c>
      <c r="AD24" s="417">
        <f t="shared" si="6"/>
        <v>0</v>
      </c>
      <c r="AE24" s="417">
        <f t="shared" si="7"/>
        <v>0</v>
      </c>
    </row>
    <row r="25" spans="1:31" ht="15.75" customHeight="1">
      <c r="A25" s="591" t="s">
        <v>4646</v>
      </c>
      <c r="B25" s="430"/>
      <c r="C25" s="430"/>
      <c r="D25" s="430"/>
      <c r="E25" s="430"/>
      <c r="F25" s="430"/>
      <c r="G25" s="430"/>
      <c r="H25" s="434">
        <v>0</v>
      </c>
      <c r="I25" s="430"/>
      <c r="J25" s="434">
        <v>0</v>
      </c>
      <c r="K25" s="430"/>
      <c r="L25" s="440">
        <f t="shared" si="2"/>
        <v>0</v>
      </c>
      <c r="M25" s="430"/>
      <c r="N25" s="440">
        <f t="shared" si="17"/>
        <v>0</v>
      </c>
      <c r="O25" s="430"/>
      <c r="P25" s="430"/>
      <c r="Q25" s="430"/>
      <c r="R25" s="430"/>
      <c r="S25" s="430"/>
      <c r="T25" s="430"/>
      <c r="U25" s="434">
        <v>0</v>
      </c>
      <c r="V25" s="430"/>
      <c r="W25" s="434">
        <v>0</v>
      </c>
      <c r="X25" s="430"/>
      <c r="Y25" s="440">
        <f>U25+W25</f>
        <v>0</v>
      </c>
      <c r="Z25" s="430"/>
      <c r="AA25" s="441">
        <f t="shared" si="18"/>
        <v>0</v>
      </c>
      <c r="AB25" s="417">
        <f t="shared" si="4"/>
        <v>0</v>
      </c>
      <c r="AC25" s="417">
        <f t="shared" si="5"/>
        <v>0</v>
      </c>
      <c r="AD25" s="417">
        <f t="shared" si="6"/>
        <v>0</v>
      </c>
      <c r="AE25" s="417">
        <f t="shared" si="7"/>
        <v>0</v>
      </c>
    </row>
    <row r="26" spans="1:31" ht="15.75" customHeight="1">
      <c r="A26" s="591" t="s">
        <v>2143</v>
      </c>
      <c r="B26" s="430"/>
      <c r="C26" s="430"/>
      <c r="D26" s="430"/>
      <c r="E26" s="430"/>
      <c r="F26" s="430"/>
      <c r="G26" s="430"/>
      <c r="H26" s="434">
        <v>0</v>
      </c>
      <c r="I26" s="430"/>
      <c r="J26" s="434">
        <v>0</v>
      </c>
      <c r="K26" s="430"/>
      <c r="L26" s="440">
        <f t="shared" si="2"/>
        <v>0</v>
      </c>
      <c r="M26" s="430"/>
      <c r="N26" s="440">
        <f t="shared" si="17"/>
        <v>0</v>
      </c>
      <c r="O26" s="430"/>
      <c r="P26" s="430"/>
      <c r="Q26" s="430"/>
      <c r="R26" s="430"/>
      <c r="S26" s="430"/>
      <c r="T26" s="430"/>
      <c r="U26" s="434">
        <v>0</v>
      </c>
      <c r="V26" s="430"/>
      <c r="W26" s="434">
        <v>0</v>
      </c>
      <c r="X26" s="430"/>
      <c r="Y26" s="440">
        <f>U26+W26</f>
        <v>0</v>
      </c>
      <c r="Z26" s="430"/>
      <c r="AA26" s="441">
        <f t="shared" si="18"/>
        <v>0</v>
      </c>
      <c r="AB26" s="417">
        <f t="shared" si="4"/>
        <v>0</v>
      </c>
      <c r="AC26" s="417">
        <f t="shared" si="5"/>
        <v>0</v>
      </c>
      <c r="AD26" s="417">
        <f t="shared" si="6"/>
        <v>0</v>
      </c>
      <c r="AE26" s="417">
        <f t="shared" si="7"/>
        <v>0</v>
      </c>
    </row>
    <row r="27" spans="1:31" ht="15.75" customHeight="1">
      <c r="A27" s="591" t="s">
        <v>2144</v>
      </c>
      <c r="B27" s="430"/>
      <c r="C27" s="430"/>
      <c r="D27" s="430"/>
      <c r="E27" s="430"/>
      <c r="F27" s="430"/>
      <c r="G27" s="430"/>
      <c r="H27" s="434">
        <v>0</v>
      </c>
      <c r="I27" s="430"/>
      <c r="J27" s="434">
        <v>0</v>
      </c>
      <c r="K27" s="430"/>
      <c r="L27" s="440">
        <f t="shared" si="2"/>
        <v>0</v>
      </c>
      <c r="M27" s="430"/>
      <c r="N27" s="440">
        <f t="shared" si="17"/>
        <v>0</v>
      </c>
      <c r="O27" s="430"/>
      <c r="P27" s="430"/>
      <c r="Q27" s="430"/>
      <c r="R27" s="430"/>
      <c r="S27" s="430"/>
      <c r="T27" s="430"/>
      <c r="U27" s="434">
        <v>0</v>
      </c>
      <c r="V27" s="430"/>
      <c r="W27" s="434">
        <v>0</v>
      </c>
      <c r="X27" s="430"/>
      <c r="Y27" s="440">
        <f>U27+W27</f>
        <v>0</v>
      </c>
      <c r="Z27" s="430"/>
      <c r="AA27" s="441">
        <f t="shared" si="18"/>
        <v>0</v>
      </c>
      <c r="AB27" s="417">
        <f t="shared" si="4"/>
        <v>0</v>
      </c>
      <c r="AC27" s="417">
        <f t="shared" si="5"/>
        <v>0</v>
      </c>
      <c r="AD27" s="417">
        <f t="shared" si="6"/>
        <v>0</v>
      </c>
      <c r="AE27" s="417">
        <f t="shared" si="7"/>
        <v>0</v>
      </c>
    </row>
    <row r="28" spans="1:31" ht="15.75" customHeight="1">
      <c r="A28" s="591" t="s">
        <v>2145</v>
      </c>
      <c r="B28" s="430"/>
      <c r="C28" s="430"/>
      <c r="D28" s="430"/>
      <c r="E28" s="430"/>
      <c r="F28" s="430"/>
      <c r="G28" s="430"/>
      <c r="H28" s="434">
        <v>0</v>
      </c>
      <c r="I28" s="430"/>
      <c r="J28" s="434">
        <v>0</v>
      </c>
      <c r="K28" s="430"/>
      <c r="L28" s="440">
        <f t="shared" si="2"/>
        <v>0</v>
      </c>
      <c r="M28" s="430"/>
      <c r="N28" s="440">
        <f t="shared" si="17"/>
        <v>0</v>
      </c>
      <c r="O28" s="430"/>
      <c r="P28" s="430"/>
      <c r="Q28" s="430"/>
      <c r="R28" s="430"/>
      <c r="S28" s="430"/>
      <c r="T28" s="430"/>
      <c r="U28" s="434">
        <v>0</v>
      </c>
      <c r="V28" s="430"/>
      <c r="W28" s="434">
        <v>0</v>
      </c>
      <c r="X28" s="430"/>
      <c r="Y28" s="440">
        <f>U28+W28</f>
        <v>0</v>
      </c>
      <c r="Z28" s="430"/>
      <c r="AA28" s="441">
        <f t="shared" si="18"/>
        <v>0</v>
      </c>
      <c r="AB28" s="417">
        <f t="shared" si="4"/>
        <v>0</v>
      </c>
      <c r="AC28" s="417">
        <f t="shared" si="5"/>
        <v>0</v>
      </c>
      <c r="AD28" s="417">
        <f t="shared" si="6"/>
        <v>0</v>
      </c>
      <c r="AE28" s="417">
        <f t="shared" si="7"/>
        <v>0</v>
      </c>
    </row>
    <row r="29" spans="1:31" ht="15.75" customHeight="1">
      <c r="A29" s="475" t="s">
        <v>2146</v>
      </c>
      <c r="B29" s="430"/>
      <c r="C29" s="430"/>
      <c r="D29" s="430"/>
      <c r="E29" s="430"/>
      <c r="F29" s="430"/>
      <c r="G29" s="430"/>
      <c r="H29" s="430"/>
      <c r="I29" s="434">
        <v>0</v>
      </c>
      <c r="J29" s="434">
        <v>0</v>
      </c>
      <c r="K29" s="430"/>
      <c r="L29" s="440">
        <f t="shared" si="2"/>
        <v>0</v>
      </c>
      <c r="M29" s="430"/>
      <c r="N29" s="440">
        <f t="shared" si="17"/>
        <v>0</v>
      </c>
      <c r="O29" s="430"/>
      <c r="P29" s="430"/>
      <c r="Q29" s="430"/>
      <c r="R29" s="430"/>
      <c r="S29" s="430"/>
      <c r="T29" s="430"/>
      <c r="U29" s="430"/>
      <c r="V29" s="434">
        <v>0</v>
      </c>
      <c r="W29" s="434">
        <v>0</v>
      </c>
      <c r="X29" s="430"/>
      <c r="Y29" s="440">
        <f>V29+W29</f>
        <v>0</v>
      </c>
      <c r="Z29" s="430"/>
      <c r="AA29" s="441">
        <f t="shared" si="18"/>
        <v>0</v>
      </c>
      <c r="AB29" s="417">
        <f t="shared" si="4"/>
        <v>0</v>
      </c>
      <c r="AC29" s="417">
        <f t="shared" si="5"/>
        <v>0</v>
      </c>
      <c r="AD29" s="417">
        <f t="shared" si="6"/>
        <v>0</v>
      </c>
      <c r="AE29" s="417">
        <f t="shared" si="7"/>
        <v>0</v>
      </c>
    </row>
    <row r="30" spans="1:31" ht="15.75" customHeight="1">
      <c r="A30" s="475" t="s">
        <v>2147</v>
      </c>
      <c r="B30" s="430"/>
      <c r="C30" s="430"/>
      <c r="D30" s="430"/>
      <c r="E30" s="430"/>
      <c r="F30" s="430"/>
      <c r="G30" s="430"/>
      <c r="H30" s="430"/>
      <c r="I30" s="430"/>
      <c r="J30" s="434"/>
      <c r="K30" s="430"/>
      <c r="L30" s="440">
        <f t="shared" si="2"/>
        <v>0</v>
      </c>
      <c r="M30" s="434"/>
      <c r="N30" s="440">
        <f>L30+M30</f>
        <v>0</v>
      </c>
      <c r="O30" s="430"/>
      <c r="P30" s="430"/>
      <c r="Q30" s="430"/>
      <c r="R30" s="430"/>
      <c r="S30" s="430"/>
      <c r="T30" s="430"/>
      <c r="U30" s="430"/>
      <c r="V30" s="430"/>
      <c r="W30" s="434">
        <v>-14900000</v>
      </c>
      <c r="X30" s="430"/>
      <c r="Y30" s="440">
        <f>W30</f>
        <v>-14900000</v>
      </c>
      <c r="Z30" s="434"/>
      <c r="AA30" s="441">
        <f>Y30+Z30</f>
        <v>-14900000</v>
      </c>
      <c r="AB30" s="417">
        <f t="shared" si="4"/>
        <v>0</v>
      </c>
      <c r="AC30" s="417">
        <f t="shared" si="5"/>
        <v>0</v>
      </c>
      <c r="AD30" s="417">
        <f t="shared" si="6"/>
        <v>0</v>
      </c>
      <c r="AE30" s="417">
        <f t="shared" si="7"/>
        <v>0</v>
      </c>
    </row>
    <row r="31" spans="1:31" ht="15.75" customHeight="1">
      <c r="A31" s="475" t="s">
        <v>2139</v>
      </c>
      <c r="B31" s="434">
        <v>0</v>
      </c>
      <c r="C31" s="434"/>
      <c r="D31" s="434">
        <v>0</v>
      </c>
      <c r="E31" s="434">
        <v>0</v>
      </c>
      <c r="F31" s="434"/>
      <c r="G31" s="434">
        <v>0</v>
      </c>
      <c r="H31" s="434">
        <v>0</v>
      </c>
      <c r="I31" s="434">
        <v>0</v>
      </c>
      <c r="J31" s="434">
        <v>0</v>
      </c>
      <c r="K31" s="434">
        <v>0</v>
      </c>
      <c r="L31" s="440">
        <f t="shared" si="2"/>
        <v>0</v>
      </c>
      <c r="M31" s="434">
        <v>0</v>
      </c>
      <c r="N31" s="440">
        <f>L31+M31</f>
        <v>0</v>
      </c>
      <c r="O31" s="434">
        <v>0</v>
      </c>
      <c r="P31" s="434"/>
      <c r="Q31" s="434">
        <v>0</v>
      </c>
      <c r="R31" s="434">
        <v>0</v>
      </c>
      <c r="S31" s="434"/>
      <c r="T31" s="434">
        <v>0</v>
      </c>
      <c r="U31" s="434">
        <v>0</v>
      </c>
      <c r="V31" s="434">
        <v>0</v>
      </c>
      <c r="W31" s="434">
        <v>0</v>
      </c>
      <c r="X31" s="434">
        <v>0</v>
      </c>
      <c r="Y31" s="440">
        <f>SUM(O31:Q31)-R31+SUM(S31:X31)</f>
        <v>0</v>
      </c>
      <c r="Z31" s="434">
        <v>0</v>
      </c>
      <c r="AA31" s="441">
        <f>Y31+Z31</f>
        <v>0</v>
      </c>
      <c r="AB31" s="417">
        <f t="shared" si="4"/>
        <v>0</v>
      </c>
      <c r="AC31" s="417">
        <f t="shared" si="5"/>
        <v>0</v>
      </c>
      <c r="AD31" s="417">
        <f t="shared" si="6"/>
        <v>0</v>
      </c>
      <c r="AE31" s="417">
        <f t="shared" si="7"/>
        <v>0</v>
      </c>
    </row>
    <row r="32" spans="1:31" ht="15.75" customHeight="1">
      <c r="A32" s="450" t="s">
        <v>2180</v>
      </c>
      <c r="B32" s="440">
        <f>B33+B34+B37</f>
        <v>0</v>
      </c>
      <c r="C32" s="440">
        <f>C33+C37</f>
        <v>0</v>
      </c>
      <c r="D32" s="440">
        <f>D33+D37</f>
        <v>0</v>
      </c>
      <c r="E32" s="440">
        <f>E37</f>
        <v>0</v>
      </c>
      <c r="F32" s="440">
        <f>F36+F37</f>
        <v>0</v>
      </c>
      <c r="G32" s="440">
        <f>G37</f>
        <v>0</v>
      </c>
      <c r="H32" s="440">
        <f>H34+H35+H37</f>
        <v>0</v>
      </c>
      <c r="I32" s="440">
        <f>I37</f>
        <v>0</v>
      </c>
      <c r="J32" s="440">
        <f>J35+J36+J37</f>
        <v>0</v>
      </c>
      <c r="K32" s="440">
        <f>K37</f>
        <v>0</v>
      </c>
      <c r="L32" s="440">
        <f t="shared" si="2"/>
        <v>0</v>
      </c>
      <c r="M32" s="440">
        <f>M37</f>
        <v>0</v>
      </c>
      <c r="N32" s="440">
        <f>L32+M32</f>
        <v>0</v>
      </c>
      <c r="O32" s="440">
        <f>O33+O34+O37</f>
        <v>0</v>
      </c>
      <c r="P32" s="440">
        <f>P33+P37</f>
        <v>0</v>
      </c>
      <c r="Q32" s="440">
        <f>Q33+Q37</f>
        <v>0</v>
      </c>
      <c r="R32" s="440">
        <f>R37</f>
        <v>0</v>
      </c>
      <c r="S32" s="440">
        <f>S36+S37</f>
        <v>0</v>
      </c>
      <c r="T32" s="440">
        <f>T37</f>
        <v>0</v>
      </c>
      <c r="U32" s="440">
        <f>U34+U35+U37</f>
        <v>0</v>
      </c>
      <c r="V32" s="440">
        <f>V37</f>
        <v>0</v>
      </c>
      <c r="W32" s="440">
        <f>W35+W37</f>
        <v>0</v>
      </c>
      <c r="X32" s="440">
        <f>X37</f>
        <v>0</v>
      </c>
      <c r="Y32" s="440">
        <f>SUM(O32:Q32)-R32+SUM(S32:X32)</f>
        <v>0</v>
      </c>
      <c r="Z32" s="440">
        <f>Z37</f>
        <v>0</v>
      </c>
      <c r="AA32" s="441">
        <f>Y32+Z32</f>
        <v>0</v>
      </c>
      <c r="AB32" s="417">
        <f t="shared" si="4"/>
        <v>0</v>
      </c>
      <c r="AC32" s="417">
        <f t="shared" si="5"/>
        <v>0</v>
      </c>
      <c r="AD32" s="417">
        <f t="shared" si="6"/>
        <v>0</v>
      </c>
      <c r="AE32" s="417">
        <f t="shared" si="7"/>
        <v>0</v>
      </c>
    </row>
    <row r="33" spans="1:32" ht="15.75" customHeight="1">
      <c r="A33" s="475" t="s">
        <v>2148</v>
      </c>
      <c r="B33" s="434">
        <v>0</v>
      </c>
      <c r="C33" s="434"/>
      <c r="D33" s="434">
        <v>0</v>
      </c>
      <c r="E33" s="430"/>
      <c r="F33" s="430"/>
      <c r="G33" s="430"/>
      <c r="H33" s="430"/>
      <c r="I33" s="430"/>
      <c r="J33" s="430"/>
      <c r="K33" s="430"/>
      <c r="L33" s="440">
        <f t="shared" si="2"/>
        <v>0</v>
      </c>
      <c r="M33" s="430"/>
      <c r="N33" s="440">
        <f>L33</f>
        <v>0</v>
      </c>
      <c r="O33" s="434">
        <v>0</v>
      </c>
      <c r="P33" s="434"/>
      <c r="Q33" s="434">
        <v>0</v>
      </c>
      <c r="R33" s="430"/>
      <c r="S33" s="430"/>
      <c r="T33" s="430"/>
      <c r="U33" s="430"/>
      <c r="V33" s="430"/>
      <c r="W33" s="430"/>
      <c r="X33" s="430"/>
      <c r="Y33" s="440">
        <f>O33+Q33</f>
        <v>0</v>
      </c>
      <c r="Z33" s="430"/>
      <c r="AA33" s="441">
        <f>Y33</f>
        <v>0</v>
      </c>
      <c r="AB33" s="417">
        <f t="shared" si="4"/>
        <v>0</v>
      </c>
      <c r="AC33" s="417">
        <f t="shared" si="5"/>
        <v>0</v>
      </c>
      <c r="AD33" s="417">
        <f t="shared" si="6"/>
        <v>0</v>
      </c>
      <c r="AE33" s="417">
        <f t="shared" si="7"/>
        <v>0</v>
      </c>
    </row>
    <row r="34" spans="1:32" ht="15.75" customHeight="1">
      <c r="A34" s="475" t="s">
        <v>2149</v>
      </c>
      <c r="B34" s="434">
        <v>0</v>
      </c>
      <c r="C34" s="434"/>
      <c r="D34" s="430"/>
      <c r="E34" s="430"/>
      <c r="F34" s="430"/>
      <c r="G34" s="430"/>
      <c r="H34" s="434">
        <v>0</v>
      </c>
      <c r="I34" s="430"/>
      <c r="J34" s="430"/>
      <c r="K34" s="430"/>
      <c r="L34" s="440">
        <f t="shared" si="2"/>
        <v>0</v>
      </c>
      <c r="M34" s="430"/>
      <c r="N34" s="440">
        <f>L34</f>
        <v>0</v>
      </c>
      <c r="O34" s="434">
        <v>0</v>
      </c>
      <c r="P34" s="434"/>
      <c r="Q34" s="430"/>
      <c r="R34" s="430"/>
      <c r="S34" s="430"/>
      <c r="T34" s="430"/>
      <c r="U34" s="434">
        <v>0</v>
      </c>
      <c r="V34" s="430"/>
      <c r="W34" s="430"/>
      <c r="X34" s="430"/>
      <c r="Y34" s="440">
        <f>O34+U34</f>
        <v>0</v>
      </c>
      <c r="Z34" s="430"/>
      <c r="AA34" s="441">
        <f>Y34</f>
        <v>0</v>
      </c>
      <c r="AB34" s="417">
        <f t="shared" si="4"/>
        <v>0</v>
      </c>
      <c r="AC34" s="417">
        <f t="shared" si="5"/>
        <v>0</v>
      </c>
      <c r="AD34" s="417">
        <f t="shared" si="6"/>
        <v>0</v>
      </c>
      <c r="AE34" s="417">
        <f t="shared" si="7"/>
        <v>0</v>
      </c>
    </row>
    <row r="35" spans="1:32" ht="15.75" customHeight="1">
      <c r="A35" s="475" t="s">
        <v>2150</v>
      </c>
      <c r="B35" s="430"/>
      <c r="C35" s="430"/>
      <c r="D35" s="430"/>
      <c r="E35" s="430"/>
      <c r="F35" s="430"/>
      <c r="G35" s="430"/>
      <c r="H35" s="434">
        <v>0</v>
      </c>
      <c r="I35" s="430"/>
      <c r="J35" s="434">
        <v>0</v>
      </c>
      <c r="K35" s="430"/>
      <c r="L35" s="440">
        <f t="shared" si="2"/>
        <v>0</v>
      </c>
      <c r="M35" s="430"/>
      <c r="N35" s="440">
        <f>L35</f>
        <v>0</v>
      </c>
      <c r="O35" s="430"/>
      <c r="P35" s="430"/>
      <c r="Q35" s="430"/>
      <c r="R35" s="430"/>
      <c r="S35" s="430"/>
      <c r="T35" s="430"/>
      <c r="U35" s="434">
        <v>0</v>
      </c>
      <c r="V35" s="430"/>
      <c r="W35" s="434">
        <v>0</v>
      </c>
      <c r="X35" s="430"/>
      <c r="Y35" s="440">
        <f>U35+W35</f>
        <v>0</v>
      </c>
      <c r="Z35" s="430"/>
      <c r="AA35" s="441">
        <f>Y35</f>
        <v>0</v>
      </c>
      <c r="AB35" s="417">
        <f t="shared" si="4"/>
        <v>0</v>
      </c>
      <c r="AC35" s="417">
        <f t="shared" si="5"/>
        <v>0</v>
      </c>
      <c r="AD35" s="417">
        <f t="shared" si="6"/>
        <v>0</v>
      </c>
      <c r="AE35" s="417">
        <f t="shared" si="7"/>
        <v>0</v>
      </c>
    </row>
    <row r="36" spans="1:32" ht="15.75" customHeight="1">
      <c r="A36" s="475" t="s">
        <v>2151</v>
      </c>
      <c r="B36" s="430"/>
      <c r="C36" s="430"/>
      <c r="D36" s="430"/>
      <c r="E36" s="430"/>
      <c r="F36" s="430"/>
      <c r="G36" s="430"/>
      <c r="H36" s="434"/>
      <c r="I36" s="430"/>
      <c r="J36" s="434"/>
      <c r="K36" s="430"/>
      <c r="L36" s="440">
        <f t="shared" si="2"/>
        <v>0</v>
      </c>
      <c r="M36" s="430"/>
      <c r="N36" s="440">
        <f>L36</f>
        <v>0</v>
      </c>
      <c r="O36" s="430"/>
      <c r="P36" s="430"/>
      <c r="Q36" s="430"/>
      <c r="R36" s="430"/>
      <c r="S36" s="430"/>
      <c r="T36" s="430"/>
      <c r="U36" s="434"/>
      <c r="V36" s="430"/>
      <c r="W36" s="434"/>
      <c r="X36" s="430"/>
      <c r="Y36" s="440">
        <f>S36+W36</f>
        <v>0</v>
      </c>
      <c r="Z36" s="430"/>
      <c r="AA36" s="441">
        <f>Y36</f>
        <v>0</v>
      </c>
      <c r="AB36" s="417">
        <f t="shared" si="4"/>
        <v>0</v>
      </c>
      <c r="AC36" s="417">
        <f t="shared" si="5"/>
        <v>0</v>
      </c>
      <c r="AD36" s="417">
        <f t="shared" si="6"/>
        <v>0</v>
      </c>
      <c r="AE36" s="417">
        <f t="shared" si="7"/>
        <v>0</v>
      </c>
    </row>
    <row r="37" spans="1:32" ht="15.75" customHeight="1">
      <c r="A37" s="475" t="s">
        <v>2152</v>
      </c>
      <c r="B37" s="434">
        <v>0</v>
      </c>
      <c r="C37" s="434"/>
      <c r="D37" s="434">
        <v>0</v>
      </c>
      <c r="E37" s="434">
        <v>0</v>
      </c>
      <c r="F37" s="434"/>
      <c r="G37" s="434">
        <v>0</v>
      </c>
      <c r="H37" s="434">
        <v>0</v>
      </c>
      <c r="I37" s="434">
        <v>0</v>
      </c>
      <c r="J37" s="434">
        <v>0</v>
      </c>
      <c r="K37" s="434">
        <v>0</v>
      </c>
      <c r="L37" s="440">
        <f t="shared" si="2"/>
        <v>0</v>
      </c>
      <c r="M37" s="434">
        <v>0</v>
      </c>
      <c r="N37" s="440">
        <f>L37+M37</f>
        <v>0</v>
      </c>
      <c r="O37" s="434">
        <v>0</v>
      </c>
      <c r="P37" s="434"/>
      <c r="Q37" s="434">
        <v>0</v>
      </c>
      <c r="R37" s="434">
        <v>0</v>
      </c>
      <c r="S37" s="434"/>
      <c r="T37" s="434">
        <v>0</v>
      </c>
      <c r="U37" s="434">
        <v>0</v>
      </c>
      <c r="V37" s="434">
        <v>0</v>
      </c>
      <c r="W37" s="434">
        <v>0</v>
      </c>
      <c r="X37" s="434">
        <v>0</v>
      </c>
      <c r="Y37" s="440">
        <f>SUM(O37:Q37)-R37+SUM(S37:X37)</f>
        <v>0</v>
      </c>
      <c r="Z37" s="434">
        <v>0</v>
      </c>
      <c r="AA37" s="441">
        <f>Y37+Z37</f>
        <v>0</v>
      </c>
      <c r="AB37" s="417">
        <f t="shared" si="4"/>
        <v>0</v>
      </c>
      <c r="AC37" s="417">
        <f t="shared" si="5"/>
        <v>0</v>
      </c>
      <c r="AD37" s="417">
        <f t="shared" si="6"/>
        <v>0</v>
      </c>
      <c r="AE37" s="417">
        <f t="shared" si="7"/>
        <v>0</v>
      </c>
    </row>
    <row r="38" spans="1:32" ht="15.75" customHeight="1" thickBot="1">
      <c r="A38" s="603" t="s">
        <v>2181</v>
      </c>
      <c r="B38" s="448">
        <f>B11+B12</f>
        <v>10000</v>
      </c>
      <c r="C38" s="448">
        <f>C11+C12</f>
        <v>0</v>
      </c>
      <c r="D38" s="448">
        <f>D11+D12</f>
        <v>0</v>
      </c>
      <c r="E38" s="448">
        <f>E11+E12</f>
        <v>0</v>
      </c>
      <c r="F38" s="448">
        <f>F11+F12</f>
        <v>0</v>
      </c>
      <c r="G38" s="448">
        <f t="shared" ref="G38:O38" si="19">G11+G12</f>
        <v>0</v>
      </c>
      <c r="H38" s="448">
        <f t="shared" si="19"/>
        <v>3513183.4899999998</v>
      </c>
      <c r="I38" s="448">
        <f t="shared" si="19"/>
        <v>0</v>
      </c>
      <c r="J38" s="448">
        <f t="shared" si="19"/>
        <v>3473801.5300000007</v>
      </c>
      <c r="K38" s="448">
        <f t="shared" si="19"/>
        <v>0</v>
      </c>
      <c r="L38" s="448">
        <f t="shared" si="19"/>
        <v>6996985.0200000005</v>
      </c>
      <c r="M38" s="448">
        <f t="shared" si="19"/>
        <v>0</v>
      </c>
      <c r="N38" s="448">
        <f t="shared" si="19"/>
        <v>6996985.0200000005</v>
      </c>
      <c r="O38" s="448">
        <f t="shared" si="19"/>
        <v>10000</v>
      </c>
      <c r="P38" s="448">
        <f>P11+P12</f>
        <v>0</v>
      </c>
      <c r="Q38" s="448">
        <f>Q11+Q12</f>
        <v>0</v>
      </c>
      <c r="R38" s="448">
        <f>R11+R12</f>
        <v>0</v>
      </c>
      <c r="S38" s="448">
        <f>S11+S12</f>
        <v>0</v>
      </c>
      <c r="T38" s="448">
        <f t="shared" ref="T38:AA38" si="20">T11+T12</f>
        <v>0</v>
      </c>
      <c r="U38" s="448">
        <f t="shared" si="20"/>
        <v>3513183.4899999998</v>
      </c>
      <c r="V38" s="448">
        <f t="shared" si="20"/>
        <v>0</v>
      </c>
      <c r="W38" s="448">
        <f t="shared" si="20"/>
        <v>3398651.3100000005</v>
      </c>
      <c r="X38" s="448">
        <f t="shared" si="20"/>
        <v>0</v>
      </c>
      <c r="Y38" s="448">
        <f t="shared" si="20"/>
        <v>6921834.8000000007</v>
      </c>
      <c r="Z38" s="448">
        <f t="shared" si="20"/>
        <v>0</v>
      </c>
      <c r="AA38" s="449">
        <f t="shared" si="20"/>
        <v>6921834.8000000007</v>
      </c>
      <c r="AB38" s="417">
        <f t="shared" si="4"/>
        <v>0</v>
      </c>
      <c r="AC38" s="417">
        <f t="shared" si="5"/>
        <v>0</v>
      </c>
      <c r="AD38" s="417">
        <f t="shared" si="6"/>
        <v>0</v>
      </c>
      <c r="AE38" s="417">
        <f t="shared" si="7"/>
        <v>0</v>
      </c>
    </row>
    <row r="39" spans="1:32" ht="15.75" customHeight="1">
      <c r="A39" s="1684" t="s">
        <v>2088</v>
      </c>
      <c r="B39" s="1684"/>
      <c r="C39" s="1684"/>
      <c r="D39" s="1684"/>
      <c r="E39" s="1684"/>
      <c r="F39" s="1684"/>
      <c r="G39" s="1684"/>
      <c r="H39" s="1684"/>
      <c r="I39" s="1684"/>
      <c r="J39" s="1684"/>
      <c r="K39" s="1684"/>
      <c r="L39" s="1684"/>
      <c r="M39" s="1684"/>
      <c r="N39" s="1684"/>
      <c r="O39" s="1684"/>
      <c r="P39" s="1684"/>
      <c r="Q39" s="1684"/>
      <c r="R39" s="1684"/>
      <c r="S39" s="1684"/>
      <c r="T39" s="1684"/>
      <c r="U39" s="1684"/>
      <c r="V39" s="1684"/>
      <c r="W39" s="1684"/>
      <c r="X39" s="1684"/>
      <c r="Y39" s="1684"/>
      <c r="Z39" s="1684"/>
      <c r="AA39" s="1684"/>
    </row>
    <row r="40" spans="1:32" ht="15.75" customHeight="1">
      <c r="A40" s="1705" t="s">
        <v>2182</v>
      </c>
      <c r="B40" s="1705"/>
      <c r="C40" s="1705"/>
      <c r="D40" s="1705"/>
      <c r="E40" s="1705"/>
      <c r="F40" s="1705"/>
      <c r="G40" s="1705"/>
      <c r="H40" s="1705"/>
      <c r="I40" s="1705"/>
      <c r="J40" s="1705"/>
      <c r="K40" s="1705"/>
      <c r="L40" s="1705"/>
      <c r="M40" s="1705"/>
      <c r="N40" s="1705"/>
      <c r="O40" s="1705"/>
      <c r="P40" s="1705"/>
      <c r="Q40" s="1705"/>
      <c r="R40" s="1705"/>
      <c r="S40" s="1705"/>
      <c r="T40" s="1705"/>
      <c r="U40" s="1705"/>
      <c r="V40" s="1705"/>
      <c r="W40" s="1705"/>
      <c r="X40" s="1705"/>
      <c r="Y40" s="1705"/>
      <c r="Z40" s="1705"/>
      <c r="AA40" s="1705"/>
    </row>
    <row r="41" spans="1:32" ht="15.75" customHeight="1">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row>
    <row r="42" spans="1:32" s="608" customFormat="1" ht="15.75" customHeight="1">
      <c r="A42" s="604" t="s">
        <v>2183</v>
      </c>
      <c r="B42" s="605"/>
      <c r="C42" s="605"/>
      <c r="D42" s="605"/>
      <c r="E42" s="605"/>
      <c r="F42" s="605"/>
      <c r="G42" s="605"/>
      <c r="H42" s="605"/>
      <c r="I42" s="605"/>
      <c r="J42" s="605"/>
      <c r="K42" s="605"/>
      <c r="L42" s="605"/>
      <c r="M42" s="605"/>
      <c r="N42" s="605"/>
      <c r="O42" s="606">
        <f t="shared" ref="O42:AA42" si="21">B7-O38</f>
        <v>0</v>
      </c>
      <c r="P42" s="606">
        <f t="shared" si="21"/>
        <v>0</v>
      </c>
      <c r="Q42" s="606">
        <f t="shared" si="21"/>
        <v>0</v>
      </c>
      <c r="R42" s="606">
        <f t="shared" si="21"/>
        <v>0</v>
      </c>
      <c r="S42" s="606">
        <f t="shared" si="21"/>
        <v>0</v>
      </c>
      <c r="T42" s="606">
        <f t="shared" si="21"/>
        <v>0</v>
      </c>
      <c r="U42" s="606">
        <f t="shared" si="21"/>
        <v>0</v>
      </c>
      <c r="V42" s="606">
        <f t="shared" si="21"/>
        <v>0</v>
      </c>
      <c r="W42" s="606">
        <f t="shared" si="21"/>
        <v>0</v>
      </c>
      <c r="X42" s="606">
        <f t="shared" si="21"/>
        <v>0</v>
      </c>
      <c r="Y42" s="606">
        <f t="shared" si="21"/>
        <v>0</v>
      </c>
      <c r="Z42" s="606">
        <f t="shared" si="21"/>
        <v>0</v>
      </c>
      <c r="AA42" s="607">
        <f t="shared" si="21"/>
        <v>0</v>
      </c>
      <c r="AB42" s="305"/>
      <c r="AC42" s="305"/>
      <c r="AD42" s="305"/>
      <c r="AE42" s="305"/>
      <c r="AF42" s="305"/>
    </row>
    <row r="43" spans="1:32" s="608" customFormat="1" ht="15.75" customHeight="1">
      <c r="A43" s="609" t="s">
        <v>2184</v>
      </c>
      <c r="B43" s="417">
        <f t="shared" ref="B43:N43" si="22">B11-O38</f>
        <v>0</v>
      </c>
      <c r="C43" s="417">
        <f t="shared" si="22"/>
        <v>0</v>
      </c>
      <c r="D43" s="417">
        <f t="shared" si="22"/>
        <v>0</v>
      </c>
      <c r="E43" s="417">
        <f t="shared" si="22"/>
        <v>0</v>
      </c>
      <c r="F43" s="417">
        <f t="shared" si="22"/>
        <v>0</v>
      </c>
      <c r="G43" s="417">
        <f t="shared" si="22"/>
        <v>0</v>
      </c>
      <c r="H43" s="417">
        <f t="shared" si="22"/>
        <v>0</v>
      </c>
      <c r="I43" s="417">
        <f t="shared" si="22"/>
        <v>0</v>
      </c>
      <c r="J43" s="417">
        <f t="shared" si="22"/>
        <v>0</v>
      </c>
      <c r="K43" s="417">
        <f t="shared" si="22"/>
        <v>0</v>
      </c>
      <c r="L43" s="417">
        <f t="shared" si="22"/>
        <v>0</v>
      </c>
      <c r="M43" s="417">
        <f t="shared" si="22"/>
        <v>0</v>
      </c>
      <c r="N43" s="417">
        <f t="shared" si="22"/>
        <v>0</v>
      </c>
      <c r="O43" s="305"/>
      <c r="P43" s="305"/>
      <c r="Q43" s="305"/>
      <c r="R43" s="305"/>
      <c r="S43" s="305"/>
      <c r="T43" s="305"/>
      <c r="U43" s="305"/>
      <c r="V43" s="305"/>
      <c r="W43" s="305"/>
      <c r="X43" s="305"/>
      <c r="Y43" s="305"/>
      <c r="Z43" s="305"/>
      <c r="AA43" s="610"/>
      <c r="AB43" s="305"/>
      <c r="AC43" s="305"/>
      <c r="AD43" s="305"/>
      <c r="AE43" s="305"/>
      <c r="AF43" s="305"/>
    </row>
    <row r="44" spans="1:32" s="608" customFormat="1" ht="15.75" customHeight="1">
      <c r="A44" s="609" t="s">
        <v>2185</v>
      </c>
      <c r="B44" s="417">
        <f>B11-审定资产负债表!D110</f>
        <v>0</v>
      </c>
      <c r="C44" s="417">
        <f>C11-审定资产负债表!D111</f>
        <v>0</v>
      </c>
      <c r="D44" s="417">
        <f>D11-审定资产负债表!D114</f>
        <v>0</v>
      </c>
      <c r="E44" s="417">
        <f>E11-审定资产负债表!D115</f>
        <v>0</v>
      </c>
      <c r="F44" s="417">
        <f>F11-审定资产负债表!D116</f>
        <v>0</v>
      </c>
      <c r="G44" s="417">
        <f>G11-审定资产负债表!D118</f>
        <v>0</v>
      </c>
      <c r="H44" s="417">
        <f>H11-审定资产负债表!D119</f>
        <v>0</v>
      </c>
      <c r="I44" s="417">
        <f>I11-审定资产负债表!D125</f>
        <v>0</v>
      </c>
      <c r="J44" s="417">
        <f>J11-审定资产负债表!D126</f>
        <v>0</v>
      </c>
      <c r="K44" s="305"/>
      <c r="L44" s="417">
        <f>L11-审定资产负债表!D127</f>
        <v>0</v>
      </c>
      <c r="M44" s="417">
        <f>M11-审定资产负债表!D128</f>
        <v>0</v>
      </c>
      <c r="N44" s="417">
        <f>N11-审定资产负债表!D129</f>
        <v>0</v>
      </c>
      <c r="O44" s="305"/>
      <c r="P44" s="305"/>
      <c r="Q44" s="305"/>
      <c r="R44" s="305"/>
      <c r="S44" s="305"/>
      <c r="T44" s="305"/>
      <c r="U44" s="305"/>
      <c r="V44" s="305"/>
      <c r="W44" s="305"/>
      <c r="X44" s="305"/>
      <c r="Y44" s="305"/>
      <c r="Z44" s="305"/>
      <c r="AA44" s="610"/>
      <c r="AB44" s="305"/>
      <c r="AC44" s="305"/>
      <c r="AD44" s="305"/>
      <c r="AE44" s="305"/>
      <c r="AF44" s="305"/>
    </row>
    <row r="45" spans="1:32" s="608" customFormat="1" ht="15.75" customHeight="1">
      <c r="A45" s="609" t="s">
        <v>2186</v>
      </c>
      <c r="B45" s="417">
        <f>B38-审定资产负债表!C110</f>
        <v>0</v>
      </c>
      <c r="C45" s="417">
        <f>C38-审定资产负债表!C111</f>
        <v>0</v>
      </c>
      <c r="D45" s="417">
        <f>D38-审定资产负债表!C114</f>
        <v>0</v>
      </c>
      <c r="E45" s="417">
        <f>E38-审定资产负债表!C115</f>
        <v>0</v>
      </c>
      <c r="F45" s="417">
        <f>F38-审定资产负债表!C116</f>
        <v>0</v>
      </c>
      <c r="G45" s="417">
        <f>G38-审定资产负债表!C118</f>
        <v>0</v>
      </c>
      <c r="H45" s="417">
        <f>H38-审定资产负债表!C119</f>
        <v>0</v>
      </c>
      <c r="I45" s="417">
        <f>I38-审定资产负债表!C125</f>
        <v>0</v>
      </c>
      <c r="J45" s="417">
        <f>J38-审定资产负债表!C126</f>
        <v>0</v>
      </c>
      <c r="K45" s="305"/>
      <c r="L45" s="417">
        <f>L38-审定资产负债表!C127</f>
        <v>0</v>
      </c>
      <c r="M45" s="417">
        <f>M38-审定资产负债表!C128</f>
        <v>0</v>
      </c>
      <c r="N45" s="417">
        <f>N38-审定资产负债表!C129</f>
        <v>0</v>
      </c>
      <c r="O45" s="417">
        <f>O38-审定资产负债表!D110</f>
        <v>0</v>
      </c>
      <c r="P45" s="417">
        <f>P38-审定资产负债表!D111</f>
        <v>0</v>
      </c>
      <c r="Q45" s="417">
        <f>Q38-审定资产负债表!D114</f>
        <v>0</v>
      </c>
      <c r="R45" s="417">
        <f>R38-审定资产负债表!D115</f>
        <v>0</v>
      </c>
      <c r="S45" s="417">
        <f>S38-审定资产负债表!D116</f>
        <v>0</v>
      </c>
      <c r="T45" s="417">
        <f>T38-审定资产负债表!D118</f>
        <v>0</v>
      </c>
      <c r="U45" s="417">
        <f>U38-审定资产负债表!D119</f>
        <v>0</v>
      </c>
      <c r="V45" s="417">
        <f>V38-审定资产负债表!D125</f>
        <v>0</v>
      </c>
      <c r="W45" s="417">
        <f>W38-审定资产负债表!D126</f>
        <v>0</v>
      </c>
      <c r="X45" s="305"/>
      <c r="Y45" s="417">
        <f>Y38-审定资产负债表!D127</f>
        <v>0</v>
      </c>
      <c r="Z45" s="417">
        <f>Z38-审定资产负债表!D128</f>
        <v>0</v>
      </c>
      <c r="AA45" s="611">
        <f>AA38-审定资产负债表!D129</f>
        <v>0</v>
      </c>
      <c r="AB45" s="305"/>
      <c r="AC45" s="305"/>
      <c r="AD45" s="305"/>
      <c r="AE45" s="305"/>
      <c r="AF45" s="305"/>
    </row>
    <row r="46" spans="1:32" s="608" customFormat="1" ht="15.75" customHeight="1">
      <c r="A46" s="612" t="s">
        <v>2187</v>
      </c>
      <c r="B46" s="613">
        <f>J13-审定利润表!C53</f>
        <v>0</v>
      </c>
      <c r="C46" s="614"/>
      <c r="D46" s="613">
        <f>M13-审定利润表!C71</f>
        <v>0</v>
      </c>
      <c r="E46" s="613">
        <f>W13-审定利润表!D53</f>
        <v>0</v>
      </c>
      <c r="F46" s="614"/>
      <c r="G46" s="613">
        <f>Z13-审定利润表!D71</f>
        <v>0</v>
      </c>
      <c r="H46" s="614"/>
      <c r="I46" s="613">
        <f>L13-审定利润表!C70</f>
        <v>0</v>
      </c>
      <c r="J46" s="614"/>
      <c r="K46" s="614"/>
      <c r="L46" s="614"/>
      <c r="M46" s="614"/>
      <c r="N46" s="614"/>
      <c r="O46" s="614"/>
      <c r="P46" s="614"/>
      <c r="Q46" s="614"/>
      <c r="R46" s="614"/>
      <c r="S46" s="614"/>
      <c r="T46" s="614"/>
      <c r="U46" s="614"/>
      <c r="V46" s="614"/>
      <c r="W46" s="614"/>
      <c r="X46" s="614"/>
      <c r="Y46" s="614"/>
      <c r="Z46" s="614"/>
      <c r="AA46" s="615"/>
      <c r="AB46" s="305"/>
      <c r="AC46" s="305"/>
      <c r="AD46" s="305"/>
      <c r="AE46" s="305"/>
      <c r="AF46" s="305"/>
    </row>
    <row r="47" spans="1:32" s="608" customFormat="1" ht="15.75" customHeight="1">
      <c r="B47" s="305"/>
      <c r="C47" s="305"/>
      <c r="D47" s="305"/>
      <c r="E47" s="305"/>
      <c r="F47" s="305"/>
      <c r="G47" s="305"/>
      <c r="H47" s="305"/>
      <c r="I47" s="305"/>
      <c r="J47" s="305"/>
      <c r="K47" s="305"/>
      <c r="L47" s="305"/>
      <c r="M47" s="305"/>
      <c r="N47" s="305"/>
      <c r="O47" s="305"/>
      <c r="P47" s="305"/>
      <c r="Q47" s="305"/>
      <c r="R47" s="305"/>
      <c r="S47" s="305"/>
      <c r="T47" s="305"/>
      <c r="U47" s="305"/>
      <c r="V47" s="305"/>
      <c r="W47" s="305"/>
      <c r="X47" s="305"/>
      <c r="Y47" s="305"/>
      <c r="Z47" s="305"/>
      <c r="AA47" s="305"/>
      <c r="AB47" s="305"/>
      <c r="AC47" s="305"/>
      <c r="AD47" s="305"/>
      <c r="AE47" s="305"/>
      <c r="AF47" s="305"/>
    </row>
    <row r="48" spans="1:32" s="608" customFormat="1" ht="15.75" customHeight="1">
      <c r="A48" s="616" t="s">
        <v>2188</v>
      </c>
      <c r="B48" s="606">
        <f t="shared" ref="B48:AA48" si="23">B7+B8+B9-B11</f>
        <v>0</v>
      </c>
      <c r="C48" s="606">
        <f t="shared" si="23"/>
        <v>0</v>
      </c>
      <c r="D48" s="606">
        <f t="shared" si="23"/>
        <v>0</v>
      </c>
      <c r="E48" s="606">
        <f t="shared" si="23"/>
        <v>0</v>
      </c>
      <c r="F48" s="606">
        <f t="shared" si="23"/>
        <v>0</v>
      </c>
      <c r="G48" s="606">
        <f t="shared" si="23"/>
        <v>0</v>
      </c>
      <c r="H48" s="606">
        <f t="shared" si="23"/>
        <v>0</v>
      </c>
      <c r="I48" s="606">
        <f t="shared" si="23"/>
        <v>0</v>
      </c>
      <c r="J48" s="606">
        <f t="shared" si="23"/>
        <v>0</v>
      </c>
      <c r="K48" s="606">
        <f t="shared" si="23"/>
        <v>0</v>
      </c>
      <c r="L48" s="606">
        <f t="shared" si="23"/>
        <v>0</v>
      </c>
      <c r="M48" s="606">
        <f t="shared" si="23"/>
        <v>0</v>
      </c>
      <c r="N48" s="606">
        <f t="shared" si="23"/>
        <v>0</v>
      </c>
      <c r="O48" s="606">
        <f t="shared" si="23"/>
        <v>0</v>
      </c>
      <c r="P48" s="606">
        <f t="shared" si="23"/>
        <v>0</v>
      </c>
      <c r="Q48" s="606">
        <f t="shared" si="23"/>
        <v>0</v>
      </c>
      <c r="R48" s="606">
        <f t="shared" si="23"/>
        <v>0</v>
      </c>
      <c r="S48" s="606">
        <f t="shared" si="23"/>
        <v>0</v>
      </c>
      <c r="T48" s="606">
        <f t="shared" si="23"/>
        <v>0</v>
      </c>
      <c r="U48" s="606">
        <f t="shared" si="23"/>
        <v>0</v>
      </c>
      <c r="V48" s="606">
        <f t="shared" si="23"/>
        <v>0</v>
      </c>
      <c r="W48" s="606">
        <f t="shared" si="23"/>
        <v>0</v>
      </c>
      <c r="X48" s="606">
        <f t="shared" si="23"/>
        <v>0</v>
      </c>
      <c r="Y48" s="606">
        <f t="shared" si="23"/>
        <v>0</v>
      </c>
      <c r="Z48" s="606">
        <f t="shared" si="23"/>
        <v>0</v>
      </c>
      <c r="AA48" s="607">
        <f t="shared" si="23"/>
        <v>0</v>
      </c>
      <c r="AB48" s="305"/>
      <c r="AC48" s="305"/>
      <c r="AD48" s="305"/>
      <c r="AE48" s="305"/>
      <c r="AF48" s="305"/>
    </row>
    <row r="49" spans="1:32" s="608" customFormat="1" ht="15.75" customHeight="1">
      <c r="A49" s="609"/>
      <c r="B49" s="417">
        <f t="shared" ref="B49:P49" si="24">B12-B13-B14-B19-B32-B22</f>
        <v>0</v>
      </c>
      <c r="C49" s="417">
        <f t="shared" si="24"/>
        <v>0</v>
      </c>
      <c r="D49" s="417">
        <f t="shared" si="24"/>
        <v>0</v>
      </c>
      <c r="E49" s="417">
        <f t="shared" si="24"/>
        <v>0</v>
      </c>
      <c r="F49" s="417">
        <f t="shared" si="24"/>
        <v>0</v>
      </c>
      <c r="G49" s="417">
        <f t="shared" si="24"/>
        <v>0</v>
      </c>
      <c r="H49" s="417">
        <f t="shared" si="24"/>
        <v>0</v>
      </c>
      <c r="I49" s="417">
        <f t="shared" si="24"/>
        <v>0</v>
      </c>
      <c r="J49" s="417">
        <f t="shared" si="24"/>
        <v>0</v>
      </c>
      <c r="K49" s="417">
        <f t="shared" si="24"/>
        <v>0</v>
      </c>
      <c r="L49" s="417">
        <f t="shared" si="24"/>
        <v>0</v>
      </c>
      <c r="M49" s="417">
        <f t="shared" si="24"/>
        <v>0</v>
      </c>
      <c r="N49" s="417">
        <f t="shared" si="24"/>
        <v>0</v>
      </c>
      <c r="O49" s="417">
        <f t="shared" si="24"/>
        <v>0</v>
      </c>
      <c r="P49" s="417">
        <f t="shared" si="24"/>
        <v>0</v>
      </c>
      <c r="Q49" s="417">
        <f t="shared" ref="Q49:Z49" si="25">Q12-Q13-Q14-Q19-Q32-Q22</f>
        <v>0</v>
      </c>
      <c r="R49" s="417">
        <f t="shared" si="25"/>
        <v>0</v>
      </c>
      <c r="S49" s="417">
        <f t="shared" si="25"/>
        <v>0</v>
      </c>
      <c r="T49" s="417">
        <f t="shared" si="25"/>
        <v>0</v>
      </c>
      <c r="U49" s="417">
        <f t="shared" si="25"/>
        <v>0</v>
      </c>
      <c r="V49" s="417">
        <f t="shared" si="25"/>
        <v>0</v>
      </c>
      <c r="W49" s="417">
        <f t="shared" si="25"/>
        <v>0</v>
      </c>
      <c r="X49" s="417">
        <f t="shared" si="25"/>
        <v>0</v>
      </c>
      <c r="Y49" s="417">
        <f t="shared" si="25"/>
        <v>0</v>
      </c>
      <c r="Z49" s="417">
        <f t="shared" si="25"/>
        <v>0</v>
      </c>
      <c r="AA49" s="611">
        <f>AA12-AA13-AA14-AA19-AA32-AA22</f>
        <v>0</v>
      </c>
      <c r="AB49" s="305"/>
      <c r="AC49" s="305"/>
      <c r="AD49" s="305"/>
      <c r="AE49" s="305"/>
      <c r="AF49" s="305"/>
    </row>
    <row r="50" spans="1:32" s="608" customFormat="1" ht="15.75" customHeight="1">
      <c r="A50" s="609"/>
      <c r="B50" s="305"/>
      <c r="C50" s="305"/>
      <c r="D50" s="305"/>
      <c r="E50" s="305"/>
      <c r="F50" s="305"/>
      <c r="G50" s="305"/>
      <c r="H50" s="305"/>
      <c r="I50" s="305"/>
      <c r="J50" s="305"/>
      <c r="K50" s="305"/>
      <c r="L50" s="305"/>
      <c r="M50" s="305"/>
      <c r="N50" s="305"/>
      <c r="O50" s="305"/>
      <c r="P50" s="305"/>
      <c r="Q50" s="305"/>
      <c r="R50" s="305"/>
      <c r="S50" s="305"/>
      <c r="T50" s="305"/>
      <c r="U50" s="305"/>
      <c r="V50" s="305"/>
      <c r="W50" s="305"/>
      <c r="X50" s="305"/>
      <c r="Y50" s="305"/>
      <c r="Z50" s="305"/>
      <c r="AA50" s="610"/>
      <c r="AB50" s="305"/>
      <c r="AC50" s="305"/>
      <c r="AD50" s="305"/>
      <c r="AE50" s="305"/>
      <c r="AF50" s="305"/>
    </row>
    <row r="51" spans="1:32" s="608" customFormat="1" ht="15.75" customHeight="1">
      <c r="A51" s="609"/>
      <c r="B51" s="417">
        <f>B14-B15-B17-B18</f>
        <v>0</v>
      </c>
      <c r="C51" s="417">
        <f>C14-C15-C17-C18</f>
        <v>0</v>
      </c>
      <c r="D51" s="417">
        <f t="shared" ref="D51:AA51" si="26">D14-D15-D17-D18</f>
        <v>0</v>
      </c>
      <c r="E51" s="417">
        <f t="shared" si="26"/>
        <v>0</v>
      </c>
      <c r="F51" s="417">
        <f>F14-F15-F17-F18</f>
        <v>0</v>
      </c>
      <c r="G51" s="417">
        <f t="shared" si="26"/>
        <v>0</v>
      </c>
      <c r="H51" s="417">
        <f t="shared" si="26"/>
        <v>0</v>
      </c>
      <c r="I51" s="417">
        <f t="shared" si="26"/>
        <v>0</v>
      </c>
      <c r="J51" s="417">
        <f t="shared" si="26"/>
        <v>0</v>
      </c>
      <c r="K51" s="417">
        <f t="shared" si="26"/>
        <v>0</v>
      </c>
      <c r="L51" s="417">
        <f t="shared" si="26"/>
        <v>0</v>
      </c>
      <c r="M51" s="417">
        <f t="shared" si="26"/>
        <v>0</v>
      </c>
      <c r="N51" s="417">
        <f t="shared" si="26"/>
        <v>0</v>
      </c>
      <c r="O51" s="417">
        <f t="shared" si="26"/>
        <v>0</v>
      </c>
      <c r="P51" s="417">
        <f>P14-P15-P17-P18</f>
        <v>0</v>
      </c>
      <c r="Q51" s="417">
        <f t="shared" si="26"/>
        <v>0</v>
      </c>
      <c r="R51" s="417">
        <f t="shared" si="26"/>
        <v>0</v>
      </c>
      <c r="S51" s="417">
        <f>S14-S15-S17-S18</f>
        <v>0</v>
      </c>
      <c r="T51" s="417">
        <f t="shared" si="26"/>
        <v>0</v>
      </c>
      <c r="U51" s="417">
        <f t="shared" si="26"/>
        <v>0</v>
      </c>
      <c r="V51" s="417">
        <f t="shared" si="26"/>
        <v>0</v>
      </c>
      <c r="W51" s="417">
        <f t="shared" si="26"/>
        <v>0</v>
      </c>
      <c r="X51" s="417">
        <f t="shared" si="26"/>
        <v>0</v>
      </c>
      <c r="Y51" s="417">
        <f t="shared" si="26"/>
        <v>0</v>
      </c>
      <c r="Z51" s="417">
        <f t="shared" si="26"/>
        <v>0</v>
      </c>
      <c r="AA51" s="611">
        <f t="shared" si="26"/>
        <v>0</v>
      </c>
      <c r="AB51" s="305"/>
      <c r="AC51" s="305"/>
      <c r="AD51" s="305"/>
      <c r="AE51" s="305"/>
      <c r="AF51" s="305"/>
    </row>
    <row r="52" spans="1:32" s="608" customFormat="1" ht="15.75" customHeight="1">
      <c r="A52" s="609"/>
      <c r="B52" s="417">
        <f>B19-B20-B21</f>
        <v>0</v>
      </c>
      <c r="C52" s="417">
        <f>C19-C20-C21</f>
        <v>0</v>
      </c>
      <c r="D52" s="417">
        <f t="shared" ref="D52:AA52" si="27">D19-D20-D21</f>
        <v>0</v>
      </c>
      <c r="E52" s="417">
        <f t="shared" si="27"/>
        <v>0</v>
      </c>
      <c r="F52" s="417">
        <f>F19-F20-F21</f>
        <v>0</v>
      </c>
      <c r="G52" s="417">
        <f t="shared" si="27"/>
        <v>0</v>
      </c>
      <c r="H52" s="417">
        <f t="shared" si="27"/>
        <v>0</v>
      </c>
      <c r="I52" s="417">
        <f t="shared" si="27"/>
        <v>0</v>
      </c>
      <c r="J52" s="417">
        <f t="shared" si="27"/>
        <v>0</v>
      </c>
      <c r="K52" s="417">
        <f t="shared" si="27"/>
        <v>0</v>
      </c>
      <c r="L52" s="417">
        <f t="shared" si="27"/>
        <v>0</v>
      </c>
      <c r="M52" s="417">
        <f t="shared" si="27"/>
        <v>0</v>
      </c>
      <c r="N52" s="417">
        <f t="shared" si="27"/>
        <v>0</v>
      </c>
      <c r="O52" s="417">
        <f t="shared" si="27"/>
        <v>0</v>
      </c>
      <c r="P52" s="417">
        <f>P19-P20-P21</f>
        <v>0</v>
      </c>
      <c r="Q52" s="417">
        <f t="shared" si="27"/>
        <v>0</v>
      </c>
      <c r="R52" s="417">
        <f t="shared" si="27"/>
        <v>0</v>
      </c>
      <c r="S52" s="417">
        <f>S19-S20-S21</f>
        <v>0</v>
      </c>
      <c r="T52" s="417">
        <f t="shared" si="27"/>
        <v>0</v>
      </c>
      <c r="U52" s="417">
        <f t="shared" si="27"/>
        <v>0</v>
      </c>
      <c r="V52" s="417">
        <f t="shared" si="27"/>
        <v>0</v>
      </c>
      <c r="W52" s="417">
        <f t="shared" si="27"/>
        <v>0</v>
      </c>
      <c r="X52" s="417">
        <f t="shared" si="27"/>
        <v>0</v>
      </c>
      <c r="Y52" s="417">
        <f t="shared" si="27"/>
        <v>0</v>
      </c>
      <c r="Z52" s="417">
        <f t="shared" si="27"/>
        <v>0</v>
      </c>
      <c r="AA52" s="611">
        <f t="shared" si="27"/>
        <v>0</v>
      </c>
      <c r="AB52" s="305"/>
      <c r="AC52" s="305"/>
      <c r="AD52" s="305"/>
      <c r="AE52" s="305"/>
      <c r="AF52" s="305"/>
    </row>
    <row r="53" spans="1:32" s="608" customFormat="1" ht="15.75" customHeight="1">
      <c r="A53" s="609"/>
      <c r="B53" s="417">
        <f>B22-B23-B29-B30-B31</f>
        <v>0</v>
      </c>
      <c r="C53" s="417">
        <f>C22-C23-C29-C30-C31</f>
        <v>0</v>
      </c>
      <c r="D53" s="417">
        <f t="shared" ref="D53:AA53" si="28">D22-D23-D29-D30-D31</f>
        <v>0</v>
      </c>
      <c r="E53" s="417">
        <f t="shared" si="28"/>
        <v>0</v>
      </c>
      <c r="F53" s="417">
        <f>F22-F23-F29-F30-F31</f>
        <v>0</v>
      </c>
      <c r="G53" s="417">
        <f t="shared" si="28"/>
        <v>0</v>
      </c>
      <c r="H53" s="417">
        <f t="shared" si="28"/>
        <v>0</v>
      </c>
      <c r="I53" s="417">
        <f t="shared" si="28"/>
        <v>0</v>
      </c>
      <c r="J53" s="417">
        <f t="shared" si="28"/>
        <v>0</v>
      </c>
      <c r="K53" s="417">
        <f t="shared" si="28"/>
        <v>0</v>
      </c>
      <c r="L53" s="417">
        <f t="shared" si="28"/>
        <v>0</v>
      </c>
      <c r="M53" s="417">
        <f t="shared" si="28"/>
        <v>0</v>
      </c>
      <c r="N53" s="417">
        <f t="shared" si="28"/>
        <v>0</v>
      </c>
      <c r="O53" s="417">
        <f t="shared" si="28"/>
        <v>0</v>
      </c>
      <c r="P53" s="417">
        <f>P22-P23-P29-P30-P31</f>
        <v>0</v>
      </c>
      <c r="Q53" s="417">
        <f t="shared" si="28"/>
        <v>0</v>
      </c>
      <c r="R53" s="417">
        <f t="shared" si="28"/>
        <v>0</v>
      </c>
      <c r="S53" s="417">
        <f>S22-S23-S29-S30-S31</f>
        <v>0</v>
      </c>
      <c r="T53" s="417">
        <f t="shared" si="28"/>
        <v>0</v>
      </c>
      <c r="U53" s="417">
        <f t="shared" si="28"/>
        <v>0</v>
      </c>
      <c r="V53" s="417">
        <f t="shared" si="28"/>
        <v>0</v>
      </c>
      <c r="W53" s="417">
        <f t="shared" si="28"/>
        <v>0</v>
      </c>
      <c r="X53" s="417">
        <f t="shared" si="28"/>
        <v>0</v>
      </c>
      <c r="Y53" s="417">
        <f t="shared" si="28"/>
        <v>0</v>
      </c>
      <c r="Z53" s="417">
        <f t="shared" si="28"/>
        <v>0</v>
      </c>
      <c r="AA53" s="611">
        <f t="shared" si="28"/>
        <v>0</v>
      </c>
      <c r="AB53" s="305"/>
      <c r="AC53" s="305"/>
      <c r="AD53" s="305"/>
      <c r="AE53" s="305"/>
      <c r="AF53" s="305"/>
    </row>
    <row r="54" spans="1:32" s="608" customFormat="1" ht="15.75" customHeight="1">
      <c r="A54" s="609"/>
      <c r="B54" s="417">
        <f>B23-B24-B25-B26-B27-B28</f>
        <v>0</v>
      </c>
      <c r="C54" s="417">
        <f>C23-C24-C25-C26-C27-C28</f>
        <v>0</v>
      </c>
      <c r="D54" s="417">
        <f t="shared" ref="D54:AA54" si="29">D23-D24-D25-D26-D27-D28</f>
        <v>0</v>
      </c>
      <c r="E54" s="417">
        <f t="shared" si="29"/>
        <v>0</v>
      </c>
      <c r="F54" s="417">
        <f>F23-F24-F25-F26-F27-F28</f>
        <v>0</v>
      </c>
      <c r="G54" s="417">
        <f t="shared" si="29"/>
        <v>0</v>
      </c>
      <c r="H54" s="417">
        <f t="shared" si="29"/>
        <v>0</v>
      </c>
      <c r="I54" s="417">
        <f t="shared" si="29"/>
        <v>0</v>
      </c>
      <c r="J54" s="417">
        <f t="shared" si="29"/>
        <v>0</v>
      </c>
      <c r="K54" s="417">
        <f t="shared" si="29"/>
        <v>0</v>
      </c>
      <c r="L54" s="417">
        <f t="shared" si="29"/>
        <v>0</v>
      </c>
      <c r="M54" s="417">
        <f t="shared" si="29"/>
        <v>0</v>
      </c>
      <c r="N54" s="417">
        <f t="shared" si="29"/>
        <v>0</v>
      </c>
      <c r="O54" s="417">
        <f t="shared" si="29"/>
        <v>0</v>
      </c>
      <c r="P54" s="417">
        <f>P23-P24-P25-P26-P27-P28</f>
        <v>0</v>
      </c>
      <c r="Q54" s="417">
        <f t="shared" si="29"/>
        <v>0</v>
      </c>
      <c r="R54" s="417">
        <f t="shared" si="29"/>
        <v>0</v>
      </c>
      <c r="S54" s="417">
        <f>S23-S24-S25-S26-S27-S28</f>
        <v>0</v>
      </c>
      <c r="T54" s="417">
        <f t="shared" si="29"/>
        <v>0</v>
      </c>
      <c r="U54" s="417">
        <f t="shared" si="29"/>
        <v>0</v>
      </c>
      <c r="V54" s="417">
        <f t="shared" si="29"/>
        <v>0</v>
      </c>
      <c r="W54" s="417">
        <f t="shared" si="29"/>
        <v>0</v>
      </c>
      <c r="X54" s="417">
        <f t="shared" si="29"/>
        <v>0</v>
      </c>
      <c r="Y54" s="417">
        <f t="shared" si="29"/>
        <v>0</v>
      </c>
      <c r="Z54" s="417">
        <f t="shared" si="29"/>
        <v>0</v>
      </c>
      <c r="AA54" s="611">
        <f t="shared" si="29"/>
        <v>0</v>
      </c>
      <c r="AB54" s="305"/>
      <c r="AC54" s="305"/>
      <c r="AD54" s="305"/>
      <c r="AE54" s="305"/>
      <c r="AF54" s="305"/>
    </row>
    <row r="55" spans="1:32" s="608" customFormat="1" ht="15.75" customHeight="1">
      <c r="A55" s="609"/>
      <c r="B55" s="417">
        <f>B32-B33-B34-B35-B37</f>
        <v>0</v>
      </c>
      <c r="C55" s="417">
        <f>C32-C33-C34-C35-C37</f>
        <v>0</v>
      </c>
      <c r="D55" s="417">
        <f t="shared" ref="D55:AA55" si="30">D32-D33-D34-D35-D37</f>
        <v>0</v>
      </c>
      <c r="E55" s="417">
        <f t="shared" si="30"/>
        <v>0</v>
      </c>
      <c r="F55" s="417">
        <f>F32-F33-F34-F35-F37</f>
        <v>0</v>
      </c>
      <c r="G55" s="417">
        <f t="shared" si="30"/>
        <v>0</v>
      </c>
      <c r="H55" s="417">
        <f t="shared" si="30"/>
        <v>0</v>
      </c>
      <c r="I55" s="417">
        <f t="shared" si="30"/>
        <v>0</v>
      </c>
      <c r="J55" s="417">
        <f t="shared" si="30"/>
        <v>0</v>
      </c>
      <c r="K55" s="417">
        <f t="shared" si="30"/>
        <v>0</v>
      </c>
      <c r="L55" s="417">
        <f t="shared" si="30"/>
        <v>0</v>
      </c>
      <c r="M55" s="417">
        <f t="shared" si="30"/>
        <v>0</v>
      </c>
      <c r="N55" s="417">
        <f t="shared" si="30"/>
        <v>0</v>
      </c>
      <c r="O55" s="417">
        <f t="shared" si="30"/>
        <v>0</v>
      </c>
      <c r="P55" s="417">
        <f>P32-P33-P34-P35-P37</f>
        <v>0</v>
      </c>
      <c r="Q55" s="417">
        <f t="shared" si="30"/>
        <v>0</v>
      </c>
      <c r="R55" s="417">
        <f t="shared" si="30"/>
        <v>0</v>
      </c>
      <c r="S55" s="417">
        <f>S32-S33-S34-S35-S37</f>
        <v>0</v>
      </c>
      <c r="T55" s="417">
        <f t="shared" si="30"/>
        <v>0</v>
      </c>
      <c r="U55" s="417">
        <f t="shared" si="30"/>
        <v>0</v>
      </c>
      <c r="V55" s="417">
        <f t="shared" si="30"/>
        <v>0</v>
      </c>
      <c r="W55" s="417">
        <f t="shared" si="30"/>
        <v>0</v>
      </c>
      <c r="X55" s="417">
        <f t="shared" si="30"/>
        <v>0</v>
      </c>
      <c r="Y55" s="417">
        <f t="shared" si="30"/>
        <v>0</v>
      </c>
      <c r="Z55" s="417">
        <f t="shared" si="30"/>
        <v>0</v>
      </c>
      <c r="AA55" s="611">
        <f t="shared" si="30"/>
        <v>0</v>
      </c>
      <c r="AB55" s="305"/>
      <c r="AC55" s="305"/>
      <c r="AD55" s="305"/>
      <c r="AE55" s="305"/>
      <c r="AF55" s="305"/>
    </row>
    <row r="56" spans="1:32" s="608" customFormat="1" ht="15.75" customHeight="1">
      <c r="A56" s="612"/>
      <c r="B56" s="613">
        <f t="shared" ref="B56:AA56" si="31">B11+B12-B38</f>
        <v>0</v>
      </c>
      <c r="C56" s="613">
        <f t="shared" si="31"/>
        <v>0</v>
      </c>
      <c r="D56" s="613">
        <f t="shared" si="31"/>
        <v>0</v>
      </c>
      <c r="E56" s="613">
        <f t="shared" si="31"/>
        <v>0</v>
      </c>
      <c r="F56" s="613">
        <f t="shared" si="31"/>
        <v>0</v>
      </c>
      <c r="G56" s="613">
        <f t="shared" si="31"/>
        <v>0</v>
      </c>
      <c r="H56" s="613">
        <f t="shared" si="31"/>
        <v>0</v>
      </c>
      <c r="I56" s="613">
        <f t="shared" si="31"/>
        <v>0</v>
      </c>
      <c r="J56" s="613">
        <f t="shared" si="31"/>
        <v>0</v>
      </c>
      <c r="K56" s="613">
        <f t="shared" si="31"/>
        <v>0</v>
      </c>
      <c r="L56" s="613">
        <f t="shared" si="31"/>
        <v>0</v>
      </c>
      <c r="M56" s="613">
        <f t="shared" si="31"/>
        <v>0</v>
      </c>
      <c r="N56" s="613">
        <f t="shared" si="31"/>
        <v>0</v>
      </c>
      <c r="O56" s="613">
        <f t="shared" si="31"/>
        <v>0</v>
      </c>
      <c r="P56" s="613">
        <f t="shared" si="31"/>
        <v>0</v>
      </c>
      <c r="Q56" s="613">
        <f t="shared" si="31"/>
        <v>0</v>
      </c>
      <c r="R56" s="613">
        <f t="shared" si="31"/>
        <v>0</v>
      </c>
      <c r="S56" s="613">
        <f t="shared" si="31"/>
        <v>0</v>
      </c>
      <c r="T56" s="613">
        <f t="shared" si="31"/>
        <v>0</v>
      </c>
      <c r="U56" s="613">
        <f t="shared" si="31"/>
        <v>0</v>
      </c>
      <c r="V56" s="613">
        <f t="shared" si="31"/>
        <v>0</v>
      </c>
      <c r="W56" s="613">
        <f t="shared" si="31"/>
        <v>0</v>
      </c>
      <c r="X56" s="613">
        <f t="shared" si="31"/>
        <v>0</v>
      </c>
      <c r="Y56" s="613">
        <f t="shared" si="31"/>
        <v>0</v>
      </c>
      <c r="Z56" s="613">
        <f t="shared" si="31"/>
        <v>0</v>
      </c>
      <c r="AA56" s="617">
        <f t="shared" si="31"/>
        <v>0</v>
      </c>
      <c r="AB56" s="305"/>
      <c r="AC56" s="305"/>
      <c r="AD56" s="305"/>
      <c r="AE56" s="305"/>
      <c r="AF56" s="305"/>
    </row>
    <row r="57" spans="1:32" ht="20.100000000000001" customHeight="1">
      <c r="L57" s="618"/>
      <c r="N57" s="618"/>
      <c r="O57" s="618"/>
      <c r="P57" s="618"/>
      <c r="Q57" s="618"/>
      <c r="R57" s="618"/>
      <c r="S57" s="618"/>
      <c r="T57" s="618"/>
      <c r="U57" s="618"/>
      <c r="V57" s="618"/>
      <c r="W57" s="618"/>
      <c r="X57" s="618"/>
      <c r="Y57" s="618"/>
      <c r="Z57" s="618"/>
      <c r="AA57" s="618"/>
    </row>
    <row r="58" spans="1:32" ht="20.100000000000001" customHeight="1">
      <c r="L58" s="618"/>
      <c r="N58" s="618"/>
      <c r="O58" s="618"/>
      <c r="P58" s="618"/>
      <c r="Q58" s="618"/>
      <c r="R58" s="618"/>
      <c r="S58" s="618"/>
      <c r="T58" s="618"/>
      <c r="U58" s="618"/>
      <c r="V58" s="618"/>
      <c r="W58" s="618"/>
      <c r="X58" s="618"/>
      <c r="Y58" s="618"/>
      <c r="Z58" s="618"/>
      <c r="AA58" s="618"/>
    </row>
    <row r="59" spans="1:32" ht="20.100000000000001" customHeight="1">
      <c r="L59" s="618"/>
      <c r="N59" s="618"/>
      <c r="O59" s="618"/>
      <c r="P59" s="618"/>
      <c r="Q59" s="618"/>
      <c r="R59" s="618"/>
      <c r="S59" s="618"/>
      <c r="T59" s="618"/>
      <c r="U59" s="618"/>
      <c r="V59" s="618"/>
      <c r="W59" s="618"/>
      <c r="X59" s="618"/>
      <c r="Y59" s="618"/>
      <c r="Z59" s="618"/>
      <c r="AA59" s="618"/>
    </row>
    <row r="60" spans="1:32" ht="20.100000000000001" customHeight="1">
      <c r="L60" s="618"/>
      <c r="N60" s="618"/>
      <c r="O60" s="618"/>
      <c r="P60" s="618"/>
      <c r="Q60" s="618"/>
      <c r="R60" s="618"/>
      <c r="S60" s="618"/>
      <c r="T60" s="618"/>
      <c r="U60" s="618"/>
      <c r="V60" s="618"/>
      <c r="W60" s="618"/>
      <c r="X60" s="618"/>
      <c r="Y60" s="618"/>
      <c r="Z60" s="618"/>
      <c r="AA60" s="618"/>
    </row>
    <row r="61" spans="1:32" ht="20.100000000000001" customHeight="1">
      <c r="L61" s="618"/>
      <c r="N61" s="618"/>
      <c r="O61" s="618"/>
      <c r="P61" s="618"/>
      <c r="Q61" s="618"/>
      <c r="R61" s="618"/>
      <c r="S61" s="618"/>
      <c r="T61" s="618"/>
      <c r="U61" s="618"/>
      <c r="V61" s="618"/>
      <c r="W61" s="618"/>
      <c r="X61" s="618"/>
      <c r="Y61" s="618"/>
      <c r="Z61" s="618"/>
      <c r="AA61" s="618"/>
    </row>
    <row r="62" spans="1:32" ht="20.100000000000001" customHeight="1">
      <c r="L62" s="618"/>
      <c r="N62" s="618"/>
      <c r="O62" s="618"/>
      <c r="P62" s="618"/>
      <c r="Q62" s="618"/>
      <c r="R62" s="618"/>
      <c r="S62" s="618"/>
      <c r="T62" s="618"/>
      <c r="U62" s="618"/>
      <c r="V62" s="618"/>
      <c r="W62" s="618"/>
      <c r="X62" s="618"/>
      <c r="Y62" s="618"/>
      <c r="Z62" s="618"/>
      <c r="AA62" s="618"/>
    </row>
    <row r="63" spans="1:32" ht="20.100000000000001" customHeight="1">
      <c r="L63" s="618"/>
      <c r="N63" s="618"/>
      <c r="O63" s="618"/>
      <c r="P63" s="618"/>
      <c r="Q63" s="618"/>
      <c r="R63" s="618"/>
      <c r="S63" s="618"/>
      <c r="T63" s="618"/>
      <c r="U63" s="618"/>
      <c r="V63" s="618"/>
      <c r="W63" s="618"/>
      <c r="X63" s="618"/>
      <c r="Y63" s="618"/>
      <c r="Z63" s="618"/>
      <c r="AA63" s="618"/>
    </row>
    <row r="64" spans="1:32" ht="20.100000000000001" customHeight="1">
      <c r="L64" s="618"/>
      <c r="N64" s="618"/>
      <c r="O64" s="618"/>
      <c r="P64" s="618"/>
      <c r="Q64" s="618"/>
      <c r="R64" s="618"/>
      <c r="S64" s="618"/>
      <c r="T64" s="618"/>
      <c r="U64" s="618"/>
      <c r="V64" s="618"/>
      <c r="W64" s="618"/>
      <c r="X64" s="618"/>
      <c r="Y64" s="618"/>
      <c r="Z64" s="618"/>
      <c r="AA64" s="618"/>
    </row>
    <row r="65" spans="12:27" ht="20.100000000000001" customHeight="1">
      <c r="L65" s="618"/>
      <c r="N65" s="618"/>
      <c r="O65" s="618"/>
      <c r="P65" s="618"/>
      <c r="Q65" s="618"/>
      <c r="R65" s="618"/>
      <c r="S65" s="618"/>
      <c r="T65" s="618"/>
      <c r="U65" s="618"/>
      <c r="V65" s="618"/>
      <c r="W65" s="618"/>
      <c r="X65" s="618"/>
      <c r="Y65" s="618"/>
      <c r="Z65" s="618"/>
      <c r="AA65" s="618"/>
    </row>
    <row r="66" spans="12:27" ht="20.100000000000001" customHeight="1">
      <c r="L66" s="618"/>
      <c r="N66" s="618"/>
      <c r="O66" s="618"/>
      <c r="P66" s="618"/>
      <c r="Q66" s="618"/>
      <c r="R66" s="618"/>
      <c r="S66" s="618"/>
      <c r="T66" s="618"/>
      <c r="U66" s="618"/>
      <c r="V66" s="618"/>
      <c r="W66" s="618"/>
      <c r="X66" s="618"/>
      <c r="Y66" s="618"/>
      <c r="Z66" s="618"/>
      <c r="AA66" s="618"/>
    </row>
    <row r="67" spans="12:27" ht="20.100000000000001" customHeight="1">
      <c r="L67" s="618"/>
      <c r="N67" s="618"/>
      <c r="O67" s="618"/>
      <c r="P67" s="618"/>
      <c r="Q67" s="618"/>
      <c r="R67" s="618"/>
      <c r="S67" s="618"/>
      <c r="T67" s="618"/>
      <c r="U67" s="618"/>
      <c r="V67" s="618"/>
      <c r="W67" s="618"/>
      <c r="X67" s="618"/>
      <c r="Y67" s="618"/>
      <c r="Z67" s="618"/>
      <c r="AA67" s="618"/>
    </row>
    <row r="68" spans="12:27" ht="20.100000000000001" customHeight="1">
      <c r="L68" s="618"/>
      <c r="N68" s="618"/>
      <c r="O68" s="618"/>
      <c r="P68" s="618"/>
      <c r="Q68" s="618"/>
      <c r="R68" s="618"/>
      <c r="S68" s="618"/>
      <c r="T68" s="618"/>
      <c r="U68" s="618"/>
      <c r="V68" s="618"/>
      <c r="W68" s="618"/>
      <c r="X68" s="618"/>
      <c r="Y68" s="618"/>
      <c r="Z68" s="618"/>
      <c r="AA68" s="618"/>
    </row>
    <row r="69" spans="12:27" ht="20.100000000000001" customHeight="1">
      <c r="L69" s="618"/>
      <c r="N69" s="618"/>
      <c r="O69" s="618"/>
      <c r="P69" s="618"/>
      <c r="Q69" s="618"/>
      <c r="R69" s="618"/>
      <c r="S69" s="618"/>
      <c r="T69" s="618"/>
      <c r="U69" s="618"/>
      <c r="V69" s="618"/>
      <c r="W69" s="618"/>
      <c r="X69" s="618"/>
      <c r="Y69" s="618"/>
      <c r="Z69" s="618"/>
      <c r="AA69" s="618"/>
    </row>
    <row r="70" spans="12:27" ht="20.100000000000001" customHeight="1">
      <c r="L70" s="618"/>
      <c r="N70" s="618"/>
      <c r="O70" s="618"/>
      <c r="P70" s="618"/>
      <c r="Q70" s="618"/>
      <c r="R70" s="618"/>
      <c r="S70" s="618"/>
      <c r="T70" s="618"/>
      <c r="U70" s="618"/>
      <c r="V70" s="618"/>
      <c r="W70" s="618"/>
      <c r="X70" s="618"/>
      <c r="Y70" s="618"/>
      <c r="Z70" s="618"/>
      <c r="AA70" s="618"/>
    </row>
    <row r="71" spans="12:27" ht="20.100000000000001" customHeight="1">
      <c r="L71" s="618"/>
      <c r="N71" s="618"/>
      <c r="O71" s="618"/>
      <c r="P71" s="618"/>
      <c r="Q71" s="618"/>
      <c r="R71" s="618"/>
      <c r="S71" s="618"/>
      <c r="T71" s="618"/>
      <c r="U71" s="618"/>
      <c r="V71" s="618"/>
      <c r="W71" s="618"/>
      <c r="X71" s="618"/>
      <c r="Y71" s="618"/>
      <c r="Z71" s="618"/>
      <c r="AA71" s="618"/>
    </row>
    <row r="72" spans="12:27" ht="20.100000000000001" customHeight="1">
      <c r="L72" s="618"/>
      <c r="N72" s="618"/>
      <c r="O72" s="618"/>
      <c r="P72" s="618"/>
      <c r="Q72" s="618"/>
      <c r="R72" s="618"/>
      <c r="S72" s="618"/>
      <c r="T72" s="618"/>
      <c r="U72" s="618"/>
      <c r="V72" s="618"/>
      <c r="W72" s="618"/>
      <c r="X72" s="618"/>
      <c r="Y72" s="618"/>
      <c r="Z72" s="618"/>
      <c r="AA72" s="618"/>
    </row>
    <row r="73" spans="12:27" ht="20.100000000000001" customHeight="1">
      <c r="L73" s="618"/>
      <c r="N73" s="618"/>
      <c r="O73" s="618"/>
      <c r="P73" s="618"/>
      <c r="Q73" s="618"/>
      <c r="R73" s="618"/>
      <c r="S73" s="618"/>
      <c r="T73" s="618"/>
      <c r="U73" s="618"/>
      <c r="V73" s="618"/>
      <c r="W73" s="618"/>
      <c r="X73" s="618"/>
      <c r="Y73" s="618"/>
      <c r="Z73" s="618"/>
      <c r="AA73" s="618"/>
    </row>
    <row r="74" spans="12:27" ht="20.100000000000001" customHeight="1">
      <c r="L74" s="618"/>
      <c r="N74" s="618"/>
      <c r="O74" s="618"/>
      <c r="P74" s="618"/>
      <c r="Q74" s="618"/>
      <c r="R74" s="618"/>
      <c r="S74" s="618"/>
      <c r="T74" s="618"/>
      <c r="U74" s="618"/>
      <c r="V74" s="618"/>
      <c r="W74" s="618"/>
      <c r="X74" s="618"/>
      <c r="Y74" s="618"/>
      <c r="Z74" s="618"/>
      <c r="AA74" s="618"/>
    </row>
    <row r="75" spans="12:27" ht="20.100000000000001" customHeight="1">
      <c r="L75" s="618"/>
      <c r="N75" s="618"/>
      <c r="O75" s="618"/>
      <c r="P75" s="618"/>
      <c r="Q75" s="618"/>
      <c r="R75" s="618"/>
      <c r="S75" s="618"/>
      <c r="T75" s="618"/>
      <c r="U75" s="618"/>
      <c r="V75" s="618"/>
      <c r="W75" s="618"/>
      <c r="X75" s="618"/>
      <c r="Y75" s="618"/>
      <c r="Z75" s="618"/>
      <c r="AA75" s="618"/>
    </row>
    <row r="76" spans="12:27" ht="20.100000000000001" customHeight="1">
      <c r="L76" s="618"/>
      <c r="N76" s="618"/>
      <c r="O76" s="618"/>
      <c r="P76" s="618"/>
      <c r="Q76" s="618"/>
      <c r="R76" s="618"/>
      <c r="S76" s="618"/>
      <c r="T76" s="618"/>
      <c r="U76" s="618"/>
      <c r="V76" s="618"/>
      <c r="W76" s="618"/>
      <c r="X76" s="618"/>
      <c r="Y76" s="618"/>
      <c r="Z76" s="618"/>
      <c r="AA76" s="618"/>
    </row>
    <row r="77" spans="12:27" ht="20.100000000000001" customHeight="1">
      <c r="L77" s="618"/>
      <c r="N77" s="618"/>
      <c r="O77" s="618"/>
      <c r="P77" s="618"/>
      <c r="Q77" s="618"/>
      <c r="R77" s="618"/>
      <c r="S77" s="618"/>
      <c r="T77" s="618"/>
      <c r="U77" s="618"/>
      <c r="V77" s="618"/>
      <c r="W77" s="618"/>
      <c r="X77" s="618"/>
      <c r="Y77" s="618"/>
      <c r="Z77" s="618"/>
      <c r="AA77" s="618"/>
    </row>
    <row r="78" spans="12:27" ht="20.100000000000001" customHeight="1">
      <c r="L78" s="618"/>
      <c r="N78" s="618"/>
      <c r="O78" s="618"/>
      <c r="P78" s="618"/>
      <c r="Q78" s="618"/>
      <c r="R78" s="618"/>
      <c r="S78" s="618"/>
      <c r="T78" s="618"/>
      <c r="U78" s="618"/>
      <c r="V78" s="618"/>
      <c r="W78" s="618"/>
      <c r="X78" s="618"/>
      <c r="Y78" s="618"/>
      <c r="Z78" s="618"/>
      <c r="AA78" s="618"/>
    </row>
    <row r="79" spans="12:27" ht="20.100000000000001" customHeight="1">
      <c r="L79" s="618"/>
      <c r="N79" s="618"/>
      <c r="O79" s="618"/>
      <c r="P79" s="618"/>
      <c r="Q79" s="618"/>
      <c r="R79" s="618"/>
      <c r="S79" s="618"/>
      <c r="T79" s="618"/>
      <c r="U79" s="618"/>
      <c r="V79" s="618"/>
      <c r="W79" s="618"/>
      <c r="X79" s="618"/>
      <c r="Y79" s="618"/>
      <c r="Z79" s="618"/>
      <c r="AA79" s="618"/>
    </row>
    <row r="80" spans="12:27" ht="20.100000000000001" customHeight="1">
      <c r="L80" s="618"/>
      <c r="N80" s="618"/>
      <c r="O80" s="618"/>
      <c r="P80" s="618"/>
      <c r="Q80" s="618"/>
      <c r="R80" s="618"/>
      <c r="S80" s="618"/>
      <c r="T80" s="618"/>
      <c r="U80" s="618"/>
      <c r="V80" s="618"/>
      <c r="W80" s="618"/>
      <c r="X80" s="618"/>
      <c r="Y80" s="618"/>
      <c r="Z80" s="618"/>
      <c r="AA80" s="618"/>
    </row>
    <row r="81" spans="2:27" ht="20.100000000000001" customHeight="1">
      <c r="L81" s="618"/>
      <c r="N81" s="618"/>
      <c r="O81" s="618"/>
      <c r="P81" s="618"/>
      <c r="Q81" s="618"/>
      <c r="R81" s="618"/>
      <c r="S81" s="618"/>
      <c r="T81" s="618"/>
      <c r="U81" s="618"/>
      <c r="V81" s="618"/>
      <c r="W81" s="618"/>
      <c r="X81" s="618"/>
      <c r="Y81" s="618"/>
      <c r="Z81" s="618"/>
      <c r="AA81" s="618"/>
    </row>
    <row r="82" spans="2:27" ht="20.100000000000001" customHeight="1">
      <c r="L82" s="618"/>
      <c r="N82" s="618"/>
      <c r="O82" s="618"/>
      <c r="P82" s="618"/>
      <c r="Q82" s="618"/>
      <c r="R82" s="618"/>
      <c r="S82" s="618"/>
      <c r="T82" s="618"/>
      <c r="U82" s="618"/>
      <c r="V82" s="618"/>
      <c r="W82" s="618"/>
      <c r="X82" s="618"/>
      <c r="Y82" s="618"/>
      <c r="Z82" s="618"/>
      <c r="AA82" s="618"/>
    </row>
    <row r="83" spans="2:27" ht="20.100000000000001" customHeight="1">
      <c r="L83" s="618"/>
      <c r="N83" s="618"/>
      <c r="O83" s="618"/>
      <c r="P83" s="618"/>
      <c r="Q83" s="618"/>
      <c r="R83" s="618"/>
      <c r="S83" s="618"/>
      <c r="T83" s="618"/>
      <c r="U83" s="618"/>
      <c r="V83" s="618"/>
      <c r="W83" s="618"/>
      <c r="X83" s="618"/>
      <c r="Y83" s="618"/>
      <c r="Z83" s="618"/>
      <c r="AA83" s="618"/>
    </row>
    <row r="84" spans="2:27" ht="20.100000000000001" customHeight="1">
      <c r="L84" s="618"/>
      <c r="N84" s="618"/>
      <c r="O84" s="618"/>
      <c r="P84" s="618"/>
      <c r="Q84" s="618"/>
      <c r="R84" s="618"/>
      <c r="S84" s="618"/>
      <c r="T84" s="618"/>
      <c r="U84" s="618"/>
      <c r="V84" s="618"/>
      <c r="W84" s="618"/>
      <c r="X84" s="618"/>
      <c r="Y84" s="618"/>
      <c r="Z84" s="618"/>
      <c r="AA84" s="618"/>
    </row>
    <row r="85" spans="2:27" ht="20.100000000000001" customHeight="1"/>
    <row r="86" spans="2:27" ht="20.100000000000001" customHeight="1">
      <c r="B86" s="432"/>
      <c r="C86" s="432"/>
      <c r="D86" s="432"/>
      <c r="E86" s="432"/>
      <c r="F86" s="432"/>
      <c r="G86" s="432"/>
      <c r="H86" s="432"/>
      <c r="I86" s="432"/>
      <c r="J86" s="432"/>
      <c r="K86" s="432"/>
      <c r="L86" s="432"/>
      <c r="M86" s="432"/>
      <c r="N86" s="432"/>
      <c r="O86" s="432"/>
      <c r="P86" s="432"/>
      <c r="Q86" s="432"/>
      <c r="R86" s="432"/>
      <c r="S86" s="432"/>
      <c r="T86" s="432"/>
      <c r="U86" s="432"/>
      <c r="V86" s="432"/>
      <c r="W86" s="432"/>
      <c r="X86" s="432"/>
      <c r="Y86" s="432"/>
      <c r="Z86" s="432"/>
      <c r="AA86" s="432"/>
    </row>
    <row r="87" spans="2:27" ht="20.100000000000001" customHeight="1">
      <c r="B87" s="432"/>
      <c r="C87" s="432"/>
      <c r="D87" s="432"/>
      <c r="E87" s="432"/>
      <c r="F87" s="432"/>
      <c r="G87" s="432"/>
      <c r="H87" s="432"/>
      <c r="I87" s="432"/>
      <c r="J87" s="432"/>
      <c r="K87" s="432"/>
      <c r="L87" s="432"/>
      <c r="M87" s="432"/>
      <c r="N87" s="432"/>
      <c r="O87" s="432"/>
      <c r="P87" s="432"/>
      <c r="Q87" s="432"/>
      <c r="R87" s="432"/>
      <c r="S87" s="432"/>
      <c r="T87" s="432"/>
      <c r="U87" s="432"/>
      <c r="V87" s="432"/>
      <c r="W87" s="432"/>
      <c r="X87" s="432"/>
      <c r="Y87" s="432"/>
      <c r="Z87" s="432"/>
      <c r="AA87" s="432"/>
    </row>
    <row r="88" spans="2:27" ht="27.2" customHeight="1">
      <c r="B88" s="619"/>
      <c r="C88" s="619"/>
    </row>
    <row r="89" spans="2:27" ht="20.100000000000001" customHeight="1">
      <c r="B89" s="620"/>
      <c r="C89" s="620"/>
      <c r="D89" s="620"/>
      <c r="E89" s="620"/>
      <c r="F89" s="620"/>
      <c r="G89" s="620"/>
      <c r="H89" s="620"/>
      <c r="I89" s="620"/>
      <c r="J89" s="620"/>
      <c r="K89" s="620"/>
      <c r="L89" s="620"/>
      <c r="M89" s="620"/>
      <c r="N89" s="620"/>
      <c r="O89" s="620"/>
      <c r="P89" s="620"/>
      <c r="Q89" s="620"/>
      <c r="R89" s="620"/>
      <c r="S89" s="620"/>
      <c r="T89" s="620"/>
      <c r="U89" s="620"/>
      <c r="V89" s="620"/>
      <c r="W89" s="620"/>
      <c r="X89" s="620"/>
      <c r="Y89" s="620"/>
      <c r="Z89" s="620"/>
      <c r="AA89" s="620"/>
    </row>
    <row r="90" spans="2:27" ht="20.100000000000001" customHeight="1">
      <c r="B90" s="620"/>
      <c r="C90" s="620"/>
      <c r="D90" s="620"/>
      <c r="E90" s="620"/>
      <c r="F90" s="620"/>
      <c r="G90" s="620"/>
      <c r="H90" s="620"/>
      <c r="I90" s="620"/>
      <c r="J90" s="620"/>
      <c r="K90" s="620"/>
      <c r="L90" s="620"/>
      <c r="M90" s="620"/>
      <c r="N90" s="620"/>
      <c r="O90" s="620"/>
      <c r="P90" s="620"/>
      <c r="Q90" s="620"/>
      <c r="R90" s="620"/>
      <c r="S90" s="620"/>
      <c r="T90" s="620"/>
      <c r="U90" s="620"/>
      <c r="V90" s="620"/>
      <c r="W90" s="620"/>
      <c r="X90" s="620"/>
      <c r="Y90" s="620"/>
      <c r="Z90" s="620"/>
      <c r="AA90" s="620"/>
    </row>
    <row r="91" spans="2:27" ht="20.100000000000001" customHeight="1"/>
    <row r="92" spans="2:27" ht="20.100000000000001" customHeight="1">
      <c r="J92" s="620"/>
    </row>
    <row r="93" spans="2:27" ht="20.100000000000001" customHeight="1">
      <c r="M93" s="620"/>
    </row>
    <row r="94" spans="2:27" ht="20.100000000000001" customHeight="1"/>
    <row r="95" spans="2:27" ht="20.100000000000001" customHeight="1"/>
    <row r="96" spans="2:27" ht="20.100000000000001" customHeight="1"/>
    <row r="97" ht="20.100000000000001" customHeight="1"/>
    <row r="98" ht="20.100000000000001" customHeight="1"/>
    <row r="99" ht="20.100000000000001" customHeight="1"/>
    <row r="100" ht="20.100000000000001" customHeight="1"/>
    <row r="101" ht="20.100000000000001" customHeight="1"/>
    <row r="102" ht="20.100000000000001" customHeight="1"/>
    <row r="103" ht="20.100000000000001" customHeight="1"/>
    <row r="104" ht="20.100000000000001" customHeight="1"/>
    <row r="105" ht="20.100000000000001" customHeight="1"/>
    <row r="106" ht="20.100000000000001" customHeight="1"/>
    <row r="107" ht="20.100000000000001" customHeight="1"/>
    <row r="108" ht="20.100000000000001" customHeight="1"/>
    <row r="109" ht="20.100000000000001" customHeight="1"/>
    <row r="110" ht="20.100000000000001" customHeight="1"/>
    <row r="111" ht="20.100000000000001" customHeight="1"/>
    <row r="112" ht="20.100000000000001" customHeight="1"/>
    <row r="113" ht="20.100000000000001" customHeight="1"/>
  </sheetData>
  <sheetProtection formatCells="0" formatColumns="0" formatRows="0" autoFilter="0"/>
  <mergeCells count="12">
    <mergeCell ref="AE2:AF3"/>
    <mergeCell ref="A40:AA40"/>
    <mergeCell ref="B5:L5"/>
    <mergeCell ref="M5:M6"/>
    <mergeCell ref="N5:N6"/>
    <mergeCell ref="O5:Y5"/>
    <mergeCell ref="A4:A6"/>
    <mergeCell ref="B4:N4"/>
    <mergeCell ref="O4:AA4"/>
    <mergeCell ref="Z5:Z6"/>
    <mergeCell ref="AA5:AA6"/>
    <mergeCell ref="A39:AA39"/>
  </mergeCells>
  <phoneticPr fontId="5" type="noConversion"/>
  <hyperlinks>
    <hyperlink ref="AE2" location="附注填写封面!B3" display="返回目录" xr:uid="{00000000-0004-0000-0E00-000000000000}"/>
  </hyperlinks>
  <printOptions horizontalCentered="1"/>
  <pageMargins left="7.874015748031496E-2" right="7.874015748031496E-2" top="0.74803149606299213" bottom="0.11811023622047245" header="0.43307086614173229" footer="0.23622047244094491"/>
  <pageSetup paperSize="9" scale="49" firstPageNumber="7" orientation="landscape" blackAndWhite="1" useFirstPageNumber="1" r:id="rId1"/>
  <headerFooter alignWithMargins="0">
    <oddFooter>&amp;C&amp;"Times New Roman,常规"&amp;P</oddFooter>
  </headerFooter>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dimension ref="A1:Q62"/>
  <sheetViews>
    <sheetView showGridLines="0" showZeros="0" zoomScaleSheetLayoutView="75" workbookViewId="0">
      <pane xSplit="1" ySplit="5" topLeftCell="G6" activePane="bottomRight" state="frozen"/>
      <selection activeCell="A5" sqref="A5:A6"/>
      <selection pane="topRight" activeCell="A5" sqref="A5:A6"/>
      <selection pane="bottomLeft" activeCell="A5" sqref="A5:A6"/>
      <selection pane="bottomRight"/>
    </sheetView>
  </sheetViews>
  <sheetFormatPr defaultColWidth="9" defaultRowHeight="17.25" customHeight="1"/>
  <cols>
    <col min="1" max="1" width="27.625" style="91" bestFit="1" customWidth="1"/>
    <col min="2" max="2" width="13.875" style="91" bestFit="1" customWidth="1"/>
    <col min="3" max="4" width="11.625" style="91" bestFit="1" customWidth="1"/>
    <col min="5" max="5" width="13.875" style="91" bestFit="1" customWidth="1"/>
    <col min="6" max="6" width="5.625" style="91" bestFit="1" customWidth="1"/>
    <col min="7" max="7" width="11.625" style="91" bestFit="1" customWidth="1"/>
    <col min="8" max="8" width="7.625" style="91" bestFit="1" customWidth="1"/>
    <col min="9" max="9" width="11.625" style="91" bestFit="1" customWidth="1"/>
    <col min="10" max="10" width="13.875" style="91" bestFit="1" customWidth="1"/>
    <col min="11" max="11" width="5.625" style="91" bestFit="1" customWidth="1"/>
    <col min="12" max="12" width="13.875" style="91" bestFit="1" customWidth="1"/>
    <col min="13" max="13" width="50.625" style="91" bestFit="1" customWidth="1"/>
    <col min="14" max="14" width="20.625" style="91" bestFit="1" customWidth="1"/>
    <col min="15" max="15" width="4.125" style="75" bestFit="1" customWidth="1"/>
    <col min="16" max="16" width="8.875" style="75" bestFit="1" customWidth="1"/>
    <col min="17" max="17" width="10.625" style="75" bestFit="1" customWidth="1"/>
    <col min="18" max="16384" width="9" style="91"/>
  </cols>
  <sheetData>
    <row r="1" spans="1:17" ht="23.25" customHeight="1">
      <c r="A1" s="640" t="str">
        <f>封面!C7&amp;"资产减值准备情况表"</f>
        <v>资产减值准备情况表</v>
      </c>
      <c r="B1" s="641"/>
      <c r="C1" s="641"/>
      <c r="D1" s="641"/>
      <c r="E1" s="641"/>
      <c r="F1" s="641"/>
      <c r="G1" s="641"/>
      <c r="H1" s="641"/>
      <c r="I1" s="641"/>
      <c r="J1" s="641"/>
      <c r="K1" s="641"/>
      <c r="L1" s="641"/>
      <c r="M1" s="641"/>
      <c r="N1" s="641"/>
      <c r="O1" s="125"/>
      <c r="P1" s="125"/>
      <c r="Q1" s="642" t="s">
        <v>1585</v>
      </c>
    </row>
    <row r="2" spans="1:17" ht="18" customHeight="1">
      <c r="A2" s="643">
        <f>封面!$C$5</f>
        <v>43616</v>
      </c>
      <c r="B2" s="644"/>
      <c r="C2" s="644"/>
      <c r="D2" s="644"/>
      <c r="E2" s="644"/>
      <c r="F2" s="644"/>
      <c r="G2" s="644"/>
      <c r="H2" s="644"/>
      <c r="I2" s="644"/>
      <c r="J2" s="644"/>
      <c r="K2" s="644"/>
      <c r="L2" s="644"/>
      <c r="M2" s="644"/>
      <c r="N2" s="644"/>
      <c r="O2" s="125"/>
      <c r="P2" s="125"/>
      <c r="Q2" s="645"/>
    </row>
    <row r="3" spans="1:17" ht="21" customHeight="1" thickBot="1">
      <c r="A3" s="625" t="str">
        <f>审定资产负债表!A3</f>
        <v>编制单位：华鼎资本（北京）有限公司</v>
      </c>
      <c r="B3" s="626"/>
      <c r="C3" s="627"/>
      <c r="D3" s="1718"/>
      <c r="E3" s="1718"/>
      <c r="F3" s="1718"/>
      <c r="G3" s="628"/>
      <c r="H3" s="628"/>
      <c r="I3" s="628"/>
      <c r="J3" s="628"/>
      <c r="K3" s="628"/>
      <c r="L3" s="424"/>
      <c r="M3" s="626"/>
      <c r="N3" s="424" t="s">
        <v>2031</v>
      </c>
      <c r="O3" s="128"/>
      <c r="P3" s="623" t="s">
        <v>1586</v>
      </c>
      <c r="Q3" s="128"/>
    </row>
    <row r="4" spans="1:17" s="646" customFormat="1" ht="15.75" customHeight="1">
      <c r="A4" s="1719" t="s">
        <v>529</v>
      </c>
      <c r="B4" s="1721" t="s">
        <v>2195</v>
      </c>
      <c r="C4" s="1721" t="s">
        <v>2189</v>
      </c>
      <c r="D4" s="1721"/>
      <c r="E4" s="1721"/>
      <c r="F4" s="1721"/>
      <c r="G4" s="1721" t="s">
        <v>2190</v>
      </c>
      <c r="H4" s="1721"/>
      <c r="I4" s="1723"/>
      <c r="J4" s="1723"/>
      <c r="K4" s="1723"/>
      <c r="L4" s="1721" t="s">
        <v>2202</v>
      </c>
      <c r="M4" s="1721" t="s">
        <v>529</v>
      </c>
      <c r="N4" s="1724" t="s">
        <v>2196</v>
      </c>
      <c r="O4" s="624"/>
      <c r="P4" s="624"/>
      <c r="Q4" s="624"/>
    </row>
    <row r="5" spans="1:17" s="646" customFormat="1" ht="25.7" customHeight="1">
      <c r="A5" s="1720"/>
      <c r="B5" s="1722"/>
      <c r="C5" s="629" t="s">
        <v>2191</v>
      </c>
      <c r="D5" s="629" t="s">
        <v>2192</v>
      </c>
      <c r="E5" s="629" t="s">
        <v>2197</v>
      </c>
      <c r="F5" s="629" t="s">
        <v>2193</v>
      </c>
      <c r="G5" s="1400" t="s">
        <v>4647</v>
      </c>
      <c r="H5" s="629" t="s">
        <v>2198</v>
      </c>
      <c r="I5" s="629" t="s">
        <v>2194</v>
      </c>
      <c r="J5" s="629" t="s">
        <v>2199</v>
      </c>
      <c r="K5" s="629" t="s">
        <v>2193</v>
      </c>
      <c r="L5" s="1722"/>
      <c r="M5" s="1722"/>
      <c r="N5" s="1725"/>
      <c r="O5" s="624"/>
      <c r="P5" s="624"/>
      <c r="Q5" s="624"/>
    </row>
    <row r="6" spans="1:17" s="621" customFormat="1" ht="15.75" customHeight="1">
      <c r="A6" s="630" t="s">
        <v>757</v>
      </c>
      <c r="B6" s="434"/>
      <c r="C6" s="434"/>
      <c r="D6" s="434"/>
      <c r="E6" s="434">
        <v>0</v>
      </c>
      <c r="F6" s="440">
        <f t="shared" ref="F6:F20" si="0">C6+D6+E6</f>
        <v>0</v>
      </c>
      <c r="G6" s="434">
        <v>0</v>
      </c>
      <c r="H6" s="434"/>
      <c r="I6" s="434"/>
      <c r="J6" s="434"/>
      <c r="K6" s="440">
        <f t="shared" ref="K6:K20" si="1">SUM(G6:J6)</f>
        <v>0</v>
      </c>
      <c r="L6" s="440">
        <f t="shared" ref="L6:L20" si="2">B6+F6-K6</f>
        <v>0</v>
      </c>
      <c r="M6" s="631" t="s">
        <v>2210</v>
      </c>
      <c r="N6" s="435"/>
      <c r="O6" s="417">
        <f>B6+F6-K6-L6</f>
        <v>0</v>
      </c>
      <c r="P6" s="417">
        <f>F6-E6-D6-C6</f>
        <v>0</v>
      </c>
      <c r="Q6" s="417">
        <f>K6-J6-I6-H6-G6</f>
        <v>0</v>
      </c>
    </row>
    <row r="7" spans="1:17" s="621" customFormat="1" ht="15.75" customHeight="1">
      <c r="A7" s="630" t="s">
        <v>758</v>
      </c>
      <c r="B7" s="434"/>
      <c r="C7" s="434"/>
      <c r="D7" s="434"/>
      <c r="E7" s="434">
        <v>0</v>
      </c>
      <c r="F7" s="440">
        <f t="shared" si="0"/>
        <v>0</v>
      </c>
      <c r="G7" s="434">
        <v>0</v>
      </c>
      <c r="H7" s="434"/>
      <c r="I7" s="434"/>
      <c r="J7" s="434"/>
      <c r="K7" s="440">
        <f t="shared" si="1"/>
        <v>0</v>
      </c>
      <c r="L7" s="440">
        <f t="shared" si="2"/>
        <v>0</v>
      </c>
      <c r="M7" s="632" t="s">
        <v>2203</v>
      </c>
      <c r="N7" s="435">
        <v>0</v>
      </c>
      <c r="O7" s="417">
        <f t="shared" ref="O7:O19" si="3">B7+F7-K7-L7</f>
        <v>0</v>
      </c>
      <c r="P7" s="417">
        <f t="shared" ref="P7:P20" si="4">F7-E7-D7-C7</f>
        <v>0</v>
      </c>
      <c r="Q7" s="417">
        <f t="shared" ref="Q7:Q20" si="5">K7-J7-I7-H7-G7</f>
        <v>0</v>
      </c>
    </row>
    <row r="8" spans="1:17" s="621" customFormat="1" ht="15.75" customHeight="1">
      <c r="A8" s="1402" t="s">
        <v>4648</v>
      </c>
      <c r="B8" s="1401"/>
      <c r="C8" s="1401"/>
      <c r="D8" s="1401"/>
      <c r="E8" s="1401"/>
      <c r="F8" s="440">
        <f t="shared" si="0"/>
        <v>0</v>
      </c>
      <c r="G8" s="1401"/>
      <c r="H8" s="1401"/>
      <c r="I8" s="1401"/>
      <c r="J8" s="1401"/>
      <c r="K8" s="440">
        <f t="shared" si="1"/>
        <v>0</v>
      </c>
      <c r="L8" s="440">
        <f t="shared" si="2"/>
        <v>0</v>
      </c>
      <c r="M8" s="634" t="s">
        <v>4816</v>
      </c>
      <c r="N8" s="435"/>
      <c r="O8" s="417">
        <f t="shared" ref="O8" si="6">B8+F8-K8-L8</f>
        <v>0</v>
      </c>
      <c r="P8" s="417">
        <f t="shared" ref="P8" si="7">F8-E8-D8-C8</f>
        <v>0</v>
      </c>
      <c r="Q8" s="417">
        <f t="shared" ref="Q8" si="8">K8-J8-I8-H8-G8</f>
        <v>0</v>
      </c>
    </row>
    <row r="9" spans="1:17" s="621" customFormat="1" ht="15.75" customHeight="1">
      <c r="A9" s="1403" t="s">
        <v>4649</v>
      </c>
      <c r="B9" s="434"/>
      <c r="C9" s="434"/>
      <c r="D9" s="434"/>
      <c r="E9" s="434">
        <v>0</v>
      </c>
      <c r="F9" s="440">
        <f t="shared" si="0"/>
        <v>0</v>
      </c>
      <c r="G9" s="633"/>
      <c r="H9" s="434"/>
      <c r="I9" s="434"/>
      <c r="J9" s="434"/>
      <c r="K9" s="440">
        <f t="shared" si="1"/>
        <v>0</v>
      </c>
      <c r="L9" s="440">
        <f t="shared" si="2"/>
        <v>0</v>
      </c>
      <c r="M9" s="634" t="s">
        <v>2211</v>
      </c>
      <c r="N9" s="435">
        <v>0</v>
      </c>
      <c r="O9" s="417">
        <f t="shared" si="3"/>
        <v>0</v>
      </c>
      <c r="P9" s="417">
        <f t="shared" si="4"/>
        <v>0</v>
      </c>
      <c r="Q9" s="417">
        <f t="shared" si="5"/>
        <v>0</v>
      </c>
    </row>
    <row r="10" spans="1:17" s="621" customFormat="1" ht="15.75" customHeight="1">
      <c r="A10" s="1403" t="s">
        <v>4650</v>
      </c>
      <c r="B10" s="434"/>
      <c r="C10" s="434"/>
      <c r="D10" s="434"/>
      <c r="E10" s="434">
        <v>0</v>
      </c>
      <c r="F10" s="440">
        <f t="shared" si="0"/>
        <v>0</v>
      </c>
      <c r="G10" s="434">
        <v>0</v>
      </c>
      <c r="H10" s="434"/>
      <c r="I10" s="434"/>
      <c r="J10" s="434"/>
      <c r="K10" s="440">
        <f t="shared" si="1"/>
        <v>0</v>
      </c>
      <c r="L10" s="440">
        <f t="shared" si="2"/>
        <v>0</v>
      </c>
      <c r="M10" s="550" t="s">
        <v>2208</v>
      </c>
      <c r="N10" s="435">
        <v>0</v>
      </c>
      <c r="O10" s="417">
        <f t="shared" si="3"/>
        <v>0</v>
      </c>
      <c r="P10" s="417">
        <f t="shared" si="4"/>
        <v>0</v>
      </c>
      <c r="Q10" s="417">
        <f t="shared" si="5"/>
        <v>0</v>
      </c>
    </row>
    <row r="11" spans="1:17" s="621" customFormat="1" ht="15.75" customHeight="1">
      <c r="A11" s="1403" t="s">
        <v>4651</v>
      </c>
      <c r="B11" s="434"/>
      <c r="C11" s="434"/>
      <c r="D11" s="434"/>
      <c r="E11" s="434">
        <v>0</v>
      </c>
      <c r="F11" s="440">
        <f t="shared" si="0"/>
        <v>0</v>
      </c>
      <c r="G11" s="633"/>
      <c r="H11" s="434"/>
      <c r="I11" s="434"/>
      <c r="J11" s="434"/>
      <c r="K11" s="440">
        <f t="shared" si="1"/>
        <v>0</v>
      </c>
      <c r="L11" s="440">
        <f t="shared" si="2"/>
        <v>0</v>
      </c>
      <c r="M11" s="635" t="s">
        <v>2212</v>
      </c>
      <c r="N11" s="435">
        <v>0</v>
      </c>
      <c r="O11" s="417">
        <f t="shared" si="3"/>
        <v>0</v>
      </c>
      <c r="P11" s="417">
        <f t="shared" si="4"/>
        <v>0</v>
      </c>
      <c r="Q11" s="417">
        <f t="shared" si="5"/>
        <v>0</v>
      </c>
    </row>
    <row r="12" spans="1:17" s="621" customFormat="1" ht="15.75" customHeight="1">
      <c r="A12" s="1403" t="s">
        <v>4652</v>
      </c>
      <c r="B12" s="434"/>
      <c r="C12" s="434"/>
      <c r="D12" s="434"/>
      <c r="E12" s="434">
        <v>0</v>
      </c>
      <c r="F12" s="440">
        <f t="shared" si="0"/>
        <v>0</v>
      </c>
      <c r="G12" s="633"/>
      <c r="H12" s="434"/>
      <c r="I12" s="434"/>
      <c r="J12" s="434"/>
      <c r="K12" s="440">
        <f t="shared" si="1"/>
        <v>0</v>
      </c>
      <c r="L12" s="440">
        <f t="shared" si="2"/>
        <v>0</v>
      </c>
      <c r="M12" s="635" t="s">
        <v>2213</v>
      </c>
      <c r="N12" s="435">
        <v>0</v>
      </c>
      <c r="O12" s="417">
        <f t="shared" si="3"/>
        <v>0</v>
      </c>
      <c r="P12" s="417">
        <f t="shared" si="4"/>
        <v>0</v>
      </c>
      <c r="Q12" s="417">
        <f t="shared" si="5"/>
        <v>0</v>
      </c>
    </row>
    <row r="13" spans="1:17" s="621" customFormat="1" ht="15.75" customHeight="1">
      <c r="A13" s="1403" t="s">
        <v>4653</v>
      </c>
      <c r="B13" s="434"/>
      <c r="C13" s="434"/>
      <c r="D13" s="434"/>
      <c r="E13" s="434">
        <v>0</v>
      </c>
      <c r="F13" s="440">
        <f t="shared" si="0"/>
        <v>0</v>
      </c>
      <c r="G13" s="633"/>
      <c r="H13" s="434"/>
      <c r="I13" s="434"/>
      <c r="J13" s="434"/>
      <c r="K13" s="440">
        <f t="shared" si="1"/>
        <v>0</v>
      </c>
      <c r="L13" s="440">
        <f t="shared" si="2"/>
        <v>0</v>
      </c>
      <c r="M13" s="634" t="s">
        <v>2204</v>
      </c>
      <c r="N13" s="435">
        <v>0</v>
      </c>
      <c r="O13" s="417">
        <f t="shared" si="3"/>
        <v>0</v>
      </c>
      <c r="P13" s="417">
        <f t="shared" si="4"/>
        <v>0</v>
      </c>
      <c r="Q13" s="417">
        <f t="shared" si="5"/>
        <v>0</v>
      </c>
    </row>
    <row r="14" spans="1:17" s="621" customFormat="1" ht="15.75" customHeight="1">
      <c r="A14" s="1403" t="s">
        <v>4654</v>
      </c>
      <c r="B14" s="434"/>
      <c r="C14" s="434"/>
      <c r="D14" s="434"/>
      <c r="E14" s="434">
        <v>0</v>
      </c>
      <c r="F14" s="440">
        <f t="shared" si="0"/>
        <v>0</v>
      </c>
      <c r="G14" s="633"/>
      <c r="H14" s="434">
        <v>0</v>
      </c>
      <c r="I14" s="434">
        <v>0</v>
      </c>
      <c r="J14" s="434">
        <v>0</v>
      </c>
      <c r="K14" s="440">
        <f t="shared" si="1"/>
        <v>0</v>
      </c>
      <c r="L14" s="440">
        <f t="shared" si="2"/>
        <v>0</v>
      </c>
      <c r="M14" s="550" t="s">
        <v>2214</v>
      </c>
      <c r="N14" s="435">
        <v>0</v>
      </c>
      <c r="O14" s="417">
        <f t="shared" si="3"/>
        <v>0</v>
      </c>
      <c r="P14" s="417">
        <f t="shared" si="4"/>
        <v>0</v>
      </c>
      <c r="Q14" s="417">
        <f t="shared" si="5"/>
        <v>0</v>
      </c>
    </row>
    <row r="15" spans="1:17" s="621" customFormat="1" ht="15.75" customHeight="1">
      <c r="A15" s="1403" t="s">
        <v>4655</v>
      </c>
      <c r="B15" s="434"/>
      <c r="C15" s="434"/>
      <c r="D15" s="434"/>
      <c r="E15" s="434">
        <v>0</v>
      </c>
      <c r="F15" s="440">
        <f t="shared" si="0"/>
        <v>0</v>
      </c>
      <c r="G15" s="633"/>
      <c r="H15" s="434">
        <v>0</v>
      </c>
      <c r="I15" s="434">
        <v>0</v>
      </c>
      <c r="J15" s="434">
        <v>0</v>
      </c>
      <c r="K15" s="440">
        <f t="shared" si="1"/>
        <v>0</v>
      </c>
      <c r="L15" s="440">
        <f t="shared" si="2"/>
        <v>0</v>
      </c>
      <c r="M15" s="635" t="s">
        <v>2200</v>
      </c>
      <c r="N15" s="435">
        <v>0</v>
      </c>
      <c r="O15" s="417">
        <f t="shared" si="3"/>
        <v>0</v>
      </c>
      <c r="P15" s="417">
        <f t="shared" si="4"/>
        <v>0</v>
      </c>
      <c r="Q15" s="417">
        <f t="shared" si="5"/>
        <v>0</v>
      </c>
    </row>
    <row r="16" spans="1:17" s="621" customFormat="1" ht="15.75" customHeight="1">
      <c r="A16" s="1403" t="s">
        <v>4656</v>
      </c>
      <c r="B16" s="434">
        <v>0</v>
      </c>
      <c r="C16" s="434">
        <v>0</v>
      </c>
      <c r="D16" s="434">
        <v>0</v>
      </c>
      <c r="E16" s="434">
        <v>0</v>
      </c>
      <c r="F16" s="440">
        <f t="shared" si="0"/>
        <v>0</v>
      </c>
      <c r="G16" s="633"/>
      <c r="H16" s="434">
        <v>0</v>
      </c>
      <c r="I16" s="434">
        <v>0</v>
      </c>
      <c r="J16" s="434">
        <v>0</v>
      </c>
      <c r="K16" s="440">
        <f t="shared" si="1"/>
        <v>0</v>
      </c>
      <c r="L16" s="440">
        <f t="shared" si="2"/>
        <v>0</v>
      </c>
      <c r="M16" s="635" t="s">
        <v>2215</v>
      </c>
      <c r="N16" s="435">
        <v>0</v>
      </c>
      <c r="O16" s="417">
        <f t="shared" si="3"/>
        <v>0</v>
      </c>
      <c r="P16" s="417">
        <f t="shared" si="4"/>
        <v>0</v>
      </c>
      <c r="Q16" s="417">
        <f t="shared" si="5"/>
        <v>0</v>
      </c>
    </row>
    <row r="17" spans="1:17" s="621" customFormat="1" ht="15.75" customHeight="1">
      <c r="A17" s="1403" t="s">
        <v>4657</v>
      </c>
      <c r="B17" s="434">
        <v>0</v>
      </c>
      <c r="C17" s="434">
        <v>0</v>
      </c>
      <c r="D17" s="434">
        <v>0</v>
      </c>
      <c r="E17" s="434">
        <v>0</v>
      </c>
      <c r="F17" s="440">
        <f t="shared" si="0"/>
        <v>0</v>
      </c>
      <c r="G17" s="633"/>
      <c r="H17" s="434">
        <v>0</v>
      </c>
      <c r="I17" s="434">
        <v>0</v>
      </c>
      <c r="J17" s="434">
        <v>0</v>
      </c>
      <c r="K17" s="440">
        <f t="shared" si="1"/>
        <v>0</v>
      </c>
      <c r="L17" s="440">
        <f t="shared" si="2"/>
        <v>0</v>
      </c>
      <c r="M17" s="634" t="s">
        <v>2209</v>
      </c>
      <c r="N17" s="435">
        <v>0</v>
      </c>
      <c r="O17" s="417">
        <f t="shared" si="3"/>
        <v>0</v>
      </c>
      <c r="P17" s="417">
        <f t="shared" si="4"/>
        <v>0</v>
      </c>
      <c r="Q17" s="417">
        <f t="shared" si="5"/>
        <v>0</v>
      </c>
    </row>
    <row r="18" spans="1:17" s="621" customFormat="1" ht="15.75" customHeight="1">
      <c r="A18" s="1403" t="s">
        <v>4658</v>
      </c>
      <c r="B18" s="434"/>
      <c r="C18" s="434">
        <v>0</v>
      </c>
      <c r="D18" s="434">
        <v>0</v>
      </c>
      <c r="E18" s="434">
        <v>0</v>
      </c>
      <c r="F18" s="440">
        <f t="shared" si="0"/>
        <v>0</v>
      </c>
      <c r="G18" s="633"/>
      <c r="H18" s="434">
        <v>0</v>
      </c>
      <c r="I18" s="434">
        <v>0</v>
      </c>
      <c r="J18" s="434">
        <v>0</v>
      </c>
      <c r="K18" s="440">
        <f t="shared" si="1"/>
        <v>0</v>
      </c>
      <c r="L18" s="440">
        <f t="shared" si="2"/>
        <v>0</v>
      </c>
      <c r="M18" s="634" t="s">
        <v>2206</v>
      </c>
      <c r="N18" s="435">
        <v>0</v>
      </c>
      <c r="O18" s="417">
        <f t="shared" si="3"/>
        <v>0</v>
      </c>
      <c r="P18" s="417">
        <f t="shared" si="4"/>
        <v>0</v>
      </c>
      <c r="Q18" s="417">
        <f t="shared" si="5"/>
        <v>0</v>
      </c>
    </row>
    <row r="19" spans="1:17" s="621" customFormat="1" ht="15.75" customHeight="1">
      <c r="A19" s="1403" t="s">
        <v>4659</v>
      </c>
      <c r="B19" s="434">
        <v>0</v>
      </c>
      <c r="C19" s="434">
        <v>0</v>
      </c>
      <c r="D19" s="434">
        <v>0</v>
      </c>
      <c r="E19" s="434">
        <v>0</v>
      </c>
      <c r="F19" s="440">
        <f t="shared" si="0"/>
        <v>0</v>
      </c>
      <c r="G19" s="633"/>
      <c r="H19" s="434">
        <v>0</v>
      </c>
      <c r="I19" s="434">
        <v>0</v>
      </c>
      <c r="J19" s="434">
        <v>0</v>
      </c>
      <c r="K19" s="440">
        <f t="shared" si="1"/>
        <v>0</v>
      </c>
      <c r="L19" s="440">
        <f t="shared" si="2"/>
        <v>0</v>
      </c>
      <c r="M19" s="634" t="s">
        <v>2216</v>
      </c>
      <c r="N19" s="435">
        <v>0</v>
      </c>
      <c r="O19" s="417">
        <f t="shared" si="3"/>
        <v>0</v>
      </c>
      <c r="P19" s="417">
        <f t="shared" si="4"/>
        <v>0</v>
      </c>
      <c r="Q19" s="417">
        <f>K19-J19-I19-H19-G19</f>
        <v>0</v>
      </c>
    </row>
    <row r="20" spans="1:17" s="621" customFormat="1" ht="15.75" customHeight="1">
      <c r="A20" s="1403" t="s">
        <v>4660</v>
      </c>
      <c r="B20" s="434"/>
      <c r="C20" s="434">
        <v>0</v>
      </c>
      <c r="D20" s="434">
        <v>0</v>
      </c>
      <c r="E20" s="434">
        <v>0</v>
      </c>
      <c r="F20" s="440">
        <f t="shared" si="0"/>
        <v>0</v>
      </c>
      <c r="G20" s="434">
        <v>0</v>
      </c>
      <c r="H20" s="434">
        <v>0</v>
      </c>
      <c r="I20" s="434">
        <v>0</v>
      </c>
      <c r="J20" s="434">
        <v>0</v>
      </c>
      <c r="K20" s="440">
        <f t="shared" si="1"/>
        <v>0</v>
      </c>
      <c r="L20" s="440">
        <f t="shared" si="2"/>
        <v>0</v>
      </c>
      <c r="M20" s="634" t="s">
        <v>2217</v>
      </c>
      <c r="N20" s="435">
        <v>0</v>
      </c>
      <c r="O20" s="417">
        <f>B20+F20-K20-L20</f>
        <v>0</v>
      </c>
      <c r="P20" s="417">
        <f t="shared" si="4"/>
        <v>0</v>
      </c>
      <c r="Q20" s="417">
        <f t="shared" si="5"/>
        <v>0</v>
      </c>
    </row>
    <row r="21" spans="1:17" s="621" customFormat="1" ht="15.75" customHeight="1">
      <c r="A21" s="630"/>
      <c r="B21" s="434"/>
      <c r="C21" s="434"/>
      <c r="D21" s="434"/>
      <c r="E21" s="434"/>
      <c r="F21" s="434"/>
      <c r="G21" s="633"/>
      <c r="H21" s="434"/>
      <c r="I21" s="434"/>
      <c r="J21" s="434"/>
      <c r="K21" s="434"/>
      <c r="L21" s="434"/>
      <c r="M21" s="636" t="s">
        <v>2218</v>
      </c>
      <c r="N21" s="435">
        <v>0</v>
      </c>
      <c r="O21" s="417">
        <f>B21+F21-K21-L21</f>
        <v>0</v>
      </c>
      <c r="P21" s="417">
        <f>F21-E21-D21-C21</f>
        <v>0</v>
      </c>
      <c r="Q21" s="417">
        <f>K21-J21-I21-H21-G21</f>
        <v>0</v>
      </c>
    </row>
    <row r="22" spans="1:17" s="621" customFormat="1" ht="15.75" customHeight="1">
      <c r="A22" s="630"/>
      <c r="B22" s="434"/>
      <c r="C22" s="434"/>
      <c r="D22" s="434"/>
      <c r="E22" s="434"/>
      <c r="F22" s="434"/>
      <c r="G22" s="633"/>
      <c r="H22" s="434"/>
      <c r="I22" s="434"/>
      <c r="J22" s="434"/>
      <c r="K22" s="434"/>
      <c r="L22" s="434"/>
      <c r="M22" s="636" t="s">
        <v>2219</v>
      </c>
      <c r="N22" s="435">
        <v>0</v>
      </c>
      <c r="O22" s="417">
        <f>B22+F22-K22-L22</f>
        <v>0</v>
      </c>
      <c r="P22" s="417">
        <f>F22-E22-D22-C22</f>
        <v>0</v>
      </c>
      <c r="Q22" s="417">
        <f>K22-J22-I22-H22-G22</f>
        <v>0</v>
      </c>
    </row>
    <row r="23" spans="1:17" s="621" customFormat="1" ht="15.75" customHeight="1" thickBot="1">
      <c r="A23" s="637" t="s">
        <v>2207</v>
      </c>
      <c r="B23" s="448">
        <f t="shared" ref="B23:L23" si="9">SUM(B6:B20)</f>
        <v>0</v>
      </c>
      <c r="C23" s="448">
        <f t="shared" si="9"/>
        <v>0</v>
      </c>
      <c r="D23" s="448">
        <f t="shared" si="9"/>
        <v>0</v>
      </c>
      <c r="E23" s="448">
        <f t="shared" si="9"/>
        <v>0</v>
      </c>
      <c r="F23" s="448">
        <f t="shared" si="9"/>
        <v>0</v>
      </c>
      <c r="G23" s="448">
        <f t="shared" si="9"/>
        <v>0</v>
      </c>
      <c r="H23" s="448">
        <f t="shared" si="9"/>
        <v>0</v>
      </c>
      <c r="I23" s="448">
        <f t="shared" si="9"/>
        <v>0</v>
      </c>
      <c r="J23" s="448">
        <f t="shared" si="9"/>
        <v>0</v>
      </c>
      <c r="K23" s="448">
        <f t="shared" si="9"/>
        <v>0</v>
      </c>
      <c r="L23" s="448">
        <f t="shared" si="9"/>
        <v>0</v>
      </c>
      <c r="M23" s="638" t="s">
        <v>2201</v>
      </c>
      <c r="N23" s="639">
        <v>0</v>
      </c>
      <c r="O23" s="417">
        <f>B23+F23-K23-L23</f>
        <v>0</v>
      </c>
      <c r="P23" s="417">
        <f>F23-E23-D23-C23</f>
        <v>0</v>
      </c>
      <c r="Q23" s="417">
        <f>K23-J23-I23-H23-G23</f>
        <v>0</v>
      </c>
    </row>
    <row r="24" spans="1:17" s="621" customFormat="1" ht="15.75" customHeight="1">
      <c r="A24" s="1684" t="s">
        <v>2110</v>
      </c>
      <c r="B24" s="1684"/>
      <c r="C24" s="1684"/>
      <c r="D24" s="1684"/>
      <c r="E24" s="1684"/>
      <c r="F24" s="1684"/>
      <c r="G24" s="1684"/>
      <c r="H24" s="1684"/>
      <c r="I24" s="1684"/>
      <c r="J24" s="1684"/>
      <c r="K24" s="1684"/>
      <c r="L24" s="1684"/>
      <c r="M24" s="1684"/>
      <c r="N24" s="1684"/>
      <c r="O24" s="128"/>
      <c r="P24" s="128"/>
      <c r="Q24" s="128"/>
    </row>
    <row r="25" spans="1:17" s="621" customFormat="1" ht="15.75" customHeight="1">
      <c r="A25" s="1705" t="s">
        <v>2205</v>
      </c>
      <c r="B25" s="1705"/>
      <c r="C25" s="1705"/>
      <c r="D25" s="1705"/>
      <c r="E25" s="1705"/>
      <c r="F25" s="1705"/>
      <c r="G25" s="1705"/>
      <c r="H25" s="1705"/>
      <c r="I25" s="1705"/>
      <c r="J25" s="1705"/>
      <c r="K25" s="1705"/>
      <c r="L25" s="1705"/>
      <c r="M25" s="1705"/>
      <c r="N25" s="1705"/>
      <c r="O25" s="128"/>
      <c r="P25" s="128"/>
      <c r="Q25" s="128"/>
    </row>
    <row r="26" spans="1:17" s="621" customFormat="1" ht="15.75" customHeight="1">
      <c r="A26" s="590"/>
      <c r="M26" s="590"/>
      <c r="O26" s="356"/>
      <c r="P26" s="356"/>
      <c r="Q26" s="356"/>
    </row>
    <row r="27" spans="1:17" s="356" customFormat="1" ht="15.75" customHeight="1">
      <c r="A27" s="594"/>
      <c r="B27" s="592">
        <f>SUM(B6:B20)-B23</f>
        <v>0</v>
      </c>
      <c r="C27" s="592">
        <f t="shared" ref="C27:L27" si="10">SUM(C6:C20)-C23</f>
        <v>0</v>
      </c>
      <c r="D27" s="592">
        <f t="shared" si="10"/>
        <v>0</v>
      </c>
      <c r="E27" s="592">
        <f t="shared" si="10"/>
        <v>0</v>
      </c>
      <c r="F27" s="592">
        <f t="shared" si="10"/>
        <v>0</v>
      </c>
      <c r="G27" s="592">
        <f t="shared" si="10"/>
        <v>0</v>
      </c>
      <c r="H27" s="592">
        <f t="shared" si="10"/>
        <v>0</v>
      </c>
      <c r="I27" s="592">
        <f t="shared" si="10"/>
        <v>0</v>
      </c>
      <c r="J27" s="592">
        <f t="shared" si="10"/>
        <v>0</v>
      </c>
      <c r="K27" s="592">
        <f t="shared" si="10"/>
        <v>0</v>
      </c>
      <c r="L27" s="593">
        <f t="shared" si="10"/>
        <v>0</v>
      </c>
      <c r="N27" s="647"/>
    </row>
    <row r="28" spans="1:17" s="356" customFormat="1" ht="15.75" customHeight="1">
      <c r="A28" s="148" t="s">
        <v>283</v>
      </c>
      <c r="B28" s="517">
        <f>B13-审定资产负债表!D38</f>
        <v>0</v>
      </c>
      <c r="C28" s="517">
        <f>L13-审定资产负债表!C38</f>
        <v>0</v>
      </c>
      <c r="D28" s="15"/>
      <c r="E28" s="15"/>
      <c r="F28" s="15"/>
      <c r="G28" s="15"/>
      <c r="H28" s="15"/>
      <c r="I28" s="15"/>
      <c r="J28" s="15"/>
      <c r="K28" s="15"/>
      <c r="L28" s="648"/>
      <c r="N28" s="647"/>
    </row>
    <row r="29" spans="1:17" s="356" customFormat="1" ht="15.75" customHeight="1">
      <c r="A29" s="148" t="s">
        <v>284</v>
      </c>
      <c r="B29" s="517">
        <f>C23-审定利润表!C32</f>
        <v>-201400.6</v>
      </c>
      <c r="C29" s="148"/>
      <c r="D29" s="649"/>
      <c r="E29" s="649"/>
      <c r="F29" s="649"/>
      <c r="G29" s="649"/>
      <c r="H29" s="649"/>
      <c r="I29" s="649"/>
      <c r="J29" s="649"/>
      <c r="K29" s="649"/>
      <c r="L29" s="650"/>
      <c r="N29" s="647"/>
    </row>
    <row r="30" spans="1:17" s="621" customFormat="1" ht="15.75" customHeight="1">
      <c r="A30" s="148" t="s">
        <v>258</v>
      </c>
      <c r="B30" s="517">
        <f>应收账款!F21+预付账款!I9+其他应收款!F21-B6</f>
        <v>43839.400000000023</v>
      </c>
      <c r="C30" s="517">
        <f>应收账款!F10+预付账款!F9+其他应收款!F10-L6</f>
        <v>245240</v>
      </c>
      <c r="F30" s="651"/>
      <c r="K30" s="651"/>
      <c r="L30" s="651"/>
      <c r="O30" s="356"/>
      <c r="P30" s="356"/>
      <c r="Q30" s="356"/>
    </row>
    <row r="31" spans="1:17" s="621" customFormat="1" ht="15.75" customHeight="1">
      <c r="A31" s="148" t="s">
        <v>259</v>
      </c>
      <c r="B31" s="517">
        <f>B7-存货!E23</f>
        <v>0</v>
      </c>
      <c r="C31" s="517">
        <f>L7-存货!E12</f>
        <v>0</v>
      </c>
      <c r="F31" s="651"/>
      <c r="K31" s="651"/>
      <c r="L31" s="651"/>
      <c r="O31" s="356"/>
      <c r="P31" s="356"/>
      <c r="Q31" s="356"/>
    </row>
    <row r="32" spans="1:17" s="621" customFormat="1" ht="15.75" customHeight="1">
      <c r="A32" s="622" t="s">
        <v>267</v>
      </c>
      <c r="B32" s="517">
        <f>B11-长期股权投资!D8</f>
        <v>0</v>
      </c>
      <c r="C32" s="517">
        <f>L11-长期股权投资!G8</f>
        <v>0</v>
      </c>
      <c r="F32" s="651"/>
      <c r="K32" s="651"/>
      <c r="L32" s="651"/>
      <c r="O32" s="356"/>
      <c r="P32" s="356"/>
      <c r="Q32" s="356"/>
    </row>
    <row r="33" spans="1:17" s="621" customFormat="1" ht="15.75" customHeight="1">
      <c r="A33" s="622" t="s">
        <v>268</v>
      </c>
      <c r="B33" s="517">
        <f>B13-固定资产!D31</f>
        <v>0</v>
      </c>
      <c r="C33" s="517">
        <f>L13-固定资产!G31</f>
        <v>0</v>
      </c>
      <c r="F33" s="651"/>
      <c r="K33" s="651"/>
      <c r="L33" s="651"/>
      <c r="M33" s="590"/>
      <c r="O33" s="356"/>
      <c r="P33" s="356"/>
      <c r="Q33" s="356"/>
    </row>
    <row r="34" spans="1:17" s="621" customFormat="1" ht="15.75" customHeight="1">
      <c r="A34" s="622" t="s">
        <v>269</v>
      </c>
      <c r="B34" s="517">
        <f>B15-在建工程!D55</f>
        <v>0</v>
      </c>
      <c r="C34" s="517">
        <f>L15-在建工程!G55</f>
        <v>0</v>
      </c>
      <c r="F34" s="651"/>
      <c r="K34" s="651"/>
      <c r="L34" s="651"/>
      <c r="N34" s="652"/>
      <c r="O34" s="356"/>
      <c r="P34" s="356"/>
      <c r="Q34" s="356"/>
    </row>
    <row r="35" spans="1:17" s="621" customFormat="1" ht="15.75" customHeight="1">
      <c r="A35" s="622" t="s">
        <v>270</v>
      </c>
      <c r="B35" s="517">
        <f>B19-商誉!D28</f>
        <v>0</v>
      </c>
      <c r="C35" s="517">
        <f>L19-商誉!G28</f>
        <v>0</v>
      </c>
      <c r="F35" s="651"/>
      <c r="K35" s="651"/>
      <c r="L35" s="651"/>
      <c r="O35" s="356"/>
      <c r="P35" s="356"/>
      <c r="Q35" s="356"/>
    </row>
    <row r="36" spans="1:17" ht="20.100000000000001" customHeight="1">
      <c r="F36" s="92"/>
      <c r="K36" s="92"/>
      <c r="L36" s="92"/>
    </row>
    <row r="37" spans="1:17" ht="20.100000000000001" customHeight="1">
      <c r="F37" s="92"/>
      <c r="K37" s="92"/>
      <c r="L37" s="92"/>
    </row>
    <row r="38" spans="1:17" ht="20.100000000000001" customHeight="1">
      <c r="F38" s="92"/>
      <c r="K38" s="92"/>
      <c r="L38" s="92"/>
    </row>
    <row r="39" spans="1:17" ht="20.100000000000001" customHeight="1">
      <c r="F39" s="92"/>
      <c r="K39" s="92"/>
      <c r="L39" s="92"/>
    </row>
    <row r="40" spans="1:17" ht="20.100000000000001" customHeight="1">
      <c r="F40" s="92"/>
      <c r="K40" s="92"/>
      <c r="L40" s="92"/>
    </row>
    <row r="41" spans="1:17" ht="20.100000000000001" customHeight="1">
      <c r="F41" s="92"/>
      <c r="K41" s="92"/>
      <c r="L41" s="92"/>
    </row>
    <row r="42" spans="1:17" ht="20.100000000000001" customHeight="1">
      <c r="F42" s="92"/>
      <c r="K42" s="92"/>
      <c r="L42" s="92"/>
    </row>
    <row r="43" spans="1:17" ht="20.100000000000001" customHeight="1">
      <c r="F43" s="92"/>
      <c r="K43" s="92"/>
      <c r="L43" s="92"/>
    </row>
    <row r="44" spans="1:17" ht="20.100000000000001" customHeight="1">
      <c r="F44" s="92"/>
      <c r="K44" s="92"/>
      <c r="L44" s="92"/>
    </row>
    <row r="45" spans="1:17" ht="20.100000000000001" customHeight="1">
      <c r="A45" s="90"/>
      <c r="M45" s="90"/>
    </row>
    <row r="46" spans="1:17" ht="20.100000000000001" customHeight="1">
      <c r="B46" s="92"/>
      <c r="L46" s="92"/>
      <c r="N46" s="93"/>
    </row>
    <row r="47" spans="1:17" ht="20.100000000000001" customHeight="1"/>
    <row r="48" spans="1:17" ht="20.100000000000001" customHeight="1"/>
    <row r="49" ht="20.100000000000001" customHeight="1"/>
    <row r="50" ht="20.100000000000001" customHeight="1"/>
    <row r="51" ht="20.100000000000001" customHeight="1"/>
    <row r="52" ht="20.100000000000001" customHeight="1"/>
    <row r="53" ht="20.100000000000001" customHeight="1"/>
    <row r="54" ht="20.100000000000001" customHeight="1"/>
    <row r="55" ht="20.100000000000001" customHeight="1"/>
    <row r="56" ht="20.100000000000001" customHeight="1"/>
    <row r="57" ht="20.100000000000001" customHeight="1"/>
    <row r="58" ht="20.100000000000001" customHeight="1"/>
    <row r="59" ht="20.100000000000001" customHeight="1"/>
    <row r="60" ht="20.100000000000001" customHeight="1"/>
    <row r="61" ht="20.100000000000001" customHeight="1"/>
    <row r="62" ht="20.100000000000001" customHeight="1"/>
  </sheetData>
  <sheetProtection formatCells="0" formatColumns="0" formatRows="0" autoFilter="0"/>
  <mergeCells count="10">
    <mergeCell ref="A24:N24"/>
    <mergeCell ref="A25:N25"/>
    <mergeCell ref="D3:F3"/>
    <mergeCell ref="A4:A5"/>
    <mergeCell ref="B4:B5"/>
    <mergeCell ref="C4:F4"/>
    <mergeCell ref="G4:K4"/>
    <mergeCell ref="L4:L5"/>
    <mergeCell ref="M4:M5"/>
    <mergeCell ref="N4:N5"/>
  </mergeCells>
  <phoneticPr fontId="5" type="noConversion"/>
  <hyperlinks>
    <hyperlink ref="Q1" location="附注填写封面!B3" display="返回目录" xr:uid="{00000000-0004-0000-0F00-000000000000}"/>
    <hyperlink ref="P3" location="附注填写封面!B3" display="返回目录" xr:uid="{00000000-0004-0000-0F00-000001000000}"/>
  </hyperlinks>
  <printOptions horizontalCentered="1"/>
  <pageMargins left="0.27559055118110237" right="0.27559055118110237" top="0.70866141732283472" bottom="0.47244094488188981" header="0.43307086614173229" footer="0.27559055118110237"/>
  <pageSetup paperSize="9" scale="60" firstPageNumber="8" orientation="landscape" blackAndWhite="1" useFirstPageNumber="1" r:id="rId1"/>
  <headerFooter alignWithMargins="0">
    <oddFooter>&amp;C&amp;"Times New Roman,常规"&amp;P</oddFooter>
  </headerFooter>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4"/>
  <dimension ref="A1:N457"/>
  <sheetViews>
    <sheetView showGridLines="0" showZeros="0" zoomScaleSheetLayoutView="100" workbookViewId="0">
      <selection activeCell="A32" sqref="A32"/>
    </sheetView>
  </sheetViews>
  <sheetFormatPr defaultColWidth="15.375" defaultRowHeight="12.75"/>
  <cols>
    <col min="1" max="1" width="10.375" style="653" customWidth="1"/>
    <col min="2" max="2" width="4.5" style="654" hidden="1" customWidth="1"/>
    <col min="3" max="3" width="5" style="655" hidden="1" customWidth="1"/>
    <col min="4" max="4" width="7" style="655" hidden="1" customWidth="1"/>
    <col min="5" max="5" width="47.875" style="655" customWidth="1"/>
    <col min="6" max="6" width="18.625" style="655" customWidth="1"/>
    <col min="7" max="7" width="16.125" style="655" customWidth="1"/>
    <col min="8" max="8" width="15.625" style="655" customWidth="1"/>
    <col min="9" max="9" width="25.375" style="730" customWidth="1"/>
    <col min="10" max="10" width="7.875" style="680" customWidth="1"/>
    <col min="11" max="12" width="7.875" style="655" customWidth="1"/>
    <col min="13" max="260" width="15.375" style="655"/>
    <col min="261" max="261" width="29" style="655" customWidth="1"/>
    <col min="262" max="262" width="15.5" style="655" customWidth="1"/>
    <col min="263" max="263" width="13.125" style="655" customWidth="1"/>
    <col min="264" max="264" width="13" style="655" customWidth="1"/>
    <col min="265" max="265" width="22.625" style="655" customWidth="1"/>
    <col min="266" max="266" width="15.375" style="655" customWidth="1"/>
    <col min="267" max="516" width="15.375" style="655"/>
    <col min="517" max="517" width="29" style="655" customWidth="1"/>
    <col min="518" max="518" width="15.5" style="655" customWidth="1"/>
    <col min="519" max="519" width="13.125" style="655" customWidth="1"/>
    <col min="520" max="520" width="13" style="655" customWidth="1"/>
    <col min="521" max="521" width="22.625" style="655" customWidth="1"/>
    <col min="522" max="522" width="15.375" style="655" customWidth="1"/>
    <col min="523" max="772" width="15.375" style="655"/>
    <col min="773" max="773" width="29" style="655" customWidth="1"/>
    <col min="774" max="774" width="15.5" style="655" customWidth="1"/>
    <col min="775" max="775" width="13.125" style="655" customWidth="1"/>
    <col min="776" max="776" width="13" style="655" customWidth="1"/>
    <col min="777" max="777" width="22.625" style="655" customWidth="1"/>
    <col min="778" max="778" width="15.375" style="655" customWidth="1"/>
    <col min="779" max="1028" width="15.375" style="655"/>
    <col min="1029" max="1029" width="29" style="655" customWidth="1"/>
    <col min="1030" max="1030" width="15.5" style="655" customWidth="1"/>
    <col min="1031" max="1031" width="13.125" style="655" customWidth="1"/>
    <col min="1032" max="1032" width="13" style="655" customWidth="1"/>
    <col min="1033" max="1033" width="22.625" style="655" customWidth="1"/>
    <col min="1034" max="1034" width="15.375" style="655" customWidth="1"/>
    <col min="1035" max="1284" width="15.375" style="655"/>
    <col min="1285" max="1285" width="29" style="655" customWidth="1"/>
    <col min="1286" max="1286" width="15.5" style="655" customWidth="1"/>
    <col min="1287" max="1287" width="13.125" style="655" customWidth="1"/>
    <col min="1288" max="1288" width="13" style="655" customWidth="1"/>
    <col min="1289" max="1289" width="22.625" style="655" customWidth="1"/>
    <col min="1290" max="1290" width="15.375" style="655" customWidth="1"/>
    <col min="1291" max="1540" width="15.375" style="655"/>
    <col min="1541" max="1541" width="29" style="655" customWidth="1"/>
    <col min="1542" max="1542" width="15.5" style="655" customWidth="1"/>
    <col min="1543" max="1543" width="13.125" style="655" customWidth="1"/>
    <col min="1544" max="1544" width="13" style="655" customWidth="1"/>
    <col min="1545" max="1545" width="22.625" style="655" customWidth="1"/>
    <col min="1546" max="1546" width="15.375" style="655" customWidth="1"/>
    <col min="1547" max="1796" width="15.375" style="655"/>
    <col min="1797" max="1797" width="29" style="655" customWidth="1"/>
    <col min="1798" max="1798" width="15.5" style="655" customWidth="1"/>
    <col min="1799" max="1799" width="13.125" style="655" customWidth="1"/>
    <col min="1800" max="1800" width="13" style="655" customWidth="1"/>
    <col min="1801" max="1801" width="22.625" style="655" customWidth="1"/>
    <col min="1802" max="1802" width="15.375" style="655" customWidth="1"/>
    <col min="1803" max="2052" width="15.375" style="655"/>
    <col min="2053" max="2053" width="29" style="655" customWidth="1"/>
    <col min="2054" max="2054" width="15.5" style="655" customWidth="1"/>
    <col min="2055" max="2055" width="13.125" style="655" customWidth="1"/>
    <col min="2056" max="2056" width="13" style="655" customWidth="1"/>
    <col min="2057" max="2057" width="22.625" style="655" customWidth="1"/>
    <col min="2058" max="2058" width="15.375" style="655" customWidth="1"/>
    <col min="2059" max="2308" width="15.375" style="655"/>
    <col min="2309" max="2309" width="29" style="655" customWidth="1"/>
    <col min="2310" max="2310" width="15.5" style="655" customWidth="1"/>
    <col min="2311" max="2311" width="13.125" style="655" customWidth="1"/>
    <col min="2312" max="2312" width="13" style="655" customWidth="1"/>
    <col min="2313" max="2313" width="22.625" style="655" customWidth="1"/>
    <col min="2314" max="2314" width="15.375" style="655" customWidth="1"/>
    <col min="2315" max="2564" width="15.375" style="655"/>
    <col min="2565" max="2565" width="29" style="655" customWidth="1"/>
    <col min="2566" max="2566" width="15.5" style="655" customWidth="1"/>
    <col min="2567" max="2567" width="13.125" style="655" customWidth="1"/>
    <col min="2568" max="2568" width="13" style="655" customWidth="1"/>
    <col min="2569" max="2569" width="22.625" style="655" customWidth="1"/>
    <col min="2570" max="2570" width="15.375" style="655" customWidth="1"/>
    <col min="2571" max="2820" width="15.375" style="655"/>
    <col min="2821" max="2821" width="29" style="655" customWidth="1"/>
    <col min="2822" max="2822" width="15.5" style="655" customWidth="1"/>
    <col min="2823" max="2823" width="13.125" style="655" customWidth="1"/>
    <col min="2824" max="2824" width="13" style="655" customWidth="1"/>
    <col min="2825" max="2825" width="22.625" style="655" customWidth="1"/>
    <col min="2826" max="2826" width="15.375" style="655" customWidth="1"/>
    <col min="2827" max="3076" width="15.375" style="655"/>
    <col min="3077" max="3077" width="29" style="655" customWidth="1"/>
    <col min="3078" max="3078" width="15.5" style="655" customWidth="1"/>
    <col min="3079" max="3079" width="13.125" style="655" customWidth="1"/>
    <col min="3080" max="3080" width="13" style="655" customWidth="1"/>
    <col min="3081" max="3081" width="22.625" style="655" customWidth="1"/>
    <col min="3082" max="3082" width="15.375" style="655" customWidth="1"/>
    <col min="3083" max="3332" width="15.375" style="655"/>
    <col min="3333" max="3333" width="29" style="655" customWidth="1"/>
    <col min="3334" max="3334" width="15.5" style="655" customWidth="1"/>
    <col min="3335" max="3335" width="13.125" style="655" customWidth="1"/>
    <col min="3336" max="3336" width="13" style="655" customWidth="1"/>
    <col min="3337" max="3337" width="22.625" style="655" customWidth="1"/>
    <col min="3338" max="3338" width="15.375" style="655" customWidth="1"/>
    <col min="3339" max="3588" width="15.375" style="655"/>
    <col min="3589" max="3589" width="29" style="655" customWidth="1"/>
    <col min="3590" max="3590" width="15.5" style="655" customWidth="1"/>
    <col min="3591" max="3591" width="13.125" style="655" customWidth="1"/>
    <col min="3592" max="3592" width="13" style="655" customWidth="1"/>
    <col min="3593" max="3593" width="22.625" style="655" customWidth="1"/>
    <col min="3594" max="3594" width="15.375" style="655" customWidth="1"/>
    <col min="3595" max="3844" width="15.375" style="655"/>
    <col min="3845" max="3845" width="29" style="655" customWidth="1"/>
    <col min="3846" max="3846" width="15.5" style="655" customWidth="1"/>
    <col min="3847" max="3847" width="13.125" style="655" customWidth="1"/>
    <col min="3848" max="3848" width="13" style="655" customWidth="1"/>
    <col min="3849" max="3849" width="22.625" style="655" customWidth="1"/>
    <col min="3850" max="3850" width="15.375" style="655" customWidth="1"/>
    <col min="3851" max="4100" width="15.375" style="655"/>
    <col min="4101" max="4101" width="29" style="655" customWidth="1"/>
    <col min="4102" max="4102" width="15.5" style="655" customWidth="1"/>
    <col min="4103" max="4103" width="13.125" style="655" customWidth="1"/>
    <col min="4104" max="4104" width="13" style="655" customWidth="1"/>
    <col min="4105" max="4105" width="22.625" style="655" customWidth="1"/>
    <col min="4106" max="4106" width="15.375" style="655" customWidth="1"/>
    <col min="4107" max="4356" width="15.375" style="655"/>
    <col min="4357" max="4357" width="29" style="655" customWidth="1"/>
    <col min="4358" max="4358" width="15.5" style="655" customWidth="1"/>
    <col min="4359" max="4359" width="13.125" style="655" customWidth="1"/>
    <col min="4360" max="4360" width="13" style="655" customWidth="1"/>
    <col min="4361" max="4361" width="22.625" style="655" customWidth="1"/>
    <col min="4362" max="4362" width="15.375" style="655" customWidth="1"/>
    <col min="4363" max="4612" width="15.375" style="655"/>
    <col min="4613" max="4613" width="29" style="655" customWidth="1"/>
    <col min="4614" max="4614" width="15.5" style="655" customWidth="1"/>
    <col min="4615" max="4615" width="13.125" style="655" customWidth="1"/>
    <col min="4616" max="4616" width="13" style="655" customWidth="1"/>
    <col min="4617" max="4617" width="22.625" style="655" customWidth="1"/>
    <col min="4618" max="4618" width="15.375" style="655" customWidth="1"/>
    <col min="4619" max="4868" width="15.375" style="655"/>
    <col min="4869" max="4869" width="29" style="655" customWidth="1"/>
    <col min="4870" max="4870" width="15.5" style="655" customWidth="1"/>
    <col min="4871" max="4871" width="13.125" style="655" customWidth="1"/>
    <col min="4872" max="4872" width="13" style="655" customWidth="1"/>
    <col min="4873" max="4873" width="22.625" style="655" customWidth="1"/>
    <col min="4874" max="4874" width="15.375" style="655" customWidth="1"/>
    <col min="4875" max="5124" width="15.375" style="655"/>
    <col min="5125" max="5125" width="29" style="655" customWidth="1"/>
    <col min="5126" max="5126" width="15.5" style="655" customWidth="1"/>
    <col min="5127" max="5127" width="13.125" style="655" customWidth="1"/>
    <col min="5128" max="5128" width="13" style="655" customWidth="1"/>
    <col min="5129" max="5129" width="22.625" style="655" customWidth="1"/>
    <col min="5130" max="5130" width="15.375" style="655" customWidth="1"/>
    <col min="5131" max="5380" width="15.375" style="655"/>
    <col min="5381" max="5381" width="29" style="655" customWidth="1"/>
    <col min="5382" max="5382" width="15.5" style="655" customWidth="1"/>
    <col min="5383" max="5383" width="13.125" style="655" customWidth="1"/>
    <col min="5384" max="5384" width="13" style="655" customWidth="1"/>
    <col min="5385" max="5385" width="22.625" style="655" customWidth="1"/>
    <col min="5386" max="5386" width="15.375" style="655" customWidth="1"/>
    <col min="5387" max="5636" width="15.375" style="655"/>
    <col min="5637" max="5637" width="29" style="655" customWidth="1"/>
    <col min="5638" max="5638" width="15.5" style="655" customWidth="1"/>
    <col min="5639" max="5639" width="13.125" style="655" customWidth="1"/>
    <col min="5640" max="5640" width="13" style="655" customWidth="1"/>
    <col min="5641" max="5641" width="22.625" style="655" customWidth="1"/>
    <col min="5642" max="5642" width="15.375" style="655" customWidth="1"/>
    <col min="5643" max="5892" width="15.375" style="655"/>
    <col min="5893" max="5893" width="29" style="655" customWidth="1"/>
    <col min="5894" max="5894" width="15.5" style="655" customWidth="1"/>
    <col min="5895" max="5895" width="13.125" style="655" customWidth="1"/>
    <col min="5896" max="5896" width="13" style="655" customWidth="1"/>
    <col min="5897" max="5897" width="22.625" style="655" customWidth="1"/>
    <col min="5898" max="5898" width="15.375" style="655" customWidth="1"/>
    <col min="5899" max="6148" width="15.375" style="655"/>
    <col min="6149" max="6149" width="29" style="655" customWidth="1"/>
    <col min="6150" max="6150" width="15.5" style="655" customWidth="1"/>
    <col min="6151" max="6151" width="13.125" style="655" customWidth="1"/>
    <col min="6152" max="6152" width="13" style="655" customWidth="1"/>
    <col min="6153" max="6153" width="22.625" style="655" customWidth="1"/>
    <col min="6154" max="6154" width="15.375" style="655" customWidth="1"/>
    <col min="6155" max="6404" width="15.375" style="655"/>
    <col min="6405" max="6405" width="29" style="655" customWidth="1"/>
    <col min="6406" max="6406" width="15.5" style="655" customWidth="1"/>
    <col min="6407" max="6407" width="13.125" style="655" customWidth="1"/>
    <col min="6408" max="6408" width="13" style="655" customWidth="1"/>
    <col min="6409" max="6409" width="22.625" style="655" customWidth="1"/>
    <col min="6410" max="6410" width="15.375" style="655" customWidth="1"/>
    <col min="6411" max="6660" width="15.375" style="655"/>
    <col min="6661" max="6661" width="29" style="655" customWidth="1"/>
    <col min="6662" max="6662" width="15.5" style="655" customWidth="1"/>
    <col min="6663" max="6663" width="13.125" style="655" customWidth="1"/>
    <col min="6664" max="6664" width="13" style="655" customWidth="1"/>
    <col min="6665" max="6665" width="22.625" style="655" customWidth="1"/>
    <col min="6666" max="6666" width="15.375" style="655" customWidth="1"/>
    <col min="6667" max="6916" width="15.375" style="655"/>
    <col min="6917" max="6917" width="29" style="655" customWidth="1"/>
    <col min="6918" max="6918" width="15.5" style="655" customWidth="1"/>
    <col min="6919" max="6919" width="13.125" style="655" customWidth="1"/>
    <col min="6920" max="6920" width="13" style="655" customWidth="1"/>
    <col min="6921" max="6921" width="22.625" style="655" customWidth="1"/>
    <col min="6922" max="6922" width="15.375" style="655" customWidth="1"/>
    <col min="6923" max="7172" width="15.375" style="655"/>
    <col min="7173" max="7173" width="29" style="655" customWidth="1"/>
    <col min="7174" max="7174" width="15.5" style="655" customWidth="1"/>
    <col min="7175" max="7175" width="13.125" style="655" customWidth="1"/>
    <col min="7176" max="7176" width="13" style="655" customWidth="1"/>
    <col min="7177" max="7177" width="22.625" style="655" customWidth="1"/>
    <col min="7178" max="7178" width="15.375" style="655" customWidth="1"/>
    <col min="7179" max="7428" width="15.375" style="655"/>
    <col min="7429" max="7429" width="29" style="655" customWidth="1"/>
    <col min="7430" max="7430" width="15.5" style="655" customWidth="1"/>
    <col min="7431" max="7431" width="13.125" style="655" customWidth="1"/>
    <col min="7432" max="7432" width="13" style="655" customWidth="1"/>
    <col min="7433" max="7433" width="22.625" style="655" customWidth="1"/>
    <col min="7434" max="7434" width="15.375" style="655" customWidth="1"/>
    <col min="7435" max="7684" width="15.375" style="655"/>
    <col min="7685" max="7685" width="29" style="655" customWidth="1"/>
    <col min="7686" max="7686" width="15.5" style="655" customWidth="1"/>
    <col min="7687" max="7687" width="13.125" style="655" customWidth="1"/>
    <col min="7688" max="7688" width="13" style="655" customWidth="1"/>
    <col min="7689" max="7689" width="22.625" style="655" customWidth="1"/>
    <col min="7690" max="7690" width="15.375" style="655" customWidth="1"/>
    <col min="7691" max="7940" width="15.375" style="655"/>
    <col min="7941" max="7941" width="29" style="655" customWidth="1"/>
    <col min="7942" max="7942" width="15.5" style="655" customWidth="1"/>
    <col min="7943" max="7943" width="13.125" style="655" customWidth="1"/>
    <col min="7944" max="7944" width="13" style="655" customWidth="1"/>
    <col min="7945" max="7945" width="22.625" style="655" customWidth="1"/>
    <col min="7946" max="7946" width="15.375" style="655" customWidth="1"/>
    <col min="7947" max="8196" width="15.375" style="655"/>
    <col min="8197" max="8197" width="29" style="655" customWidth="1"/>
    <col min="8198" max="8198" width="15.5" style="655" customWidth="1"/>
    <col min="8199" max="8199" width="13.125" style="655" customWidth="1"/>
    <col min="8200" max="8200" width="13" style="655" customWidth="1"/>
    <col min="8201" max="8201" width="22.625" style="655" customWidth="1"/>
    <col min="8202" max="8202" width="15.375" style="655" customWidth="1"/>
    <col min="8203" max="8452" width="15.375" style="655"/>
    <col min="8453" max="8453" width="29" style="655" customWidth="1"/>
    <col min="8454" max="8454" width="15.5" style="655" customWidth="1"/>
    <col min="8455" max="8455" width="13.125" style="655" customWidth="1"/>
    <col min="8456" max="8456" width="13" style="655" customWidth="1"/>
    <col min="8457" max="8457" width="22.625" style="655" customWidth="1"/>
    <col min="8458" max="8458" width="15.375" style="655" customWidth="1"/>
    <col min="8459" max="8708" width="15.375" style="655"/>
    <col min="8709" max="8709" width="29" style="655" customWidth="1"/>
    <col min="8710" max="8710" width="15.5" style="655" customWidth="1"/>
    <col min="8711" max="8711" width="13.125" style="655" customWidth="1"/>
    <col min="8712" max="8712" width="13" style="655" customWidth="1"/>
    <col min="8713" max="8713" width="22.625" style="655" customWidth="1"/>
    <col min="8714" max="8714" width="15.375" style="655" customWidth="1"/>
    <col min="8715" max="8964" width="15.375" style="655"/>
    <col min="8965" max="8965" width="29" style="655" customWidth="1"/>
    <col min="8966" max="8966" width="15.5" style="655" customWidth="1"/>
    <col min="8967" max="8967" width="13.125" style="655" customWidth="1"/>
    <col min="8968" max="8968" width="13" style="655" customWidth="1"/>
    <col min="8969" max="8969" width="22.625" style="655" customWidth="1"/>
    <col min="8970" max="8970" width="15.375" style="655" customWidth="1"/>
    <col min="8971" max="9220" width="15.375" style="655"/>
    <col min="9221" max="9221" width="29" style="655" customWidth="1"/>
    <col min="9222" max="9222" width="15.5" style="655" customWidth="1"/>
    <col min="9223" max="9223" width="13.125" style="655" customWidth="1"/>
    <col min="9224" max="9224" width="13" style="655" customWidth="1"/>
    <col min="9225" max="9225" width="22.625" style="655" customWidth="1"/>
    <col min="9226" max="9226" width="15.375" style="655" customWidth="1"/>
    <col min="9227" max="9476" width="15.375" style="655"/>
    <col min="9477" max="9477" width="29" style="655" customWidth="1"/>
    <col min="9478" max="9478" width="15.5" style="655" customWidth="1"/>
    <col min="9479" max="9479" width="13.125" style="655" customWidth="1"/>
    <col min="9480" max="9480" width="13" style="655" customWidth="1"/>
    <col min="9481" max="9481" width="22.625" style="655" customWidth="1"/>
    <col min="9482" max="9482" width="15.375" style="655" customWidth="1"/>
    <col min="9483" max="9732" width="15.375" style="655"/>
    <col min="9733" max="9733" width="29" style="655" customWidth="1"/>
    <col min="9734" max="9734" width="15.5" style="655" customWidth="1"/>
    <col min="9735" max="9735" width="13.125" style="655" customWidth="1"/>
    <col min="9736" max="9736" width="13" style="655" customWidth="1"/>
    <col min="9737" max="9737" width="22.625" style="655" customWidth="1"/>
    <col min="9738" max="9738" width="15.375" style="655" customWidth="1"/>
    <col min="9739" max="9988" width="15.375" style="655"/>
    <col min="9989" max="9989" width="29" style="655" customWidth="1"/>
    <col min="9990" max="9990" width="15.5" style="655" customWidth="1"/>
    <col min="9991" max="9991" width="13.125" style="655" customWidth="1"/>
    <col min="9992" max="9992" width="13" style="655" customWidth="1"/>
    <col min="9993" max="9993" width="22.625" style="655" customWidth="1"/>
    <col min="9994" max="9994" width="15.375" style="655" customWidth="1"/>
    <col min="9995" max="10244" width="15.375" style="655"/>
    <col min="10245" max="10245" width="29" style="655" customWidth="1"/>
    <col min="10246" max="10246" width="15.5" style="655" customWidth="1"/>
    <col min="10247" max="10247" width="13.125" style="655" customWidth="1"/>
    <col min="10248" max="10248" width="13" style="655" customWidth="1"/>
    <col min="10249" max="10249" width="22.625" style="655" customWidth="1"/>
    <col min="10250" max="10250" width="15.375" style="655" customWidth="1"/>
    <col min="10251" max="10500" width="15.375" style="655"/>
    <col min="10501" max="10501" width="29" style="655" customWidth="1"/>
    <col min="10502" max="10502" width="15.5" style="655" customWidth="1"/>
    <col min="10503" max="10503" width="13.125" style="655" customWidth="1"/>
    <col min="10504" max="10504" width="13" style="655" customWidth="1"/>
    <col min="10505" max="10505" width="22.625" style="655" customWidth="1"/>
    <col min="10506" max="10506" width="15.375" style="655" customWidth="1"/>
    <col min="10507" max="10756" width="15.375" style="655"/>
    <col min="10757" max="10757" width="29" style="655" customWidth="1"/>
    <col min="10758" max="10758" width="15.5" style="655" customWidth="1"/>
    <col min="10759" max="10759" width="13.125" style="655" customWidth="1"/>
    <col min="10760" max="10760" width="13" style="655" customWidth="1"/>
    <col min="10761" max="10761" width="22.625" style="655" customWidth="1"/>
    <col min="10762" max="10762" width="15.375" style="655" customWidth="1"/>
    <col min="10763" max="11012" width="15.375" style="655"/>
    <col min="11013" max="11013" width="29" style="655" customWidth="1"/>
    <col min="11014" max="11014" width="15.5" style="655" customWidth="1"/>
    <col min="11015" max="11015" width="13.125" style="655" customWidth="1"/>
    <col min="11016" max="11016" width="13" style="655" customWidth="1"/>
    <col min="11017" max="11017" width="22.625" style="655" customWidth="1"/>
    <col min="11018" max="11018" width="15.375" style="655" customWidth="1"/>
    <col min="11019" max="11268" width="15.375" style="655"/>
    <col min="11269" max="11269" width="29" style="655" customWidth="1"/>
    <col min="11270" max="11270" width="15.5" style="655" customWidth="1"/>
    <col min="11271" max="11271" width="13.125" style="655" customWidth="1"/>
    <col min="11272" max="11272" width="13" style="655" customWidth="1"/>
    <col min="11273" max="11273" width="22.625" style="655" customWidth="1"/>
    <col min="11274" max="11274" width="15.375" style="655" customWidth="1"/>
    <col min="11275" max="11524" width="15.375" style="655"/>
    <col min="11525" max="11525" width="29" style="655" customWidth="1"/>
    <col min="11526" max="11526" width="15.5" style="655" customWidth="1"/>
    <col min="11527" max="11527" width="13.125" style="655" customWidth="1"/>
    <col min="11528" max="11528" width="13" style="655" customWidth="1"/>
    <col min="11529" max="11529" width="22.625" style="655" customWidth="1"/>
    <col min="11530" max="11530" width="15.375" style="655" customWidth="1"/>
    <col min="11531" max="11780" width="15.375" style="655"/>
    <col min="11781" max="11781" width="29" style="655" customWidth="1"/>
    <col min="11782" max="11782" width="15.5" style="655" customWidth="1"/>
    <col min="11783" max="11783" width="13.125" style="655" customWidth="1"/>
    <col min="11784" max="11784" width="13" style="655" customWidth="1"/>
    <col min="11785" max="11785" width="22.625" style="655" customWidth="1"/>
    <col min="11786" max="11786" width="15.375" style="655" customWidth="1"/>
    <col min="11787" max="12036" width="15.375" style="655"/>
    <col min="12037" max="12037" width="29" style="655" customWidth="1"/>
    <col min="12038" max="12038" width="15.5" style="655" customWidth="1"/>
    <col min="12039" max="12039" width="13.125" style="655" customWidth="1"/>
    <col min="12040" max="12040" width="13" style="655" customWidth="1"/>
    <col min="12041" max="12041" width="22.625" style="655" customWidth="1"/>
    <col min="12042" max="12042" width="15.375" style="655" customWidth="1"/>
    <col min="12043" max="12292" width="15.375" style="655"/>
    <col min="12293" max="12293" width="29" style="655" customWidth="1"/>
    <col min="12294" max="12294" width="15.5" style="655" customWidth="1"/>
    <col min="12295" max="12295" width="13.125" style="655" customWidth="1"/>
    <col min="12296" max="12296" width="13" style="655" customWidth="1"/>
    <col min="12297" max="12297" width="22.625" style="655" customWidth="1"/>
    <col min="12298" max="12298" width="15.375" style="655" customWidth="1"/>
    <col min="12299" max="12548" width="15.375" style="655"/>
    <col min="12549" max="12549" width="29" style="655" customWidth="1"/>
    <col min="12550" max="12550" width="15.5" style="655" customWidth="1"/>
    <col min="12551" max="12551" width="13.125" style="655" customWidth="1"/>
    <col min="12552" max="12552" width="13" style="655" customWidth="1"/>
    <col min="12553" max="12553" width="22.625" style="655" customWidth="1"/>
    <col min="12554" max="12554" width="15.375" style="655" customWidth="1"/>
    <col min="12555" max="12804" width="15.375" style="655"/>
    <col min="12805" max="12805" width="29" style="655" customWidth="1"/>
    <col min="12806" max="12806" width="15.5" style="655" customWidth="1"/>
    <col min="12807" max="12807" width="13.125" style="655" customWidth="1"/>
    <col min="12808" max="12808" width="13" style="655" customWidth="1"/>
    <col min="12809" max="12809" width="22.625" style="655" customWidth="1"/>
    <col min="12810" max="12810" width="15.375" style="655" customWidth="1"/>
    <col min="12811" max="13060" width="15.375" style="655"/>
    <col min="13061" max="13061" width="29" style="655" customWidth="1"/>
    <col min="13062" max="13062" width="15.5" style="655" customWidth="1"/>
    <col min="13063" max="13063" width="13.125" style="655" customWidth="1"/>
    <col min="13064" max="13064" width="13" style="655" customWidth="1"/>
    <col min="13065" max="13065" width="22.625" style="655" customWidth="1"/>
    <col min="13066" max="13066" width="15.375" style="655" customWidth="1"/>
    <col min="13067" max="13316" width="15.375" style="655"/>
    <col min="13317" max="13317" width="29" style="655" customWidth="1"/>
    <col min="13318" max="13318" width="15.5" style="655" customWidth="1"/>
    <col min="13319" max="13319" width="13.125" style="655" customWidth="1"/>
    <col min="13320" max="13320" width="13" style="655" customWidth="1"/>
    <col min="13321" max="13321" width="22.625" style="655" customWidth="1"/>
    <col min="13322" max="13322" width="15.375" style="655" customWidth="1"/>
    <col min="13323" max="13572" width="15.375" style="655"/>
    <col min="13573" max="13573" width="29" style="655" customWidth="1"/>
    <col min="13574" max="13574" width="15.5" style="655" customWidth="1"/>
    <col min="13575" max="13575" width="13.125" style="655" customWidth="1"/>
    <col min="13576" max="13576" width="13" style="655" customWidth="1"/>
    <col min="13577" max="13577" width="22.625" style="655" customWidth="1"/>
    <col min="13578" max="13578" width="15.375" style="655" customWidth="1"/>
    <col min="13579" max="13828" width="15.375" style="655"/>
    <col min="13829" max="13829" width="29" style="655" customWidth="1"/>
    <col min="13830" max="13830" width="15.5" style="655" customWidth="1"/>
    <col min="13831" max="13831" width="13.125" style="655" customWidth="1"/>
    <col min="13832" max="13832" width="13" style="655" customWidth="1"/>
    <col min="13833" max="13833" width="22.625" style="655" customWidth="1"/>
    <col min="13834" max="13834" width="15.375" style="655" customWidth="1"/>
    <col min="13835" max="14084" width="15.375" style="655"/>
    <col min="14085" max="14085" width="29" style="655" customWidth="1"/>
    <col min="14086" max="14086" width="15.5" style="655" customWidth="1"/>
    <col min="14087" max="14087" width="13.125" style="655" customWidth="1"/>
    <col min="14088" max="14088" width="13" style="655" customWidth="1"/>
    <col min="14089" max="14089" width="22.625" style="655" customWidth="1"/>
    <col min="14090" max="14090" width="15.375" style="655" customWidth="1"/>
    <col min="14091" max="14340" width="15.375" style="655"/>
    <col min="14341" max="14341" width="29" style="655" customWidth="1"/>
    <col min="14342" max="14342" width="15.5" style="655" customWidth="1"/>
    <col min="14343" max="14343" width="13.125" style="655" customWidth="1"/>
    <col min="14344" max="14344" width="13" style="655" customWidth="1"/>
    <col min="14345" max="14345" width="22.625" style="655" customWidth="1"/>
    <col min="14346" max="14346" width="15.375" style="655" customWidth="1"/>
    <col min="14347" max="14596" width="15.375" style="655"/>
    <col min="14597" max="14597" width="29" style="655" customWidth="1"/>
    <col min="14598" max="14598" width="15.5" style="655" customWidth="1"/>
    <col min="14599" max="14599" width="13.125" style="655" customWidth="1"/>
    <col min="14600" max="14600" width="13" style="655" customWidth="1"/>
    <col min="14601" max="14601" width="22.625" style="655" customWidth="1"/>
    <col min="14602" max="14602" width="15.375" style="655" customWidth="1"/>
    <col min="14603" max="14852" width="15.375" style="655"/>
    <col min="14853" max="14853" width="29" style="655" customWidth="1"/>
    <col min="14854" max="14854" width="15.5" style="655" customWidth="1"/>
    <col min="14855" max="14855" width="13.125" style="655" customWidth="1"/>
    <col min="14856" max="14856" width="13" style="655" customWidth="1"/>
    <col min="14857" max="14857" width="22.625" style="655" customWidth="1"/>
    <col min="14858" max="14858" width="15.375" style="655" customWidth="1"/>
    <col min="14859" max="15108" width="15.375" style="655"/>
    <col min="15109" max="15109" width="29" style="655" customWidth="1"/>
    <col min="15110" max="15110" width="15.5" style="655" customWidth="1"/>
    <col min="15111" max="15111" width="13.125" style="655" customWidth="1"/>
    <col min="15112" max="15112" width="13" style="655" customWidth="1"/>
    <col min="15113" max="15113" width="22.625" style="655" customWidth="1"/>
    <col min="15114" max="15114" width="15.375" style="655" customWidth="1"/>
    <col min="15115" max="15364" width="15.375" style="655"/>
    <col min="15365" max="15365" width="29" style="655" customWidth="1"/>
    <col min="15366" max="15366" width="15.5" style="655" customWidth="1"/>
    <col min="15367" max="15367" width="13.125" style="655" customWidth="1"/>
    <col min="15368" max="15368" width="13" style="655" customWidth="1"/>
    <col min="15369" max="15369" width="22.625" style="655" customWidth="1"/>
    <col min="15370" max="15370" width="15.375" style="655" customWidth="1"/>
    <col min="15371" max="15620" width="15.375" style="655"/>
    <col min="15621" max="15621" width="29" style="655" customWidth="1"/>
    <col min="15622" max="15622" width="15.5" style="655" customWidth="1"/>
    <col min="15623" max="15623" width="13.125" style="655" customWidth="1"/>
    <col min="15624" max="15624" width="13" style="655" customWidth="1"/>
    <col min="15625" max="15625" width="22.625" style="655" customWidth="1"/>
    <col min="15626" max="15626" width="15.375" style="655" customWidth="1"/>
    <col min="15627" max="15876" width="15.375" style="655"/>
    <col min="15877" max="15877" width="29" style="655" customWidth="1"/>
    <col min="15878" max="15878" width="15.5" style="655" customWidth="1"/>
    <col min="15879" max="15879" width="13.125" style="655" customWidth="1"/>
    <col min="15880" max="15880" width="13" style="655" customWidth="1"/>
    <col min="15881" max="15881" width="22.625" style="655" customWidth="1"/>
    <col min="15882" max="15882" width="15.375" style="655" customWidth="1"/>
    <col min="15883" max="16132" width="15.375" style="655"/>
    <col min="16133" max="16133" width="29" style="655" customWidth="1"/>
    <col min="16134" max="16134" width="15.5" style="655" customWidth="1"/>
    <col min="16135" max="16135" width="13.125" style="655" customWidth="1"/>
    <col min="16136" max="16136" width="13" style="655" customWidth="1"/>
    <col min="16137" max="16137" width="22.625" style="655" customWidth="1"/>
    <col min="16138" max="16138" width="15.375" style="655" customWidth="1"/>
    <col min="16139" max="16384" width="15.375" style="655"/>
  </cols>
  <sheetData>
    <row r="1" spans="1:14" ht="23.25" customHeight="1" thickBot="1">
      <c r="E1" s="656"/>
      <c r="F1" s="657"/>
      <c r="G1" s="658"/>
      <c r="H1" s="659"/>
      <c r="I1" s="660"/>
      <c r="J1" s="659"/>
      <c r="K1" s="1776" t="s">
        <v>2250</v>
      </c>
      <c r="L1" s="1776"/>
      <c r="M1" s="1776"/>
      <c r="N1" s="1776"/>
    </row>
    <row r="2" spans="1:14">
      <c r="A2" s="389" t="s">
        <v>2251</v>
      </c>
      <c r="C2" s="661"/>
      <c r="E2" s="662" t="s">
        <v>2252</v>
      </c>
      <c r="F2" s="663" t="s">
        <v>2253</v>
      </c>
      <c r="G2" s="664" t="s">
        <v>362</v>
      </c>
      <c r="H2" s="665" t="s">
        <v>363</v>
      </c>
      <c r="I2" s="666"/>
      <c r="J2" s="667"/>
      <c r="K2" s="1776"/>
      <c r="L2" s="1776"/>
      <c r="M2" s="1776"/>
      <c r="N2" s="1776"/>
    </row>
    <row r="3" spans="1:14">
      <c r="A3" s="391"/>
      <c r="E3" s="668" t="s">
        <v>364</v>
      </c>
      <c r="F3" s="669" t="s">
        <v>2254</v>
      </c>
      <c r="G3" s="670"/>
      <c r="H3" s="671" t="s">
        <v>365</v>
      </c>
      <c r="I3" s="672"/>
      <c r="J3" s="667"/>
      <c r="K3" s="1776"/>
      <c r="L3" s="1776"/>
      <c r="M3" s="1776"/>
      <c r="N3" s="1776"/>
    </row>
    <row r="4" spans="1:14" ht="27.2" customHeight="1" thickBot="1">
      <c r="B4" s="654" t="s">
        <v>2255</v>
      </c>
      <c r="E4" s="673" t="s">
        <v>2256</v>
      </c>
      <c r="F4" s="674" t="s">
        <v>2257</v>
      </c>
      <c r="G4" s="675"/>
      <c r="H4" s="676" t="s">
        <v>365</v>
      </c>
      <c r="I4" s="677"/>
      <c r="J4" s="667"/>
      <c r="K4" s="1776"/>
      <c r="L4" s="1776"/>
      <c r="M4" s="1776"/>
      <c r="N4" s="1776"/>
    </row>
    <row r="5" spans="1:14" ht="11.25" customHeight="1">
      <c r="E5" s="678"/>
      <c r="F5" s="669"/>
      <c r="G5" s="670"/>
      <c r="H5" s="671"/>
      <c r="I5" s="679"/>
      <c r="J5" s="667"/>
      <c r="K5" s="680"/>
      <c r="L5" s="680"/>
      <c r="N5" s="680"/>
    </row>
    <row r="6" spans="1:14" ht="15.75" customHeight="1">
      <c r="E6" s="412" t="s">
        <v>2258</v>
      </c>
      <c r="F6" s="405">
        <f>SUM((G416:G452))</f>
        <v>-3825860.7745646862</v>
      </c>
      <c r="G6" s="412" t="s">
        <v>2259</v>
      </c>
      <c r="H6" s="671"/>
      <c r="I6" s="679"/>
      <c r="J6" s="667"/>
      <c r="K6" s="661" t="s">
        <v>2260</v>
      </c>
      <c r="L6" s="680"/>
      <c r="N6" s="680"/>
    </row>
    <row r="7" spans="1:14" s="654" customFormat="1" ht="13.5" thickBot="1">
      <c r="A7" s="653"/>
      <c r="B7" s="654">
        <v>5</v>
      </c>
      <c r="C7" s="654" t="s">
        <v>2261</v>
      </c>
      <c r="D7" s="654" t="s">
        <v>2262</v>
      </c>
      <c r="E7" s="654">
        <v>4</v>
      </c>
      <c r="F7" s="654">
        <v>5</v>
      </c>
      <c r="G7" s="654">
        <v>6</v>
      </c>
      <c r="H7" s="654">
        <v>7</v>
      </c>
      <c r="I7" s="681">
        <v>8</v>
      </c>
      <c r="J7" s="682"/>
      <c r="K7" s="680"/>
      <c r="L7" s="682"/>
      <c r="N7" s="682"/>
    </row>
    <row r="8" spans="1:14" ht="13.5" thickBot="1">
      <c r="B8" s="654">
        <v>6</v>
      </c>
      <c r="C8" s="654" t="s">
        <v>2263</v>
      </c>
      <c r="E8" s="1726" t="s">
        <v>2264</v>
      </c>
      <c r="F8" s="1726"/>
      <c r="G8" s="1726"/>
      <c r="H8" s="1726"/>
      <c r="I8" s="1726"/>
    </row>
    <row r="9" spans="1:14">
      <c r="B9" s="654">
        <v>7</v>
      </c>
      <c r="C9" s="654" t="s">
        <v>2265</v>
      </c>
      <c r="D9" s="680" t="s">
        <v>2266</v>
      </c>
      <c r="E9" s="1727" t="s">
        <v>2267</v>
      </c>
      <c r="F9" s="1728"/>
      <c r="G9" s="1728"/>
      <c r="H9" s="1728"/>
      <c r="I9" s="1729"/>
    </row>
    <row r="10" spans="1:14">
      <c r="A10" s="389" t="s">
        <v>2251</v>
      </c>
      <c r="B10" s="654">
        <v>8</v>
      </c>
      <c r="C10" s="654" t="s">
        <v>2263</v>
      </c>
      <c r="D10" s="680" t="s">
        <v>2266</v>
      </c>
      <c r="E10" s="683" t="s">
        <v>366</v>
      </c>
      <c r="F10" s="684" t="s">
        <v>367</v>
      </c>
      <c r="G10" s="684" t="s">
        <v>368</v>
      </c>
      <c r="H10" s="684" t="s">
        <v>369</v>
      </c>
      <c r="I10" s="685" t="s">
        <v>2220</v>
      </c>
    </row>
    <row r="11" spans="1:14">
      <c r="A11" s="391"/>
      <c r="B11" s="654">
        <v>9</v>
      </c>
      <c r="C11" s="654" t="s">
        <v>2263</v>
      </c>
      <c r="D11" s="680" t="s">
        <v>2266</v>
      </c>
      <c r="E11" s="686" t="s">
        <v>370</v>
      </c>
      <c r="F11" s="687" t="s">
        <v>2268</v>
      </c>
      <c r="G11" s="460">
        <f>审定利润表!C7</f>
        <v>4339622.6500000004</v>
      </c>
      <c r="H11" s="460">
        <f>审定利润表!D7</f>
        <v>16037735.91</v>
      </c>
      <c r="I11" s="688" t="s">
        <v>370</v>
      </c>
    </row>
    <row r="12" spans="1:14">
      <c r="B12" s="654">
        <v>10</v>
      </c>
      <c r="C12" s="654" t="s">
        <v>2263</v>
      </c>
      <c r="D12" s="680" t="s">
        <v>2266</v>
      </c>
      <c r="E12" s="686" t="s">
        <v>371</v>
      </c>
      <c r="F12" s="687" t="s">
        <v>2269</v>
      </c>
      <c r="G12" s="460">
        <f>审定利润表!C8</f>
        <v>0</v>
      </c>
      <c r="H12" s="460">
        <f>审定利润表!D8</f>
        <v>0</v>
      </c>
      <c r="I12" s="688" t="s">
        <v>371</v>
      </c>
    </row>
    <row r="13" spans="1:14">
      <c r="B13" s="654">
        <v>11</v>
      </c>
      <c r="C13" s="654" t="s">
        <v>2263</v>
      </c>
      <c r="D13" s="680" t="s">
        <v>2266</v>
      </c>
      <c r="E13" s="686" t="s">
        <v>372</v>
      </c>
      <c r="F13" s="687" t="s">
        <v>2270</v>
      </c>
      <c r="G13" s="689"/>
      <c r="H13" s="689"/>
      <c r="I13" s="688" t="s">
        <v>2271</v>
      </c>
    </row>
    <row r="14" spans="1:14">
      <c r="B14" s="654">
        <v>12</v>
      </c>
      <c r="C14" s="654" t="s">
        <v>2263</v>
      </c>
      <c r="D14" s="680" t="s">
        <v>2272</v>
      </c>
      <c r="E14" s="686" t="s">
        <v>2273</v>
      </c>
      <c r="F14" s="687" t="s">
        <v>2274</v>
      </c>
      <c r="G14" s="460">
        <f>审定资产负债表!D11-审定资产负债表!C11</f>
        <v>0</v>
      </c>
      <c r="H14" s="689"/>
      <c r="I14" s="688"/>
    </row>
    <row r="15" spans="1:14">
      <c r="B15" s="654">
        <v>13</v>
      </c>
      <c r="C15" s="654" t="s">
        <v>2263</v>
      </c>
      <c r="D15" s="680" t="s">
        <v>2272</v>
      </c>
      <c r="E15" s="686" t="s">
        <v>2275</v>
      </c>
      <c r="F15" s="687" t="s">
        <v>2276</v>
      </c>
      <c r="G15" s="460">
        <f>应收账款!D21-应收账款!D10</f>
        <v>-4600000</v>
      </c>
      <c r="H15" s="690"/>
      <c r="I15" s="688"/>
    </row>
    <row r="16" spans="1:14">
      <c r="B16" s="654">
        <v>14</v>
      </c>
      <c r="C16" s="654" t="s">
        <v>2263</v>
      </c>
      <c r="D16" s="680" t="s">
        <v>2272</v>
      </c>
      <c r="E16" s="686" t="s">
        <v>2277</v>
      </c>
      <c r="F16" s="687" t="s">
        <v>2278</v>
      </c>
      <c r="G16" s="460">
        <f>审定资产负债表!C68-审定资产负债表!D68</f>
        <v>0</v>
      </c>
      <c r="H16" s="690"/>
      <c r="I16" s="688"/>
    </row>
    <row r="17" spans="1:9">
      <c r="A17" s="389" t="s">
        <v>2251</v>
      </c>
      <c r="B17" s="654">
        <v>15</v>
      </c>
      <c r="C17" s="654" t="s">
        <v>2263</v>
      </c>
      <c r="D17" s="680" t="s">
        <v>2272</v>
      </c>
      <c r="E17" s="686" t="s">
        <v>373</v>
      </c>
      <c r="F17" s="687" t="s">
        <v>2279</v>
      </c>
      <c r="G17" s="460">
        <f>应收账款!F131</f>
        <v>0</v>
      </c>
      <c r="H17" s="690"/>
      <c r="I17" s="688"/>
    </row>
    <row r="18" spans="1:9">
      <c r="A18" s="391"/>
      <c r="B18" s="654">
        <v>16</v>
      </c>
      <c r="C18" s="654" t="s">
        <v>2263</v>
      </c>
      <c r="D18" s="680" t="s">
        <v>2266</v>
      </c>
      <c r="E18" s="686" t="s">
        <v>374</v>
      </c>
      <c r="F18" s="687" t="s">
        <v>2280</v>
      </c>
      <c r="G18" s="460">
        <f>财务费用!D13</f>
        <v>0</v>
      </c>
      <c r="H18" s="460">
        <f>财务费用!E13</f>
        <v>0</v>
      </c>
      <c r="I18" s="688" t="s">
        <v>2221</v>
      </c>
    </row>
    <row r="19" spans="1:9" ht="25.5">
      <c r="B19" s="654">
        <v>17</v>
      </c>
      <c r="C19" s="654" t="s">
        <v>2263</v>
      </c>
      <c r="D19" s="680" t="s">
        <v>2266</v>
      </c>
      <c r="E19" s="686" t="s">
        <v>375</v>
      </c>
      <c r="F19" s="687" t="s">
        <v>2281</v>
      </c>
      <c r="G19" s="460">
        <f>审定资产减值准备情况表!C6</f>
        <v>0</v>
      </c>
      <c r="H19" s="690"/>
      <c r="I19" s="691" t="s">
        <v>2222</v>
      </c>
    </row>
    <row r="20" spans="1:9" s="680" customFormat="1" ht="25.5">
      <c r="A20" s="653"/>
      <c r="B20" s="654">
        <v>18</v>
      </c>
      <c r="C20" s="654" t="s">
        <v>2263</v>
      </c>
      <c r="D20" s="680" t="s">
        <v>2266</v>
      </c>
      <c r="E20" s="686" t="s">
        <v>376</v>
      </c>
      <c r="F20" s="687" t="s">
        <v>2282</v>
      </c>
      <c r="G20" s="690"/>
      <c r="H20" s="690"/>
      <c r="I20" s="691" t="s">
        <v>2223</v>
      </c>
    </row>
    <row r="21" spans="1:9" s="680" customFormat="1">
      <c r="A21" s="653"/>
      <c r="B21" s="654">
        <v>19</v>
      </c>
      <c r="C21" s="654" t="s">
        <v>2263</v>
      </c>
      <c r="D21" s="680" t="s">
        <v>2266</v>
      </c>
      <c r="E21" s="686" t="s">
        <v>377</v>
      </c>
      <c r="F21" s="687" t="s">
        <v>2283</v>
      </c>
      <c r="G21" s="690"/>
      <c r="H21" s="690"/>
      <c r="I21" s="691" t="s">
        <v>2224</v>
      </c>
    </row>
    <row r="22" spans="1:9" s="680" customFormat="1" ht="25.5">
      <c r="A22" s="653"/>
      <c r="B22" s="654">
        <v>20</v>
      </c>
      <c r="C22" s="654" t="s">
        <v>2263</v>
      </c>
      <c r="D22" s="680" t="s">
        <v>2266</v>
      </c>
      <c r="E22" s="686" t="s">
        <v>378</v>
      </c>
      <c r="F22" s="687" t="s">
        <v>2284</v>
      </c>
      <c r="G22" s="690"/>
      <c r="H22" s="690"/>
      <c r="I22" s="691" t="s">
        <v>2225</v>
      </c>
    </row>
    <row r="23" spans="1:9" s="680" customFormat="1">
      <c r="A23" s="653"/>
      <c r="B23" s="654">
        <v>21</v>
      </c>
      <c r="C23" s="654" t="s">
        <v>2263</v>
      </c>
      <c r="D23" s="680" t="s">
        <v>2266</v>
      </c>
      <c r="E23" s="686" t="s">
        <v>2285</v>
      </c>
      <c r="F23" s="687" t="s">
        <v>2286</v>
      </c>
      <c r="G23" s="690"/>
      <c r="H23" s="690"/>
      <c r="I23" s="691" t="s">
        <v>2226</v>
      </c>
    </row>
    <row r="24" spans="1:9" s="680" customFormat="1">
      <c r="A24" s="653"/>
      <c r="B24" s="654">
        <v>22</v>
      </c>
      <c r="C24" s="654" t="s">
        <v>2263</v>
      </c>
      <c r="D24" s="680" t="s">
        <v>2287</v>
      </c>
      <c r="E24" s="686" t="s">
        <v>379</v>
      </c>
      <c r="F24" s="687" t="s">
        <v>2288</v>
      </c>
      <c r="G24" s="692">
        <f>应收账款!E150</f>
        <v>0</v>
      </c>
      <c r="H24" s="690"/>
      <c r="I24" s="691"/>
    </row>
    <row r="25" spans="1:9" s="680" customFormat="1" ht="25.5">
      <c r="A25" s="389" t="s">
        <v>2251</v>
      </c>
      <c r="B25" s="654">
        <v>23</v>
      </c>
      <c r="C25" s="654" t="s">
        <v>2263</v>
      </c>
      <c r="D25" s="680" t="s">
        <v>2287</v>
      </c>
      <c r="E25" s="686" t="s">
        <v>380</v>
      </c>
      <c r="F25" s="687" t="s">
        <v>2289</v>
      </c>
      <c r="G25" s="690"/>
      <c r="H25" s="690"/>
      <c r="I25" s="691" t="s">
        <v>2227</v>
      </c>
    </row>
    <row r="26" spans="1:9" s="680" customFormat="1">
      <c r="A26" s="391"/>
      <c r="B26" s="654">
        <v>24</v>
      </c>
      <c r="C26" s="654" t="s">
        <v>2263</v>
      </c>
      <c r="D26" s="680" t="s">
        <v>2266</v>
      </c>
      <c r="E26" s="686" t="s">
        <v>223</v>
      </c>
      <c r="F26" s="687"/>
      <c r="G26" s="690"/>
      <c r="H26" s="690"/>
      <c r="I26" s="691"/>
    </row>
    <row r="27" spans="1:9" s="680" customFormat="1">
      <c r="A27" s="653"/>
      <c r="B27" s="654">
        <v>25</v>
      </c>
      <c r="C27" s="654" t="s">
        <v>2263</v>
      </c>
      <c r="D27" s="680" t="s">
        <v>2266</v>
      </c>
      <c r="E27" s="686" t="s">
        <v>381</v>
      </c>
      <c r="F27" s="687" t="s">
        <v>382</v>
      </c>
      <c r="G27" s="460">
        <f>SUM(G11:G17)-SUM(G18:G26)</f>
        <v>-260377.34999999963</v>
      </c>
      <c r="H27" s="460">
        <f>SUM(H11:H17)-SUM(H18:H26)</f>
        <v>16037735.91</v>
      </c>
      <c r="I27" s="691"/>
    </row>
    <row r="28" spans="1:9" s="680" customFormat="1">
      <c r="A28" s="653"/>
      <c r="B28" s="654">
        <v>26</v>
      </c>
      <c r="C28" s="654" t="s">
        <v>2263</v>
      </c>
      <c r="D28" s="680" t="s">
        <v>2266</v>
      </c>
      <c r="E28" s="1730" t="s">
        <v>383</v>
      </c>
      <c r="F28" s="1731"/>
      <c r="G28" s="460">
        <f>审定现金流量表!C6</f>
        <v>0</v>
      </c>
      <c r="H28" s="460">
        <f>审定现金流量表!D6</f>
        <v>17000000</v>
      </c>
      <c r="I28" s="691"/>
    </row>
    <row r="29" spans="1:9" s="680" customFormat="1">
      <c r="A29" s="653"/>
      <c r="B29" s="654">
        <v>27</v>
      </c>
      <c r="C29" s="654" t="s">
        <v>2263</v>
      </c>
      <c r="D29" s="680" t="s">
        <v>2287</v>
      </c>
      <c r="E29" s="1730" t="s">
        <v>2290</v>
      </c>
      <c r="F29" s="1731"/>
      <c r="G29" s="460">
        <f>G27-G28</f>
        <v>-260377.34999999963</v>
      </c>
      <c r="H29" s="460">
        <f>H27-H28</f>
        <v>-962264.08999999985</v>
      </c>
      <c r="I29" s="691"/>
    </row>
    <row r="30" spans="1:9" s="680" customFormat="1">
      <c r="A30" s="653"/>
      <c r="B30" s="654">
        <v>28</v>
      </c>
      <c r="C30" s="654" t="s">
        <v>2263</v>
      </c>
      <c r="D30" s="680" t="s">
        <v>2266</v>
      </c>
      <c r="E30" s="1730" t="s">
        <v>385</v>
      </c>
      <c r="F30" s="1731"/>
      <c r="G30" s="690"/>
      <c r="H30" s="690"/>
      <c r="I30" s="691"/>
    </row>
    <row r="31" spans="1:9" s="680" customFormat="1">
      <c r="A31" s="653"/>
      <c r="B31" s="654">
        <v>29</v>
      </c>
      <c r="C31" s="654" t="s">
        <v>2263</v>
      </c>
      <c r="D31" s="680" t="s">
        <v>2291</v>
      </c>
      <c r="E31" s="1732" t="s">
        <v>2292</v>
      </c>
      <c r="F31" s="1733"/>
      <c r="G31" s="1733"/>
      <c r="H31" s="1733"/>
      <c r="I31" s="1734"/>
    </row>
    <row r="32" spans="1:9" s="680" customFormat="1">
      <c r="A32" s="389" t="s">
        <v>2251</v>
      </c>
      <c r="B32" s="654">
        <v>30</v>
      </c>
      <c r="C32" s="654" t="s">
        <v>2263</v>
      </c>
      <c r="D32" s="680" t="s">
        <v>2291</v>
      </c>
      <c r="E32" s="1737" t="s">
        <v>366</v>
      </c>
      <c r="F32" s="1738"/>
      <c r="G32" s="684" t="s">
        <v>368</v>
      </c>
      <c r="H32" s="684" t="s">
        <v>369</v>
      </c>
      <c r="I32" s="685" t="s">
        <v>2228</v>
      </c>
    </row>
    <row r="33" spans="1:9" s="680" customFormat="1" ht="24">
      <c r="A33" s="391"/>
      <c r="B33" s="654">
        <v>31</v>
      </c>
      <c r="C33" s="654" t="s">
        <v>2263</v>
      </c>
      <c r="D33" s="680" t="s">
        <v>2291</v>
      </c>
      <c r="E33" s="686" t="s">
        <v>386</v>
      </c>
      <c r="F33" s="687" t="s">
        <v>2268</v>
      </c>
      <c r="G33" s="690"/>
      <c r="H33" s="690"/>
      <c r="I33" s="688" t="s">
        <v>2229</v>
      </c>
    </row>
    <row r="34" spans="1:9" s="680" customFormat="1" ht="24">
      <c r="A34" s="693"/>
      <c r="B34" s="654">
        <v>32</v>
      </c>
      <c r="C34" s="654" t="s">
        <v>2263</v>
      </c>
      <c r="D34" s="680" t="s">
        <v>2291</v>
      </c>
      <c r="E34" s="686" t="s">
        <v>387</v>
      </c>
      <c r="F34" s="687" t="s">
        <v>2269</v>
      </c>
      <c r="G34" s="690"/>
      <c r="H34" s="690"/>
      <c r="I34" s="688" t="s">
        <v>2229</v>
      </c>
    </row>
    <row r="35" spans="1:9" s="680" customFormat="1" ht="24">
      <c r="A35" s="693"/>
      <c r="B35" s="654">
        <v>33</v>
      </c>
      <c r="C35" s="654" t="s">
        <v>2263</v>
      </c>
      <c r="D35" s="680" t="s">
        <v>2291</v>
      </c>
      <c r="E35" s="686" t="s">
        <v>388</v>
      </c>
      <c r="F35" s="687" t="s">
        <v>2270</v>
      </c>
      <c r="G35" s="690"/>
      <c r="H35" s="690"/>
      <c r="I35" s="688" t="s">
        <v>2229</v>
      </c>
    </row>
    <row r="36" spans="1:9" s="680" customFormat="1" ht="24">
      <c r="A36" s="389" t="s">
        <v>2251</v>
      </c>
      <c r="B36" s="654">
        <v>34</v>
      </c>
      <c r="C36" s="654" t="s">
        <v>2263</v>
      </c>
      <c r="D36" s="680" t="s">
        <v>2291</v>
      </c>
      <c r="E36" s="686" t="s">
        <v>389</v>
      </c>
      <c r="F36" s="687" t="s">
        <v>2274</v>
      </c>
      <c r="G36" s="690"/>
      <c r="H36" s="690"/>
      <c r="I36" s="688" t="s">
        <v>2229</v>
      </c>
    </row>
    <row r="37" spans="1:9" s="680" customFormat="1" ht="24">
      <c r="A37" s="391"/>
      <c r="B37" s="654">
        <v>35</v>
      </c>
      <c r="C37" s="654" t="s">
        <v>2263</v>
      </c>
      <c r="D37" s="680" t="s">
        <v>2291</v>
      </c>
      <c r="E37" s="686" t="s">
        <v>390</v>
      </c>
      <c r="F37" s="687" t="s">
        <v>2276</v>
      </c>
      <c r="G37" s="690"/>
      <c r="H37" s="690"/>
      <c r="I37" s="688" t="s">
        <v>2229</v>
      </c>
    </row>
    <row r="38" spans="1:9" s="680" customFormat="1">
      <c r="A38" s="653"/>
      <c r="B38" s="654">
        <v>36</v>
      </c>
      <c r="C38" s="654" t="s">
        <v>2263</v>
      </c>
      <c r="D38" s="680" t="s">
        <v>2291</v>
      </c>
      <c r="E38" s="686" t="s">
        <v>391</v>
      </c>
      <c r="F38" s="687" t="s">
        <v>2278</v>
      </c>
      <c r="G38" s="690"/>
      <c r="H38" s="690"/>
      <c r="I38" s="691"/>
    </row>
    <row r="39" spans="1:9" s="680" customFormat="1">
      <c r="A39" s="653"/>
      <c r="B39" s="654">
        <v>37</v>
      </c>
      <c r="C39" s="654" t="s">
        <v>2263</v>
      </c>
      <c r="D39" s="680" t="s">
        <v>2291</v>
      </c>
      <c r="E39" s="686" t="s">
        <v>381</v>
      </c>
      <c r="F39" s="687" t="s">
        <v>392</v>
      </c>
      <c r="G39" s="460">
        <f>SUM(G33:G38)</f>
        <v>0</v>
      </c>
      <c r="H39" s="460">
        <f>SUM(H33:H38)</f>
        <v>0</v>
      </c>
      <c r="I39" s="691"/>
    </row>
    <row r="40" spans="1:9" s="680" customFormat="1">
      <c r="A40" s="653"/>
      <c r="B40" s="654">
        <v>38</v>
      </c>
      <c r="C40" s="654" t="s">
        <v>2263</v>
      </c>
      <c r="D40" s="680" t="s">
        <v>2291</v>
      </c>
      <c r="E40" s="1730" t="s">
        <v>383</v>
      </c>
      <c r="F40" s="1731"/>
      <c r="G40" s="460">
        <f>审定现金流量表!C17</f>
        <v>0</v>
      </c>
      <c r="H40" s="460">
        <f>审定现金流量表!D17</f>
        <v>511678</v>
      </c>
      <c r="I40" s="691"/>
    </row>
    <row r="41" spans="1:9" s="680" customFormat="1">
      <c r="A41" s="653"/>
      <c r="B41" s="654">
        <v>39</v>
      </c>
      <c r="C41" s="654" t="s">
        <v>2263</v>
      </c>
      <c r="D41" s="680" t="s">
        <v>2291</v>
      </c>
      <c r="E41" s="1730" t="s">
        <v>384</v>
      </c>
      <c r="F41" s="1731"/>
      <c r="G41" s="460">
        <f>G39-G40</f>
        <v>0</v>
      </c>
      <c r="H41" s="460">
        <f>H39-H40</f>
        <v>-511678</v>
      </c>
      <c r="I41" s="691"/>
    </row>
    <row r="42" spans="1:9" s="680" customFormat="1">
      <c r="A42" s="653"/>
      <c r="B42" s="654">
        <v>40</v>
      </c>
      <c r="C42" s="654" t="s">
        <v>2263</v>
      </c>
      <c r="D42" s="680" t="s">
        <v>2291</v>
      </c>
      <c r="E42" s="1730" t="s">
        <v>385</v>
      </c>
      <c r="F42" s="1731"/>
      <c r="G42" s="690"/>
      <c r="H42" s="690"/>
      <c r="I42" s="691"/>
    </row>
    <row r="43" spans="1:9" s="680" customFormat="1">
      <c r="A43" s="653"/>
      <c r="B43" s="654">
        <v>41</v>
      </c>
      <c r="C43" s="654" t="s">
        <v>2263</v>
      </c>
      <c r="D43" s="680" t="s">
        <v>2293</v>
      </c>
      <c r="E43" s="1739" t="s">
        <v>2294</v>
      </c>
      <c r="F43" s="1740"/>
      <c r="G43" s="1740"/>
      <c r="H43" s="1740"/>
      <c r="I43" s="1741"/>
    </row>
    <row r="44" spans="1:9" s="680" customFormat="1">
      <c r="A44" s="389" t="s">
        <v>2251</v>
      </c>
      <c r="B44" s="654">
        <v>42</v>
      </c>
      <c r="C44" s="654" t="s">
        <v>2263</v>
      </c>
      <c r="D44" s="680" t="s">
        <v>2293</v>
      </c>
      <c r="E44" s="1737" t="s">
        <v>366</v>
      </c>
      <c r="F44" s="1738"/>
      <c r="G44" s="684" t="s">
        <v>368</v>
      </c>
      <c r="H44" s="684" t="s">
        <v>369</v>
      </c>
      <c r="I44" s="685" t="s">
        <v>2228</v>
      </c>
    </row>
    <row r="45" spans="1:9" s="680" customFormat="1">
      <c r="A45" s="391"/>
      <c r="B45" s="654">
        <v>43</v>
      </c>
      <c r="C45" s="654" t="s">
        <v>2263</v>
      </c>
      <c r="D45" s="680" t="s">
        <v>2293</v>
      </c>
      <c r="E45" s="686" t="s">
        <v>393</v>
      </c>
      <c r="F45" s="687" t="s">
        <v>2268</v>
      </c>
      <c r="G45" s="690"/>
      <c r="H45" s="690"/>
      <c r="I45" s="691"/>
    </row>
    <row r="46" spans="1:9" s="680" customFormat="1">
      <c r="A46" s="653"/>
      <c r="B46" s="654">
        <v>44</v>
      </c>
      <c r="C46" s="654" t="s">
        <v>2263</v>
      </c>
      <c r="D46" s="680" t="s">
        <v>2293</v>
      </c>
      <c r="E46" s="686" t="s">
        <v>394</v>
      </c>
      <c r="F46" s="687" t="s">
        <v>2269</v>
      </c>
      <c r="G46" s="690"/>
      <c r="H46" s="690"/>
      <c r="I46" s="691"/>
    </row>
    <row r="47" spans="1:9" s="680" customFormat="1">
      <c r="A47" s="653"/>
      <c r="B47" s="654">
        <v>45</v>
      </c>
      <c r="C47" s="654" t="s">
        <v>2263</v>
      </c>
      <c r="D47" s="680" t="s">
        <v>2293</v>
      </c>
      <c r="E47" s="686" t="s">
        <v>395</v>
      </c>
      <c r="F47" s="687" t="s">
        <v>2270</v>
      </c>
      <c r="G47" s="690"/>
      <c r="H47" s="690"/>
      <c r="I47" s="691"/>
    </row>
    <row r="48" spans="1:9" s="680" customFormat="1">
      <c r="A48" s="653"/>
      <c r="B48" s="654">
        <v>46</v>
      </c>
      <c r="C48" s="654" t="s">
        <v>2263</v>
      </c>
      <c r="D48" s="680" t="s">
        <v>2293</v>
      </c>
      <c r="E48" s="686" t="s">
        <v>2295</v>
      </c>
      <c r="F48" s="687" t="s">
        <v>2274</v>
      </c>
      <c r="G48" s="460">
        <f>审定利润表!C30</f>
        <v>3501.21</v>
      </c>
      <c r="H48" s="460">
        <f>审定利润表!D30</f>
        <v>67742.600000000006</v>
      </c>
      <c r="I48" s="691"/>
    </row>
    <row r="49" spans="1:9" s="680" customFormat="1">
      <c r="A49" s="653"/>
      <c r="B49" s="654">
        <v>47</v>
      </c>
      <c r="C49" s="654" t="s">
        <v>2263</v>
      </c>
      <c r="D49" s="680" t="s">
        <v>2293</v>
      </c>
      <c r="E49" s="686" t="s">
        <v>396</v>
      </c>
      <c r="F49" s="687" t="s">
        <v>2276</v>
      </c>
      <c r="G49" s="690"/>
      <c r="H49" s="690"/>
      <c r="I49" s="691"/>
    </row>
    <row r="50" spans="1:9" s="680" customFormat="1">
      <c r="A50" s="653"/>
      <c r="B50" s="654">
        <v>48</v>
      </c>
      <c r="C50" s="654" t="s">
        <v>2263</v>
      </c>
      <c r="D50" s="680" t="s">
        <v>2293</v>
      </c>
      <c r="E50" s="686" t="s">
        <v>397</v>
      </c>
      <c r="F50" s="687" t="s">
        <v>2278</v>
      </c>
      <c r="G50" s="690"/>
      <c r="H50" s="690"/>
      <c r="I50" s="691"/>
    </row>
    <row r="51" spans="1:9" s="680" customFormat="1">
      <c r="A51" s="389" t="s">
        <v>2251</v>
      </c>
      <c r="B51" s="654">
        <v>49</v>
      </c>
      <c r="C51" s="654" t="s">
        <v>2263</v>
      </c>
      <c r="D51" s="680" t="s">
        <v>2293</v>
      </c>
      <c r="E51" s="686" t="s">
        <v>2296</v>
      </c>
      <c r="F51" s="687" t="s">
        <v>2279</v>
      </c>
      <c r="G51" s="460">
        <f>SUM(G52:G54)</f>
        <v>0</v>
      </c>
      <c r="H51" s="460">
        <f>SUM(H52:H54)</f>
        <v>0</v>
      </c>
      <c r="I51" s="691"/>
    </row>
    <row r="52" spans="1:9" s="680" customFormat="1">
      <c r="A52" s="391"/>
      <c r="B52" s="654">
        <v>50</v>
      </c>
      <c r="C52" s="654" t="s">
        <v>2263</v>
      </c>
      <c r="D52" s="680" t="s">
        <v>2293</v>
      </c>
      <c r="E52" s="686" t="s">
        <v>2297</v>
      </c>
      <c r="F52" s="687"/>
      <c r="G52" s="690"/>
      <c r="H52" s="690"/>
      <c r="I52" s="691"/>
    </row>
    <row r="53" spans="1:9" s="680" customFormat="1">
      <c r="A53" s="693"/>
      <c r="B53" s="654">
        <v>51</v>
      </c>
      <c r="C53" s="654" t="s">
        <v>2263</v>
      </c>
      <c r="D53" s="680" t="s">
        <v>2293</v>
      </c>
      <c r="E53" s="686" t="s">
        <v>2298</v>
      </c>
      <c r="F53" s="687"/>
      <c r="G53" s="690"/>
      <c r="H53" s="690"/>
      <c r="I53" s="691"/>
    </row>
    <row r="54" spans="1:9" s="680" customFormat="1">
      <c r="A54" s="693"/>
      <c r="B54" s="654">
        <v>52</v>
      </c>
      <c r="C54" s="654" t="s">
        <v>2263</v>
      </c>
      <c r="D54" s="680" t="s">
        <v>2293</v>
      </c>
      <c r="E54" s="686" t="s">
        <v>2299</v>
      </c>
      <c r="F54" s="687"/>
      <c r="G54" s="690"/>
      <c r="H54" s="690"/>
      <c r="I54" s="691"/>
    </row>
    <row r="55" spans="1:9" s="680" customFormat="1">
      <c r="A55" s="693"/>
      <c r="B55" s="654">
        <v>53</v>
      </c>
      <c r="C55" s="654" t="s">
        <v>2263</v>
      </c>
      <c r="D55" s="680" t="s">
        <v>2293</v>
      </c>
      <c r="E55" s="686" t="s">
        <v>381</v>
      </c>
      <c r="F55" s="687" t="s">
        <v>398</v>
      </c>
      <c r="G55" s="460">
        <f>SUM(G45:G54)</f>
        <v>3501.21</v>
      </c>
      <c r="H55" s="460">
        <f>SUM(H45:H54)</f>
        <v>67742.600000000006</v>
      </c>
      <c r="I55" s="691"/>
    </row>
    <row r="56" spans="1:9" s="680" customFormat="1">
      <c r="A56" s="389" t="s">
        <v>2251</v>
      </c>
      <c r="B56" s="654">
        <v>54</v>
      </c>
      <c r="C56" s="654" t="s">
        <v>2263</v>
      </c>
      <c r="D56" s="680" t="s">
        <v>2293</v>
      </c>
      <c r="E56" s="1730" t="s">
        <v>383</v>
      </c>
      <c r="F56" s="1731"/>
      <c r="G56" s="460">
        <f>审定现金流量表!C18</f>
        <v>3501.21</v>
      </c>
      <c r="H56" s="460">
        <f>审定现金流量表!D18</f>
        <v>278279.76</v>
      </c>
      <c r="I56" s="691"/>
    </row>
    <row r="57" spans="1:9" s="680" customFormat="1">
      <c r="A57" s="391"/>
      <c r="B57" s="654">
        <v>55</v>
      </c>
      <c r="C57" s="654" t="s">
        <v>2263</v>
      </c>
      <c r="D57" s="680" t="s">
        <v>2293</v>
      </c>
      <c r="E57" s="1730" t="s">
        <v>384</v>
      </c>
      <c r="F57" s="1731"/>
      <c r="G57" s="460">
        <f>G55-G56</f>
        <v>0</v>
      </c>
      <c r="H57" s="460">
        <f>H55-H56</f>
        <v>-210537.16</v>
      </c>
      <c r="I57" s="691"/>
    </row>
    <row r="58" spans="1:9" s="680" customFormat="1" ht="13.5" thickBot="1">
      <c r="A58" s="653"/>
      <c r="B58" s="654">
        <v>56</v>
      </c>
      <c r="C58" s="654" t="s">
        <v>2263</v>
      </c>
      <c r="D58" s="680" t="s">
        <v>2293</v>
      </c>
      <c r="E58" s="1735" t="s">
        <v>385</v>
      </c>
      <c r="F58" s="1736"/>
      <c r="G58" s="694"/>
      <c r="H58" s="694"/>
      <c r="I58" s="695"/>
    </row>
    <row r="59" spans="1:9" s="680" customFormat="1" ht="13.5" thickBot="1">
      <c r="A59" s="653"/>
      <c r="B59" s="654">
        <v>57</v>
      </c>
      <c r="C59" s="654" t="s">
        <v>2300</v>
      </c>
      <c r="E59" s="1726" t="s">
        <v>2301</v>
      </c>
      <c r="F59" s="1726"/>
      <c r="G59" s="1726"/>
      <c r="H59" s="1726"/>
      <c r="I59" s="1726"/>
    </row>
    <row r="60" spans="1:9" s="680" customFormat="1">
      <c r="A60" s="653"/>
      <c r="B60" s="654">
        <v>58</v>
      </c>
      <c r="C60" s="654" t="s">
        <v>2300</v>
      </c>
      <c r="D60" s="680" t="s">
        <v>2302</v>
      </c>
      <c r="E60" s="1727" t="s">
        <v>2303</v>
      </c>
      <c r="F60" s="1728"/>
      <c r="G60" s="1728"/>
      <c r="H60" s="1728"/>
      <c r="I60" s="1729"/>
    </row>
    <row r="61" spans="1:9" s="680" customFormat="1">
      <c r="A61" s="653"/>
      <c r="B61" s="654">
        <v>59</v>
      </c>
      <c r="C61" s="654" t="s">
        <v>2300</v>
      </c>
      <c r="D61" s="680" t="s">
        <v>2302</v>
      </c>
      <c r="E61" s="1737" t="s">
        <v>366</v>
      </c>
      <c r="F61" s="1738"/>
      <c r="G61" s="684" t="s">
        <v>368</v>
      </c>
      <c r="H61" s="684" t="s">
        <v>369</v>
      </c>
      <c r="I61" s="685" t="s">
        <v>2228</v>
      </c>
    </row>
    <row r="62" spans="1:9" s="680" customFormat="1">
      <c r="A62" s="653"/>
      <c r="B62" s="654">
        <v>60</v>
      </c>
      <c r="C62" s="654" t="s">
        <v>2300</v>
      </c>
      <c r="D62" s="680" t="s">
        <v>2302</v>
      </c>
      <c r="E62" s="686" t="s">
        <v>399</v>
      </c>
      <c r="F62" s="687" t="s">
        <v>2268</v>
      </c>
      <c r="G62" s="460">
        <f>审定利润表!C14</f>
        <v>0</v>
      </c>
      <c r="H62" s="460">
        <f>审定利润表!D14</f>
        <v>0</v>
      </c>
      <c r="I62" s="691"/>
    </row>
    <row r="63" spans="1:9" s="680" customFormat="1">
      <c r="A63" s="653"/>
      <c r="B63" s="654">
        <v>61</v>
      </c>
      <c r="C63" s="654" t="s">
        <v>2300</v>
      </c>
      <c r="D63" s="680" t="s">
        <v>2302</v>
      </c>
      <c r="E63" s="686" t="s">
        <v>400</v>
      </c>
      <c r="F63" s="687" t="s">
        <v>2269</v>
      </c>
      <c r="G63" s="460">
        <f>审定利润表!C15</f>
        <v>0</v>
      </c>
      <c r="H63" s="460">
        <f>审定利润表!D15</f>
        <v>0</v>
      </c>
      <c r="I63" s="696"/>
    </row>
    <row r="64" spans="1:9" s="680" customFormat="1">
      <c r="A64" s="389" t="s">
        <v>2251</v>
      </c>
      <c r="B64" s="654">
        <v>62</v>
      </c>
      <c r="C64" s="654" t="s">
        <v>2300</v>
      </c>
      <c r="D64" s="680" t="s">
        <v>2302</v>
      </c>
      <c r="E64" s="686" t="s">
        <v>401</v>
      </c>
      <c r="F64" s="687" t="s">
        <v>2270</v>
      </c>
      <c r="G64" s="690"/>
      <c r="H64" s="690"/>
      <c r="I64" s="696"/>
    </row>
    <row r="65" spans="1:9" s="680" customFormat="1">
      <c r="A65" s="391"/>
      <c r="B65" s="654">
        <v>63</v>
      </c>
      <c r="C65" s="654" t="s">
        <v>2300</v>
      </c>
      <c r="D65" s="680" t="s">
        <v>2302</v>
      </c>
      <c r="E65" s="686" t="s">
        <v>2304</v>
      </c>
      <c r="F65" s="687" t="s">
        <v>2274</v>
      </c>
      <c r="G65" s="460">
        <f>审定资产负债表!C21-审定资产负债表!D21</f>
        <v>0</v>
      </c>
      <c r="H65" s="690"/>
      <c r="I65" s="696"/>
    </row>
    <row r="66" spans="1:9" s="680" customFormat="1">
      <c r="A66" s="653"/>
      <c r="B66" s="654">
        <v>64</v>
      </c>
      <c r="C66" s="654" t="s">
        <v>2300</v>
      </c>
      <c r="D66" s="680" t="s">
        <v>2302</v>
      </c>
      <c r="E66" s="686" t="s">
        <v>2305</v>
      </c>
      <c r="F66" s="687" t="s">
        <v>2276</v>
      </c>
      <c r="G66" s="460">
        <f>审定资产减值准备情况表!C7</f>
        <v>0</v>
      </c>
      <c r="H66" s="690"/>
      <c r="I66" s="696"/>
    </row>
    <row r="67" spans="1:9" s="680" customFormat="1">
      <c r="A67" s="653"/>
      <c r="B67" s="654">
        <v>65</v>
      </c>
      <c r="C67" s="654" t="s">
        <v>2300</v>
      </c>
      <c r="D67" s="680" t="s">
        <v>2302</v>
      </c>
      <c r="E67" s="686" t="s">
        <v>402</v>
      </c>
      <c r="F67" s="687" t="s">
        <v>2278</v>
      </c>
      <c r="G67" s="690"/>
      <c r="H67" s="690"/>
      <c r="I67" s="696"/>
    </row>
    <row r="68" spans="1:9" s="680" customFormat="1">
      <c r="A68" s="653"/>
      <c r="B68" s="654">
        <v>66</v>
      </c>
      <c r="C68" s="654" t="s">
        <v>2300</v>
      </c>
      <c r="D68" s="680" t="s">
        <v>2302</v>
      </c>
      <c r="E68" s="686" t="s">
        <v>2306</v>
      </c>
      <c r="F68" s="687" t="s">
        <v>2279</v>
      </c>
      <c r="G68" s="690"/>
      <c r="H68" s="690"/>
      <c r="I68" s="688" t="s">
        <v>2230</v>
      </c>
    </row>
    <row r="69" spans="1:9" s="680" customFormat="1">
      <c r="A69" s="653"/>
      <c r="B69" s="654">
        <v>67</v>
      </c>
      <c r="C69" s="654" t="s">
        <v>2300</v>
      </c>
      <c r="D69" s="680" t="s">
        <v>2302</v>
      </c>
      <c r="E69" s="686" t="s">
        <v>403</v>
      </c>
      <c r="F69" s="687" t="s">
        <v>2280</v>
      </c>
      <c r="G69" s="690"/>
      <c r="H69" s="690"/>
      <c r="I69" s="688" t="s">
        <v>2231</v>
      </c>
    </row>
    <row r="70" spans="1:9" s="680" customFormat="1">
      <c r="A70" s="653"/>
      <c r="B70" s="654">
        <v>68</v>
      </c>
      <c r="C70" s="654" t="s">
        <v>2300</v>
      </c>
      <c r="D70" s="680" t="s">
        <v>2302</v>
      </c>
      <c r="E70" s="686" t="s">
        <v>404</v>
      </c>
      <c r="F70" s="687" t="s">
        <v>2281</v>
      </c>
      <c r="G70" s="690"/>
      <c r="H70" s="690"/>
      <c r="I70" s="688" t="s">
        <v>2230</v>
      </c>
    </row>
    <row r="71" spans="1:9" s="680" customFormat="1">
      <c r="A71" s="389" t="s">
        <v>2251</v>
      </c>
      <c r="B71" s="654">
        <v>69</v>
      </c>
      <c r="C71" s="654" t="s">
        <v>2300</v>
      </c>
      <c r="D71" s="680" t="s">
        <v>2302</v>
      </c>
      <c r="E71" s="686" t="s">
        <v>405</v>
      </c>
      <c r="F71" s="687" t="s">
        <v>2307</v>
      </c>
      <c r="G71" s="692">
        <f>G62+G63+G64+G65+G66+G67-G68-G69-G70</f>
        <v>0</v>
      </c>
      <c r="H71" s="690"/>
      <c r="I71" s="688"/>
    </row>
    <row r="72" spans="1:9" s="680" customFormat="1">
      <c r="A72" s="391"/>
      <c r="B72" s="654">
        <v>70</v>
      </c>
      <c r="C72" s="654" t="s">
        <v>2300</v>
      </c>
      <c r="D72" s="680" t="s">
        <v>2302</v>
      </c>
      <c r="E72" s="686" t="s">
        <v>2308</v>
      </c>
      <c r="F72" s="687" t="s">
        <v>2283</v>
      </c>
      <c r="G72" s="460">
        <f>审定资产负债表!D67-审定资产负债表!C67</f>
        <v>0</v>
      </c>
      <c r="H72" s="690"/>
      <c r="I72" s="696"/>
    </row>
    <row r="73" spans="1:9" s="680" customFormat="1">
      <c r="A73" s="693"/>
      <c r="B73" s="654">
        <v>71</v>
      </c>
      <c r="C73" s="654" t="s">
        <v>2300</v>
      </c>
      <c r="D73" s="680" t="s">
        <v>2302</v>
      </c>
      <c r="E73" s="686" t="s">
        <v>2309</v>
      </c>
      <c r="F73" s="687" t="s">
        <v>2284</v>
      </c>
      <c r="G73" s="460">
        <f>审定资产负债表!D66-审定资产负债表!C66</f>
        <v>0</v>
      </c>
      <c r="H73" s="690"/>
      <c r="I73" s="696"/>
    </row>
    <row r="74" spans="1:9" s="680" customFormat="1">
      <c r="A74" s="693"/>
      <c r="B74" s="654">
        <v>72</v>
      </c>
      <c r="C74" s="654" t="s">
        <v>2300</v>
      </c>
      <c r="D74" s="680" t="s">
        <v>2302</v>
      </c>
      <c r="E74" s="686" t="s">
        <v>2310</v>
      </c>
      <c r="F74" s="687" t="s">
        <v>2286</v>
      </c>
      <c r="G74" s="460">
        <f>审定资产负债表!C13-审定资产负债表!D13</f>
        <v>0</v>
      </c>
      <c r="H74" s="690"/>
      <c r="I74" s="691"/>
    </row>
    <row r="75" spans="1:9" s="680" customFormat="1">
      <c r="A75" s="693"/>
      <c r="B75" s="654">
        <v>73</v>
      </c>
      <c r="C75" s="654" t="s">
        <v>2300</v>
      </c>
      <c r="D75" s="680" t="s">
        <v>2302</v>
      </c>
      <c r="E75" s="686" t="s">
        <v>2311</v>
      </c>
      <c r="F75" s="687" t="s">
        <v>2288</v>
      </c>
      <c r="G75" s="690"/>
      <c r="H75" s="690"/>
      <c r="I75" s="691"/>
    </row>
    <row r="76" spans="1:9" s="680" customFormat="1">
      <c r="A76" s="693"/>
      <c r="B76" s="654">
        <v>74</v>
      </c>
      <c r="C76" s="654" t="s">
        <v>2300</v>
      </c>
      <c r="D76" s="680" t="s">
        <v>2302</v>
      </c>
      <c r="E76" s="686" t="s">
        <v>2312</v>
      </c>
      <c r="F76" s="687" t="s">
        <v>2289</v>
      </c>
      <c r="G76" s="690"/>
      <c r="H76" s="690"/>
      <c r="I76" s="691"/>
    </row>
    <row r="77" spans="1:9" s="680" customFormat="1">
      <c r="A77" s="693"/>
      <c r="B77" s="654">
        <v>75</v>
      </c>
      <c r="C77" s="654" t="s">
        <v>2300</v>
      </c>
      <c r="D77" s="680" t="s">
        <v>2302</v>
      </c>
      <c r="E77" s="686" t="s">
        <v>2313</v>
      </c>
      <c r="F77" s="687" t="s">
        <v>2314</v>
      </c>
      <c r="G77" s="690"/>
      <c r="H77" s="690"/>
      <c r="I77" s="691"/>
    </row>
    <row r="78" spans="1:9" s="680" customFormat="1">
      <c r="A78" s="693"/>
      <c r="B78" s="654">
        <v>76</v>
      </c>
      <c r="C78" s="654" t="s">
        <v>2300</v>
      </c>
      <c r="D78" s="680" t="s">
        <v>2302</v>
      </c>
      <c r="E78" s="686" t="s">
        <v>2315</v>
      </c>
      <c r="F78" s="687" t="s">
        <v>2316</v>
      </c>
      <c r="G78" s="690"/>
      <c r="H78" s="690"/>
      <c r="I78" s="691"/>
    </row>
    <row r="79" spans="1:9" s="680" customFormat="1">
      <c r="A79" s="389" t="s">
        <v>2251</v>
      </c>
      <c r="B79" s="654">
        <v>77</v>
      </c>
      <c r="C79" s="654" t="s">
        <v>2300</v>
      </c>
      <c r="D79" s="680" t="s">
        <v>2302</v>
      </c>
      <c r="E79" s="686" t="s">
        <v>406</v>
      </c>
      <c r="F79" s="687" t="s">
        <v>2317</v>
      </c>
      <c r="G79" s="692">
        <f>G80+G81+G82</f>
        <v>0</v>
      </c>
      <c r="H79" s="690"/>
      <c r="I79" s="691"/>
    </row>
    <row r="80" spans="1:9" s="680" customFormat="1">
      <c r="A80" s="391"/>
      <c r="B80" s="654">
        <v>78</v>
      </c>
      <c r="C80" s="654" t="s">
        <v>2300</v>
      </c>
      <c r="D80" s="680" t="s">
        <v>2302</v>
      </c>
      <c r="E80" s="686" t="s">
        <v>2318</v>
      </c>
      <c r="F80" s="687" t="s">
        <v>2319</v>
      </c>
      <c r="G80" s="690"/>
      <c r="H80" s="690"/>
      <c r="I80" s="691"/>
    </row>
    <row r="81" spans="1:9" s="680" customFormat="1">
      <c r="A81" s="653"/>
      <c r="B81" s="654">
        <v>79</v>
      </c>
      <c r="C81" s="654" t="s">
        <v>2300</v>
      </c>
      <c r="D81" s="680" t="s">
        <v>2302</v>
      </c>
      <c r="E81" s="686" t="s">
        <v>2320</v>
      </c>
      <c r="F81" s="687" t="s">
        <v>2321</v>
      </c>
      <c r="G81" s="690"/>
      <c r="H81" s="690"/>
      <c r="I81" s="691"/>
    </row>
    <row r="82" spans="1:9" s="680" customFormat="1">
      <c r="A82" s="653"/>
      <c r="B82" s="654">
        <v>80</v>
      </c>
      <c r="C82" s="654" t="s">
        <v>2300</v>
      </c>
      <c r="D82" s="680" t="s">
        <v>2302</v>
      </c>
      <c r="E82" s="686" t="s">
        <v>407</v>
      </c>
      <c r="F82" s="687" t="s">
        <v>2322</v>
      </c>
      <c r="G82" s="690"/>
      <c r="H82" s="690"/>
      <c r="I82" s="691"/>
    </row>
    <row r="83" spans="1:9" s="680" customFormat="1">
      <c r="A83" s="653"/>
      <c r="B83" s="654">
        <v>81</v>
      </c>
      <c r="C83" s="654" t="s">
        <v>2300</v>
      </c>
      <c r="D83" s="680" t="s">
        <v>2302</v>
      </c>
      <c r="E83" s="686" t="s">
        <v>2323</v>
      </c>
      <c r="F83" s="687" t="s">
        <v>2324</v>
      </c>
      <c r="G83" s="690"/>
      <c r="H83" s="690"/>
      <c r="I83" s="691"/>
    </row>
    <row r="84" spans="1:9" s="680" customFormat="1">
      <c r="A84" s="653"/>
      <c r="B84" s="654">
        <v>82</v>
      </c>
      <c r="C84" s="654" t="s">
        <v>2300</v>
      </c>
      <c r="D84" s="680" t="s">
        <v>2302</v>
      </c>
      <c r="E84" s="686" t="s">
        <v>223</v>
      </c>
      <c r="F84" s="687"/>
      <c r="G84" s="690"/>
      <c r="H84" s="690"/>
      <c r="I84" s="691"/>
    </row>
    <row r="85" spans="1:9" s="680" customFormat="1">
      <c r="A85" s="653"/>
      <c r="B85" s="654">
        <v>83</v>
      </c>
      <c r="C85" s="654" t="s">
        <v>2300</v>
      </c>
      <c r="D85" s="680" t="s">
        <v>2302</v>
      </c>
      <c r="E85" s="686" t="s">
        <v>381</v>
      </c>
      <c r="F85" s="687" t="s">
        <v>408</v>
      </c>
      <c r="G85" s="460">
        <f>SUM(G71:G74)-SUM(G75:G79)+G83</f>
        <v>0</v>
      </c>
      <c r="H85" s="460">
        <f>SUM(H71:H74)-SUM(H75:H79)+H83</f>
        <v>0</v>
      </c>
      <c r="I85" s="691"/>
    </row>
    <row r="86" spans="1:9" s="680" customFormat="1">
      <c r="A86" s="653"/>
      <c r="B86" s="654">
        <v>84</v>
      </c>
      <c r="C86" s="654" t="s">
        <v>2300</v>
      </c>
      <c r="D86" s="680" t="s">
        <v>2302</v>
      </c>
      <c r="E86" s="1730" t="s">
        <v>383</v>
      </c>
      <c r="F86" s="1731"/>
      <c r="G86" s="460">
        <f>审定现金流量表!C20</f>
        <v>0</v>
      </c>
      <c r="H86" s="460">
        <f>审定现金流量表!D20</f>
        <v>0</v>
      </c>
      <c r="I86" s="691"/>
    </row>
    <row r="87" spans="1:9" s="680" customFormat="1">
      <c r="A87" s="389" t="s">
        <v>2251</v>
      </c>
      <c r="B87" s="654">
        <v>85</v>
      </c>
      <c r="C87" s="654" t="s">
        <v>2300</v>
      </c>
      <c r="D87" s="680" t="s">
        <v>2302</v>
      </c>
      <c r="E87" s="1730" t="s">
        <v>384</v>
      </c>
      <c r="F87" s="1731"/>
      <c r="G87" s="460">
        <f>G85-G86</f>
        <v>0</v>
      </c>
      <c r="H87" s="460">
        <f>H85-H86</f>
        <v>0</v>
      </c>
      <c r="I87" s="691"/>
    </row>
    <row r="88" spans="1:9" s="680" customFormat="1">
      <c r="A88" s="391"/>
      <c r="B88" s="654">
        <v>86</v>
      </c>
      <c r="C88" s="654" t="s">
        <v>2300</v>
      </c>
      <c r="D88" s="680" t="s">
        <v>2302</v>
      </c>
      <c r="E88" s="1730" t="s">
        <v>385</v>
      </c>
      <c r="F88" s="1731"/>
      <c r="G88" s="690"/>
      <c r="H88" s="690"/>
      <c r="I88" s="691"/>
    </row>
    <row r="89" spans="1:9" s="680" customFormat="1">
      <c r="A89" s="653"/>
      <c r="B89" s="654">
        <v>87</v>
      </c>
      <c r="C89" s="654" t="s">
        <v>2300</v>
      </c>
      <c r="D89" s="680" t="s">
        <v>2325</v>
      </c>
      <c r="E89" s="1739" t="s">
        <v>2326</v>
      </c>
      <c r="F89" s="1740"/>
      <c r="G89" s="1740"/>
      <c r="H89" s="1740"/>
      <c r="I89" s="1741"/>
    </row>
    <row r="90" spans="1:9" s="680" customFormat="1">
      <c r="A90" s="653"/>
      <c r="B90" s="654">
        <v>88</v>
      </c>
      <c r="C90" s="654" t="s">
        <v>2300</v>
      </c>
      <c r="D90" s="680" t="s">
        <v>2325</v>
      </c>
      <c r="E90" s="1737" t="s">
        <v>366</v>
      </c>
      <c r="F90" s="1738"/>
      <c r="G90" s="684" t="s">
        <v>368</v>
      </c>
      <c r="H90" s="684" t="s">
        <v>369</v>
      </c>
      <c r="I90" s="685" t="s">
        <v>2228</v>
      </c>
    </row>
    <row r="91" spans="1:9" s="680" customFormat="1">
      <c r="A91" s="653"/>
      <c r="B91" s="654">
        <v>89</v>
      </c>
      <c r="C91" s="654" t="s">
        <v>2300</v>
      </c>
      <c r="D91" s="680" t="s">
        <v>2325</v>
      </c>
      <c r="E91" s="686" t="s">
        <v>409</v>
      </c>
      <c r="F91" s="687" t="s">
        <v>2268</v>
      </c>
      <c r="G91" s="689"/>
      <c r="H91" s="689"/>
      <c r="I91" s="688"/>
    </row>
    <row r="92" spans="1:9" s="680" customFormat="1">
      <c r="A92" s="653"/>
      <c r="B92" s="654">
        <v>90</v>
      </c>
      <c r="C92" s="654" t="s">
        <v>2300</v>
      </c>
      <c r="D92" s="680" t="s">
        <v>2325</v>
      </c>
      <c r="E92" s="686" t="s">
        <v>2327</v>
      </c>
      <c r="F92" s="687" t="s">
        <v>2269</v>
      </c>
      <c r="G92" s="460">
        <f>审定资产负债表!D71-审定资产负债表!C71</f>
        <v>7034.75</v>
      </c>
      <c r="H92" s="690"/>
      <c r="I92" s="691"/>
    </row>
    <row r="93" spans="1:9" s="680" customFormat="1">
      <c r="A93" s="653"/>
      <c r="B93" s="654">
        <v>91</v>
      </c>
      <c r="C93" s="654" t="s">
        <v>2300</v>
      </c>
      <c r="D93" s="680" t="s">
        <v>2325</v>
      </c>
      <c r="E93" s="686" t="s">
        <v>2328</v>
      </c>
      <c r="F93" s="687" t="s">
        <v>2270</v>
      </c>
      <c r="G93" s="690"/>
      <c r="H93" s="690"/>
      <c r="I93" s="691"/>
    </row>
    <row r="94" spans="1:9" s="680" customFormat="1">
      <c r="A94" s="389" t="s">
        <v>2251</v>
      </c>
      <c r="B94" s="654">
        <v>92</v>
      </c>
      <c r="C94" s="654" t="s">
        <v>2300</v>
      </c>
      <c r="D94" s="680" t="s">
        <v>2325</v>
      </c>
      <c r="E94" s="686" t="s">
        <v>410</v>
      </c>
      <c r="F94" s="687" t="s">
        <v>2274</v>
      </c>
      <c r="G94" s="690"/>
      <c r="H94" s="690"/>
      <c r="I94" s="691"/>
    </row>
    <row r="95" spans="1:9" s="680" customFormat="1">
      <c r="A95" s="391"/>
      <c r="B95" s="654">
        <v>93</v>
      </c>
      <c r="C95" s="654" t="s">
        <v>2300</v>
      </c>
      <c r="D95" s="680" t="s">
        <v>2325</v>
      </c>
      <c r="E95" s="686" t="s">
        <v>391</v>
      </c>
      <c r="F95" s="687" t="s">
        <v>2276</v>
      </c>
      <c r="G95" s="690"/>
      <c r="H95" s="690"/>
      <c r="I95" s="691"/>
    </row>
    <row r="96" spans="1:9" s="680" customFormat="1">
      <c r="A96" s="693"/>
      <c r="B96" s="654">
        <v>94</v>
      </c>
      <c r="C96" s="654" t="s">
        <v>2300</v>
      </c>
      <c r="D96" s="680" t="s">
        <v>2325</v>
      </c>
      <c r="E96" s="686"/>
      <c r="F96" s="687"/>
      <c r="G96" s="690"/>
      <c r="H96" s="690"/>
      <c r="I96" s="691"/>
    </row>
    <row r="97" spans="1:9" s="680" customFormat="1">
      <c r="A97" s="693"/>
      <c r="B97" s="654">
        <v>95</v>
      </c>
      <c r="C97" s="654" t="s">
        <v>2300</v>
      </c>
      <c r="D97" s="680" t="s">
        <v>2325</v>
      </c>
      <c r="E97" s="686" t="s">
        <v>381</v>
      </c>
      <c r="F97" s="687" t="s">
        <v>411</v>
      </c>
      <c r="G97" s="460">
        <f>G91+G92-G93-G94+G95</f>
        <v>7034.75</v>
      </c>
      <c r="H97" s="460">
        <f>H91+H92-H93-H94+H95</f>
        <v>0</v>
      </c>
      <c r="I97" s="691"/>
    </row>
    <row r="98" spans="1:9" s="680" customFormat="1">
      <c r="A98" s="389"/>
      <c r="B98" s="654">
        <v>96</v>
      </c>
      <c r="C98" s="654" t="s">
        <v>2300</v>
      </c>
      <c r="D98" s="680" t="s">
        <v>2325</v>
      </c>
      <c r="E98" s="1730" t="s">
        <v>383</v>
      </c>
      <c r="F98" s="1731"/>
      <c r="G98" s="460">
        <f>审定现金流量表!C26</f>
        <v>2808839.93</v>
      </c>
      <c r="H98" s="460">
        <f>审定现金流量表!D26</f>
        <v>7355606.5899999999</v>
      </c>
      <c r="I98" s="691"/>
    </row>
    <row r="99" spans="1:9" s="680" customFormat="1">
      <c r="A99" s="391"/>
      <c r="B99" s="654">
        <v>97</v>
      </c>
      <c r="C99" s="654" t="s">
        <v>2300</v>
      </c>
      <c r="D99" s="680" t="s">
        <v>2325</v>
      </c>
      <c r="E99" s="1730" t="s">
        <v>384</v>
      </c>
      <c r="F99" s="1731"/>
      <c r="G99" s="460">
        <f>G97-G98</f>
        <v>-2801805.18</v>
      </c>
      <c r="H99" s="460">
        <f>H97-H98</f>
        <v>-7355606.5899999999</v>
      </c>
      <c r="I99" s="691"/>
    </row>
    <row r="100" spans="1:9" s="680" customFormat="1">
      <c r="A100" s="693"/>
      <c r="B100" s="654">
        <v>98</v>
      </c>
      <c r="C100" s="654" t="s">
        <v>2300</v>
      </c>
      <c r="D100" s="680" t="s">
        <v>2325</v>
      </c>
      <c r="E100" s="1730" t="s">
        <v>385</v>
      </c>
      <c r="F100" s="1731"/>
      <c r="G100" s="690"/>
      <c r="H100" s="690"/>
      <c r="I100" s="691"/>
    </row>
    <row r="101" spans="1:9" s="680" customFormat="1">
      <c r="A101" s="693"/>
      <c r="B101" s="654">
        <v>99</v>
      </c>
      <c r="C101" s="654" t="s">
        <v>2300</v>
      </c>
      <c r="D101" s="680" t="s">
        <v>2325</v>
      </c>
      <c r="E101" s="1737" t="s">
        <v>2329</v>
      </c>
      <c r="F101" s="1738"/>
      <c r="G101" s="684" t="s">
        <v>368</v>
      </c>
      <c r="H101" s="684" t="s">
        <v>369</v>
      </c>
      <c r="I101" s="697"/>
    </row>
    <row r="102" spans="1:9" s="680" customFormat="1" ht="30" customHeight="1">
      <c r="A102" s="693"/>
      <c r="B102" s="654">
        <v>100</v>
      </c>
      <c r="C102" s="654" t="s">
        <v>2300</v>
      </c>
      <c r="D102" s="680" t="s">
        <v>2325</v>
      </c>
      <c r="E102" s="698" t="s">
        <v>2330</v>
      </c>
      <c r="F102" s="687" t="s">
        <v>2268</v>
      </c>
      <c r="G102" s="460">
        <f>应付职工薪酬!F9+长期应付职工薪酬!F7</f>
        <v>2805661.87</v>
      </c>
      <c r="H102" s="689"/>
      <c r="I102" s="697"/>
    </row>
    <row r="103" spans="1:9" s="680" customFormat="1">
      <c r="A103" s="693"/>
      <c r="B103" s="654">
        <v>101</v>
      </c>
      <c r="C103" s="654" t="s">
        <v>2300</v>
      </c>
      <c r="D103" s="680" t="s">
        <v>2325</v>
      </c>
      <c r="E103" s="699" t="s">
        <v>2331</v>
      </c>
      <c r="F103" s="687" t="s">
        <v>2269</v>
      </c>
      <c r="G103" s="460">
        <f>应付职工薪酬!F20</f>
        <v>0</v>
      </c>
      <c r="H103" s="690"/>
      <c r="I103" s="697"/>
    </row>
    <row r="104" spans="1:9" s="680" customFormat="1">
      <c r="A104" s="693"/>
      <c r="B104" s="654">
        <v>102</v>
      </c>
      <c r="C104" s="654" t="s">
        <v>2300</v>
      </c>
      <c r="D104" s="680" t="s">
        <v>2325</v>
      </c>
      <c r="E104" s="699" t="s">
        <v>2332</v>
      </c>
      <c r="F104" s="687" t="s">
        <v>2333</v>
      </c>
      <c r="G104" s="690"/>
      <c r="H104" s="690"/>
      <c r="I104" s="697"/>
    </row>
    <row r="105" spans="1:9" s="680" customFormat="1">
      <c r="A105" s="693"/>
      <c r="B105" s="654">
        <v>103</v>
      </c>
      <c r="C105" s="654" t="s">
        <v>2300</v>
      </c>
      <c r="D105" s="680" t="s">
        <v>2325</v>
      </c>
      <c r="E105" s="699" t="s">
        <v>2334</v>
      </c>
      <c r="F105" s="687" t="s">
        <v>2335</v>
      </c>
      <c r="G105" s="690"/>
      <c r="H105" s="690"/>
      <c r="I105" s="697"/>
    </row>
    <row r="106" spans="1:9" s="680" customFormat="1">
      <c r="A106" s="693"/>
      <c r="B106" s="654">
        <v>104</v>
      </c>
      <c r="C106" s="654" t="s">
        <v>2300</v>
      </c>
      <c r="D106" s="680" t="s">
        <v>2325</v>
      </c>
      <c r="E106" s="699"/>
      <c r="F106" s="687" t="s">
        <v>2336</v>
      </c>
      <c r="G106" s="690"/>
      <c r="H106" s="690"/>
      <c r="I106" s="697"/>
    </row>
    <row r="107" spans="1:9" s="680" customFormat="1">
      <c r="A107" s="693"/>
      <c r="B107" s="654">
        <v>105</v>
      </c>
      <c r="C107" s="654" t="s">
        <v>2300</v>
      </c>
      <c r="D107" s="680" t="s">
        <v>2325</v>
      </c>
      <c r="E107" s="686" t="s">
        <v>2337</v>
      </c>
      <c r="F107" s="687" t="s">
        <v>2338</v>
      </c>
      <c r="G107" s="460">
        <f>G102-G103-G104-G105-G106</f>
        <v>2805661.87</v>
      </c>
      <c r="H107" s="460">
        <f>H102-H103-H104-H105-H106</f>
        <v>0</v>
      </c>
      <c r="I107" s="697"/>
    </row>
    <row r="108" spans="1:9" s="680" customFormat="1">
      <c r="A108" s="389" t="s">
        <v>2251</v>
      </c>
      <c r="B108" s="654">
        <v>106</v>
      </c>
      <c r="C108" s="654" t="s">
        <v>2300</v>
      </c>
      <c r="D108" s="680" t="s">
        <v>2325</v>
      </c>
      <c r="E108" s="1730" t="s">
        <v>383</v>
      </c>
      <c r="F108" s="1731"/>
      <c r="G108" s="460">
        <f>审定现金流量表!C26</f>
        <v>2808839.93</v>
      </c>
      <c r="H108" s="460">
        <f>审定现金流量表!D26</f>
        <v>7355606.5899999999</v>
      </c>
      <c r="I108" s="691"/>
    </row>
    <row r="109" spans="1:9" s="680" customFormat="1">
      <c r="A109" s="391"/>
      <c r="B109" s="654">
        <v>107</v>
      </c>
      <c r="C109" s="654" t="s">
        <v>2300</v>
      </c>
      <c r="D109" s="680" t="s">
        <v>2325</v>
      </c>
      <c r="E109" s="1730" t="s">
        <v>2339</v>
      </c>
      <c r="F109" s="1731"/>
      <c r="G109" s="460">
        <f>G107-G108</f>
        <v>-3178.0600000000559</v>
      </c>
      <c r="H109" s="460">
        <f>H107-H108</f>
        <v>-7355606.5899999999</v>
      </c>
      <c r="I109" s="691"/>
    </row>
    <row r="110" spans="1:9" s="680" customFormat="1">
      <c r="A110" s="693"/>
      <c r="B110" s="654">
        <v>108</v>
      </c>
      <c r="C110" s="654" t="s">
        <v>2300</v>
      </c>
      <c r="D110" s="680" t="s">
        <v>2325</v>
      </c>
      <c r="E110" s="1730" t="s">
        <v>385</v>
      </c>
      <c r="F110" s="1731"/>
      <c r="G110" s="690"/>
      <c r="H110" s="690"/>
      <c r="I110" s="691"/>
    </row>
    <row r="111" spans="1:9" s="680" customFormat="1">
      <c r="A111" s="693"/>
      <c r="B111" s="654">
        <v>109</v>
      </c>
      <c r="C111" s="654" t="s">
        <v>2300</v>
      </c>
      <c r="D111" s="680" t="s">
        <v>2340</v>
      </c>
      <c r="E111" s="1739" t="s">
        <v>2341</v>
      </c>
      <c r="F111" s="1740"/>
      <c r="G111" s="1740"/>
      <c r="H111" s="1740"/>
      <c r="I111" s="1741"/>
    </row>
    <row r="112" spans="1:9" s="680" customFormat="1">
      <c r="A112" s="693"/>
      <c r="B112" s="654">
        <v>110</v>
      </c>
      <c r="C112" s="654" t="s">
        <v>2300</v>
      </c>
      <c r="D112" s="680" t="s">
        <v>2340</v>
      </c>
      <c r="E112" s="1737" t="s">
        <v>366</v>
      </c>
      <c r="F112" s="1738"/>
      <c r="G112" s="684" t="s">
        <v>368</v>
      </c>
      <c r="H112" s="684" t="s">
        <v>369</v>
      </c>
      <c r="I112" s="685" t="s">
        <v>2228</v>
      </c>
    </row>
    <row r="113" spans="1:9" s="680" customFormat="1">
      <c r="A113" s="693"/>
      <c r="B113" s="654">
        <v>111</v>
      </c>
      <c r="C113" s="654" t="s">
        <v>2300</v>
      </c>
      <c r="D113" s="680" t="s">
        <v>2340</v>
      </c>
      <c r="E113" s="686" t="s">
        <v>412</v>
      </c>
      <c r="F113" s="687" t="s">
        <v>2268</v>
      </c>
      <c r="G113" s="689"/>
      <c r="H113" s="689"/>
      <c r="I113" s="688"/>
    </row>
    <row r="114" spans="1:9" s="680" customFormat="1">
      <c r="A114" s="693"/>
      <c r="B114" s="654">
        <v>112</v>
      </c>
      <c r="C114" s="654" t="s">
        <v>2300</v>
      </c>
      <c r="D114" s="680" t="s">
        <v>2340</v>
      </c>
      <c r="E114" s="686" t="s">
        <v>2342</v>
      </c>
      <c r="F114" s="687" t="s">
        <v>2269</v>
      </c>
      <c r="G114" s="460">
        <f>应交税费!F14-应交税费!F3</f>
        <v>1301361.29</v>
      </c>
      <c r="H114" s="689"/>
      <c r="I114" s="688"/>
    </row>
    <row r="115" spans="1:9" s="680" customFormat="1">
      <c r="A115" s="693"/>
      <c r="B115" s="654">
        <v>113</v>
      </c>
      <c r="C115" s="654" t="s">
        <v>2300</v>
      </c>
      <c r="D115" s="680" t="s">
        <v>2340</v>
      </c>
      <c r="E115" s="686" t="s">
        <v>2343</v>
      </c>
      <c r="F115" s="687" t="s">
        <v>2270</v>
      </c>
      <c r="G115" s="689"/>
      <c r="H115" s="689"/>
      <c r="I115" s="688"/>
    </row>
    <row r="116" spans="1:9" s="680" customFormat="1">
      <c r="A116" s="693"/>
      <c r="B116" s="654">
        <v>114</v>
      </c>
      <c r="C116" s="654" t="s">
        <v>2300</v>
      </c>
      <c r="D116" s="680" t="s">
        <v>2340</v>
      </c>
      <c r="E116" s="686" t="s">
        <v>2344</v>
      </c>
      <c r="F116" s="687" t="s">
        <v>2274</v>
      </c>
      <c r="G116" s="689"/>
      <c r="H116" s="689"/>
      <c r="I116" s="688"/>
    </row>
    <row r="117" spans="1:9" s="680" customFormat="1">
      <c r="A117" s="693"/>
      <c r="B117" s="654">
        <v>115</v>
      </c>
      <c r="C117" s="654" t="s">
        <v>2300</v>
      </c>
      <c r="D117" s="680" t="s">
        <v>2340</v>
      </c>
      <c r="E117" s="686" t="s">
        <v>2345</v>
      </c>
      <c r="F117" s="687" t="s">
        <v>2276</v>
      </c>
      <c r="G117" s="689"/>
      <c r="H117" s="689"/>
      <c r="I117" s="688"/>
    </row>
    <row r="118" spans="1:9" s="680" customFormat="1">
      <c r="A118" s="389" t="s">
        <v>2251</v>
      </c>
      <c r="B118" s="654">
        <v>116</v>
      </c>
      <c r="C118" s="654" t="s">
        <v>2300</v>
      </c>
      <c r="D118" s="680" t="s">
        <v>2340</v>
      </c>
      <c r="E118" s="686" t="s">
        <v>223</v>
      </c>
      <c r="F118" s="687" t="s">
        <v>2278</v>
      </c>
      <c r="G118" s="689"/>
      <c r="H118" s="689"/>
      <c r="I118" s="688"/>
    </row>
    <row r="119" spans="1:9" s="680" customFormat="1">
      <c r="A119" s="391"/>
      <c r="B119" s="654">
        <v>117</v>
      </c>
      <c r="C119" s="654" t="s">
        <v>2300</v>
      </c>
      <c r="D119" s="680" t="s">
        <v>2340</v>
      </c>
      <c r="E119" s="686" t="s">
        <v>381</v>
      </c>
      <c r="F119" s="687" t="s">
        <v>413</v>
      </c>
      <c r="G119" s="460">
        <f>G113+G114+G115-G116-G117</f>
        <v>1301361.29</v>
      </c>
      <c r="H119" s="460">
        <f>H113+H114+H115-H116-H117</f>
        <v>0</v>
      </c>
      <c r="I119" s="691"/>
    </row>
    <row r="120" spans="1:9" s="680" customFormat="1">
      <c r="A120" s="693"/>
      <c r="B120" s="654">
        <v>118</v>
      </c>
      <c r="C120" s="654" t="s">
        <v>2300</v>
      </c>
      <c r="D120" s="680" t="s">
        <v>2340</v>
      </c>
      <c r="E120" s="1730" t="s">
        <v>383</v>
      </c>
      <c r="F120" s="1731"/>
      <c r="G120" s="460">
        <f>审定现金流量表!C27</f>
        <v>968652.25</v>
      </c>
      <c r="H120" s="460">
        <f>审定现金流量表!D27</f>
        <v>6419475.4900000002</v>
      </c>
      <c r="I120" s="691"/>
    </row>
    <row r="121" spans="1:9" s="680" customFormat="1">
      <c r="A121" s="693"/>
      <c r="B121" s="654">
        <v>119</v>
      </c>
      <c r="C121" s="654" t="s">
        <v>2300</v>
      </c>
      <c r="D121" s="680" t="s">
        <v>2340</v>
      </c>
      <c r="E121" s="1730" t="s">
        <v>384</v>
      </c>
      <c r="F121" s="1731"/>
      <c r="G121" s="460">
        <f>G119-G120</f>
        <v>332709.04000000004</v>
      </c>
      <c r="H121" s="460">
        <f>H119-H120</f>
        <v>-6419475.4900000002</v>
      </c>
      <c r="I121" s="691"/>
    </row>
    <row r="122" spans="1:9" s="680" customFormat="1">
      <c r="A122" s="693"/>
      <c r="B122" s="654">
        <v>120</v>
      </c>
      <c r="C122" s="654" t="s">
        <v>2300</v>
      </c>
      <c r="D122" s="680" t="s">
        <v>2340</v>
      </c>
      <c r="E122" s="1730" t="s">
        <v>385</v>
      </c>
      <c r="F122" s="1731"/>
      <c r="G122" s="690"/>
      <c r="H122" s="690"/>
      <c r="I122" s="691"/>
    </row>
    <row r="123" spans="1:9" s="680" customFormat="1">
      <c r="A123" s="693"/>
      <c r="B123" s="654">
        <v>120</v>
      </c>
      <c r="C123" s="654" t="s">
        <v>2300</v>
      </c>
      <c r="D123" s="680" t="s">
        <v>2340</v>
      </c>
      <c r="E123" s="1738" t="s">
        <v>2329</v>
      </c>
      <c r="F123" s="1738"/>
      <c r="G123" s="684" t="s">
        <v>368</v>
      </c>
      <c r="H123" s="684" t="s">
        <v>369</v>
      </c>
      <c r="I123" s="700"/>
    </row>
    <row r="124" spans="1:9" s="680" customFormat="1">
      <c r="A124" s="693"/>
      <c r="B124" s="654">
        <v>120</v>
      </c>
      <c r="C124" s="654" t="s">
        <v>2300</v>
      </c>
      <c r="D124" s="680" t="s">
        <v>2340</v>
      </c>
      <c r="E124" s="701" t="s">
        <v>2346</v>
      </c>
      <c r="F124" s="687" t="s">
        <v>2268</v>
      </c>
      <c r="G124" s="460">
        <f>应交税费!F14</f>
        <v>1353578.62</v>
      </c>
      <c r="H124" s="690"/>
      <c r="I124" s="700"/>
    </row>
    <row r="125" spans="1:9" s="680" customFormat="1">
      <c r="A125" s="693"/>
      <c r="B125" s="654">
        <v>120</v>
      </c>
      <c r="C125" s="654" t="s">
        <v>2300</v>
      </c>
      <c r="D125" s="680" t="s">
        <v>2340</v>
      </c>
      <c r="E125" s="701" t="s">
        <v>2347</v>
      </c>
      <c r="F125" s="687" t="s">
        <v>2269</v>
      </c>
      <c r="G125" s="460">
        <f>应交税费!F11</f>
        <v>332709.03999999998</v>
      </c>
      <c r="H125" s="690"/>
      <c r="I125" s="700"/>
    </row>
    <row r="126" spans="1:9" s="680" customFormat="1">
      <c r="A126" s="693"/>
      <c r="B126" s="654">
        <v>120</v>
      </c>
      <c r="C126" s="654" t="s">
        <v>2300</v>
      </c>
      <c r="D126" s="680" t="s">
        <v>2340</v>
      </c>
      <c r="E126" s="701" t="s">
        <v>2348</v>
      </c>
      <c r="F126" s="701"/>
      <c r="G126" s="690"/>
      <c r="H126" s="690"/>
      <c r="I126" s="700"/>
    </row>
    <row r="127" spans="1:9" s="680" customFormat="1" ht="13.5">
      <c r="A127" s="693"/>
      <c r="B127" s="654">
        <v>120</v>
      </c>
      <c r="C127" s="654" t="s">
        <v>2300</v>
      </c>
      <c r="D127" s="680" t="s">
        <v>2340</v>
      </c>
      <c r="E127" s="701" t="s">
        <v>2349</v>
      </c>
      <c r="F127" s="701"/>
      <c r="G127" s="690"/>
      <c r="H127" s="690"/>
      <c r="I127" s="700"/>
    </row>
    <row r="128" spans="1:9" s="680" customFormat="1">
      <c r="A128" s="693"/>
      <c r="B128" s="654">
        <v>120</v>
      </c>
      <c r="C128" s="654" t="s">
        <v>2300</v>
      </c>
      <c r="D128" s="680" t="s">
        <v>2340</v>
      </c>
      <c r="E128" s="701" t="s">
        <v>381</v>
      </c>
      <c r="F128" s="687" t="s">
        <v>500</v>
      </c>
      <c r="G128" s="460">
        <f>G124-G125-G126-G127</f>
        <v>1020869.5800000001</v>
      </c>
      <c r="H128" s="460">
        <f>H124-H125</f>
        <v>0</v>
      </c>
      <c r="I128" s="700"/>
    </row>
    <row r="129" spans="1:9" s="680" customFormat="1">
      <c r="A129" s="693"/>
      <c r="B129" s="654">
        <v>120</v>
      </c>
      <c r="C129" s="654" t="s">
        <v>2300</v>
      </c>
      <c r="D129" s="680" t="s">
        <v>2340</v>
      </c>
      <c r="E129" s="1731" t="s">
        <v>383</v>
      </c>
      <c r="F129" s="1731"/>
      <c r="G129" s="460">
        <f>审定现金流量表!C27</f>
        <v>968652.25</v>
      </c>
      <c r="H129" s="460">
        <f>审定现金流量表!D27</f>
        <v>6419475.4900000002</v>
      </c>
      <c r="I129" s="700"/>
    </row>
    <row r="130" spans="1:9" s="680" customFormat="1">
      <c r="A130" s="693"/>
      <c r="B130" s="654">
        <v>120</v>
      </c>
      <c r="C130" s="654" t="s">
        <v>2300</v>
      </c>
      <c r="D130" s="680" t="s">
        <v>2340</v>
      </c>
      <c r="E130" s="1730" t="s">
        <v>384</v>
      </c>
      <c r="F130" s="1731"/>
      <c r="G130" s="460">
        <f>G128-G129</f>
        <v>52217.330000000075</v>
      </c>
      <c r="H130" s="460">
        <f>H128-H129</f>
        <v>-6419475.4900000002</v>
      </c>
      <c r="I130" s="697"/>
    </row>
    <row r="131" spans="1:9" s="680" customFormat="1">
      <c r="A131" s="693"/>
      <c r="B131" s="654">
        <v>120</v>
      </c>
      <c r="C131" s="654" t="s">
        <v>2300</v>
      </c>
      <c r="D131" s="680" t="s">
        <v>2340</v>
      </c>
      <c r="E131" s="1730" t="s">
        <v>385</v>
      </c>
      <c r="F131" s="1731"/>
      <c r="G131" s="702"/>
      <c r="H131" s="702"/>
      <c r="I131" s="697"/>
    </row>
    <row r="132" spans="1:9" s="680" customFormat="1">
      <c r="A132" s="693"/>
      <c r="B132" s="654">
        <v>121</v>
      </c>
      <c r="C132" s="654" t="s">
        <v>2300</v>
      </c>
      <c r="D132" s="680" t="s">
        <v>2350</v>
      </c>
      <c r="E132" s="1739" t="s">
        <v>2351</v>
      </c>
      <c r="F132" s="1740"/>
      <c r="G132" s="1740"/>
      <c r="H132" s="1740"/>
      <c r="I132" s="1741"/>
    </row>
    <row r="133" spans="1:9" s="680" customFormat="1">
      <c r="A133" s="693"/>
      <c r="B133" s="654">
        <v>122</v>
      </c>
      <c r="C133" s="654" t="s">
        <v>2300</v>
      </c>
      <c r="D133" s="680" t="s">
        <v>2350</v>
      </c>
      <c r="E133" s="1747" t="s">
        <v>366</v>
      </c>
      <c r="F133" s="1748"/>
      <c r="G133" s="684" t="s">
        <v>368</v>
      </c>
      <c r="H133" s="703" t="s">
        <v>369</v>
      </c>
      <c r="I133" s="685" t="s">
        <v>2228</v>
      </c>
    </row>
    <row r="134" spans="1:9" s="680" customFormat="1">
      <c r="A134" s="693"/>
      <c r="B134" s="654">
        <v>123</v>
      </c>
      <c r="C134" s="654" t="s">
        <v>2300</v>
      </c>
      <c r="D134" s="680" t="s">
        <v>2352</v>
      </c>
      <c r="E134" s="704" t="s">
        <v>2093</v>
      </c>
      <c r="F134" s="705" t="s">
        <v>497</v>
      </c>
      <c r="G134" s="460">
        <f>SUM(G135:G136)</f>
        <v>1123</v>
      </c>
      <c r="H134" s="460">
        <f>SUM(H135:H136)</f>
        <v>2924.3</v>
      </c>
      <c r="I134" s="688"/>
    </row>
    <row r="135" spans="1:9" s="680" customFormat="1">
      <c r="A135" s="693"/>
      <c r="B135" s="654">
        <v>124</v>
      </c>
      <c r="C135" s="654" t="s">
        <v>2300</v>
      </c>
      <c r="D135" s="680" t="s">
        <v>2352</v>
      </c>
      <c r="E135" s="706" t="s">
        <v>2353</v>
      </c>
      <c r="F135" s="705" t="s">
        <v>2354</v>
      </c>
      <c r="G135" s="460">
        <f>财务费用!D12</f>
        <v>1123</v>
      </c>
      <c r="H135" s="460">
        <f>财务费用!E12</f>
        <v>2924.3</v>
      </c>
      <c r="I135" s="688"/>
    </row>
    <row r="136" spans="1:9" s="680" customFormat="1">
      <c r="A136" s="693"/>
      <c r="B136" s="654">
        <v>125</v>
      </c>
      <c r="C136" s="654" t="s">
        <v>2300</v>
      </c>
      <c r="D136" s="680" t="s">
        <v>2352</v>
      </c>
      <c r="E136" s="706" t="s">
        <v>2355</v>
      </c>
      <c r="F136" s="705" t="s">
        <v>2356</v>
      </c>
      <c r="G136" s="689"/>
      <c r="H136" s="689"/>
      <c r="I136" s="688"/>
    </row>
    <row r="137" spans="1:9" s="680" customFormat="1">
      <c r="A137" s="389" t="s">
        <v>2251</v>
      </c>
      <c r="B137" s="654">
        <v>126</v>
      </c>
      <c r="C137" s="654" t="s">
        <v>2300</v>
      </c>
      <c r="D137" s="680" t="s">
        <v>2352</v>
      </c>
      <c r="E137" s="686" t="s">
        <v>2357</v>
      </c>
      <c r="F137" s="705" t="s">
        <v>496</v>
      </c>
      <c r="G137" s="460">
        <f>SUM(G138:G152)</f>
        <v>0</v>
      </c>
      <c r="H137" s="689"/>
      <c r="I137" s="688"/>
    </row>
    <row r="138" spans="1:9" s="680" customFormat="1">
      <c r="A138" s="391"/>
      <c r="B138" s="654">
        <v>127</v>
      </c>
      <c r="C138" s="654" t="s">
        <v>2300</v>
      </c>
      <c r="D138" s="680" t="s">
        <v>2352</v>
      </c>
      <c r="E138" s="686" t="s">
        <v>2358</v>
      </c>
      <c r="F138" s="705" t="s">
        <v>2359</v>
      </c>
      <c r="G138" s="689"/>
      <c r="H138" s="689"/>
      <c r="I138" s="688"/>
    </row>
    <row r="139" spans="1:9" s="680" customFormat="1">
      <c r="A139" s="693"/>
      <c r="B139" s="654">
        <v>128</v>
      </c>
      <c r="C139" s="654" t="s">
        <v>2300</v>
      </c>
      <c r="D139" s="680" t="s">
        <v>2352</v>
      </c>
      <c r="E139" s="686" t="s">
        <v>414</v>
      </c>
      <c r="F139" s="705" t="s">
        <v>2356</v>
      </c>
      <c r="G139" s="689"/>
      <c r="H139" s="689"/>
      <c r="I139" s="688"/>
    </row>
    <row r="140" spans="1:9" s="680" customFormat="1">
      <c r="A140" s="693"/>
      <c r="B140" s="654">
        <v>129</v>
      </c>
      <c r="C140" s="654" t="s">
        <v>2300</v>
      </c>
      <c r="D140" s="680" t="s">
        <v>2352</v>
      </c>
      <c r="E140" s="686" t="s">
        <v>415</v>
      </c>
      <c r="F140" s="705" t="s">
        <v>2270</v>
      </c>
      <c r="G140" s="689"/>
      <c r="H140" s="689"/>
      <c r="I140" s="688"/>
    </row>
    <row r="141" spans="1:9" s="680" customFormat="1">
      <c r="A141" s="693"/>
      <c r="B141" s="654">
        <v>130</v>
      </c>
      <c r="C141" s="654" t="s">
        <v>2300</v>
      </c>
      <c r="D141" s="680" t="s">
        <v>2352</v>
      </c>
      <c r="E141" s="686" t="s">
        <v>416</v>
      </c>
      <c r="F141" s="705" t="s">
        <v>2335</v>
      </c>
      <c r="G141" s="689"/>
      <c r="H141" s="689"/>
      <c r="I141" s="688"/>
    </row>
    <row r="142" spans="1:9" s="680" customFormat="1">
      <c r="A142" s="693"/>
      <c r="B142" s="654">
        <v>131</v>
      </c>
      <c r="C142" s="654" t="s">
        <v>2300</v>
      </c>
      <c r="D142" s="680" t="s">
        <v>2352</v>
      </c>
      <c r="E142" s="686" t="s">
        <v>417</v>
      </c>
      <c r="F142" s="705" t="s">
        <v>2276</v>
      </c>
      <c r="G142" s="689"/>
      <c r="H142" s="689"/>
      <c r="I142" s="688"/>
    </row>
    <row r="143" spans="1:9" s="680" customFormat="1">
      <c r="A143" s="693"/>
      <c r="B143" s="654">
        <v>132</v>
      </c>
      <c r="C143" s="654" t="s">
        <v>2300</v>
      </c>
      <c r="D143" s="680" t="s">
        <v>2352</v>
      </c>
      <c r="E143" s="686" t="s">
        <v>418</v>
      </c>
      <c r="F143" s="705" t="s">
        <v>2338</v>
      </c>
      <c r="G143" s="689"/>
      <c r="H143" s="689"/>
      <c r="I143" s="688"/>
    </row>
    <row r="144" spans="1:9" s="680" customFormat="1">
      <c r="A144" s="693"/>
      <c r="B144" s="654">
        <v>133</v>
      </c>
      <c r="C144" s="654" t="s">
        <v>2300</v>
      </c>
      <c r="D144" s="680" t="s">
        <v>2352</v>
      </c>
      <c r="E144" s="686" t="s">
        <v>419</v>
      </c>
      <c r="F144" s="705" t="s">
        <v>2279</v>
      </c>
      <c r="G144" s="689"/>
      <c r="H144" s="689"/>
      <c r="I144" s="688"/>
    </row>
    <row r="145" spans="1:9" s="680" customFormat="1">
      <c r="A145" s="693"/>
      <c r="B145" s="654">
        <v>134</v>
      </c>
      <c r="C145" s="654" t="s">
        <v>2300</v>
      </c>
      <c r="D145" s="680" t="s">
        <v>2352</v>
      </c>
      <c r="E145" s="686" t="s">
        <v>420</v>
      </c>
      <c r="F145" s="705" t="s">
        <v>2360</v>
      </c>
      <c r="G145" s="689"/>
      <c r="H145" s="689"/>
      <c r="I145" s="688"/>
    </row>
    <row r="146" spans="1:9" s="680" customFormat="1">
      <c r="A146" s="693"/>
      <c r="B146" s="654">
        <v>135</v>
      </c>
      <c r="C146" s="654" t="s">
        <v>2300</v>
      </c>
      <c r="D146" s="680" t="s">
        <v>2352</v>
      </c>
      <c r="E146" s="686" t="s">
        <v>421</v>
      </c>
      <c r="F146" s="705" t="s">
        <v>2281</v>
      </c>
      <c r="G146" s="689"/>
      <c r="H146" s="689"/>
      <c r="I146" s="688"/>
    </row>
    <row r="147" spans="1:9" s="680" customFormat="1">
      <c r="A147" s="693"/>
      <c r="B147" s="654">
        <v>136</v>
      </c>
      <c r="C147" s="654" t="s">
        <v>2300</v>
      </c>
      <c r="D147" s="680" t="s">
        <v>2352</v>
      </c>
      <c r="E147" s="686" t="s">
        <v>422</v>
      </c>
      <c r="F147" s="705" t="s">
        <v>2361</v>
      </c>
      <c r="G147" s="689"/>
      <c r="H147" s="689"/>
      <c r="I147" s="688"/>
    </row>
    <row r="148" spans="1:9" s="680" customFormat="1">
      <c r="A148" s="693"/>
      <c r="B148" s="654">
        <v>137</v>
      </c>
      <c r="C148" s="654" t="s">
        <v>2300</v>
      </c>
      <c r="D148" s="680" t="s">
        <v>2352</v>
      </c>
      <c r="E148" s="686" t="s">
        <v>423</v>
      </c>
      <c r="F148" s="705" t="s">
        <v>2283</v>
      </c>
      <c r="G148" s="689"/>
      <c r="H148" s="689"/>
      <c r="I148" s="688"/>
    </row>
    <row r="149" spans="1:9" s="680" customFormat="1">
      <c r="A149" s="693"/>
      <c r="B149" s="654">
        <v>138</v>
      </c>
      <c r="C149" s="654" t="s">
        <v>2300</v>
      </c>
      <c r="D149" s="680" t="s">
        <v>2352</v>
      </c>
      <c r="E149" s="686" t="s">
        <v>424</v>
      </c>
      <c r="F149" s="705" t="s">
        <v>2362</v>
      </c>
      <c r="G149" s="689"/>
      <c r="H149" s="689"/>
      <c r="I149" s="688"/>
    </row>
    <row r="150" spans="1:9" s="680" customFormat="1">
      <c r="A150" s="389" t="s">
        <v>2251</v>
      </c>
      <c r="B150" s="654">
        <v>139</v>
      </c>
      <c r="C150" s="654" t="s">
        <v>2300</v>
      </c>
      <c r="D150" s="680" t="s">
        <v>2352</v>
      </c>
      <c r="E150" s="686" t="s">
        <v>425</v>
      </c>
      <c r="F150" s="705" t="s">
        <v>2286</v>
      </c>
      <c r="G150" s="689"/>
      <c r="H150" s="689"/>
      <c r="I150" s="688"/>
    </row>
    <row r="151" spans="1:9" s="680" customFormat="1">
      <c r="A151" s="391"/>
      <c r="B151" s="654">
        <v>140</v>
      </c>
      <c r="C151" s="654" t="s">
        <v>2300</v>
      </c>
      <c r="D151" s="680" t="s">
        <v>2352</v>
      </c>
      <c r="E151" s="686" t="s">
        <v>426</v>
      </c>
      <c r="F151" s="705" t="s">
        <v>2363</v>
      </c>
      <c r="G151" s="689"/>
      <c r="H151" s="689"/>
      <c r="I151" s="688"/>
    </row>
    <row r="152" spans="1:9" s="680" customFormat="1">
      <c r="A152" s="693"/>
      <c r="B152" s="654">
        <v>141</v>
      </c>
      <c r="C152" s="654" t="s">
        <v>2300</v>
      </c>
      <c r="D152" s="680" t="s">
        <v>2352</v>
      </c>
      <c r="E152" s="686" t="s">
        <v>427</v>
      </c>
      <c r="F152" s="705" t="s">
        <v>2289</v>
      </c>
      <c r="G152" s="689"/>
      <c r="H152" s="689"/>
      <c r="I152" s="688"/>
    </row>
    <row r="153" spans="1:9" s="680" customFormat="1">
      <c r="A153" s="693"/>
      <c r="B153" s="654">
        <v>142</v>
      </c>
      <c r="C153" s="654" t="s">
        <v>2300</v>
      </c>
      <c r="D153" s="680" t="s">
        <v>2352</v>
      </c>
      <c r="E153" s="686" t="s">
        <v>2364</v>
      </c>
      <c r="F153" s="705" t="s">
        <v>495</v>
      </c>
      <c r="G153" s="460">
        <f>SUM(G154:G168)</f>
        <v>0</v>
      </c>
      <c r="H153" s="689"/>
      <c r="I153" s="688"/>
    </row>
    <row r="154" spans="1:9" s="680" customFormat="1">
      <c r="A154" s="693"/>
      <c r="B154" s="654">
        <v>143</v>
      </c>
      <c r="C154" s="654" t="s">
        <v>2300</v>
      </c>
      <c r="D154" s="680" t="s">
        <v>2352</v>
      </c>
      <c r="E154" s="686" t="s">
        <v>2358</v>
      </c>
      <c r="F154" s="705" t="s">
        <v>2359</v>
      </c>
      <c r="G154" s="689"/>
      <c r="H154" s="689"/>
      <c r="I154" s="688"/>
    </row>
    <row r="155" spans="1:9" s="680" customFormat="1">
      <c r="A155" s="693"/>
      <c r="B155" s="654">
        <v>144</v>
      </c>
      <c r="C155" s="654" t="s">
        <v>2300</v>
      </c>
      <c r="D155" s="680" t="s">
        <v>2352</v>
      </c>
      <c r="E155" s="686" t="s">
        <v>414</v>
      </c>
      <c r="F155" s="705" t="s">
        <v>2356</v>
      </c>
      <c r="G155" s="689"/>
      <c r="H155" s="689"/>
      <c r="I155" s="688"/>
    </row>
    <row r="156" spans="1:9" s="680" customFormat="1">
      <c r="A156" s="693"/>
      <c r="B156" s="654">
        <v>145</v>
      </c>
      <c r="C156" s="654" t="s">
        <v>2300</v>
      </c>
      <c r="D156" s="680" t="s">
        <v>2352</v>
      </c>
      <c r="E156" s="686" t="s">
        <v>415</v>
      </c>
      <c r="F156" s="705" t="s">
        <v>2270</v>
      </c>
      <c r="G156" s="689"/>
      <c r="H156" s="689"/>
      <c r="I156" s="688"/>
    </row>
    <row r="157" spans="1:9" s="680" customFormat="1">
      <c r="A157" s="693"/>
      <c r="B157" s="654">
        <v>146</v>
      </c>
      <c r="C157" s="654" t="s">
        <v>2300</v>
      </c>
      <c r="D157" s="680" t="s">
        <v>2352</v>
      </c>
      <c r="E157" s="686" t="s">
        <v>416</v>
      </c>
      <c r="F157" s="705" t="s">
        <v>2335</v>
      </c>
      <c r="G157" s="689"/>
      <c r="H157" s="689"/>
      <c r="I157" s="688"/>
    </row>
    <row r="158" spans="1:9" s="680" customFormat="1">
      <c r="A158" s="693"/>
      <c r="B158" s="654">
        <v>147</v>
      </c>
      <c r="C158" s="654" t="s">
        <v>2300</v>
      </c>
      <c r="D158" s="680" t="s">
        <v>2352</v>
      </c>
      <c r="E158" s="686" t="s">
        <v>417</v>
      </c>
      <c r="F158" s="705" t="s">
        <v>2276</v>
      </c>
      <c r="G158" s="689"/>
      <c r="H158" s="689"/>
      <c r="I158" s="688"/>
    </row>
    <row r="159" spans="1:9" s="680" customFormat="1">
      <c r="A159" s="693"/>
      <c r="B159" s="654">
        <v>148</v>
      </c>
      <c r="C159" s="654" t="s">
        <v>2300</v>
      </c>
      <c r="D159" s="680" t="s">
        <v>2352</v>
      </c>
      <c r="E159" s="686" t="s">
        <v>418</v>
      </c>
      <c r="F159" s="705" t="s">
        <v>2338</v>
      </c>
      <c r="G159" s="689"/>
      <c r="H159" s="689"/>
      <c r="I159" s="688"/>
    </row>
    <row r="160" spans="1:9" s="680" customFormat="1">
      <c r="A160" s="693"/>
      <c r="B160" s="654">
        <v>149</v>
      </c>
      <c r="C160" s="654" t="s">
        <v>2300</v>
      </c>
      <c r="D160" s="680" t="s">
        <v>2352</v>
      </c>
      <c r="E160" s="686" t="s">
        <v>419</v>
      </c>
      <c r="F160" s="705" t="s">
        <v>2279</v>
      </c>
      <c r="G160" s="689"/>
      <c r="H160" s="689"/>
      <c r="I160" s="688"/>
    </row>
    <row r="161" spans="1:9" s="680" customFormat="1">
      <c r="A161" s="693"/>
      <c r="B161" s="654">
        <v>150</v>
      </c>
      <c r="C161" s="654" t="s">
        <v>2300</v>
      </c>
      <c r="D161" s="680" t="s">
        <v>2352</v>
      </c>
      <c r="E161" s="686" t="s">
        <v>420</v>
      </c>
      <c r="F161" s="705" t="s">
        <v>2360</v>
      </c>
      <c r="G161" s="689"/>
      <c r="H161" s="689"/>
      <c r="I161" s="688"/>
    </row>
    <row r="162" spans="1:9" s="680" customFormat="1">
      <c r="A162" s="693"/>
      <c r="B162" s="654">
        <v>151</v>
      </c>
      <c r="C162" s="654" t="s">
        <v>2300</v>
      </c>
      <c r="D162" s="680" t="s">
        <v>2352</v>
      </c>
      <c r="E162" s="686" t="s">
        <v>421</v>
      </c>
      <c r="F162" s="705" t="s">
        <v>2281</v>
      </c>
      <c r="G162" s="689"/>
      <c r="H162" s="689"/>
      <c r="I162" s="688"/>
    </row>
    <row r="163" spans="1:9" s="680" customFormat="1">
      <c r="A163" s="693"/>
      <c r="B163" s="654">
        <v>152</v>
      </c>
      <c r="C163" s="654" t="s">
        <v>2300</v>
      </c>
      <c r="D163" s="680" t="s">
        <v>2352</v>
      </c>
      <c r="E163" s="686" t="s">
        <v>422</v>
      </c>
      <c r="F163" s="705" t="s">
        <v>2361</v>
      </c>
      <c r="G163" s="689"/>
      <c r="H163" s="689"/>
      <c r="I163" s="688"/>
    </row>
    <row r="164" spans="1:9" s="680" customFormat="1">
      <c r="A164" s="693"/>
      <c r="B164" s="654">
        <v>153</v>
      </c>
      <c r="C164" s="654" t="s">
        <v>2300</v>
      </c>
      <c r="D164" s="680" t="s">
        <v>2352</v>
      </c>
      <c r="E164" s="686" t="s">
        <v>423</v>
      </c>
      <c r="F164" s="705" t="s">
        <v>2283</v>
      </c>
      <c r="G164" s="689"/>
      <c r="H164" s="689"/>
      <c r="I164" s="688"/>
    </row>
    <row r="165" spans="1:9" s="680" customFormat="1">
      <c r="A165" s="693"/>
      <c r="B165" s="654">
        <v>154</v>
      </c>
      <c r="C165" s="654" t="s">
        <v>2300</v>
      </c>
      <c r="D165" s="680" t="s">
        <v>2352</v>
      </c>
      <c r="E165" s="686" t="s">
        <v>424</v>
      </c>
      <c r="F165" s="705" t="s">
        <v>2362</v>
      </c>
      <c r="G165" s="689"/>
      <c r="H165" s="689"/>
      <c r="I165" s="688"/>
    </row>
    <row r="166" spans="1:9" s="680" customFormat="1">
      <c r="A166" s="693"/>
      <c r="B166" s="654">
        <v>155</v>
      </c>
      <c r="C166" s="654" t="s">
        <v>2300</v>
      </c>
      <c r="D166" s="680" t="s">
        <v>2352</v>
      </c>
      <c r="E166" s="686" t="s">
        <v>425</v>
      </c>
      <c r="F166" s="705" t="s">
        <v>2286</v>
      </c>
      <c r="G166" s="689"/>
      <c r="H166" s="689"/>
      <c r="I166" s="688"/>
    </row>
    <row r="167" spans="1:9" s="680" customFormat="1">
      <c r="A167" s="389" t="s">
        <v>2251</v>
      </c>
      <c r="B167" s="654">
        <v>156</v>
      </c>
      <c r="C167" s="654" t="s">
        <v>2300</v>
      </c>
      <c r="D167" s="680" t="s">
        <v>2352</v>
      </c>
      <c r="E167" s="686" t="s">
        <v>426</v>
      </c>
      <c r="F167" s="705" t="s">
        <v>2363</v>
      </c>
      <c r="G167" s="689"/>
      <c r="H167" s="689"/>
      <c r="I167" s="688"/>
    </row>
    <row r="168" spans="1:9" s="680" customFormat="1">
      <c r="A168" s="391"/>
      <c r="B168" s="654">
        <v>157</v>
      </c>
      <c r="C168" s="654" t="s">
        <v>2300</v>
      </c>
      <c r="D168" s="680" t="s">
        <v>2352</v>
      </c>
      <c r="E168" s="686" t="s">
        <v>427</v>
      </c>
      <c r="F168" s="705" t="s">
        <v>2289</v>
      </c>
      <c r="G168" s="689"/>
      <c r="H168" s="689"/>
      <c r="I168" s="688"/>
    </row>
    <row r="169" spans="1:9" s="680" customFormat="1">
      <c r="A169" s="693"/>
      <c r="B169" s="654">
        <v>158</v>
      </c>
      <c r="C169" s="654" t="s">
        <v>2300</v>
      </c>
      <c r="D169" s="680" t="s">
        <v>2352</v>
      </c>
      <c r="E169" s="686" t="s">
        <v>2365</v>
      </c>
      <c r="F169" s="705" t="s">
        <v>494</v>
      </c>
      <c r="G169" s="460">
        <f>SUM(G170:G173)</f>
        <v>0</v>
      </c>
      <c r="H169" s="460">
        <f>SUM(H170:H173)</f>
        <v>0</v>
      </c>
      <c r="I169" s="688"/>
    </row>
    <row r="170" spans="1:9" s="680" customFormat="1">
      <c r="A170" s="693"/>
      <c r="B170" s="654">
        <v>159</v>
      </c>
      <c r="C170" s="654" t="s">
        <v>2300</v>
      </c>
      <c r="D170" s="680" t="s">
        <v>2352</v>
      </c>
      <c r="E170" s="686" t="s">
        <v>2297</v>
      </c>
      <c r="F170" s="687"/>
      <c r="G170" s="689"/>
      <c r="H170" s="689"/>
      <c r="I170" s="688"/>
    </row>
    <row r="171" spans="1:9" s="680" customFormat="1" ht="13.5">
      <c r="A171" s="693"/>
      <c r="B171" s="654">
        <v>160</v>
      </c>
      <c r="C171" s="654" t="s">
        <v>2300</v>
      </c>
      <c r="D171" s="680" t="s">
        <v>2352</v>
      </c>
      <c r="E171" s="686" t="s">
        <v>2366</v>
      </c>
      <c r="F171" s="687"/>
      <c r="G171" s="689"/>
      <c r="H171" s="689"/>
      <c r="I171" s="688"/>
    </row>
    <row r="172" spans="1:9" s="680" customFormat="1" ht="13.5">
      <c r="A172" s="693"/>
      <c r="B172" s="654">
        <v>161</v>
      </c>
      <c r="C172" s="654" t="s">
        <v>2300</v>
      </c>
      <c r="D172" s="680" t="s">
        <v>2352</v>
      </c>
      <c r="E172" s="686" t="s">
        <v>2367</v>
      </c>
      <c r="F172" s="687"/>
      <c r="G172" s="689"/>
      <c r="H172" s="689"/>
      <c r="I172" s="688"/>
    </row>
    <row r="173" spans="1:9" s="680" customFormat="1">
      <c r="A173" s="693"/>
      <c r="B173" s="654">
        <v>162</v>
      </c>
      <c r="C173" s="654" t="s">
        <v>2300</v>
      </c>
      <c r="D173" s="680" t="s">
        <v>2352</v>
      </c>
      <c r="E173" s="686" t="s">
        <v>223</v>
      </c>
      <c r="F173" s="687"/>
      <c r="G173" s="689"/>
      <c r="H173" s="689"/>
      <c r="I173" s="688"/>
    </row>
    <row r="174" spans="1:9" s="680" customFormat="1">
      <c r="A174" s="693"/>
      <c r="B174" s="654">
        <v>163</v>
      </c>
      <c r="C174" s="654" t="s">
        <v>2300</v>
      </c>
      <c r="D174" s="680" t="s">
        <v>2352</v>
      </c>
      <c r="E174" s="686" t="s">
        <v>381</v>
      </c>
      <c r="F174" s="687" t="s">
        <v>493</v>
      </c>
      <c r="G174" s="460">
        <f>G169+G153+G137+G134</f>
        <v>1123</v>
      </c>
      <c r="H174" s="460">
        <f>H169+H153+H137+H134</f>
        <v>2924.3</v>
      </c>
      <c r="I174" s="691"/>
    </row>
    <row r="175" spans="1:9" s="680" customFormat="1">
      <c r="A175" s="693"/>
      <c r="B175" s="654">
        <v>164</v>
      </c>
      <c r="C175" s="654" t="s">
        <v>2300</v>
      </c>
      <c r="D175" s="680" t="s">
        <v>2352</v>
      </c>
      <c r="E175" s="1730" t="s">
        <v>383</v>
      </c>
      <c r="F175" s="1731"/>
      <c r="G175" s="460">
        <f>审定现金流量表!C28</f>
        <v>1193214.6399999999</v>
      </c>
      <c r="H175" s="460">
        <f>审定现金流量表!D28</f>
        <v>4139025.11</v>
      </c>
      <c r="I175" s="691"/>
    </row>
    <row r="176" spans="1:9" s="680" customFormat="1">
      <c r="A176" s="693"/>
      <c r="B176" s="654">
        <v>165</v>
      </c>
      <c r="C176" s="654" t="s">
        <v>2300</v>
      </c>
      <c r="D176" s="680" t="s">
        <v>2352</v>
      </c>
      <c r="E176" s="1730" t="s">
        <v>384</v>
      </c>
      <c r="F176" s="1731"/>
      <c r="G176" s="460">
        <f>G174-G175</f>
        <v>-1192091.6399999999</v>
      </c>
      <c r="H176" s="460">
        <f>H174-H175</f>
        <v>-4136100.81</v>
      </c>
      <c r="I176" s="691"/>
    </row>
    <row r="177" spans="1:9" s="680" customFormat="1" ht="13.5" thickBot="1">
      <c r="A177" s="693"/>
      <c r="B177" s="654">
        <v>166</v>
      </c>
      <c r="C177" s="654" t="s">
        <v>2300</v>
      </c>
      <c r="D177" s="680" t="s">
        <v>2352</v>
      </c>
      <c r="E177" s="1730" t="s">
        <v>385</v>
      </c>
      <c r="F177" s="1731"/>
      <c r="G177" s="690"/>
      <c r="H177" s="690"/>
      <c r="I177" s="691"/>
    </row>
    <row r="178" spans="1:9" s="680" customFormat="1" ht="13.5" thickBot="1">
      <c r="A178" s="693"/>
      <c r="B178" s="654">
        <v>167</v>
      </c>
      <c r="C178" s="654" t="s">
        <v>2368</v>
      </c>
      <c r="E178" s="1742" t="s">
        <v>2369</v>
      </c>
      <c r="F178" s="1726"/>
      <c r="G178" s="1726"/>
      <c r="H178" s="1726"/>
      <c r="I178" s="1743"/>
    </row>
    <row r="179" spans="1:9" s="680" customFormat="1">
      <c r="A179" s="693"/>
      <c r="B179" s="654">
        <v>168</v>
      </c>
      <c r="C179" s="654" t="s">
        <v>2368</v>
      </c>
      <c r="D179" s="680" t="s">
        <v>2370</v>
      </c>
      <c r="E179" s="1744" t="s">
        <v>2371</v>
      </c>
      <c r="F179" s="1745"/>
      <c r="G179" s="1745"/>
      <c r="H179" s="1745"/>
      <c r="I179" s="1746"/>
    </row>
    <row r="180" spans="1:9" s="680" customFormat="1">
      <c r="A180" s="693"/>
      <c r="B180" s="654">
        <v>169</v>
      </c>
      <c r="C180" s="654" t="s">
        <v>2368</v>
      </c>
      <c r="D180" s="680" t="s">
        <v>2370</v>
      </c>
      <c r="E180" s="1737" t="s">
        <v>366</v>
      </c>
      <c r="F180" s="1738"/>
      <c r="G180" s="684" t="s">
        <v>368</v>
      </c>
      <c r="H180" s="703" t="s">
        <v>369</v>
      </c>
      <c r="I180" s="685" t="s">
        <v>2228</v>
      </c>
    </row>
    <row r="181" spans="1:9" s="680" customFormat="1">
      <c r="A181" s="693"/>
      <c r="B181" s="654">
        <v>170</v>
      </c>
      <c r="C181" s="654" t="s">
        <v>2368</v>
      </c>
      <c r="D181" s="680" t="s">
        <v>2370</v>
      </c>
      <c r="E181" s="686" t="s">
        <v>428</v>
      </c>
      <c r="F181" s="687" t="s">
        <v>2268</v>
      </c>
      <c r="G181" s="689"/>
      <c r="H181" s="689"/>
      <c r="I181" s="688" t="s">
        <v>2232</v>
      </c>
    </row>
    <row r="182" spans="1:9" s="680" customFormat="1">
      <c r="A182" s="693"/>
      <c r="B182" s="654">
        <v>171</v>
      </c>
      <c r="C182" s="654" t="s">
        <v>2368</v>
      </c>
      <c r="D182" s="680" t="s">
        <v>2370</v>
      </c>
      <c r="E182" s="686" t="s">
        <v>429</v>
      </c>
      <c r="F182" s="687" t="s">
        <v>2269</v>
      </c>
      <c r="G182" s="689"/>
      <c r="H182" s="689"/>
      <c r="I182" s="688"/>
    </row>
    <row r="183" spans="1:9" s="680" customFormat="1">
      <c r="A183" s="389" t="s">
        <v>2251</v>
      </c>
      <c r="B183" s="654">
        <v>172</v>
      </c>
      <c r="C183" s="654" t="s">
        <v>2368</v>
      </c>
      <c r="D183" s="680" t="s">
        <v>2370</v>
      </c>
      <c r="E183" s="686" t="s">
        <v>430</v>
      </c>
      <c r="F183" s="687" t="s">
        <v>2270</v>
      </c>
      <c r="G183" s="689"/>
      <c r="H183" s="689"/>
      <c r="I183" s="688"/>
    </row>
    <row r="184" spans="1:9" s="680" customFormat="1">
      <c r="A184" s="391"/>
      <c r="B184" s="654">
        <v>173</v>
      </c>
      <c r="C184" s="654" t="s">
        <v>2368</v>
      </c>
      <c r="D184" s="680" t="s">
        <v>2370</v>
      </c>
      <c r="E184" s="686" t="s">
        <v>431</v>
      </c>
      <c r="F184" s="687" t="s">
        <v>2274</v>
      </c>
      <c r="G184" s="689"/>
      <c r="H184" s="689"/>
      <c r="I184" s="688"/>
    </row>
    <row r="185" spans="1:9" s="680" customFormat="1">
      <c r="A185" s="693"/>
      <c r="B185" s="654">
        <v>174</v>
      </c>
      <c r="C185" s="654" t="s">
        <v>2368</v>
      </c>
      <c r="D185" s="680" t="s">
        <v>2370</v>
      </c>
      <c r="E185" s="686" t="s">
        <v>432</v>
      </c>
      <c r="F185" s="687" t="s">
        <v>2276</v>
      </c>
      <c r="G185" s="689"/>
      <c r="H185" s="689"/>
      <c r="I185" s="688"/>
    </row>
    <row r="186" spans="1:9" s="680" customFormat="1">
      <c r="A186" s="693"/>
      <c r="B186" s="654">
        <v>175</v>
      </c>
      <c r="C186" s="654" t="s">
        <v>2368</v>
      </c>
      <c r="D186" s="680" t="s">
        <v>2370</v>
      </c>
      <c r="E186" s="686" t="s">
        <v>223</v>
      </c>
      <c r="F186" s="687" t="s">
        <v>2278</v>
      </c>
      <c r="G186" s="689"/>
      <c r="H186" s="689"/>
      <c r="I186" s="688"/>
    </row>
    <row r="187" spans="1:9" s="680" customFormat="1">
      <c r="A187" s="693"/>
      <c r="B187" s="654">
        <v>176</v>
      </c>
      <c r="C187" s="654" t="s">
        <v>2368</v>
      </c>
      <c r="D187" s="680" t="s">
        <v>2370</v>
      </c>
      <c r="E187" s="686" t="s">
        <v>381</v>
      </c>
      <c r="F187" s="687" t="s">
        <v>433</v>
      </c>
      <c r="G187" s="460">
        <f>SUM(G181:G185)</f>
        <v>0</v>
      </c>
      <c r="H187" s="460">
        <f>SUM(H181:H185)</f>
        <v>0</v>
      </c>
      <c r="I187" s="688"/>
    </row>
    <row r="188" spans="1:9" s="680" customFormat="1">
      <c r="A188" s="693"/>
      <c r="B188" s="654">
        <v>177</v>
      </c>
      <c r="C188" s="654" t="s">
        <v>2368</v>
      </c>
      <c r="D188" s="680" t="s">
        <v>2370</v>
      </c>
      <c r="E188" s="1730" t="s">
        <v>383</v>
      </c>
      <c r="F188" s="1731"/>
      <c r="G188" s="460">
        <f>审定现金流量表!C32</f>
        <v>0</v>
      </c>
      <c r="H188" s="460">
        <f>审定现金流量表!D32</f>
        <v>0</v>
      </c>
      <c r="I188" s="691"/>
    </row>
    <row r="189" spans="1:9" s="680" customFormat="1">
      <c r="A189" s="693"/>
      <c r="B189" s="654">
        <v>178</v>
      </c>
      <c r="C189" s="654" t="s">
        <v>2368</v>
      </c>
      <c r="D189" s="680" t="s">
        <v>2370</v>
      </c>
      <c r="E189" s="1730" t="s">
        <v>384</v>
      </c>
      <c r="F189" s="1731"/>
      <c r="G189" s="460">
        <f>G186-G188</f>
        <v>0</v>
      </c>
      <c r="H189" s="460">
        <f>H186-H188</f>
        <v>0</v>
      </c>
      <c r="I189" s="691"/>
    </row>
    <row r="190" spans="1:9" s="680" customFormat="1">
      <c r="A190" s="693"/>
      <c r="B190" s="654">
        <v>179</v>
      </c>
      <c r="C190" s="654" t="s">
        <v>2368</v>
      </c>
      <c r="D190" s="680" t="s">
        <v>2370</v>
      </c>
      <c r="E190" s="1730" t="s">
        <v>385</v>
      </c>
      <c r="F190" s="1731"/>
      <c r="G190" s="690"/>
      <c r="H190" s="690"/>
      <c r="I190" s="691"/>
    </row>
    <row r="191" spans="1:9" s="680" customFormat="1">
      <c r="A191" s="693"/>
      <c r="B191" s="654">
        <v>180</v>
      </c>
      <c r="C191" s="654" t="s">
        <v>2368</v>
      </c>
      <c r="D191" s="680" t="s">
        <v>2372</v>
      </c>
      <c r="E191" s="1732" t="s">
        <v>2373</v>
      </c>
      <c r="F191" s="1733"/>
      <c r="G191" s="1733"/>
      <c r="H191" s="1733"/>
      <c r="I191" s="1734"/>
    </row>
    <row r="192" spans="1:9" s="680" customFormat="1">
      <c r="A192" s="693"/>
      <c r="B192" s="654">
        <v>181</v>
      </c>
      <c r="C192" s="654" t="s">
        <v>2368</v>
      </c>
      <c r="D192" s="680" t="s">
        <v>2372</v>
      </c>
      <c r="E192" s="1737" t="s">
        <v>366</v>
      </c>
      <c r="F192" s="1738"/>
      <c r="G192" s="684" t="s">
        <v>368</v>
      </c>
      <c r="H192" s="703" t="s">
        <v>369</v>
      </c>
      <c r="I192" s="685" t="s">
        <v>2228</v>
      </c>
    </row>
    <row r="193" spans="1:9" s="680" customFormat="1">
      <c r="A193" s="693"/>
      <c r="B193" s="654">
        <v>182</v>
      </c>
      <c r="C193" s="654" t="s">
        <v>2368</v>
      </c>
      <c r="D193" s="680" t="s">
        <v>2372</v>
      </c>
      <c r="E193" s="686" t="s">
        <v>434</v>
      </c>
      <c r="F193" s="687" t="s">
        <v>2268</v>
      </c>
      <c r="G193" s="689"/>
      <c r="H193" s="689"/>
      <c r="I193" s="688" t="s">
        <v>2233</v>
      </c>
    </row>
    <row r="194" spans="1:9" s="680" customFormat="1">
      <c r="A194" s="693"/>
      <c r="B194" s="654">
        <v>183</v>
      </c>
      <c r="C194" s="654" t="s">
        <v>2368</v>
      </c>
      <c r="D194" s="680" t="s">
        <v>2372</v>
      </c>
      <c r="E194" s="686" t="s">
        <v>435</v>
      </c>
      <c r="F194" s="687" t="s">
        <v>2269</v>
      </c>
      <c r="G194" s="689"/>
      <c r="H194" s="689"/>
      <c r="I194" s="688" t="s">
        <v>2233</v>
      </c>
    </row>
    <row r="195" spans="1:9" s="680" customFormat="1">
      <c r="A195" s="693"/>
      <c r="B195" s="654">
        <v>184</v>
      </c>
      <c r="C195" s="654" t="s">
        <v>2368</v>
      </c>
      <c r="D195" s="680" t="s">
        <v>2372</v>
      </c>
      <c r="E195" s="686" t="s">
        <v>436</v>
      </c>
      <c r="F195" s="687" t="s">
        <v>2270</v>
      </c>
      <c r="G195" s="689"/>
      <c r="H195" s="689"/>
      <c r="I195" s="688" t="s">
        <v>2234</v>
      </c>
    </row>
    <row r="196" spans="1:9" s="680" customFormat="1">
      <c r="A196" s="693"/>
      <c r="B196" s="654">
        <v>185</v>
      </c>
      <c r="C196" s="654" t="s">
        <v>2368</v>
      </c>
      <c r="D196" s="680" t="s">
        <v>2372</v>
      </c>
      <c r="E196" s="686" t="s">
        <v>223</v>
      </c>
      <c r="F196" s="687" t="s">
        <v>2274</v>
      </c>
      <c r="G196" s="689"/>
      <c r="H196" s="689"/>
      <c r="I196" s="688"/>
    </row>
    <row r="197" spans="1:9" s="680" customFormat="1">
      <c r="A197" s="693"/>
      <c r="B197" s="654">
        <v>186</v>
      </c>
      <c r="C197" s="654" t="s">
        <v>2368</v>
      </c>
      <c r="D197" s="680" t="s">
        <v>2372</v>
      </c>
      <c r="E197" s="686" t="s">
        <v>381</v>
      </c>
      <c r="F197" s="687" t="s">
        <v>437</v>
      </c>
      <c r="G197" s="460">
        <f>SUM(G193:G195)</f>
        <v>0</v>
      </c>
      <c r="H197" s="460">
        <f>SUM(H193:H195)</f>
        <v>0</v>
      </c>
      <c r="I197" s="688"/>
    </row>
    <row r="198" spans="1:9" s="680" customFormat="1">
      <c r="A198" s="693"/>
      <c r="B198" s="654">
        <v>187</v>
      </c>
      <c r="C198" s="654" t="s">
        <v>2368</v>
      </c>
      <c r="D198" s="680" t="s">
        <v>2372</v>
      </c>
      <c r="E198" s="1730" t="s">
        <v>383</v>
      </c>
      <c r="F198" s="1731"/>
      <c r="G198" s="460">
        <f>审定现金流量表!C33</f>
        <v>0</v>
      </c>
      <c r="H198" s="460">
        <f>审定现金流量表!D33</f>
        <v>0</v>
      </c>
      <c r="I198" s="691"/>
    </row>
    <row r="199" spans="1:9" s="680" customFormat="1">
      <c r="A199" s="389" t="s">
        <v>2251</v>
      </c>
      <c r="B199" s="654">
        <v>188</v>
      </c>
      <c r="C199" s="654" t="s">
        <v>2368</v>
      </c>
      <c r="D199" s="680" t="s">
        <v>2372</v>
      </c>
      <c r="E199" s="1730" t="s">
        <v>384</v>
      </c>
      <c r="F199" s="1731"/>
      <c r="G199" s="460">
        <f>G195-G198</f>
        <v>0</v>
      </c>
      <c r="H199" s="460">
        <f>H195-H198</f>
        <v>0</v>
      </c>
      <c r="I199" s="691"/>
    </row>
    <row r="200" spans="1:9" s="680" customFormat="1">
      <c r="A200" s="391"/>
      <c r="B200" s="654">
        <v>189</v>
      </c>
      <c r="C200" s="654" t="s">
        <v>2368</v>
      </c>
      <c r="D200" s="680" t="s">
        <v>2372</v>
      </c>
      <c r="E200" s="1730" t="s">
        <v>385</v>
      </c>
      <c r="F200" s="1731"/>
      <c r="G200" s="690"/>
      <c r="H200" s="690"/>
      <c r="I200" s="691"/>
    </row>
    <row r="201" spans="1:9" s="680" customFormat="1">
      <c r="A201" s="693"/>
      <c r="B201" s="654">
        <v>190</v>
      </c>
      <c r="C201" s="654" t="s">
        <v>2368</v>
      </c>
      <c r="D201" s="680" t="s">
        <v>2374</v>
      </c>
      <c r="E201" s="1732" t="s">
        <v>2375</v>
      </c>
      <c r="F201" s="1733"/>
      <c r="G201" s="1733"/>
      <c r="H201" s="1733"/>
      <c r="I201" s="1734"/>
    </row>
    <row r="202" spans="1:9" s="680" customFormat="1">
      <c r="A202" s="693"/>
      <c r="B202" s="654">
        <v>191</v>
      </c>
      <c r="C202" s="654" t="s">
        <v>2368</v>
      </c>
      <c r="D202" s="680" t="s">
        <v>2374</v>
      </c>
      <c r="E202" s="1737" t="s">
        <v>366</v>
      </c>
      <c r="F202" s="1738"/>
      <c r="G202" s="684" t="s">
        <v>368</v>
      </c>
      <c r="H202" s="703" t="s">
        <v>369</v>
      </c>
      <c r="I202" s="685" t="s">
        <v>2228</v>
      </c>
    </row>
    <row r="203" spans="1:9" s="680" customFormat="1" ht="24">
      <c r="A203" s="693"/>
      <c r="B203" s="654">
        <v>192</v>
      </c>
      <c r="C203" s="654" t="s">
        <v>2368</v>
      </c>
      <c r="D203" s="680" t="s">
        <v>2374</v>
      </c>
      <c r="E203" s="686" t="s">
        <v>438</v>
      </c>
      <c r="F203" s="687" t="s">
        <v>2268</v>
      </c>
      <c r="G203" s="689"/>
      <c r="H203" s="689"/>
      <c r="I203" s="688" t="s">
        <v>2235</v>
      </c>
    </row>
    <row r="204" spans="1:9" s="680" customFormat="1" ht="24">
      <c r="A204" s="693"/>
      <c r="B204" s="654">
        <v>193</v>
      </c>
      <c r="C204" s="654" t="s">
        <v>2368</v>
      </c>
      <c r="D204" s="680" t="s">
        <v>2374</v>
      </c>
      <c r="E204" s="686" t="s">
        <v>439</v>
      </c>
      <c r="F204" s="687" t="s">
        <v>2269</v>
      </c>
      <c r="G204" s="689"/>
      <c r="H204" s="689"/>
      <c r="I204" s="688" t="s">
        <v>2235</v>
      </c>
    </row>
    <row r="205" spans="1:9" s="680" customFormat="1">
      <c r="A205" s="693"/>
      <c r="B205" s="654">
        <v>194</v>
      </c>
      <c r="C205" s="654" t="s">
        <v>2368</v>
      </c>
      <c r="D205" s="680" t="s">
        <v>2374</v>
      </c>
      <c r="E205" s="686" t="s">
        <v>440</v>
      </c>
      <c r="F205" s="687" t="s">
        <v>2270</v>
      </c>
      <c r="G205" s="689"/>
      <c r="H205" s="689"/>
      <c r="I205" s="688" t="s">
        <v>2236</v>
      </c>
    </row>
    <row r="206" spans="1:9" s="680" customFormat="1">
      <c r="A206" s="693"/>
      <c r="B206" s="654">
        <v>195</v>
      </c>
      <c r="C206" s="654" t="s">
        <v>2368</v>
      </c>
      <c r="D206" s="680" t="s">
        <v>2374</v>
      </c>
      <c r="E206" s="686" t="s">
        <v>223</v>
      </c>
      <c r="F206" s="687" t="s">
        <v>2274</v>
      </c>
      <c r="G206" s="689"/>
      <c r="H206" s="689"/>
      <c r="I206" s="688"/>
    </row>
    <row r="207" spans="1:9" s="680" customFormat="1">
      <c r="A207" s="693"/>
      <c r="B207" s="654">
        <v>196</v>
      </c>
      <c r="C207" s="654" t="s">
        <v>2368</v>
      </c>
      <c r="D207" s="680" t="s">
        <v>2374</v>
      </c>
      <c r="E207" s="686" t="s">
        <v>381</v>
      </c>
      <c r="F207" s="687" t="s">
        <v>441</v>
      </c>
      <c r="G207" s="460">
        <f>G203-G204+G205</f>
        <v>0</v>
      </c>
      <c r="H207" s="460">
        <f>H203-H204+H205</f>
        <v>0</v>
      </c>
      <c r="I207" s="688"/>
    </row>
    <row r="208" spans="1:9" s="680" customFormat="1">
      <c r="A208" s="693"/>
      <c r="B208" s="654">
        <v>197</v>
      </c>
      <c r="C208" s="654" t="s">
        <v>2368</v>
      </c>
      <c r="D208" s="680" t="s">
        <v>2374</v>
      </c>
      <c r="E208" s="1730" t="s">
        <v>383</v>
      </c>
      <c r="F208" s="1731"/>
      <c r="G208" s="460">
        <f>审定现金流量表!C34</f>
        <v>0</v>
      </c>
      <c r="H208" s="460">
        <f>审定现金流量表!D34</f>
        <v>0</v>
      </c>
      <c r="I208" s="691"/>
    </row>
    <row r="209" spans="1:9" s="680" customFormat="1">
      <c r="A209" s="693"/>
      <c r="B209" s="654">
        <v>198</v>
      </c>
      <c r="C209" s="654" t="s">
        <v>2368</v>
      </c>
      <c r="D209" s="680" t="s">
        <v>2374</v>
      </c>
      <c r="E209" s="1730" t="s">
        <v>384</v>
      </c>
      <c r="F209" s="1731"/>
      <c r="G209" s="460">
        <f>G207-G208</f>
        <v>0</v>
      </c>
      <c r="H209" s="460">
        <f>H207-H208</f>
        <v>0</v>
      </c>
      <c r="I209" s="691"/>
    </row>
    <row r="210" spans="1:9" s="680" customFormat="1">
      <c r="A210" s="693"/>
      <c r="B210" s="654">
        <v>199</v>
      </c>
      <c r="C210" s="654" t="s">
        <v>2368</v>
      </c>
      <c r="D210" s="680" t="s">
        <v>2374</v>
      </c>
      <c r="E210" s="1730" t="s">
        <v>385</v>
      </c>
      <c r="F210" s="1731"/>
      <c r="G210" s="690"/>
      <c r="H210" s="690"/>
      <c r="I210" s="691"/>
    </row>
    <row r="211" spans="1:9" s="680" customFormat="1">
      <c r="A211" s="693"/>
      <c r="B211" s="654">
        <v>200</v>
      </c>
      <c r="C211" s="654" t="s">
        <v>2368</v>
      </c>
      <c r="D211" s="680" t="s">
        <v>2376</v>
      </c>
      <c r="E211" s="1732" t="s">
        <v>2377</v>
      </c>
      <c r="F211" s="1733"/>
      <c r="G211" s="1733"/>
      <c r="H211" s="1733"/>
      <c r="I211" s="1734"/>
    </row>
    <row r="212" spans="1:9" s="680" customFormat="1">
      <c r="A212" s="693"/>
      <c r="B212" s="654">
        <v>201</v>
      </c>
      <c r="C212" s="654" t="s">
        <v>2368</v>
      </c>
      <c r="D212" s="680" t="s">
        <v>2376</v>
      </c>
      <c r="E212" s="1737" t="s">
        <v>366</v>
      </c>
      <c r="F212" s="1738"/>
      <c r="G212" s="684" t="s">
        <v>368</v>
      </c>
      <c r="H212" s="703" t="s">
        <v>369</v>
      </c>
      <c r="I212" s="685" t="s">
        <v>2228</v>
      </c>
    </row>
    <row r="213" spans="1:9" s="680" customFormat="1">
      <c r="A213" s="693"/>
      <c r="B213" s="654">
        <v>202</v>
      </c>
      <c r="C213" s="654" t="s">
        <v>2368</v>
      </c>
      <c r="D213" s="680" t="s">
        <v>2376</v>
      </c>
      <c r="E213" s="686" t="s">
        <v>442</v>
      </c>
      <c r="F213" s="687" t="s">
        <v>2268</v>
      </c>
      <c r="G213" s="689"/>
      <c r="H213" s="689"/>
      <c r="I213" s="688"/>
    </row>
    <row r="214" spans="1:9" s="680" customFormat="1">
      <c r="A214" s="693"/>
      <c r="B214" s="654">
        <v>203</v>
      </c>
      <c r="C214" s="654" t="s">
        <v>2368</v>
      </c>
      <c r="D214" s="680" t="s">
        <v>2376</v>
      </c>
      <c r="E214" s="686" t="s">
        <v>443</v>
      </c>
      <c r="F214" s="687" t="s">
        <v>2269</v>
      </c>
      <c r="G214" s="689"/>
      <c r="H214" s="689"/>
      <c r="I214" s="688"/>
    </row>
    <row r="215" spans="1:9" s="680" customFormat="1">
      <c r="A215" s="693"/>
      <c r="B215" s="654">
        <v>204</v>
      </c>
      <c r="C215" s="654" t="s">
        <v>2368</v>
      </c>
      <c r="D215" s="680" t="s">
        <v>2376</v>
      </c>
      <c r="E215" s="686" t="s">
        <v>444</v>
      </c>
      <c r="F215" s="687" t="s">
        <v>2270</v>
      </c>
      <c r="G215" s="689"/>
      <c r="H215" s="689"/>
      <c r="I215" s="688"/>
    </row>
    <row r="216" spans="1:9" s="680" customFormat="1">
      <c r="A216" s="693"/>
      <c r="B216" s="654">
        <v>205</v>
      </c>
      <c r="C216" s="654" t="s">
        <v>2368</v>
      </c>
      <c r="D216" s="680" t="s">
        <v>2376</v>
      </c>
      <c r="E216" s="686" t="s">
        <v>381</v>
      </c>
      <c r="F216" s="687" t="s">
        <v>445</v>
      </c>
      <c r="G216" s="460">
        <f>G213-G214-G215</f>
        <v>0</v>
      </c>
      <c r="H216" s="460">
        <f>H213-H214-H215</f>
        <v>0</v>
      </c>
      <c r="I216" s="688"/>
    </row>
    <row r="217" spans="1:9" s="680" customFormat="1">
      <c r="A217" s="389" t="s">
        <v>2251</v>
      </c>
      <c r="B217" s="654">
        <v>206</v>
      </c>
      <c r="C217" s="654" t="s">
        <v>2368</v>
      </c>
      <c r="D217" s="680" t="s">
        <v>2376</v>
      </c>
      <c r="E217" s="1730" t="s">
        <v>383</v>
      </c>
      <c r="F217" s="1731"/>
      <c r="G217" s="460">
        <f>审定现金流量表!C35</f>
        <v>0</v>
      </c>
      <c r="H217" s="460">
        <f>审定现金流量表!D35</f>
        <v>0</v>
      </c>
      <c r="I217" s="688"/>
    </row>
    <row r="218" spans="1:9" s="680" customFormat="1">
      <c r="A218" s="391"/>
      <c r="B218" s="654">
        <v>207</v>
      </c>
      <c r="C218" s="654" t="s">
        <v>2368</v>
      </c>
      <c r="D218" s="680" t="s">
        <v>2376</v>
      </c>
      <c r="E218" s="1730" t="s">
        <v>384</v>
      </c>
      <c r="F218" s="1731"/>
      <c r="G218" s="465"/>
      <c r="H218" s="465"/>
      <c r="I218" s="688"/>
    </row>
    <row r="219" spans="1:9" s="680" customFormat="1">
      <c r="A219" s="693"/>
      <c r="B219" s="654">
        <v>208</v>
      </c>
      <c r="C219" s="654" t="s">
        <v>2368</v>
      </c>
      <c r="D219" s="680" t="s">
        <v>2376</v>
      </c>
      <c r="E219" s="1730" t="s">
        <v>385</v>
      </c>
      <c r="F219" s="1731"/>
      <c r="G219" s="689"/>
      <c r="H219" s="689"/>
      <c r="I219" s="688"/>
    </row>
    <row r="220" spans="1:9" s="680" customFormat="1">
      <c r="A220" s="693"/>
      <c r="B220" s="654">
        <v>209</v>
      </c>
      <c r="C220" s="654" t="s">
        <v>2368</v>
      </c>
      <c r="D220" s="680" t="s">
        <v>2378</v>
      </c>
      <c r="E220" s="1732" t="s">
        <v>2379</v>
      </c>
      <c r="F220" s="1733"/>
      <c r="G220" s="1733"/>
      <c r="H220" s="1733"/>
      <c r="I220" s="1734"/>
    </row>
    <row r="221" spans="1:9" s="680" customFormat="1">
      <c r="A221" s="693"/>
      <c r="B221" s="654">
        <v>210</v>
      </c>
      <c r="C221" s="654" t="s">
        <v>2368</v>
      </c>
      <c r="D221" s="680" t="s">
        <v>2378</v>
      </c>
      <c r="E221" s="1737" t="s">
        <v>366</v>
      </c>
      <c r="F221" s="1738"/>
      <c r="G221" s="684" t="s">
        <v>368</v>
      </c>
      <c r="H221" s="703" t="s">
        <v>369</v>
      </c>
      <c r="I221" s="685" t="s">
        <v>2228</v>
      </c>
    </row>
    <row r="222" spans="1:9" s="680" customFormat="1">
      <c r="A222" s="693"/>
      <c r="B222" s="654">
        <v>211</v>
      </c>
      <c r="C222" s="654" t="s">
        <v>2368</v>
      </c>
      <c r="D222" s="680" t="s">
        <v>2378</v>
      </c>
      <c r="E222" s="686" t="s">
        <v>446</v>
      </c>
      <c r="F222" s="687" t="s">
        <v>2268</v>
      </c>
      <c r="G222" s="689"/>
      <c r="H222" s="689"/>
      <c r="I222" s="688"/>
    </row>
    <row r="223" spans="1:9" s="680" customFormat="1">
      <c r="A223" s="693"/>
      <c r="B223" s="654">
        <v>212</v>
      </c>
      <c r="C223" s="654" t="s">
        <v>2368</v>
      </c>
      <c r="D223" s="680" t="s">
        <v>2378</v>
      </c>
      <c r="E223" s="686" t="s">
        <v>447</v>
      </c>
      <c r="F223" s="687" t="s">
        <v>2269</v>
      </c>
      <c r="G223" s="689"/>
      <c r="H223" s="689"/>
      <c r="I223" s="688"/>
    </row>
    <row r="224" spans="1:9" s="680" customFormat="1">
      <c r="A224" s="693"/>
      <c r="B224" s="654">
        <v>213</v>
      </c>
      <c r="C224" s="654" t="s">
        <v>2368</v>
      </c>
      <c r="D224" s="680" t="s">
        <v>2378</v>
      </c>
      <c r="E224" s="686" t="s">
        <v>391</v>
      </c>
      <c r="F224" s="687" t="s">
        <v>2270</v>
      </c>
      <c r="G224" s="689"/>
      <c r="H224" s="689"/>
      <c r="I224" s="688"/>
    </row>
    <row r="225" spans="1:9" s="680" customFormat="1">
      <c r="A225" s="693"/>
      <c r="B225" s="654">
        <v>214</v>
      </c>
      <c r="C225" s="654" t="s">
        <v>2368</v>
      </c>
      <c r="D225" s="680" t="s">
        <v>2378</v>
      </c>
      <c r="E225" s="686" t="s">
        <v>381</v>
      </c>
      <c r="F225" s="687" t="s">
        <v>437</v>
      </c>
      <c r="G225" s="460">
        <f>SUM(G222:G224)</f>
        <v>0</v>
      </c>
      <c r="H225" s="460">
        <f>SUM(H222:H224)</f>
        <v>0</v>
      </c>
      <c r="I225" s="688"/>
    </row>
    <row r="226" spans="1:9" s="680" customFormat="1">
      <c r="A226" s="693"/>
      <c r="B226" s="654">
        <v>215</v>
      </c>
      <c r="C226" s="654" t="s">
        <v>2368</v>
      </c>
      <c r="D226" s="680" t="s">
        <v>2378</v>
      </c>
      <c r="E226" s="1730" t="s">
        <v>383</v>
      </c>
      <c r="F226" s="1731"/>
      <c r="G226" s="460">
        <f>审定现金流量表!C36</f>
        <v>0</v>
      </c>
      <c r="H226" s="460">
        <f>审定现金流量表!D36</f>
        <v>0</v>
      </c>
      <c r="I226" s="688"/>
    </row>
    <row r="227" spans="1:9" s="680" customFormat="1">
      <c r="A227" s="693"/>
      <c r="B227" s="654">
        <v>216</v>
      </c>
      <c r="C227" s="654" t="s">
        <v>2368</v>
      </c>
      <c r="D227" s="680" t="s">
        <v>2378</v>
      </c>
      <c r="E227" s="1730" t="s">
        <v>384</v>
      </c>
      <c r="F227" s="1731"/>
      <c r="G227" s="460">
        <f>G225-G226</f>
        <v>0</v>
      </c>
      <c r="H227" s="460">
        <f>H225-H226</f>
        <v>0</v>
      </c>
      <c r="I227" s="688"/>
    </row>
    <row r="228" spans="1:9" s="680" customFormat="1" ht="13.5" thickBot="1">
      <c r="A228" s="389" t="s">
        <v>2251</v>
      </c>
      <c r="B228" s="654">
        <v>217</v>
      </c>
      <c r="C228" s="654" t="s">
        <v>2368</v>
      </c>
      <c r="D228" s="680" t="s">
        <v>2378</v>
      </c>
      <c r="E228" s="1735" t="s">
        <v>385</v>
      </c>
      <c r="F228" s="1736"/>
      <c r="G228" s="707"/>
      <c r="H228" s="707"/>
      <c r="I228" s="708"/>
    </row>
    <row r="229" spans="1:9" s="680" customFormat="1" ht="13.5" thickBot="1">
      <c r="A229" s="391"/>
      <c r="B229" s="654">
        <v>218</v>
      </c>
      <c r="C229" s="654" t="s">
        <v>2380</v>
      </c>
      <c r="E229" s="1749" t="s">
        <v>2381</v>
      </c>
      <c r="F229" s="1749"/>
      <c r="G229" s="1749"/>
      <c r="H229" s="1749"/>
      <c r="I229" s="1749"/>
    </row>
    <row r="230" spans="1:9" s="680" customFormat="1">
      <c r="A230" s="693"/>
      <c r="B230" s="654">
        <v>219</v>
      </c>
      <c r="C230" s="654" t="s">
        <v>2380</v>
      </c>
      <c r="D230" s="680" t="s">
        <v>2382</v>
      </c>
      <c r="E230" s="1727" t="s">
        <v>2383</v>
      </c>
      <c r="F230" s="1728"/>
      <c r="G230" s="1728"/>
      <c r="H230" s="1728"/>
      <c r="I230" s="1729"/>
    </row>
    <row r="231" spans="1:9" s="680" customFormat="1">
      <c r="A231" s="693"/>
      <c r="B231" s="654">
        <v>220</v>
      </c>
      <c r="C231" s="654" t="s">
        <v>2380</v>
      </c>
      <c r="D231" s="680" t="s">
        <v>2382</v>
      </c>
      <c r="E231" s="1747" t="s">
        <v>366</v>
      </c>
      <c r="F231" s="1748"/>
      <c r="G231" s="684" t="s">
        <v>368</v>
      </c>
      <c r="H231" s="703" t="s">
        <v>369</v>
      </c>
      <c r="I231" s="685" t="s">
        <v>2228</v>
      </c>
    </row>
    <row r="232" spans="1:9" s="680" customFormat="1" ht="24">
      <c r="A232" s="693"/>
      <c r="B232" s="654">
        <v>221</v>
      </c>
      <c r="C232" s="654" t="s">
        <v>2380</v>
      </c>
      <c r="D232" s="680" t="s">
        <v>2382</v>
      </c>
      <c r="E232" s="686" t="s">
        <v>448</v>
      </c>
      <c r="F232" s="687" t="s">
        <v>2268</v>
      </c>
      <c r="G232" s="689"/>
      <c r="H232" s="689"/>
      <c r="I232" s="688" t="s">
        <v>2237</v>
      </c>
    </row>
    <row r="233" spans="1:9" s="680" customFormat="1">
      <c r="A233" s="693"/>
      <c r="B233" s="654">
        <v>222</v>
      </c>
      <c r="C233" s="654" t="s">
        <v>2380</v>
      </c>
      <c r="D233" s="680" t="s">
        <v>2382</v>
      </c>
      <c r="E233" s="686" t="s">
        <v>449</v>
      </c>
      <c r="F233" s="687" t="s">
        <v>2269</v>
      </c>
      <c r="G233" s="689"/>
      <c r="H233" s="689"/>
      <c r="I233" s="688" t="s">
        <v>2238</v>
      </c>
    </row>
    <row r="234" spans="1:9" s="680" customFormat="1">
      <c r="A234" s="693"/>
      <c r="B234" s="654">
        <v>223</v>
      </c>
      <c r="C234" s="654" t="s">
        <v>2380</v>
      </c>
      <c r="D234" s="680" t="s">
        <v>2382</v>
      </c>
      <c r="E234" s="686" t="s">
        <v>2384</v>
      </c>
      <c r="F234" s="687" t="s">
        <v>2270</v>
      </c>
      <c r="G234" s="689"/>
      <c r="H234" s="689"/>
      <c r="I234" s="688" t="s">
        <v>1537</v>
      </c>
    </row>
    <row r="235" spans="1:9" s="680" customFormat="1">
      <c r="A235" s="693"/>
      <c r="B235" s="654">
        <v>224</v>
      </c>
      <c r="C235" s="654" t="s">
        <v>2380</v>
      </c>
      <c r="D235" s="680" t="s">
        <v>2382</v>
      </c>
      <c r="E235" s="686" t="s">
        <v>2385</v>
      </c>
      <c r="F235" s="687" t="s">
        <v>2274</v>
      </c>
      <c r="G235" s="689"/>
      <c r="H235" s="689"/>
      <c r="I235" s="688" t="s">
        <v>1514</v>
      </c>
    </row>
    <row r="236" spans="1:9" s="680" customFormat="1">
      <c r="A236" s="693"/>
      <c r="B236" s="654">
        <v>225</v>
      </c>
      <c r="C236" s="654" t="s">
        <v>2380</v>
      </c>
      <c r="D236" s="680" t="s">
        <v>2382</v>
      </c>
      <c r="E236" s="686" t="s">
        <v>2386</v>
      </c>
      <c r="F236" s="687" t="s">
        <v>2276</v>
      </c>
      <c r="G236" s="689"/>
      <c r="H236" s="689"/>
      <c r="I236" s="688" t="s">
        <v>450</v>
      </c>
    </row>
    <row r="237" spans="1:9" s="680" customFormat="1" ht="24">
      <c r="A237" s="693"/>
      <c r="B237" s="654">
        <v>226</v>
      </c>
      <c r="C237" s="654" t="s">
        <v>2380</v>
      </c>
      <c r="D237" s="680" t="s">
        <v>2382</v>
      </c>
      <c r="E237" s="686" t="s">
        <v>451</v>
      </c>
      <c r="F237" s="687" t="s">
        <v>2278</v>
      </c>
      <c r="G237" s="689"/>
      <c r="H237" s="689"/>
      <c r="I237" s="688" t="s">
        <v>2239</v>
      </c>
    </row>
    <row r="238" spans="1:9" s="680" customFormat="1" ht="24">
      <c r="A238" s="693"/>
      <c r="B238" s="654">
        <v>227</v>
      </c>
      <c r="C238" s="654" t="s">
        <v>2380</v>
      </c>
      <c r="D238" s="680" t="s">
        <v>2382</v>
      </c>
      <c r="E238" s="686" t="s">
        <v>452</v>
      </c>
      <c r="F238" s="687" t="s">
        <v>2279</v>
      </c>
      <c r="G238" s="689"/>
      <c r="H238" s="689"/>
      <c r="I238" s="688" t="s">
        <v>2240</v>
      </c>
    </row>
    <row r="239" spans="1:9" s="680" customFormat="1">
      <c r="A239" s="693"/>
      <c r="B239" s="654">
        <v>228</v>
      </c>
      <c r="C239" s="654" t="s">
        <v>2380</v>
      </c>
      <c r="D239" s="680" t="s">
        <v>2382</v>
      </c>
      <c r="E239" s="686" t="s">
        <v>2387</v>
      </c>
      <c r="F239" s="687" t="s">
        <v>2280</v>
      </c>
      <c r="G239" s="689"/>
      <c r="H239" s="689"/>
      <c r="I239" s="688" t="s">
        <v>2241</v>
      </c>
    </row>
    <row r="240" spans="1:9" s="680" customFormat="1">
      <c r="A240" s="693"/>
      <c r="B240" s="654">
        <v>229</v>
      </c>
      <c r="C240" s="654" t="s">
        <v>2380</v>
      </c>
      <c r="D240" s="680" t="s">
        <v>2382</v>
      </c>
      <c r="E240" s="686" t="s">
        <v>453</v>
      </c>
      <c r="F240" s="687" t="s">
        <v>2281</v>
      </c>
      <c r="G240" s="689"/>
      <c r="H240" s="689"/>
      <c r="I240" s="688"/>
    </row>
    <row r="241" spans="1:9" s="680" customFormat="1">
      <c r="A241" s="693"/>
      <c r="B241" s="654">
        <v>230</v>
      </c>
      <c r="C241" s="654" t="s">
        <v>2380</v>
      </c>
      <c r="D241" s="680" t="s">
        <v>2382</v>
      </c>
      <c r="E241" s="686" t="s">
        <v>381</v>
      </c>
      <c r="F241" s="687" t="s">
        <v>2388</v>
      </c>
      <c r="G241" s="460">
        <f>SUM(G232:G236)-SUM(G237:G240)</f>
        <v>0</v>
      </c>
      <c r="H241" s="460">
        <f>SUM(H232:H236)-SUM(H237:H240)</f>
        <v>0</v>
      </c>
      <c r="I241" s="688"/>
    </row>
    <row r="242" spans="1:9" s="680" customFormat="1">
      <c r="A242" s="693"/>
      <c r="B242" s="654">
        <v>231</v>
      </c>
      <c r="C242" s="654" t="s">
        <v>2380</v>
      </c>
      <c r="D242" s="680" t="s">
        <v>2382</v>
      </c>
      <c r="E242" s="1730" t="s">
        <v>383</v>
      </c>
      <c r="F242" s="1731"/>
      <c r="G242" s="460">
        <f>审定现金流量表!C38</f>
        <v>0</v>
      </c>
      <c r="H242" s="460">
        <f>审定现金流量表!D38</f>
        <v>721377.37</v>
      </c>
      <c r="I242" s="688"/>
    </row>
    <row r="243" spans="1:9" s="680" customFormat="1">
      <c r="A243" s="389" t="s">
        <v>2251</v>
      </c>
      <c r="B243" s="654">
        <v>232</v>
      </c>
      <c r="C243" s="654" t="s">
        <v>2380</v>
      </c>
      <c r="D243" s="680" t="s">
        <v>2382</v>
      </c>
      <c r="E243" s="1730" t="s">
        <v>384</v>
      </c>
      <c r="F243" s="1731"/>
      <c r="G243" s="460">
        <f>G241-G242</f>
        <v>0</v>
      </c>
      <c r="H243" s="460">
        <f>H241-H242</f>
        <v>-721377.37</v>
      </c>
      <c r="I243" s="688"/>
    </row>
    <row r="244" spans="1:9" s="680" customFormat="1">
      <c r="A244" s="391"/>
      <c r="B244" s="654">
        <v>233</v>
      </c>
      <c r="C244" s="654" t="s">
        <v>2380</v>
      </c>
      <c r="D244" s="680" t="s">
        <v>2382</v>
      </c>
      <c r="E244" s="1730" t="s">
        <v>385</v>
      </c>
      <c r="F244" s="1731"/>
      <c r="G244" s="690"/>
      <c r="H244" s="690"/>
      <c r="I244" s="688"/>
    </row>
    <row r="245" spans="1:9" s="680" customFormat="1">
      <c r="A245" s="693"/>
      <c r="B245" s="654">
        <v>234</v>
      </c>
      <c r="C245" s="654" t="s">
        <v>2380</v>
      </c>
      <c r="D245" s="680" t="s">
        <v>2389</v>
      </c>
      <c r="E245" s="1739" t="s">
        <v>2390</v>
      </c>
      <c r="F245" s="1740"/>
      <c r="G245" s="1740"/>
      <c r="H245" s="1740"/>
      <c r="I245" s="1741"/>
    </row>
    <row r="246" spans="1:9" s="680" customFormat="1">
      <c r="A246" s="693"/>
      <c r="B246" s="654">
        <v>235</v>
      </c>
      <c r="C246" s="654" t="s">
        <v>2380</v>
      </c>
      <c r="D246" s="680" t="s">
        <v>2389</v>
      </c>
      <c r="E246" s="1747" t="s">
        <v>366</v>
      </c>
      <c r="F246" s="1748"/>
      <c r="G246" s="684" t="s">
        <v>368</v>
      </c>
      <c r="H246" s="703" t="s">
        <v>369</v>
      </c>
      <c r="I246" s="685" t="s">
        <v>2228</v>
      </c>
    </row>
    <row r="247" spans="1:9" s="680" customFormat="1" ht="24">
      <c r="A247" s="693"/>
      <c r="B247" s="654">
        <v>236</v>
      </c>
      <c r="C247" s="654" t="s">
        <v>2380</v>
      </c>
      <c r="D247" s="680" t="s">
        <v>2389</v>
      </c>
      <c r="E247" s="686" t="s">
        <v>454</v>
      </c>
      <c r="F247" s="687" t="s">
        <v>2268</v>
      </c>
      <c r="G247" s="689"/>
      <c r="H247" s="689"/>
      <c r="I247" s="688" t="s">
        <v>2242</v>
      </c>
    </row>
    <row r="248" spans="1:9" s="680" customFormat="1" ht="36.75">
      <c r="A248" s="693"/>
      <c r="B248" s="654">
        <v>237</v>
      </c>
      <c r="C248" s="654" t="s">
        <v>2380</v>
      </c>
      <c r="D248" s="680" t="s">
        <v>2389</v>
      </c>
      <c r="E248" s="686" t="s">
        <v>2391</v>
      </c>
      <c r="F248" s="687" t="s">
        <v>2269</v>
      </c>
      <c r="G248" s="689"/>
      <c r="H248" s="689"/>
      <c r="I248" s="688" t="s">
        <v>2392</v>
      </c>
    </row>
    <row r="249" spans="1:9" s="680" customFormat="1">
      <c r="A249" s="693"/>
      <c r="B249" s="654">
        <v>238</v>
      </c>
      <c r="C249" s="654" t="s">
        <v>2380</v>
      </c>
      <c r="D249" s="680" t="s">
        <v>2389</v>
      </c>
      <c r="E249" s="709" t="s">
        <v>455</v>
      </c>
      <c r="F249" s="687" t="s">
        <v>2270</v>
      </c>
      <c r="G249" s="689"/>
      <c r="H249" s="689"/>
      <c r="I249" s="688" t="s">
        <v>2393</v>
      </c>
    </row>
    <row r="250" spans="1:9" s="680" customFormat="1">
      <c r="A250" s="693"/>
      <c r="B250" s="654">
        <v>239</v>
      </c>
      <c r="C250" s="654" t="s">
        <v>2380</v>
      </c>
      <c r="D250" s="680" t="s">
        <v>2389</v>
      </c>
      <c r="E250" s="686" t="s">
        <v>456</v>
      </c>
      <c r="F250" s="687" t="s">
        <v>2394</v>
      </c>
      <c r="G250" s="689"/>
      <c r="H250" s="689"/>
      <c r="I250" s="688" t="s">
        <v>1524</v>
      </c>
    </row>
    <row r="251" spans="1:9" s="680" customFormat="1">
      <c r="A251" s="693"/>
      <c r="B251" s="654">
        <v>240</v>
      </c>
      <c r="C251" s="654" t="s">
        <v>2380</v>
      </c>
      <c r="D251" s="680" t="s">
        <v>2389</v>
      </c>
      <c r="E251" s="686"/>
      <c r="F251" s="701"/>
      <c r="G251" s="689"/>
      <c r="H251" s="689"/>
      <c r="I251" s="688"/>
    </row>
    <row r="252" spans="1:9" s="680" customFormat="1">
      <c r="A252" s="693"/>
      <c r="B252" s="654">
        <v>241</v>
      </c>
      <c r="C252" s="654" t="s">
        <v>2380</v>
      </c>
      <c r="D252" s="680" t="s">
        <v>2389</v>
      </c>
      <c r="E252" s="686"/>
      <c r="F252" s="701"/>
      <c r="G252" s="689"/>
      <c r="H252" s="689"/>
      <c r="I252" s="688"/>
    </row>
    <row r="253" spans="1:9" s="680" customFormat="1">
      <c r="A253" s="693"/>
      <c r="B253" s="654">
        <v>242</v>
      </c>
      <c r="C253" s="654" t="s">
        <v>2380</v>
      </c>
      <c r="D253" s="680" t="s">
        <v>2389</v>
      </c>
      <c r="E253" s="686" t="s">
        <v>381</v>
      </c>
      <c r="F253" s="687" t="s">
        <v>437</v>
      </c>
      <c r="G253" s="460">
        <f>SUM(G247:G250)</f>
        <v>0</v>
      </c>
      <c r="H253" s="460">
        <f>SUM(H247:H250)</f>
        <v>0</v>
      </c>
      <c r="I253" s="688"/>
    </row>
    <row r="254" spans="1:9" s="680" customFormat="1">
      <c r="A254" s="693"/>
      <c r="B254" s="654">
        <v>243</v>
      </c>
      <c r="C254" s="654" t="s">
        <v>2380</v>
      </c>
      <c r="D254" s="680" t="s">
        <v>2389</v>
      </c>
      <c r="E254" s="1730" t="s">
        <v>383</v>
      </c>
      <c r="F254" s="1731"/>
      <c r="G254" s="460">
        <f>审定现金流量表!C39</f>
        <v>30000</v>
      </c>
      <c r="H254" s="460">
        <f>审定现金流量表!D39</f>
        <v>330000</v>
      </c>
      <c r="I254" s="688"/>
    </row>
    <row r="255" spans="1:9" s="680" customFormat="1">
      <c r="A255" s="693"/>
      <c r="B255" s="654">
        <v>244</v>
      </c>
      <c r="C255" s="654" t="s">
        <v>2380</v>
      </c>
      <c r="D255" s="680" t="s">
        <v>2389</v>
      </c>
      <c r="E255" s="1730" t="s">
        <v>384</v>
      </c>
      <c r="F255" s="1731"/>
      <c r="G255" s="460">
        <f>G253-G254</f>
        <v>-30000</v>
      </c>
      <c r="H255" s="460">
        <f>H253-H254</f>
        <v>-330000</v>
      </c>
      <c r="I255" s="688"/>
    </row>
    <row r="256" spans="1:9" s="680" customFormat="1">
      <c r="A256" s="389" t="s">
        <v>2251</v>
      </c>
      <c r="B256" s="654">
        <v>245</v>
      </c>
      <c r="C256" s="654" t="s">
        <v>2380</v>
      </c>
      <c r="D256" s="680" t="s">
        <v>2389</v>
      </c>
      <c r="E256" s="1730" t="s">
        <v>385</v>
      </c>
      <c r="F256" s="1731"/>
      <c r="G256" s="690"/>
      <c r="H256" s="690"/>
      <c r="I256" s="688"/>
    </row>
    <row r="257" spans="1:9" s="680" customFormat="1">
      <c r="A257" s="391"/>
      <c r="B257" s="654">
        <v>246</v>
      </c>
      <c r="C257" s="654" t="s">
        <v>2380</v>
      </c>
      <c r="D257" s="680" t="s">
        <v>2395</v>
      </c>
      <c r="E257" s="1739" t="s">
        <v>2396</v>
      </c>
      <c r="F257" s="1740"/>
      <c r="G257" s="1740"/>
      <c r="H257" s="1740"/>
      <c r="I257" s="1741"/>
    </row>
    <row r="258" spans="1:9" s="680" customFormat="1">
      <c r="A258" s="693"/>
      <c r="B258" s="654">
        <v>247</v>
      </c>
      <c r="C258" s="654" t="s">
        <v>2380</v>
      </c>
      <c r="D258" s="680" t="s">
        <v>2395</v>
      </c>
      <c r="E258" s="1747" t="s">
        <v>366</v>
      </c>
      <c r="F258" s="1748"/>
      <c r="G258" s="684" t="s">
        <v>368</v>
      </c>
      <c r="H258" s="703" t="s">
        <v>369</v>
      </c>
      <c r="I258" s="685" t="s">
        <v>2228</v>
      </c>
    </row>
    <row r="259" spans="1:9" s="680" customFormat="1">
      <c r="A259" s="693"/>
      <c r="B259" s="654">
        <v>248</v>
      </c>
      <c r="C259" s="654" t="s">
        <v>2380</v>
      </c>
      <c r="D259" s="680" t="s">
        <v>2395</v>
      </c>
      <c r="E259" s="686" t="s">
        <v>457</v>
      </c>
      <c r="F259" s="687" t="s">
        <v>2268</v>
      </c>
      <c r="G259" s="689"/>
      <c r="H259" s="689"/>
      <c r="I259" s="688"/>
    </row>
    <row r="260" spans="1:9" s="680" customFormat="1">
      <c r="A260" s="693"/>
      <c r="B260" s="654">
        <v>249</v>
      </c>
      <c r="C260" s="654" t="s">
        <v>2380</v>
      </c>
      <c r="D260" s="680" t="s">
        <v>2395</v>
      </c>
      <c r="E260" s="686" t="s">
        <v>444</v>
      </c>
      <c r="F260" s="687" t="s">
        <v>2269</v>
      </c>
      <c r="G260" s="689"/>
      <c r="H260" s="689"/>
      <c r="I260" s="688"/>
    </row>
    <row r="261" spans="1:9" s="680" customFormat="1">
      <c r="A261" s="693"/>
      <c r="B261" s="654">
        <v>250</v>
      </c>
      <c r="C261" s="654" t="s">
        <v>2380</v>
      </c>
      <c r="D261" s="680" t="s">
        <v>2395</v>
      </c>
      <c r="E261" s="686" t="s">
        <v>381</v>
      </c>
      <c r="F261" s="687" t="s">
        <v>458</v>
      </c>
      <c r="G261" s="460">
        <f>G259-G260</f>
        <v>0</v>
      </c>
      <c r="H261" s="460">
        <f>H259-H260</f>
        <v>0</v>
      </c>
      <c r="I261" s="688"/>
    </row>
    <row r="262" spans="1:9" s="680" customFormat="1">
      <c r="A262" s="693"/>
      <c r="B262" s="654">
        <v>251</v>
      </c>
      <c r="C262" s="654" t="s">
        <v>2380</v>
      </c>
      <c r="D262" s="680" t="s">
        <v>2395</v>
      </c>
      <c r="E262" s="1730" t="s">
        <v>383</v>
      </c>
      <c r="F262" s="1731"/>
      <c r="G262" s="460">
        <f>审定现金流量表!C41</f>
        <v>0</v>
      </c>
      <c r="H262" s="460">
        <f>审定现金流量表!D41</f>
        <v>0</v>
      </c>
      <c r="I262" s="688"/>
    </row>
    <row r="263" spans="1:9" s="680" customFormat="1">
      <c r="A263" s="693"/>
      <c r="B263" s="654">
        <v>252</v>
      </c>
      <c r="C263" s="654" t="s">
        <v>2380</v>
      </c>
      <c r="D263" s="680" t="s">
        <v>2395</v>
      </c>
      <c r="E263" s="1730" t="s">
        <v>384</v>
      </c>
      <c r="F263" s="1731"/>
      <c r="G263" s="460">
        <f>G261-G262</f>
        <v>0</v>
      </c>
      <c r="H263" s="460">
        <f>H261-H262</f>
        <v>0</v>
      </c>
      <c r="I263" s="688"/>
    </row>
    <row r="264" spans="1:9" s="680" customFormat="1">
      <c r="A264" s="693"/>
      <c r="B264" s="654">
        <v>253</v>
      </c>
      <c r="C264" s="654" t="s">
        <v>2380</v>
      </c>
      <c r="D264" s="680" t="s">
        <v>2395</v>
      </c>
      <c r="E264" s="1730" t="s">
        <v>385</v>
      </c>
      <c r="F264" s="1731"/>
      <c r="G264" s="690"/>
      <c r="H264" s="690"/>
      <c r="I264" s="688"/>
    </row>
    <row r="265" spans="1:9" s="680" customFormat="1">
      <c r="A265" s="693"/>
      <c r="B265" s="654">
        <v>254</v>
      </c>
      <c r="C265" s="654" t="s">
        <v>2380</v>
      </c>
      <c r="D265" s="680" t="s">
        <v>2397</v>
      </c>
      <c r="E265" s="1739" t="s">
        <v>2398</v>
      </c>
      <c r="F265" s="1740"/>
      <c r="G265" s="1740"/>
      <c r="H265" s="1740"/>
      <c r="I265" s="1741"/>
    </row>
    <row r="266" spans="1:9" s="680" customFormat="1">
      <c r="A266" s="693"/>
      <c r="B266" s="654">
        <v>255</v>
      </c>
      <c r="C266" s="654" t="s">
        <v>2380</v>
      </c>
      <c r="D266" s="680" t="s">
        <v>2397</v>
      </c>
      <c r="E266" s="1747" t="s">
        <v>366</v>
      </c>
      <c r="F266" s="1748"/>
      <c r="G266" s="684" t="s">
        <v>368</v>
      </c>
      <c r="H266" s="703" t="s">
        <v>369</v>
      </c>
      <c r="I266" s="685" t="s">
        <v>2228</v>
      </c>
    </row>
    <row r="267" spans="1:9" s="680" customFormat="1">
      <c r="A267" s="389" t="s">
        <v>2251</v>
      </c>
      <c r="B267" s="654">
        <v>256</v>
      </c>
      <c r="C267" s="654" t="s">
        <v>2380</v>
      </c>
      <c r="D267" s="680" t="s">
        <v>2397</v>
      </c>
      <c r="E267" s="686" t="s">
        <v>459</v>
      </c>
      <c r="F267" s="687" t="s">
        <v>2268</v>
      </c>
      <c r="G267" s="689"/>
      <c r="H267" s="689"/>
      <c r="I267" s="688"/>
    </row>
    <row r="268" spans="1:9" s="680" customFormat="1">
      <c r="A268" s="391"/>
      <c r="B268" s="654">
        <v>257</v>
      </c>
      <c r="C268" s="654" t="s">
        <v>2380</v>
      </c>
      <c r="D268" s="680" t="s">
        <v>2397</v>
      </c>
      <c r="E268" s="686" t="s">
        <v>460</v>
      </c>
      <c r="F268" s="687" t="s">
        <v>2269</v>
      </c>
      <c r="G268" s="689"/>
      <c r="H268" s="689"/>
      <c r="I268" s="688"/>
    </row>
    <row r="269" spans="1:9" s="680" customFormat="1">
      <c r="A269" s="693"/>
      <c r="B269" s="654">
        <v>258</v>
      </c>
      <c r="C269" s="654" t="s">
        <v>2380</v>
      </c>
      <c r="D269" s="680" t="s">
        <v>2397</v>
      </c>
      <c r="E269" s="686" t="s">
        <v>461</v>
      </c>
      <c r="F269" s="687" t="s">
        <v>2270</v>
      </c>
      <c r="G269" s="689"/>
      <c r="H269" s="689"/>
      <c r="I269" s="688"/>
    </row>
    <row r="270" spans="1:9" s="680" customFormat="1">
      <c r="A270" s="693"/>
      <c r="B270" s="654">
        <v>259</v>
      </c>
      <c r="C270" s="654" t="s">
        <v>2380</v>
      </c>
      <c r="D270" s="680" t="s">
        <v>2397</v>
      </c>
      <c r="E270" s="686"/>
      <c r="F270" s="701"/>
      <c r="G270" s="689"/>
      <c r="H270" s="689"/>
      <c r="I270" s="688"/>
    </row>
    <row r="271" spans="1:9" s="680" customFormat="1">
      <c r="A271" s="693"/>
      <c r="B271" s="654">
        <v>260</v>
      </c>
      <c r="C271" s="654" t="s">
        <v>2380</v>
      </c>
      <c r="D271" s="680" t="s">
        <v>2397</v>
      </c>
      <c r="E271" s="686" t="s">
        <v>381</v>
      </c>
      <c r="F271" s="687" t="s">
        <v>437</v>
      </c>
      <c r="G271" s="460">
        <f>SUM(G267:G269)</f>
        <v>0</v>
      </c>
      <c r="H271" s="460">
        <f>SUM(H267:H269)</f>
        <v>0</v>
      </c>
      <c r="I271" s="688"/>
    </row>
    <row r="272" spans="1:9" s="680" customFormat="1">
      <c r="A272" s="693"/>
      <c r="B272" s="654">
        <v>261</v>
      </c>
      <c r="C272" s="654" t="s">
        <v>2380</v>
      </c>
      <c r="D272" s="680" t="s">
        <v>2397</v>
      </c>
      <c r="E272" s="1730" t="s">
        <v>383</v>
      </c>
      <c r="F272" s="1731"/>
      <c r="G272" s="460">
        <f>审定现金流量表!C42</f>
        <v>0</v>
      </c>
      <c r="H272" s="460">
        <f>审定现金流量表!D42</f>
        <v>0</v>
      </c>
      <c r="I272" s="688"/>
    </row>
    <row r="273" spans="1:9" s="680" customFormat="1">
      <c r="A273" s="693"/>
      <c r="B273" s="654">
        <v>262</v>
      </c>
      <c r="C273" s="654" t="s">
        <v>2380</v>
      </c>
      <c r="D273" s="680" t="s">
        <v>2397</v>
      </c>
      <c r="E273" s="1730" t="s">
        <v>384</v>
      </c>
      <c r="F273" s="1731"/>
      <c r="G273" s="460">
        <f>G271-G272</f>
        <v>0</v>
      </c>
      <c r="H273" s="460">
        <f>H271-H272</f>
        <v>0</v>
      </c>
      <c r="I273" s="688"/>
    </row>
    <row r="274" spans="1:9" s="680" customFormat="1">
      <c r="A274" s="693"/>
      <c r="B274" s="654">
        <v>263</v>
      </c>
      <c r="C274" s="654" t="s">
        <v>2380</v>
      </c>
      <c r="D274" s="680" t="s">
        <v>2397</v>
      </c>
      <c r="E274" s="1730" t="s">
        <v>385</v>
      </c>
      <c r="F274" s="1731"/>
      <c r="G274" s="690"/>
      <c r="H274" s="690"/>
      <c r="I274" s="688"/>
    </row>
    <row r="275" spans="1:9" s="680" customFormat="1">
      <c r="A275" s="693"/>
      <c r="B275" s="654">
        <v>264</v>
      </c>
      <c r="C275" s="654" t="s">
        <v>2399</v>
      </c>
      <c r="E275" s="1739" t="s">
        <v>2400</v>
      </c>
      <c r="F275" s="1740"/>
      <c r="G275" s="1740"/>
      <c r="H275" s="1740"/>
      <c r="I275" s="1741"/>
    </row>
    <row r="276" spans="1:9" s="680" customFormat="1">
      <c r="A276" s="389" t="s">
        <v>2251</v>
      </c>
      <c r="B276" s="654">
        <v>265</v>
      </c>
      <c r="C276" s="654" t="s">
        <v>2399</v>
      </c>
      <c r="D276" s="680" t="s">
        <v>2401</v>
      </c>
      <c r="E276" s="1732" t="s">
        <v>2402</v>
      </c>
      <c r="F276" s="1733"/>
      <c r="G276" s="1733"/>
      <c r="H276" s="1733"/>
      <c r="I276" s="1734"/>
    </row>
    <row r="277" spans="1:9" s="680" customFormat="1">
      <c r="A277" s="391"/>
      <c r="B277" s="654">
        <v>266</v>
      </c>
      <c r="C277" s="654" t="s">
        <v>2399</v>
      </c>
      <c r="D277" s="680" t="s">
        <v>2401</v>
      </c>
      <c r="E277" s="1737" t="s">
        <v>366</v>
      </c>
      <c r="F277" s="1738"/>
      <c r="G277" s="684" t="s">
        <v>368</v>
      </c>
      <c r="H277" s="684" t="s">
        <v>369</v>
      </c>
      <c r="I277" s="685" t="s">
        <v>2228</v>
      </c>
    </row>
    <row r="278" spans="1:9" s="680" customFormat="1">
      <c r="A278" s="693"/>
      <c r="B278" s="654">
        <v>267</v>
      </c>
      <c r="C278" s="654" t="s">
        <v>2399</v>
      </c>
      <c r="D278" s="680" t="s">
        <v>2401</v>
      </c>
      <c r="E278" s="699" t="s">
        <v>462</v>
      </c>
      <c r="F278" s="687" t="s">
        <v>2268</v>
      </c>
      <c r="G278" s="689"/>
      <c r="H278" s="710"/>
      <c r="I278" s="688" t="s">
        <v>2243</v>
      </c>
    </row>
    <row r="279" spans="1:9" s="680" customFormat="1">
      <c r="A279" s="693"/>
      <c r="B279" s="654">
        <v>268</v>
      </c>
      <c r="C279" s="654" t="s">
        <v>2399</v>
      </c>
      <c r="D279" s="680" t="s">
        <v>2401</v>
      </c>
      <c r="E279" s="699" t="s">
        <v>463</v>
      </c>
      <c r="F279" s="687" t="s">
        <v>2269</v>
      </c>
      <c r="G279" s="689"/>
      <c r="H279" s="710"/>
      <c r="I279" s="688" t="s">
        <v>1546</v>
      </c>
    </row>
    <row r="280" spans="1:9" s="680" customFormat="1">
      <c r="A280" s="693"/>
      <c r="B280" s="654">
        <v>269</v>
      </c>
      <c r="C280" s="654" t="s">
        <v>2399</v>
      </c>
      <c r="D280" s="680" t="s">
        <v>2401</v>
      </c>
      <c r="E280" s="699" t="s">
        <v>2403</v>
      </c>
      <c r="F280" s="687" t="s">
        <v>2404</v>
      </c>
      <c r="G280" s="689"/>
      <c r="H280" s="710"/>
      <c r="I280" s="688" t="s">
        <v>2243</v>
      </c>
    </row>
    <row r="281" spans="1:9" s="680" customFormat="1">
      <c r="A281" s="693"/>
      <c r="B281" s="654">
        <v>270</v>
      </c>
      <c r="C281" s="654" t="s">
        <v>2399</v>
      </c>
      <c r="D281" s="680" t="s">
        <v>2401</v>
      </c>
      <c r="E281" s="699"/>
      <c r="F281" s="711"/>
      <c r="G281" s="689"/>
      <c r="H281" s="710"/>
      <c r="I281" s="688"/>
    </row>
    <row r="282" spans="1:9" s="680" customFormat="1">
      <c r="A282" s="693"/>
      <c r="B282" s="654">
        <v>271</v>
      </c>
      <c r="C282" s="654" t="s">
        <v>2399</v>
      </c>
      <c r="D282" s="680" t="s">
        <v>2401</v>
      </c>
      <c r="E282" s="686" t="s">
        <v>381</v>
      </c>
      <c r="F282" s="687" t="s">
        <v>492</v>
      </c>
      <c r="G282" s="460">
        <f>G278+G279+G280</f>
        <v>0</v>
      </c>
      <c r="H282" s="460">
        <f>H278+H279+H280</f>
        <v>0</v>
      </c>
      <c r="I282" s="688"/>
    </row>
    <row r="283" spans="1:9" s="680" customFormat="1">
      <c r="A283" s="693"/>
      <c r="B283" s="654">
        <v>272</v>
      </c>
      <c r="C283" s="654" t="s">
        <v>2399</v>
      </c>
      <c r="D283" s="680" t="s">
        <v>2401</v>
      </c>
      <c r="E283" s="1730" t="s">
        <v>383</v>
      </c>
      <c r="F283" s="1731"/>
      <c r="G283" s="460">
        <f>审定现金流量表!C46</f>
        <v>0</v>
      </c>
      <c r="H283" s="460">
        <f>审定现金流量表!D46</f>
        <v>0</v>
      </c>
      <c r="I283" s="688"/>
    </row>
    <row r="284" spans="1:9" s="680" customFormat="1">
      <c r="A284" s="693"/>
      <c r="B284" s="654">
        <v>273</v>
      </c>
      <c r="C284" s="654" t="s">
        <v>2399</v>
      </c>
      <c r="D284" s="680" t="s">
        <v>2401</v>
      </c>
      <c r="E284" s="1730" t="s">
        <v>384</v>
      </c>
      <c r="F284" s="1731"/>
      <c r="G284" s="460">
        <f>G282-G283</f>
        <v>0</v>
      </c>
      <c r="H284" s="460">
        <f>H282-H283</f>
        <v>0</v>
      </c>
      <c r="I284" s="688"/>
    </row>
    <row r="285" spans="1:9" s="680" customFormat="1">
      <c r="A285" s="389" t="s">
        <v>2251</v>
      </c>
      <c r="B285" s="654">
        <v>274</v>
      </c>
      <c r="C285" s="654" t="s">
        <v>2399</v>
      </c>
      <c r="D285" s="680" t="s">
        <v>2401</v>
      </c>
      <c r="E285" s="1730" t="s">
        <v>385</v>
      </c>
      <c r="F285" s="1731"/>
      <c r="G285" s="690"/>
      <c r="H285" s="690"/>
      <c r="I285" s="688"/>
    </row>
    <row r="286" spans="1:9" s="680" customFormat="1">
      <c r="A286" s="391"/>
      <c r="B286" s="654">
        <v>275</v>
      </c>
      <c r="C286" s="654" t="s">
        <v>2399</v>
      </c>
      <c r="D286" s="680" t="s">
        <v>2405</v>
      </c>
      <c r="E286" s="1739" t="s">
        <v>2406</v>
      </c>
      <c r="F286" s="1740"/>
      <c r="G286" s="1740"/>
      <c r="H286" s="1740"/>
      <c r="I286" s="1741"/>
    </row>
    <row r="287" spans="1:9" s="680" customFormat="1">
      <c r="A287" s="693"/>
      <c r="B287" s="654">
        <v>276</v>
      </c>
      <c r="C287" s="654" t="s">
        <v>2399</v>
      </c>
      <c r="D287" s="680" t="s">
        <v>2405</v>
      </c>
      <c r="E287" s="1747" t="s">
        <v>366</v>
      </c>
      <c r="F287" s="1748"/>
      <c r="G287" s="684" t="s">
        <v>368</v>
      </c>
      <c r="H287" s="703" t="s">
        <v>369</v>
      </c>
      <c r="I287" s="685" t="s">
        <v>2228</v>
      </c>
    </row>
    <row r="288" spans="1:9" s="680" customFormat="1">
      <c r="A288" s="693"/>
      <c r="B288" s="654">
        <v>277</v>
      </c>
      <c r="C288" s="654" t="s">
        <v>2399</v>
      </c>
      <c r="D288" s="680" t="s">
        <v>2405</v>
      </c>
      <c r="E288" s="712" t="s">
        <v>465</v>
      </c>
      <c r="F288" s="689" t="s">
        <v>2268</v>
      </c>
      <c r="G288" s="689"/>
      <c r="H288" s="710"/>
      <c r="I288" s="713" t="s">
        <v>2407</v>
      </c>
    </row>
    <row r="289" spans="1:9" s="680" customFormat="1">
      <c r="A289" s="693"/>
      <c r="B289" s="654">
        <v>278</v>
      </c>
      <c r="C289" s="654" t="s">
        <v>2399</v>
      </c>
      <c r="D289" s="680" t="s">
        <v>2405</v>
      </c>
      <c r="E289" s="712" t="s">
        <v>466</v>
      </c>
      <c r="F289" s="689" t="s">
        <v>2269</v>
      </c>
      <c r="G289" s="689"/>
      <c r="H289" s="710"/>
      <c r="I289" s="713" t="s">
        <v>2408</v>
      </c>
    </row>
    <row r="290" spans="1:9" s="680" customFormat="1">
      <c r="A290" s="693"/>
      <c r="B290" s="654">
        <v>279</v>
      </c>
      <c r="C290" s="654" t="s">
        <v>2399</v>
      </c>
      <c r="D290" s="680" t="s">
        <v>2405</v>
      </c>
      <c r="E290" s="712"/>
      <c r="F290" s="689"/>
      <c r="G290" s="689"/>
      <c r="H290" s="710"/>
      <c r="I290" s="713"/>
    </row>
    <row r="291" spans="1:9" s="680" customFormat="1">
      <c r="A291" s="693"/>
      <c r="B291" s="654">
        <v>280</v>
      </c>
      <c r="C291" s="654" t="s">
        <v>2399</v>
      </c>
      <c r="D291" s="680" t="s">
        <v>2405</v>
      </c>
      <c r="E291" s="714" t="s">
        <v>381</v>
      </c>
      <c r="F291" s="689" t="s">
        <v>464</v>
      </c>
      <c r="G291" s="460">
        <f>G288+G289</f>
        <v>0</v>
      </c>
      <c r="H291" s="460">
        <f>H288+H289</f>
        <v>0</v>
      </c>
      <c r="I291" s="713"/>
    </row>
    <row r="292" spans="1:9" s="680" customFormat="1">
      <c r="A292" s="693"/>
      <c r="B292" s="654">
        <v>281</v>
      </c>
      <c r="C292" s="654" t="s">
        <v>2399</v>
      </c>
      <c r="D292" s="680" t="s">
        <v>2405</v>
      </c>
      <c r="E292" s="1750" t="s">
        <v>383</v>
      </c>
      <c r="F292" s="1751"/>
      <c r="G292" s="460">
        <f>审定现金流量表!C48</f>
        <v>0</v>
      </c>
      <c r="H292" s="460">
        <f>审定现金流量表!D48</f>
        <v>0</v>
      </c>
      <c r="I292" s="713"/>
    </row>
    <row r="293" spans="1:9" s="680" customFormat="1">
      <c r="A293" s="693"/>
      <c r="B293" s="654">
        <v>282</v>
      </c>
      <c r="C293" s="654" t="s">
        <v>2399</v>
      </c>
      <c r="D293" s="680" t="s">
        <v>2405</v>
      </c>
      <c r="E293" s="1750" t="s">
        <v>384</v>
      </c>
      <c r="F293" s="1751"/>
      <c r="G293" s="460">
        <f>G291-G292</f>
        <v>0</v>
      </c>
      <c r="H293" s="460">
        <f>H291-H292</f>
        <v>0</v>
      </c>
      <c r="I293" s="713"/>
    </row>
    <row r="294" spans="1:9" s="680" customFormat="1">
      <c r="A294" s="693"/>
      <c r="B294" s="654">
        <v>283</v>
      </c>
      <c r="C294" s="654" t="s">
        <v>2399</v>
      </c>
      <c r="D294" s="680" t="s">
        <v>2405</v>
      </c>
      <c r="E294" s="1750" t="s">
        <v>385</v>
      </c>
      <c r="F294" s="1751"/>
      <c r="G294" s="690"/>
      <c r="H294" s="690"/>
      <c r="I294" s="713"/>
    </row>
    <row r="295" spans="1:9" s="680" customFormat="1">
      <c r="A295" s="693"/>
      <c r="B295" s="654">
        <v>284</v>
      </c>
      <c r="C295" s="654" t="s">
        <v>2399</v>
      </c>
      <c r="D295" s="680" t="s">
        <v>2409</v>
      </c>
      <c r="E295" s="1755" t="s">
        <v>2410</v>
      </c>
      <c r="F295" s="1756"/>
      <c r="G295" s="1756"/>
      <c r="H295" s="1756"/>
      <c r="I295" s="1757"/>
    </row>
    <row r="296" spans="1:9" s="680" customFormat="1">
      <c r="A296" s="693"/>
      <c r="B296" s="654">
        <v>285</v>
      </c>
      <c r="C296" s="654" t="s">
        <v>2399</v>
      </c>
      <c r="D296" s="680" t="s">
        <v>2409</v>
      </c>
      <c r="E296" s="1758" t="s">
        <v>366</v>
      </c>
      <c r="F296" s="1759"/>
      <c r="G296" s="715" t="s">
        <v>368</v>
      </c>
      <c r="H296" s="716" t="s">
        <v>369</v>
      </c>
      <c r="I296" s="717" t="s">
        <v>2228</v>
      </c>
    </row>
    <row r="297" spans="1:9" s="680" customFormat="1">
      <c r="A297" s="693"/>
      <c r="B297" s="654">
        <v>286</v>
      </c>
      <c r="C297" s="654" t="s">
        <v>2399</v>
      </c>
      <c r="D297" s="680" t="s">
        <v>2409</v>
      </c>
      <c r="E297" s="714" t="s">
        <v>467</v>
      </c>
      <c r="F297" s="689" t="s">
        <v>2268</v>
      </c>
      <c r="G297" s="689"/>
      <c r="H297" s="689"/>
      <c r="I297" s="713"/>
    </row>
    <row r="298" spans="1:9" s="680" customFormat="1">
      <c r="A298" s="693"/>
      <c r="B298" s="654">
        <v>287</v>
      </c>
      <c r="C298" s="654" t="s">
        <v>2399</v>
      </c>
      <c r="D298" s="680" t="s">
        <v>2409</v>
      </c>
      <c r="E298" s="714" t="s">
        <v>468</v>
      </c>
      <c r="F298" s="689" t="s">
        <v>2269</v>
      </c>
      <c r="G298" s="689"/>
      <c r="H298" s="689"/>
      <c r="I298" s="713"/>
    </row>
    <row r="299" spans="1:9" s="680" customFormat="1">
      <c r="A299" s="389" t="s">
        <v>2251</v>
      </c>
      <c r="B299" s="654">
        <v>288</v>
      </c>
      <c r="C299" s="654" t="s">
        <v>2399</v>
      </c>
      <c r="D299" s="680" t="s">
        <v>2409</v>
      </c>
      <c r="E299" s="714" t="s">
        <v>381</v>
      </c>
      <c r="F299" s="689" t="s">
        <v>464</v>
      </c>
      <c r="G299" s="460">
        <f>G297+G298</f>
        <v>0</v>
      </c>
      <c r="H299" s="460">
        <f>H297+H298</f>
        <v>0</v>
      </c>
      <c r="I299" s="713"/>
    </row>
    <row r="300" spans="1:9" s="680" customFormat="1">
      <c r="A300" s="391"/>
      <c r="B300" s="654">
        <v>289</v>
      </c>
      <c r="C300" s="654" t="s">
        <v>2399</v>
      </c>
      <c r="D300" s="680" t="s">
        <v>2409</v>
      </c>
      <c r="E300" s="1750" t="s">
        <v>383</v>
      </c>
      <c r="F300" s="1751"/>
      <c r="G300" s="460">
        <f>审定现金流量表!C50</f>
        <v>0</v>
      </c>
      <c r="H300" s="460">
        <f>审定现金流量表!D50</f>
        <v>0</v>
      </c>
      <c r="I300" s="713"/>
    </row>
    <row r="301" spans="1:9" s="680" customFormat="1">
      <c r="A301" s="693"/>
      <c r="B301" s="654">
        <v>290</v>
      </c>
      <c r="C301" s="654" t="s">
        <v>2399</v>
      </c>
      <c r="D301" s="680" t="s">
        <v>2409</v>
      </c>
      <c r="E301" s="1750" t="s">
        <v>384</v>
      </c>
      <c r="F301" s="1751"/>
      <c r="G301" s="460">
        <f>G299-G300</f>
        <v>0</v>
      </c>
      <c r="H301" s="460">
        <f>H299-H300</f>
        <v>0</v>
      </c>
      <c r="I301" s="713"/>
    </row>
    <row r="302" spans="1:9" s="680" customFormat="1">
      <c r="A302" s="693"/>
      <c r="B302" s="654">
        <v>291</v>
      </c>
      <c r="C302" s="654" t="s">
        <v>2399</v>
      </c>
      <c r="D302" s="680" t="s">
        <v>2409</v>
      </c>
      <c r="E302" s="1750" t="s">
        <v>385</v>
      </c>
      <c r="F302" s="1751"/>
      <c r="G302" s="690"/>
      <c r="H302" s="690"/>
      <c r="I302" s="713"/>
    </row>
    <row r="303" spans="1:9" s="680" customFormat="1">
      <c r="A303" s="693"/>
      <c r="B303" s="654">
        <v>292</v>
      </c>
      <c r="C303" s="654" t="s">
        <v>2411</v>
      </c>
      <c r="E303" s="1752" t="s">
        <v>2412</v>
      </c>
      <c r="F303" s="1753"/>
      <c r="G303" s="1753"/>
      <c r="H303" s="1753"/>
      <c r="I303" s="1754"/>
    </row>
    <row r="304" spans="1:9" s="680" customFormat="1">
      <c r="A304" s="693"/>
      <c r="B304" s="654">
        <v>293</v>
      </c>
      <c r="C304" s="654" t="s">
        <v>2411</v>
      </c>
      <c r="D304" s="680" t="s">
        <v>2413</v>
      </c>
      <c r="E304" s="1732" t="s">
        <v>2414</v>
      </c>
      <c r="F304" s="1733"/>
      <c r="G304" s="1733"/>
      <c r="H304" s="1733"/>
      <c r="I304" s="1734"/>
    </row>
    <row r="305" spans="1:9" s="680" customFormat="1">
      <c r="A305" s="693"/>
      <c r="B305" s="654">
        <v>294</v>
      </c>
      <c r="C305" s="654" t="s">
        <v>2411</v>
      </c>
      <c r="D305" s="680" t="s">
        <v>2413</v>
      </c>
      <c r="E305" s="1737" t="s">
        <v>366</v>
      </c>
      <c r="F305" s="1738"/>
      <c r="G305" s="684" t="s">
        <v>368</v>
      </c>
      <c r="H305" s="703" t="s">
        <v>369</v>
      </c>
      <c r="I305" s="685" t="s">
        <v>2228</v>
      </c>
    </row>
    <row r="306" spans="1:9" s="680" customFormat="1">
      <c r="A306" s="693"/>
      <c r="B306" s="654">
        <v>295</v>
      </c>
      <c r="C306" s="654" t="s">
        <v>2411</v>
      </c>
      <c r="D306" s="680" t="s">
        <v>2413</v>
      </c>
      <c r="E306" s="718" t="s">
        <v>469</v>
      </c>
      <c r="F306" s="719" t="s">
        <v>2268</v>
      </c>
      <c r="G306" s="689"/>
      <c r="H306" s="689"/>
      <c r="I306" s="720" t="s">
        <v>2244</v>
      </c>
    </row>
    <row r="307" spans="1:9" s="680" customFormat="1">
      <c r="A307" s="693"/>
      <c r="B307" s="654">
        <v>296</v>
      </c>
      <c r="C307" s="654" t="s">
        <v>2411</v>
      </c>
      <c r="D307" s="680" t="s">
        <v>2413</v>
      </c>
      <c r="E307" s="718" t="s">
        <v>470</v>
      </c>
      <c r="F307" s="719" t="s">
        <v>2269</v>
      </c>
      <c r="G307" s="689"/>
      <c r="H307" s="689"/>
      <c r="I307" s="720" t="s">
        <v>1545</v>
      </c>
    </row>
    <row r="308" spans="1:9" s="680" customFormat="1">
      <c r="A308" s="693"/>
      <c r="B308" s="654">
        <v>297</v>
      </c>
      <c r="C308" s="654" t="s">
        <v>2411</v>
      </c>
      <c r="D308" s="680" t="s">
        <v>2413</v>
      </c>
      <c r="E308" s="718" t="s">
        <v>471</v>
      </c>
      <c r="F308" s="719" t="s">
        <v>2270</v>
      </c>
      <c r="G308" s="689"/>
      <c r="H308" s="689"/>
      <c r="I308" s="720" t="s">
        <v>1546</v>
      </c>
    </row>
    <row r="309" spans="1:9" s="680" customFormat="1">
      <c r="A309" s="693"/>
      <c r="B309" s="654">
        <v>298</v>
      </c>
      <c r="C309" s="654" t="s">
        <v>2411</v>
      </c>
      <c r="D309" s="680" t="s">
        <v>2413</v>
      </c>
      <c r="E309" s="718"/>
      <c r="F309" s="719"/>
      <c r="G309" s="689"/>
      <c r="H309" s="689"/>
      <c r="I309" s="720"/>
    </row>
    <row r="310" spans="1:9" s="680" customFormat="1">
      <c r="A310" s="693"/>
      <c r="B310" s="654">
        <v>299</v>
      </c>
      <c r="C310" s="654" t="s">
        <v>2411</v>
      </c>
      <c r="D310" s="680" t="s">
        <v>2413</v>
      </c>
      <c r="E310" s="718" t="s">
        <v>381</v>
      </c>
      <c r="F310" s="719" t="s">
        <v>437</v>
      </c>
      <c r="G310" s="460">
        <f>SUM(G306:G308)</f>
        <v>0</v>
      </c>
      <c r="H310" s="460">
        <f>SUM(H306:H308)</f>
        <v>0</v>
      </c>
      <c r="I310" s="720"/>
    </row>
    <row r="311" spans="1:9" s="680" customFormat="1">
      <c r="A311" s="693"/>
      <c r="B311" s="654">
        <v>300</v>
      </c>
      <c r="C311" s="654" t="s">
        <v>2411</v>
      </c>
      <c r="D311" s="680" t="s">
        <v>2413</v>
      </c>
      <c r="E311" s="1760" t="s">
        <v>383</v>
      </c>
      <c r="F311" s="1761"/>
      <c r="G311" s="460">
        <f>审定现金流量表!C52</f>
        <v>0</v>
      </c>
      <c r="H311" s="460">
        <f>审定现金流量表!D52</f>
        <v>0</v>
      </c>
      <c r="I311" s="720"/>
    </row>
    <row r="312" spans="1:9" s="680" customFormat="1">
      <c r="A312" s="693"/>
      <c r="B312" s="654">
        <v>301</v>
      </c>
      <c r="C312" s="654" t="s">
        <v>2411</v>
      </c>
      <c r="D312" s="680" t="s">
        <v>2413</v>
      </c>
      <c r="E312" s="1760" t="s">
        <v>384</v>
      </c>
      <c r="F312" s="1761"/>
      <c r="G312" s="460">
        <f>G310-G311</f>
        <v>0</v>
      </c>
      <c r="H312" s="460">
        <f>H310-H311</f>
        <v>0</v>
      </c>
      <c r="I312" s="720"/>
    </row>
    <row r="313" spans="1:9" s="680" customFormat="1">
      <c r="A313" s="693"/>
      <c r="B313" s="654">
        <v>302</v>
      </c>
      <c r="C313" s="654" t="s">
        <v>2411</v>
      </c>
      <c r="D313" s="680" t="s">
        <v>2413</v>
      </c>
      <c r="E313" s="1760" t="s">
        <v>385</v>
      </c>
      <c r="F313" s="1761"/>
      <c r="G313" s="721"/>
      <c r="H313" s="721"/>
      <c r="I313" s="720"/>
    </row>
    <row r="314" spans="1:9" s="680" customFormat="1">
      <c r="A314" s="389" t="s">
        <v>2251</v>
      </c>
      <c r="B314" s="654">
        <v>303</v>
      </c>
      <c r="C314" s="654" t="s">
        <v>2411</v>
      </c>
      <c r="D314" s="680" t="s">
        <v>2415</v>
      </c>
      <c r="E314" s="1762" t="s">
        <v>2416</v>
      </c>
      <c r="F314" s="1763"/>
      <c r="G314" s="1763"/>
      <c r="H314" s="1763"/>
      <c r="I314" s="1764"/>
    </row>
    <row r="315" spans="1:9" s="680" customFormat="1">
      <c r="A315" s="391"/>
      <c r="B315" s="654">
        <v>304</v>
      </c>
      <c r="C315" s="654" t="s">
        <v>2411</v>
      </c>
      <c r="D315" s="680" t="s">
        <v>2415</v>
      </c>
      <c r="E315" s="1765" t="s">
        <v>366</v>
      </c>
      <c r="F315" s="1766"/>
      <c r="G315" s="722" t="s">
        <v>368</v>
      </c>
      <c r="H315" s="723" t="s">
        <v>369</v>
      </c>
      <c r="I315" s="724" t="s">
        <v>2228</v>
      </c>
    </row>
    <row r="316" spans="1:9" s="680" customFormat="1">
      <c r="A316" s="693"/>
      <c r="B316" s="654">
        <v>305</v>
      </c>
      <c r="C316" s="654" t="s">
        <v>2411</v>
      </c>
      <c r="D316" s="680" t="s">
        <v>2415</v>
      </c>
      <c r="E316" s="718" t="s">
        <v>472</v>
      </c>
      <c r="F316" s="719" t="s">
        <v>2268</v>
      </c>
      <c r="G316" s="719"/>
      <c r="H316" s="719"/>
      <c r="I316" s="720" t="s">
        <v>2245</v>
      </c>
    </row>
    <row r="317" spans="1:9" s="680" customFormat="1">
      <c r="A317" s="693"/>
      <c r="B317" s="654">
        <v>306</v>
      </c>
      <c r="C317" s="654" t="s">
        <v>2411</v>
      </c>
      <c r="D317" s="680" t="s">
        <v>2415</v>
      </c>
      <c r="E317" s="718" t="s">
        <v>473</v>
      </c>
      <c r="F317" s="719" t="s">
        <v>2269</v>
      </c>
      <c r="G317" s="689"/>
      <c r="H317" s="689"/>
      <c r="I317" s="720" t="s">
        <v>2246</v>
      </c>
    </row>
    <row r="318" spans="1:9" s="680" customFormat="1" ht="24">
      <c r="A318" s="693"/>
      <c r="B318" s="654">
        <v>307</v>
      </c>
      <c r="C318" s="654" t="s">
        <v>2411</v>
      </c>
      <c r="D318" s="680" t="s">
        <v>2415</v>
      </c>
      <c r="E318" s="718" t="s">
        <v>474</v>
      </c>
      <c r="F318" s="719" t="s">
        <v>2270</v>
      </c>
      <c r="G318" s="689"/>
      <c r="H318" s="689"/>
      <c r="I318" s="720" t="s">
        <v>2247</v>
      </c>
    </row>
    <row r="319" spans="1:9" s="680" customFormat="1" ht="24">
      <c r="A319" s="693"/>
      <c r="B319" s="654">
        <v>308</v>
      </c>
      <c r="C319" s="654" t="s">
        <v>2411</v>
      </c>
      <c r="D319" s="680" t="s">
        <v>2415</v>
      </c>
      <c r="E319" s="718" t="s">
        <v>475</v>
      </c>
      <c r="F319" s="719" t="s">
        <v>2274</v>
      </c>
      <c r="G319" s="689"/>
      <c r="H319" s="689"/>
      <c r="I319" s="720" t="s">
        <v>2248</v>
      </c>
    </row>
    <row r="320" spans="1:9" s="680" customFormat="1">
      <c r="A320" s="693"/>
      <c r="B320" s="654">
        <v>309</v>
      </c>
      <c r="C320" s="654" t="s">
        <v>2411</v>
      </c>
      <c r="D320" s="680" t="s">
        <v>2415</v>
      </c>
      <c r="E320" s="718"/>
      <c r="F320" s="719"/>
      <c r="G320" s="689"/>
      <c r="H320" s="689"/>
      <c r="I320" s="720"/>
    </row>
    <row r="321" spans="1:9" s="680" customFormat="1">
      <c r="A321" s="693"/>
      <c r="B321" s="654">
        <v>310</v>
      </c>
      <c r="C321" s="654" t="s">
        <v>2411</v>
      </c>
      <c r="D321" s="680" t="s">
        <v>2415</v>
      </c>
      <c r="E321" s="718"/>
      <c r="F321" s="719"/>
      <c r="G321" s="689"/>
      <c r="H321" s="689"/>
      <c r="I321" s="720"/>
    </row>
    <row r="322" spans="1:9" s="680" customFormat="1">
      <c r="A322" s="693"/>
      <c r="B322" s="654">
        <v>311</v>
      </c>
      <c r="C322" s="654" t="s">
        <v>2411</v>
      </c>
      <c r="D322" s="680" t="s">
        <v>2415</v>
      </c>
      <c r="E322" s="718" t="s">
        <v>381</v>
      </c>
      <c r="F322" s="719" t="s">
        <v>476</v>
      </c>
      <c r="G322" s="460">
        <f>SUM(G316:G319)</f>
        <v>0</v>
      </c>
      <c r="H322" s="460">
        <f>SUM(H316:H319)</f>
        <v>0</v>
      </c>
      <c r="I322" s="720"/>
    </row>
    <row r="323" spans="1:9" s="680" customFormat="1">
      <c r="A323" s="693"/>
      <c r="B323" s="654">
        <v>312</v>
      </c>
      <c r="C323" s="654" t="s">
        <v>2411</v>
      </c>
      <c r="D323" s="680" t="s">
        <v>2415</v>
      </c>
      <c r="E323" s="1760" t="s">
        <v>383</v>
      </c>
      <c r="F323" s="1761"/>
      <c r="G323" s="460">
        <f>审定现金流量表!C53</f>
        <v>0</v>
      </c>
      <c r="H323" s="460">
        <f>审定现金流量表!D53</f>
        <v>14900000</v>
      </c>
      <c r="I323" s="720"/>
    </row>
    <row r="324" spans="1:9" s="680" customFormat="1">
      <c r="A324" s="693"/>
      <c r="B324" s="654">
        <v>313</v>
      </c>
      <c r="C324" s="654" t="s">
        <v>2411</v>
      </c>
      <c r="D324" s="680" t="s">
        <v>2415</v>
      </c>
      <c r="E324" s="1760" t="s">
        <v>384</v>
      </c>
      <c r="F324" s="1761"/>
      <c r="G324" s="460">
        <f>G322-G323</f>
        <v>0</v>
      </c>
      <c r="H324" s="460">
        <f>H322-H323</f>
        <v>-14900000</v>
      </c>
      <c r="I324" s="720"/>
    </row>
    <row r="325" spans="1:9" s="680" customFormat="1">
      <c r="A325" s="389" t="s">
        <v>2251</v>
      </c>
      <c r="B325" s="654">
        <v>314</v>
      </c>
      <c r="C325" s="654" t="s">
        <v>2411</v>
      </c>
      <c r="D325" s="680" t="s">
        <v>2415</v>
      </c>
      <c r="E325" s="1760" t="s">
        <v>385</v>
      </c>
      <c r="F325" s="1761"/>
      <c r="G325" s="690"/>
      <c r="H325" s="690"/>
      <c r="I325" s="720"/>
    </row>
    <row r="326" spans="1:9" s="680" customFormat="1">
      <c r="A326" s="391"/>
      <c r="B326" s="654">
        <v>315</v>
      </c>
      <c r="C326" s="654" t="s">
        <v>2411</v>
      </c>
      <c r="D326" s="680" t="s">
        <v>2417</v>
      </c>
      <c r="E326" s="1762" t="s">
        <v>2418</v>
      </c>
      <c r="F326" s="1763"/>
      <c r="G326" s="1763"/>
      <c r="H326" s="1763"/>
      <c r="I326" s="1764"/>
    </row>
    <row r="327" spans="1:9" s="680" customFormat="1">
      <c r="A327" s="693"/>
      <c r="B327" s="654">
        <v>316</v>
      </c>
      <c r="C327" s="654" t="s">
        <v>2411</v>
      </c>
      <c r="D327" s="680" t="s">
        <v>2417</v>
      </c>
      <c r="E327" s="1765" t="s">
        <v>366</v>
      </c>
      <c r="F327" s="1766"/>
      <c r="G327" s="722" t="s">
        <v>368</v>
      </c>
      <c r="H327" s="723" t="s">
        <v>369</v>
      </c>
      <c r="I327" s="724" t="s">
        <v>2228</v>
      </c>
    </row>
    <row r="328" spans="1:9" s="680" customFormat="1">
      <c r="A328" s="693"/>
      <c r="B328" s="654">
        <v>317</v>
      </c>
      <c r="C328" s="654" t="s">
        <v>2411</v>
      </c>
      <c r="D328" s="680" t="s">
        <v>2417</v>
      </c>
      <c r="E328" s="718" t="s">
        <v>477</v>
      </c>
      <c r="F328" s="719" t="s">
        <v>2268</v>
      </c>
      <c r="G328" s="689"/>
      <c r="H328" s="689"/>
      <c r="I328" s="720" t="s">
        <v>1548</v>
      </c>
    </row>
    <row r="329" spans="1:9" s="680" customFormat="1">
      <c r="A329" s="693"/>
      <c r="B329" s="654">
        <v>318</v>
      </c>
      <c r="C329" s="654" t="s">
        <v>2411</v>
      </c>
      <c r="D329" s="680" t="s">
        <v>2417</v>
      </c>
      <c r="E329" s="718" t="s">
        <v>478</v>
      </c>
      <c r="F329" s="719" t="s">
        <v>2269</v>
      </c>
      <c r="G329" s="689"/>
      <c r="H329" s="689"/>
      <c r="I329" s="720" t="s">
        <v>2249</v>
      </c>
    </row>
    <row r="330" spans="1:9" s="680" customFormat="1">
      <c r="A330" s="693"/>
      <c r="B330" s="654">
        <v>319</v>
      </c>
      <c r="C330" s="654" t="s">
        <v>2411</v>
      </c>
      <c r="D330" s="680" t="s">
        <v>2417</v>
      </c>
      <c r="E330" s="718" t="s">
        <v>479</v>
      </c>
      <c r="F330" s="719" t="s">
        <v>2270</v>
      </c>
      <c r="G330" s="689"/>
      <c r="H330" s="689"/>
      <c r="I330" s="720"/>
    </row>
    <row r="331" spans="1:9" s="680" customFormat="1">
      <c r="A331" s="693"/>
      <c r="B331" s="654">
        <v>320</v>
      </c>
      <c r="C331" s="654" t="s">
        <v>2411</v>
      </c>
      <c r="D331" s="680" t="s">
        <v>2417</v>
      </c>
      <c r="E331" s="718" t="s">
        <v>480</v>
      </c>
      <c r="F331" s="719" t="s">
        <v>2274</v>
      </c>
      <c r="G331" s="689"/>
      <c r="H331" s="689"/>
      <c r="I331" s="720"/>
    </row>
    <row r="332" spans="1:9" s="680" customFormat="1">
      <c r="A332" s="693"/>
      <c r="B332" s="654">
        <v>321</v>
      </c>
      <c r="C332" s="654" t="s">
        <v>2411</v>
      </c>
      <c r="D332" s="680" t="s">
        <v>2417</v>
      </c>
      <c r="E332" s="718" t="s">
        <v>381</v>
      </c>
      <c r="F332" s="719" t="s">
        <v>2419</v>
      </c>
      <c r="G332" s="460">
        <f>SUM(G328:G331)</f>
        <v>0</v>
      </c>
      <c r="H332" s="460">
        <f>SUM(H328:H331)</f>
        <v>0</v>
      </c>
      <c r="I332" s="720"/>
    </row>
    <row r="333" spans="1:9" s="680" customFormat="1">
      <c r="A333" s="693"/>
      <c r="B333" s="654">
        <v>322</v>
      </c>
      <c r="C333" s="654" t="s">
        <v>2411</v>
      </c>
      <c r="D333" s="680" t="s">
        <v>2417</v>
      </c>
      <c r="E333" s="1760" t="s">
        <v>383</v>
      </c>
      <c r="F333" s="1761"/>
      <c r="G333" s="460">
        <f>审定现金流量表!C55</f>
        <v>0</v>
      </c>
      <c r="H333" s="460">
        <f>审定现金流量表!D55</f>
        <v>0</v>
      </c>
      <c r="I333" s="720"/>
    </row>
    <row r="334" spans="1:9" s="680" customFormat="1">
      <c r="A334" s="693"/>
      <c r="B334" s="654">
        <v>323</v>
      </c>
      <c r="C334" s="654" t="s">
        <v>2411</v>
      </c>
      <c r="D334" s="680" t="s">
        <v>2417</v>
      </c>
      <c r="E334" s="1760" t="s">
        <v>384</v>
      </c>
      <c r="F334" s="1761"/>
      <c r="G334" s="460">
        <f>G332-G333</f>
        <v>0</v>
      </c>
      <c r="H334" s="460">
        <f>H332-H333</f>
        <v>0</v>
      </c>
      <c r="I334" s="720"/>
    </row>
    <row r="335" spans="1:9" s="680" customFormat="1">
      <c r="A335" s="693"/>
      <c r="B335" s="654">
        <v>324</v>
      </c>
      <c r="C335" s="654" t="s">
        <v>2411</v>
      </c>
      <c r="D335" s="680" t="s">
        <v>2417</v>
      </c>
      <c r="E335" s="1760" t="s">
        <v>385</v>
      </c>
      <c r="F335" s="1761"/>
      <c r="G335" s="690"/>
      <c r="H335" s="690"/>
      <c r="I335" s="720"/>
    </row>
    <row r="336" spans="1:9" s="680" customFormat="1">
      <c r="A336" s="693"/>
      <c r="B336" s="654">
        <v>325</v>
      </c>
      <c r="C336" s="654" t="s">
        <v>2420</v>
      </c>
      <c r="E336" s="1767" t="s">
        <v>2421</v>
      </c>
      <c r="F336" s="1768"/>
      <c r="G336" s="1768"/>
      <c r="H336" s="1768"/>
      <c r="I336" s="1769"/>
    </row>
    <row r="337" spans="1:9" s="680" customFormat="1">
      <c r="A337" s="693"/>
      <c r="B337" s="654">
        <v>326</v>
      </c>
      <c r="C337" s="654" t="s">
        <v>2420</v>
      </c>
      <c r="D337" s="680" t="s">
        <v>498</v>
      </c>
      <c r="E337" s="1767" t="s">
        <v>2422</v>
      </c>
      <c r="F337" s="1768"/>
      <c r="G337" s="1768"/>
      <c r="H337" s="1768"/>
      <c r="I337" s="1769"/>
    </row>
    <row r="338" spans="1:9" s="680" customFormat="1">
      <c r="A338" s="389" t="s">
        <v>2251</v>
      </c>
      <c r="B338" s="654">
        <v>327</v>
      </c>
      <c r="C338" s="654" t="s">
        <v>2420</v>
      </c>
      <c r="D338" s="680" t="s">
        <v>498</v>
      </c>
      <c r="E338" s="1765" t="s">
        <v>366</v>
      </c>
      <c r="F338" s="1766"/>
      <c r="G338" s="722" t="s">
        <v>368</v>
      </c>
      <c r="H338" s="723" t="s">
        <v>369</v>
      </c>
      <c r="I338" s="724" t="s">
        <v>2228</v>
      </c>
    </row>
    <row r="339" spans="1:9" s="680" customFormat="1">
      <c r="A339" s="391"/>
      <c r="B339" s="654">
        <v>328</v>
      </c>
      <c r="C339" s="654" t="s">
        <v>2420</v>
      </c>
      <c r="D339" s="680" t="s">
        <v>498</v>
      </c>
      <c r="E339" s="718" t="s">
        <v>481</v>
      </c>
      <c r="F339" s="719" t="s">
        <v>2268</v>
      </c>
      <c r="G339" s="690"/>
      <c r="H339" s="690"/>
      <c r="I339" s="725"/>
    </row>
    <row r="340" spans="1:9" s="680" customFormat="1">
      <c r="A340" s="693"/>
      <c r="B340" s="654">
        <v>329</v>
      </c>
      <c r="C340" s="654" t="s">
        <v>2420</v>
      </c>
      <c r="D340" s="680" t="s">
        <v>498</v>
      </c>
      <c r="E340" s="718" t="s">
        <v>482</v>
      </c>
      <c r="F340" s="719" t="s">
        <v>2269</v>
      </c>
      <c r="G340" s="690"/>
      <c r="H340" s="690"/>
      <c r="I340" s="725"/>
    </row>
    <row r="341" spans="1:9" s="680" customFormat="1">
      <c r="A341" s="693"/>
      <c r="B341" s="654">
        <v>330</v>
      </c>
      <c r="C341" s="654" t="s">
        <v>2420</v>
      </c>
      <c r="D341" s="680" t="s">
        <v>498</v>
      </c>
      <c r="E341" s="718" t="s">
        <v>480</v>
      </c>
      <c r="F341" s="719" t="s">
        <v>2270</v>
      </c>
      <c r="G341" s="690"/>
      <c r="H341" s="690"/>
      <c r="I341" s="725"/>
    </row>
    <row r="342" spans="1:9" s="680" customFormat="1">
      <c r="A342" s="693"/>
      <c r="B342" s="654">
        <v>331</v>
      </c>
      <c r="C342" s="654" t="s">
        <v>2420</v>
      </c>
      <c r="D342" s="680" t="s">
        <v>498</v>
      </c>
      <c r="E342" s="718" t="s">
        <v>483</v>
      </c>
      <c r="F342" s="719" t="s">
        <v>2274</v>
      </c>
      <c r="G342" s="690"/>
      <c r="H342" s="690"/>
      <c r="I342" s="725"/>
    </row>
    <row r="343" spans="1:9" s="680" customFormat="1">
      <c r="A343" s="693"/>
      <c r="B343" s="654">
        <v>332</v>
      </c>
      <c r="C343" s="654" t="s">
        <v>2420</v>
      </c>
      <c r="D343" s="680" t="s">
        <v>498</v>
      </c>
      <c r="E343" s="718"/>
      <c r="F343" s="719"/>
      <c r="G343" s="690"/>
      <c r="H343" s="690"/>
      <c r="I343" s="725"/>
    </row>
    <row r="344" spans="1:9" s="680" customFormat="1">
      <c r="A344" s="693"/>
      <c r="B344" s="654">
        <v>333</v>
      </c>
      <c r="C344" s="654" t="s">
        <v>2420</v>
      </c>
      <c r="D344" s="680" t="s">
        <v>498</v>
      </c>
      <c r="E344" s="718" t="s">
        <v>381</v>
      </c>
      <c r="F344" s="719" t="s">
        <v>476</v>
      </c>
      <c r="G344" s="460">
        <f>SUM(G339:G342)</f>
        <v>0</v>
      </c>
      <c r="H344" s="460">
        <f>SUM(H339:H342)</f>
        <v>0</v>
      </c>
      <c r="I344" s="725"/>
    </row>
    <row r="345" spans="1:9" s="680" customFormat="1">
      <c r="A345" s="693"/>
      <c r="B345" s="654">
        <v>334</v>
      </c>
      <c r="C345" s="654" t="s">
        <v>2420</v>
      </c>
      <c r="D345" s="680" t="s">
        <v>498</v>
      </c>
      <c r="E345" s="1760" t="s">
        <v>383</v>
      </c>
      <c r="F345" s="1761"/>
      <c r="G345" s="460">
        <f>现金流量表补充资料!D13</f>
        <v>0</v>
      </c>
      <c r="H345" s="460">
        <f>现金流量表补充资料!E13</f>
        <v>0</v>
      </c>
      <c r="I345" s="725"/>
    </row>
    <row r="346" spans="1:9" s="680" customFormat="1">
      <c r="A346" s="693"/>
      <c r="B346" s="654">
        <v>335</v>
      </c>
      <c r="C346" s="654" t="s">
        <v>2420</v>
      </c>
      <c r="D346" s="680" t="s">
        <v>498</v>
      </c>
      <c r="E346" s="1760" t="s">
        <v>384</v>
      </c>
      <c r="F346" s="1761"/>
      <c r="G346" s="460">
        <f>G344-G345</f>
        <v>0</v>
      </c>
      <c r="H346" s="460">
        <f>H344-H345</f>
        <v>0</v>
      </c>
      <c r="I346" s="725"/>
    </row>
    <row r="347" spans="1:9" s="680" customFormat="1">
      <c r="A347" s="693"/>
      <c r="B347" s="654">
        <v>336</v>
      </c>
      <c r="C347" s="654" t="s">
        <v>2420</v>
      </c>
      <c r="D347" s="680" t="s">
        <v>498</v>
      </c>
      <c r="E347" s="1760" t="s">
        <v>385</v>
      </c>
      <c r="F347" s="1761"/>
      <c r="G347" s="690"/>
      <c r="H347" s="690"/>
      <c r="I347" s="725"/>
    </row>
    <row r="348" spans="1:9" s="680" customFormat="1">
      <c r="A348" s="693"/>
      <c r="B348" s="654">
        <v>337</v>
      </c>
      <c r="C348" s="654" t="s">
        <v>2420</v>
      </c>
      <c r="D348" s="680" t="s">
        <v>2423</v>
      </c>
      <c r="E348" s="1767" t="s">
        <v>2424</v>
      </c>
      <c r="F348" s="1768"/>
      <c r="G348" s="1768"/>
      <c r="H348" s="1768"/>
      <c r="I348" s="1769"/>
    </row>
    <row r="349" spans="1:9" s="680" customFormat="1">
      <c r="A349" s="693"/>
      <c r="B349" s="654">
        <v>338</v>
      </c>
      <c r="C349" s="654" t="s">
        <v>2420</v>
      </c>
      <c r="D349" s="680" t="s">
        <v>2423</v>
      </c>
      <c r="E349" s="1770" t="s">
        <v>366</v>
      </c>
      <c r="F349" s="1771"/>
      <c r="G349" s="722" t="s">
        <v>368</v>
      </c>
      <c r="H349" s="723" t="s">
        <v>369</v>
      </c>
      <c r="I349" s="724" t="s">
        <v>2228</v>
      </c>
    </row>
    <row r="350" spans="1:9" s="680" customFormat="1">
      <c r="A350" s="389" t="s">
        <v>2251</v>
      </c>
      <c r="B350" s="654">
        <v>339</v>
      </c>
      <c r="C350" s="654" t="s">
        <v>2420</v>
      </c>
      <c r="D350" s="680" t="s">
        <v>2423</v>
      </c>
      <c r="E350" s="718" t="s">
        <v>484</v>
      </c>
      <c r="F350" s="719" t="s">
        <v>2268</v>
      </c>
      <c r="G350" s="460">
        <f>存货!D12-存货!D23</f>
        <v>0</v>
      </c>
      <c r="H350" s="690"/>
      <c r="I350" s="725"/>
    </row>
    <row r="351" spans="1:9" s="680" customFormat="1">
      <c r="A351" s="391"/>
      <c r="B351" s="654">
        <v>340</v>
      </c>
      <c r="C351" s="654" t="s">
        <v>2420</v>
      </c>
      <c r="D351" s="680" t="s">
        <v>2423</v>
      </c>
      <c r="E351" s="718" t="s">
        <v>402</v>
      </c>
      <c r="F351" s="719" t="s">
        <v>2269</v>
      </c>
      <c r="G351" s="690"/>
      <c r="H351" s="690"/>
      <c r="I351" s="725"/>
    </row>
    <row r="352" spans="1:9" s="680" customFormat="1">
      <c r="A352" s="693"/>
      <c r="B352" s="654">
        <v>341</v>
      </c>
      <c r="C352" s="654" t="s">
        <v>2420</v>
      </c>
      <c r="D352" s="680" t="s">
        <v>2423</v>
      </c>
      <c r="E352" s="718" t="s">
        <v>2425</v>
      </c>
      <c r="F352" s="719" t="s">
        <v>2270</v>
      </c>
      <c r="G352" s="690"/>
      <c r="H352" s="690"/>
      <c r="I352" s="725"/>
    </row>
    <row r="353" spans="1:9" s="680" customFormat="1">
      <c r="A353" s="693"/>
      <c r="B353" s="654">
        <v>342</v>
      </c>
      <c r="C353" s="654" t="s">
        <v>2420</v>
      </c>
      <c r="D353" s="680" t="s">
        <v>2423</v>
      </c>
      <c r="E353" s="726" t="s">
        <v>381</v>
      </c>
      <c r="F353" s="719" t="s">
        <v>437</v>
      </c>
      <c r="G353" s="460">
        <f>G350+G351-G352</f>
        <v>0</v>
      </c>
      <c r="H353" s="460">
        <f>H350+H351-H352</f>
        <v>0</v>
      </c>
      <c r="I353" s="725"/>
    </row>
    <row r="354" spans="1:9" s="680" customFormat="1">
      <c r="A354" s="693"/>
      <c r="B354" s="654">
        <v>343</v>
      </c>
      <c r="C354" s="654" t="s">
        <v>2420</v>
      </c>
      <c r="D354" s="680" t="s">
        <v>2423</v>
      </c>
      <c r="E354" s="1772" t="s">
        <v>383</v>
      </c>
      <c r="F354" s="1773"/>
      <c r="G354" s="460">
        <f>现金流量表补充资料!D17</f>
        <v>0</v>
      </c>
      <c r="H354" s="460">
        <f>现金流量表补充资料!E17</f>
        <v>0</v>
      </c>
      <c r="I354" s="725"/>
    </row>
    <row r="355" spans="1:9" s="680" customFormat="1">
      <c r="A355" s="693"/>
      <c r="B355" s="654">
        <v>344</v>
      </c>
      <c r="C355" s="654" t="s">
        <v>2420</v>
      </c>
      <c r="D355" s="680" t="s">
        <v>2423</v>
      </c>
      <c r="E355" s="1774" t="s">
        <v>384</v>
      </c>
      <c r="F355" s="1775"/>
      <c r="G355" s="460">
        <f>G353-G354</f>
        <v>0</v>
      </c>
      <c r="H355" s="460">
        <f>H353-H354</f>
        <v>0</v>
      </c>
      <c r="I355" s="725"/>
    </row>
    <row r="356" spans="1:9" s="680" customFormat="1">
      <c r="A356" s="693"/>
      <c r="B356" s="654">
        <v>345</v>
      </c>
      <c r="C356" s="654" t="s">
        <v>2420</v>
      </c>
      <c r="D356" s="680" t="s">
        <v>2423</v>
      </c>
      <c r="E356" s="1774" t="s">
        <v>385</v>
      </c>
      <c r="F356" s="1775"/>
      <c r="G356" s="690"/>
      <c r="H356" s="690"/>
      <c r="I356" s="725"/>
    </row>
    <row r="357" spans="1:9" s="680" customFormat="1">
      <c r="A357" s="693"/>
      <c r="B357" s="654">
        <v>346</v>
      </c>
      <c r="C357" s="654" t="s">
        <v>2420</v>
      </c>
      <c r="D357" s="680" t="s">
        <v>2426</v>
      </c>
      <c r="E357" s="1739" t="s">
        <v>2427</v>
      </c>
      <c r="F357" s="1740"/>
      <c r="G357" s="1740"/>
      <c r="H357" s="1740"/>
      <c r="I357" s="1741"/>
    </row>
    <row r="358" spans="1:9" s="680" customFormat="1">
      <c r="A358" s="693"/>
      <c r="B358" s="654">
        <v>347</v>
      </c>
      <c r="C358" s="654" t="s">
        <v>2420</v>
      </c>
      <c r="D358" s="680" t="s">
        <v>2426</v>
      </c>
      <c r="E358" s="1747" t="s">
        <v>366</v>
      </c>
      <c r="F358" s="1748"/>
      <c r="G358" s="684" t="s">
        <v>368</v>
      </c>
      <c r="H358" s="703" t="s">
        <v>369</v>
      </c>
      <c r="I358" s="685" t="s">
        <v>2228</v>
      </c>
    </row>
    <row r="359" spans="1:9" s="680" customFormat="1">
      <c r="A359" s="389" t="s">
        <v>2251</v>
      </c>
      <c r="B359" s="654">
        <v>348</v>
      </c>
      <c r="C359" s="654" t="s">
        <v>2420</v>
      </c>
      <c r="D359" s="680" t="s">
        <v>2426</v>
      </c>
      <c r="E359" s="686" t="s">
        <v>2428</v>
      </c>
      <c r="F359" s="687" t="s">
        <v>2268</v>
      </c>
      <c r="G359" s="460">
        <f>其他应收款!D21-其他应收款!D10</f>
        <v>1199.3454353130655</v>
      </c>
      <c r="H359" s="689"/>
      <c r="I359" s="688"/>
    </row>
    <row r="360" spans="1:9" s="680" customFormat="1">
      <c r="A360" s="391"/>
      <c r="B360" s="654">
        <v>349</v>
      </c>
      <c r="C360" s="654" t="s">
        <v>2420</v>
      </c>
      <c r="D360" s="680" t="s">
        <v>2426</v>
      </c>
      <c r="E360" s="686" t="s">
        <v>2429</v>
      </c>
      <c r="F360" s="687" t="s">
        <v>2269</v>
      </c>
      <c r="G360" s="460">
        <f>审定资产负债表!D11-审定资产负债表!C11</f>
        <v>0</v>
      </c>
      <c r="H360" s="690"/>
      <c r="I360" s="691"/>
    </row>
    <row r="361" spans="1:9" s="680" customFormat="1">
      <c r="A361" s="693"/>
      <c r="B361" s="654">
        <v>350</v>
      </c>
      <c r="C361" s="654" t="s">
        <v>2420</v>
      </c>
      <c r="D361" s="680" t="s">
        <v>2426</v>
      </c>
      <c r="E361" s="686" t="s">
        <v>2275</v>
      </c>
      <c r="F361" s="687" t="s">
        <v>2270</v>
      </c>
      <c r="G361" s="460">
        <f>应收账款!D21-应收账款!D10</f>
        <v>-4600000</v>
      </c>
      <c r="H361" s="690"/>
      <c r="I361" s="691"/>
    </row>
    <row r="362" spans="1:9" s="680" customFormat="1">
      <c r="A362" s="693"/>
      <c r="B362" s="654">
        <v>351</v>
      </c>
      <c r="C362" s="654" t="s">
        <v>2420</v>
      </c>
      <c r="D362" s="680" t="s">
        <v>2426</v>
      </c>
      <c r="E362" s="686" t="s">
        <v>2430</v>
      </c>
      <c r="F362" s="687" t="s">
        <v>2274</v>
      </c>
      <c r="G362" s="460">
        <f>审定资产负债表!D13-审定资产负债表!C13</f>
        <v>0</v>
      </c>
      <c r="H362" s="690"/>
      <c r="I362" s="691"/>
    </row>
    <row r="363" spans="1:9" s="680" customFormat="1">
      <c r="A363" s="693"/>
      <c r="B363" s="654">
        <v>352</v>
      </c>
      <c r="C363" s="654" t="s">
        <v>2420</v>
      </c>
      <c r="D363" s="680" t="s">
        <v>2426</v>
      </c>
      <c r="E363" s="686" t="s">
        <v>485</v>
      </c>
      <c r="F363" s="687" t="s">
        <v>2276</v>
      </c>
      <c r="G363" s="690"/>
      <c r="H363" s="690"/>
      <c r="I363" s="691"/>
    </row>
    <row r="364" spans="1:9" s="680" customFormat="1">
      <c r="A364" s="693"/>
      <c r="B364" s="654">
        <v>353</v>
      </c>
      <c r="C364" s="654" t="s">
        <v>2420</v>
      </c>
      <c r="D364" s="680" t="s">
        <v>2426</v>
      </c>
      <c r="E364" s="686" t="s">
        <v>486</v>
      </c>
      <c r="F364" s="687" t="s">
        <v>2278</v>
      </c>
      <c r="G364" s="690"/>
      <c r="H364" s="690"/>
      <c r="I364" s="691"/>
    </row>
    <row r="365" spans="1:9" s="680" customFormat="1">
      <c r="A365" s="693"/>
      <c r="B365" s="654">
        <v>354</v>
      </c>
      <c r="C365" s="654" t="s">
        <v>2420</v>
      </c>
      <c r="D365" s="680" t="s">
        <v>2426</v>
      </c>
      <c r="E365" s="686" t="s">
        <v>378</v>
      </c>
      <c r="F365" s="687" t="s">
        <v>2279</v>
      </c>
      <c r="G365" s="690"/>
      <c r="H365" s="690"/>
      <c r="I365" s="691"/>
    </row>
    <row r="366" spans="1:9" s="680" customFormat="1">
      <c r="A366" s="693"/>
      <c r="B366" s="654">
        <v>355</v>
      </c>
      <c r="C366" s="654" t="s">
        <v>2420</v>
      </c>
      <c r="D366" s="680" t="s">
        <v>2426</v>
      </c>
      <c r="E366" s="686" t="s">
        <v>2431</v>
      </c>
      <c r="F366" s="687" t="s">
        <v>2280</v>
      </c>
      <c r="G366" s="690"/>
      <c r="H366" s="690"/>
      <c r="I366" s="691"/>
    </row>
    <row r="367" spans="1:9" s="680" customFormat="1">
      <c r="A367" s="693"/>
      <c r="B367" s="654">
        <v>356</v>
      </c>
      <c r="C367" s="654" t="s">
        <v>2420</v>
      </c>
      <c r="D367" s="680" t="s">
        <v>2426</v>
      </c>
      <c r="E367" s="686" t="s">
        <v>380</v>
      </c>
      <c r="F367" s="687" t="s">
        <v>2281</v>
      </c>
      <c r="G367" s="690"/>
      <c r="H367" s="690"/>
      <c r="I367" s="691"/>
    </row>
    <row r="368" spans="1:9" s="680" customFormat="1">
      <c r="A368" s="693"/>
      <c r="B368" s="654">
        <v>357</v>
      </c>
      <c r="C368" s="654" t="s">
        <v>2420</v>
      </c>
      <c r="D368" s="680" t="s">
        <v>2426</v>
      </c>
      <c r="E368" s="699" t="s">
        <v>381</v>
      </c>
      <c r="F368" s="727" t="s">
        <v>487</v>
      </c>
      <c r="G368" s="460">
        <f>G359+G360+G361+G362-G363-G364-G365-G366-G367</f>
        <v>-4598800.6545646871</v>
      </c>
      <c r="H368" s="460">
        <f>H359+H360+H361+H362-H363-H364-H365-H366-H367</f>
        <v>0</v>
      </c>
      <c r="I368" s="691"/>
    </row>
    <row r="369" spans="1:9" s="680" customFormat="1">
      <c r="A369" s="693"/>
      <c r="B369" s="654">
        <v>358</v>
      </c>
      <c r="C369" s="654" t="s">
        <v>2420</v>
      </c>
      <c r="D369" s="680" t="s">
        <v>2426</v>
      </c>
      <c r="E369" s="1777" t="s">
        <v>383</v>
      </c>
      <c r="F369" s="1778"/>
      <c r="G369" s="460">
        <f>现金流量表补充资料!D18</f>
        <v>-4598800</v>
      </c>
      <c r="H369" s="460">
        <f>现金流量表补充资料!E18</f>
        <v>-204263.53</v>
      </c>
      <c r="I369" s="691"/>
    </row>
    <row r="370" spans="1:9" s="680" customFormat="1">
      <c r="A370" s="693"/>
      <c r="B370" s="654">
        <v>359</v>
      </c>
      <c r="C370" s="654" t="s">
        <v>2420</v>
      </c>
      <c r="D370" s="680" t="s">
        <v>2426</v>
      </c>
      <c r="E370" s="1779" t="s">
        <v>384</v>
      </c>
      <c r="F370" s="1780"/>
      <c r="G370" s="460">
        <f>G368-G369</f>
        <v>-0.654564687050879</v>
      </c>
      <c r="H370" s="460">
        <f>H368-H369</f>
        <v>204263.53</v>
      </c>
      <c r="I370" s="691"/>
    </row>
    <row r="371" spans="1:9" s="680" customFormat="1">
      <c r="A371" s="693"/>
      <c r="B371" s="654">
        <v>360</v>
      </c>
      <c r="C371" s="654" t="s">
        <v>2420</v>
      </c>
      <c r="D371" s="680" t="s">
        <v>2426</v>
      </c>
      <c r="E371" s="1779" t="s">
        <v>385</v>
      </c>
      <c r="F371" s="1780"/>
      <c r="G371" s="690"/>
      <c r="H371" s="690"/>
      <c r="I371" s="691"/>
    </row>
    <row r="372" spans="1:9" s="680" customFormat="1">
      <c r="A372" s="693"/>
      <c r="B372" s="654">
        <v>361</v>
      </c>
      <c r="C372" s="654" t="s">
        <v>2420</v>
      </c>
      <c r="D372" s="680" t="s">
        <v>2432</v>
      </c>
      <c r="E372" s="1739" t="s">
        <v>2433</v>
      </c>
      <c r="F372" s="1740"/>
      <c r="G372" s="1740"/>
      <c r="H372" s="1740"/>
      <c r="I372" s="1741"/>
    </row>
    <row r="373" spans="1:9" s="680" customFormat="1">
      <c r="A373" s="693"/>
      <c r="B373" s="654">
        <v>362</v>
      </c>
      <c r="C373" s="654" t="s">
        <v>2420</v>
      </c>
      <c r="D373" s="680" t="s">
        <v>2432</v>
      </c>
      <c r="E373" s="1747" t="s">
        <v>366</v>
      </c>
      <c r="F373" s="1748"/>
      <c r="G373" s="684" t="s">
        <v>368</v>
      </c>
      <c r="H373" s="703" t="s">
        <v>369</v>
      </c>
      <c r="I373" s="685" t="s">
        <v>2228</v>
      </c>
    </row>
    <row r="374" spans="1:9" s="680" customFormat="1">
      <c r="A374" s="389" t="s">
        <v>2251</v>
      </c>
      <c r="B374" s="654">
        <v>363</v>
      </c>
      <c r="C374" s="654" t="s">
        <v>2420</v>
      </c>
      <c r="D374" s="680" t="s">
        <v>2432</v>
      </c>
      <c r="E374" s="686" t="s">
        <v>2434</v>
      </c>
      <c r="F374" s="687" t="s">
        <v>2268</v>
      </c>
      <c r="G374" s="460">
        <f>审定资产负债表!C67-审定资产负债表!D67</f>
        <v>0</v>
      </c>
      <c r="H374" s="690"/>
      <c r="I374" s="691"/>
    </row>
    <row r="375" spans="1:9" s="680" customFormat="1">
      <c r="A375" s="391"/>
      <c r="B375" s="654">
        <v>364</v>
      </c>
      <c r="C375" s="654" t="s">
        <v>2420</v>
      </c>
      <c r="D375" s="680" t="s">
        <v>2432</v>
      </c>
      <c r="E375" s="686" t="s">
        <v>2435</v>
      </c>
      <c r="F375" s="687" t="s">
        <v>2269</v>
      </c>
      <c r="G375" s="460">
        <f>审定资产负债表!C66-审定资产负债表!D66</f>
        <v>0</v>
      </c>
      <c r="H375" s="690"/>
      <c r="I375" s="691"/>
    </row>
    <row r="376" spans="1:9" s="680" customFormat="1">
      <c r="A376" s="693"/>
      <c r="B376" s="654">
        <v>365</v>
      </c>
      <c r="C376" s="654" t="s">
        <v>2420</v>
      </c>
      <c r="D376" s="680" t="s">
        <v>2432</v>
      </c>
      <c r="E376" s="686" t="s">
        <v>2436</v>
      </c>
      <c r="F376" s="687" t="s">
        <v>2270</v>
      </c>
      <c r="G376" s="460">
        <f>审定资产负债表!C68-审定资产负债表!D68</f>
        <v>0</v>
      </c>
      <c r="H376" s="690"/>
      <c r="I376" s="691"/>
    </row>
    <row r="377" spans="1:9" s="680" customFormat="1">
      <c r="A377" s="693"/>
      <c r="B377" s="654">
        <v>366</v>
      </c>
      <c r="C377" s="654" t="s">
        <v>2420</v>
      </c>
      <c r="D377" s="680" t="s">
        <v>2432</v>
      </c>
      <c r="E377" s="686" t="s">
        <v>2437</v>
      </c>
      <c r="F377" s="687" t="s">
        <v>2274</v>
      </c>
      <c r="G377" s="460">
        <f>审定资产负债表!C79-审定资产负债表!D79</f>
        <v>-2297.1399999999994</v>
      </c>
      <c r="H377" s="690"/>
      <c r="I377" s="691"/>
    </row>
    <row r="378" spans="1:9" s="680" customFormat="1">
      <c r="A378" s="693"/>
      <c r="B378" s="654">
        <v>367</v>
      </c>
      <c r="C378" s="654" t="s">
        <v>2420</v>
      </c>
      <c r="D378" s="680" t="s">
        <v>2432</v>
      </c>
      <c r="E378" s="686" t="s">
        <v>2438</v>
      </c>
      <c r="F378" s="687" t="s">
        <v>2276</v>
      </c>
      <c r="G378" s="460">
        <f>审定资产负债表!C75-审定资产负债表!D75</f>
        <v>-576261.30000000005</v>
      </c>
      <c r="H378" s="690"/>
      <c r="I378" s="691"/>
    </row>
    <row r="379" spans="1:9" s="680" customFormat="1">
      <c r="A379" s="693"/>
      <c r="B379" s="654">
        <v>368</v>
      </c>
      <c r="C379" s="654" t="s">
        <v>2420</v>
      </c>
      <c r="D379" s="680" t="s">
        <v>2432</v>
      </c>
      <c r="E379" s="686" t="s">
        <v>2439</v>
      </c>
      <c r="F379" s="687" t="s">
        <v>2278</v>
      </c>
      <c r="G379" s="460">
        <f>审定资产负债表!C71-审定资产负债表!D71</f>
        <v>-7034.75</v>
      </c>
      <c r="H379" s="690"/>
      <c r="I379" s="691"/>
    </row>
    <row r="380" spans="1:9" s="680" customFormat="1">
      <c r="A380" s="693"/>
      <c r="B380" s="654">
        <v>369</v>
      </c>
      <c r="C380" s="654" t="s">
        <v>2420</v>
      </c>
      <c r="D380" s="680" t="s">
        <v>2432</v>
      </c>
      <c r="E380" s="686" t="s">
        <v>2440</v>
      </c>
      <c r="F380" s="687" t="s">
        <v>2279</v>
      </c>
      <c r="G380" s="690"/>
      <c r="H380" s="690"/>
      <c r="I380" s="691"/>
    </row>
    <row r="381" spans="1:9" s="680" customFormat="1">
      <c r="A381" s="693"/>
      <c r="B381" s="654">
        <v>370</v>
      </c>
      <c r="C381" s="654" t="s">
        <v>2420</v>
      </c>
      <c r="D381" s="680" t="s">
        <v>2432</v>
      </c>
      <c r="E381" s="686" t="s">
        <v>2441</v>
      </c>
      <c r="F381" s="687" t="s">
        <v>2280</v>
      </c>
      <c r="G381" s="690"/>
      <c r="H381" s="690"/>
      <c r="I381" s="691"/>
    </row>
    <row r="382" spans="1:9" s="680" customFormat="1">
      <c r="A382" s="693"/>
      <c r="B382" s="654">
        <v>371</v>
      </c>
      <c r="C382" s="654" t="s">
        <v>2420</v>
      </c>
      <c r="D382" s="680" t="s">
        <v>2432</v>
      </c>
      <c r="E382" s="686" t="s">
        <v>2442</v>
      </c>
      <c r="F382" s="687" t="s">
        <v>2281</v>
      </c>
      <c r="G382" s="690"/>
      <c r="H382" s="690"/>
      <c r="I382" s="691"/>
    </row>
    <row r="383" spans="1:9" s="680" customFormat="1">
      <c r="A383" s="693"/>
      <c r="B383" s="654">
        <v>372</v>
      </c>
      <c r="C383" s="654" t="s">
        <v>2420</v>
      </c>
      <c r="D383" s="680" t="s">
        <v>2432</v>
      </c>
      <c r="E383" s="686" t="s">
        <v>488</v>
      </c>
      <c r="F383" s="687" t="s">
        <v>2282</v>
      </c>
      <c r="G383" s="690"/>
      <c r="H383" s="690"/>
      <c r="I383" s="691"/>
    </row>
    <row r="384" spans="1:9" s="680" customFormat="1">
      <c r="A384" s="693"/>
      <c r="B384" s="654">
        <v>373</v>
      </c>
      <c r="C384" s="654" t="s">
        <v>2420</v>
      </c>
      <c r="D384" s="680" t="s">
        <v>2432</v>
      </c>
      <c r="E384" s="686" t="s">
        <v>2443</v>
      </c>
      <c r="F384" s="687" t="s">
        <v>2283</v>
      </c>
      <c r="G384" s="690"/>
      <c r="H384" s="690"/>
      <c r="I384" s="691"/>
    </row>
    <row r="385" spans="1:9" s="680" customFormat="1">
      <c r="A385" s="389" t="s">
        <v>2251</v>
      </c>
      <c r="B385" s="654">
        <v>374</v>
      </c>
      <c r="C385" s="654" t="s">
        <v>2420</v>
      </c>
      <c r="D385" s="680" t="s">
        <v>2432</v>
      </c>
      <c r="E385" s="686" t="s">
        <v>2444</v>
      </c>
      <c r="F385" s="687" t="s">
        <v>2284</v>
      </c>
      <c r="G385" s="690"/>
      <c r="H385" s="690"/>
      <c r="I385" s="691"/>
    </row>
    <row r="386" spans="1:9" s="680" customFormat="1">
      <c r="A386" s="391"/>
      <c r="B386" s="654">
        <v>375</v>
      </c>
      <c r="C386" s="654" t="s">
        <v>2420</v>
      </c>
      <c r="D386" s="680" t="s">
        <v>2432</v>
      </c>
      <c r="E386" s="728"/>
      <c r="F386" s="729"/>
      <c r="G386" s="690"/>
      <c r="H386" s="690"/>
      <c r="I386" s="691"/>
    </row>
    <row r="387" spans="1:9" s="680" customFormat="1">
      <c r="A387" s="693"/>
      <c r="B387" s="654">
        <v>376</v>
      </c>
      <c r="C387" s="654" t="s">
        <v>2420</v>
      </c>
      <c r="D387" s="680" t="s">
        <v>2432</v>
      </c>
      <c r="E387" s="699" t="s">
        <v>381</v>
      </c>
      <c r="F387" s="729" t="s">
        <v>489</v>
      </c>
      <c r="G387" s="460">
        <f>SUM(G374:G379)-SUM(G380:G383)+G384+G385</f>
        <v>-585593.19000000006</v>
      </c>
      <c r="H387" s="460">
        <f>SUM(H374:H379)-SUM(H380:H383)+H384+H385</f>
        <v>0</v>
      </c>
      <c r="I387" s="691"/>
    </row>
    <row r="388" spans="1:9" s="680" customFormat="1">
      <c r="A388" s="693"/>
      <c r="B388" s="654">
        <v>377</v>
      </c>
      <c r="C388" s="654" t="s">
        <v>2420</v>
      </c>
      <c r="D388" s="680" t="s">
        <v>2432</v>
      </c>
      <c r="E388" s="1777" t="s">
        <v>383</v>
      </c>
      <c r="F388" s="1778"/>
      <c r="G388" s="460">
        <f>现金流量表补充资料!D19</f>
        <v>-662258.93000000005</v>
      </c>
      <c r="H388" s="460">
        <f>现金流量表补充资料!E19</f>
        <v>-4565080.4800000004</v>
      </c>
      <c r="I388" s="691"/>
    </row>
    <row r="389" spans="1:9" s="680" customFormat="1">
      <c r="A389" s="693"/>
      <c r="B389" s="654">
        <v>378</v>
      </c>
      <c r="C389" s="654" t="s">
        <v>2420</v>
      </c>
      <c r="D389" s="680" t="s">
        <v>2432</v>
      </c>
      <c r="E389" s="1779" t="s">
        <v>384</v>
      </c>
      <c r="F389" s="1780"/>
      <c r="G389" s="460">
        <f>G387-G388</f>
        <v>76665.739999999991</v>
      </c>
      <c r="H389" s="460">
        <f>H387-H388</f>
        <v>4565080.4800000004</v>
      </c>
      <c r="I389" s="691"/>
    </row>
    <row r="390" spans="1:9" s="680" customFormat="1">
      <c r="A390" s="693"/>
      <c r="B390" s="654">
        <v>379</v>
      </c>
      <c r="C390" s="654" t="s">
        <v>2420</v>
      </c>
      <c r="D390" s="680" t="s">
        <v>2432</v>
      </c>
      <c r="E390" s="1779" t="s">
        <v>385</v>
      </c>
      <c r="F390" s="1780"/>
      <c r="G390" s="690"/>
      <c r="H390" s="690"/>
      <c r="I390" s="691"/>
    </row>
    <row r="391" spans="1:9" s="680" customFormat="1">
      <c r="A391" s="693"/>
      <c r="B391" s="654">
        <v>380</v>
      </c>
      <c r="C391" s="654" t="s">
        <v>2420</v>
      </c>
      <c r="D391" s="680" t="s">
        <v>499</v>
      </c>
      <c r="E391" s="1739" t="s">
        <v>2445</v>
      </c>
      <c r="F391" s="1740"/>
      <c r="G391" s="1740"/>
      <c r="H391" s="1740"/>
      <c r="I391" s="1741"/>
    </row>
    <row r="392" spans="1:9" s="680" customFormat="1">
      <c r="A392" s="693"/>
      <c r="B392" s="654">
        <v>381</v>
      </c>
      <c r="C392" s="654" t="s">
        <v>2420</v>
      </c>
      <c r="D392" s="680" t="s">
        <v>499</v>
      </c>
      <c r="E392" s="1747" t="s">
        <v>366</v>
      </c>
      <c r="F392" s="1748"/>
      <c r="G392" s="684" t="s">
        <v>368</v>
      </c>
      <c r="H392" s="703" t="s">
        <v>369</v>
      </c>
      <c r="I392" s="685" t="s">
        <v>2228</v>
      </c>
    </row>
    <row r="393" spans="1:9" s="680" customFormat="1">
      <c r="A393" s="693"/>
      <c r="B393" s="654">
        <v>382</v>
      </c>
      <c r="C393" s="654" t="s">
        <v>2420</v>
      </c>
      <c r="D393" s="680" t="s">
        <v>499</v>
      </c>
      <c r="E393" s="728" t="s">
        <v>2446</v>
      </c>
      <c r="F393" s="687" t="s">
        <v>2268</v>
      </c>
      <c r="G393" s="460">
        <f>资产减值损失!D3</f>
        <v>201400.6</v>
      </c>
      <c r="H393" s="460">
        <f>资产减值损失!E3</f>
        <v>10213.18</v>
      </c>
      <c r="I393" s="691"/>
    </row>
    <row r="394" spans="1:9" s="680" customFormat="1">
      <c r="A394" s="389" t="s">
        <v>2251</v>
      </c>
      <c r="B394" s="654">
        <v>383</v>
      </c>
      <c r="C394" s="654" t="s">
        <v>2420</v>
      </c>
      <c r="D394" s="680" t="s">
        <v>499</v>
      </c>
      <c r="E394" s="728" t="s">
        <v>2447</v>
      </c>
      <c r="F394" s="687" t="s">
        <v>2269</v>
      </c>
      <c r="G394" s="460">
        <f>资产减值损失!D4</f>
        <v>0</v>
      </c>
      <c r="H394" s="460">
        <f>资产减值损失!E4</f>
        <v>0</v>
      </c>
      <c r="I394" s="691"/>
    </row>
    <row r="395" spans="1:9" s="680" customFormat="1">
      <c r="A395" s="391"/>
      <c r="B395" s="654">
        <v>384</v>
      </c>
      <c r="C395" s="654" t="s">
        <v>2420</v>
      </c>
      <c r="D395" s="680" t="s">
        <v>499</v>
      </c>
      <c r="E395" s="728" t="s">
        <v>2448</v>
      </c>
      <c r="F395" s="687" t="s">
        <v>2333</v>
      </c>
      <c r="G395" s="460">
        <f>资产减值损失!D5</f>
        <v>0</v>
      </c>
      <c r="H395" s="460">
        <f>资产减值损失!E5</f>
        <v>0</v>
      </c>
      <c r="I395" s="691"/>
    </row>
    <row r="396" spans="1:9" s="680" customFormat="1">
      <c r="A396" s="693"/>
      <c r="B396" s="654">
        <v>385</v>
      </c>
      <c r="C396" s="654" t="s">
        <v>2420</v>
      </c>
      <c r="D396" s="680" t="s">
        <v>499</v>
      </c>
      <c r="E396" s="728" t="s">
        <v>2449</v>
      </c>
      <c r="F396" s="687" t="s">
        <v>2335</v>
      </c>
      <c r="G396" s="460">
        <f>资产减值损失!D6</f>
        <v>0</v>
      </c>
      <c r="H396" s="460">
        <f>资产减值损失!E6</f>
        <v>0</v>
      </c>
      <c r="I396" s="691"/>
    </row>
    <row r="397" spans="1:9" s="680" customFormat="1">
      <c r="A397" s="693"/>
      <c r="B397" s="654">
        <v>386</v>
      </c>
      <c r="C397" s="654" t="s">
        <v>2420</v>
      </c>
      <c r="D397" s="680" t="s">
        <v>499</v>
      </c>
      <c r="E397" s="728" t="s">
        <v>2450</v>
      </c>
      <c r="F397" s="687" t="s">
        <v>2336</v>
      </c>
      <c r="G397" s="460">
        <f>资产减值损失!D7</f>
        <v>0</v>
      </c>
      <c r="H397" s="460">
        <f>资产减值损失!E7</f>
        <v>0</v>
      </c>
      <c r="I397" s="691"/>
    </row>
    <row r="398" spans="1:9" s="680" customFormat="1">
      <c r="A398" s="693"/>
      <c r="B398" s="654">
        <v>387</v>
      </c>
      <c r="C398" s="654" t="s">
        <v>2420</v>
      </c>
      <c r="D398" s="680" t="s">
        <v>499</v>
      </c>
      <c r="E398" s="728" t="s">
        <v>2451</v>
      </c>
      <c r="F398" s="687" t="s">
        <v>2338</v>
      </c>
      <c r="G398" s="460">
        <f>资产减值损失!D8</f>
        <v>0</v>
      </c>
      <c r="H398" s="460">
        <f>资产减值损失!E8</f>
        <v>0</v>
      </c>
      <c r="I398" s="691"/>
    </row>
    <row r="399" spans="1:9" s="680" customFormat="1">
      <c r="A399" s="693"/>
      <c r="B399" s="654">
        <v>388</v>
      </c>
      <c r="C399" s="654" t="s">
        <v>2420</v>
      </c>
      <c r="D399" s="680" t="s">
        <v>499</v>
      </c>
      <c r="E399" s="728" t="s">
        <v>2452</v>
      </c>
      <c r="F399" s="687" t="s">
        <v>2453</v>
      </c>
      <c r="G399" s="460">
        <f>资产减值损失!D9</f>
        <v>0</v>
      </c>
      <c r="H399" s="460">
        <f>资产减值损失!E9</f>
        <v>0</v>
      </c>
      <c r="I399" s="691"/>
    </row>
    <row r="400" spans="1:9" s="680" customFormat="1">
      <c r="A400" s="693"/>
      <c r="B400" s="654">
        <v>389</v>
      </c>
      <c r="C400" s="654" t="s">
        <v>2420</v>
      </c>
      <c r="D400" s="680" t="s">
        <v>499</v>
      </c>
      <c r="E400" s="728" t="s">
        <v>2454</v>
      </c>
      <c r="F400" s="687" t="s">
        <v>2360</v>
      </c>
      <c r="G400" s="460">
        <f>资产减值损失!D10</f>
        <v>0</v>
      </c>
      <c r="H400" s="460">
        <f>资产减值损失!E10</f>
        <v>0</v>
      </c>
      <c r="I400" s="691"/>
    </row>
    <row r="401" spans="1:14" s="680" customFormat="1">
      <c r="A401" s="693"/>
      <c r="B401" s="654">
        <v>390</v>
      </c>
      <c r="C401" s="654" t="s">
        <v>2420</v>
      </c>
      <c r="D401" s="680" t="s">
        <v>499</v>
      </c>
      <c r="E401" s="728" t="s">
        <v>2455</v>
      </c>
      <c r="F401" s="687" t="s">
        <v>2456</v>
      </c>
      <c r="G401" s="460">
        <f>资产减值损失!D11</f>
        <v>0</v>
      </c>
      <c r="H401" s="460">
        <f>资产减值损失!E11</f>
        <v>0</v>
      </c>
      <c r="I401" s="691"/>
    </row>
    <row r="402" spans="1:14" s="680" customFormat="1">
      <c r="A402" s="693"/>
      <c r="B402" s="654">
        <v>391</v>
      </c>
      <c r="C402" s="654" t="s">
        <v>2420</v>
      </c>
      <c r="D402" s="680" t="s">
        <v>499</v>
      </c>
      <c r="E402" s="728" t="s">
        <v>2457</v>
      </c>
      <c r="F402" s="687" t="s">
        <v>2361</v>
      </c>
      <c r="G402" s="460">
        <f>资产减值损失!D12</f>
        <v>0</v>
      </c>
      <c r="H402" s="460">
        <f>资产减值损失!E12</f>
        <v>0</v>
      </c>
      <c r="I402" s="691"/>
    </row>
    <row r="403" spans="1:14" s="680" customFormat="1">
      <c r="A403" s="693"/>
      <c r="B403" s="654">
        <v>392</v>
      </c>
      <c r="C403" s="654" t="s">
        <v>2420</v>
      </c>
      <c r="D403" s="680" t="s">
        <v>499</v>
      </c>
      <c r="E403" s="728" t="s">
        <v>2458</v>
      </c>
      <c r="F403" s="687" t="s">
        <v>2459</v>
      </c>
      <c r="G403" s="460">
        <f>资产减值损失!D13</f>
        <v>0</v>
      </c>
      <c r="H403" s="460">
        <f>资产减值损失!E13</f>
        <v>0</v>
      </c>
      <c r="I403" s="691"/>
    </row>
    <row r="404" spans="1:14" s="680" customFormat="1">
      <c r="A404" s="693"/>
      <c r="B404" s="654">
        <v>393</v>
      </c>
      <c r="C404" s="654" t="s">
        <v>2420</v>
      </c>
      <c r="D404" s="680" t="s">
        <v>499</v>
      </c>
      <c r="E404" s="728" t="s">
        <v>2460</v>
      </c>
      <c r="F404" s="687" t="s">
        <v>2362</v>
      </c>
      <c r="G404" s="460">
        <f>资产减值损失!D14</f>
        <v>0</v>
      </c>
      <c r="H404" s="460">
        <f>资产减值损失!E14</f>
        <v>0</v>
      </c>
      <c r="I404" s="691"/>
    </row>
    <row r="405" spans="1:14" s="680" customFormat="1">
      <c r="A405" s="693"/>
      <c r="B405" s="654">
        <v>394</v>
      </c>
      <c r="C405" s="654" t="s">
        <v>2420</v>
      </c>
      <c r="D405" s="680" t="s">
        <v>499</v>
      </c>
      <c r="E405" s="728" t="s">
        <v>2461</v>
      </c>
      <c r="F405" s="687" t="s">
        <v>2462</v>
      </c>
      <c r="G405" s="460">
        <f>资产减值损失!D15</f>
        <v>0</v>
      </c>
      <c r="H405" s="460">
        <f>资产减值损失!E15</f>
        <v>0</v>
      </c>
      <c r="I405" s="691"/>
    </row>
    <row r="406" spans="1:14" s="680" customFormat="1">
      <c r="A406" s="693"/>
      <c r="B406" s="654">
        <v>395</v>
      </c>
      <c r="C406" s="654" t="s">
        <v>2420</v>
      </c>
      <c r="D406" s="680" t="s">
        <v>499</v>
      </c>
      <c r="E406" s="728" t="s">
        <v>2463</v>
      </c>
      <c r="F406" s="687" t="s">
        <v>2363</v>
      </c>
      <c r="G406" s="460">
        <f>资产减值损失!D16</f>
        <v>0</v>
      </c>
      <c r="H406" s="460">
        <f>资产减值损失!E16</f>
        <v>0</v>
      </c>
      <c r="I406" s="691"/>
    </row>
    <row r="407" spans="1:14" s="680" customFormat="1">
      <c r="A407" s="693"/>
      <c r="B407" s="654">
        <v>396</v>
      </c>
      <c r="C407" s="654" t="s">
        <v>2420</v>
      </c>
      <c r="D407" s="680" t="s">
        <v>499</v>
      </c>
      <c r="E407" s="728"/>
      <c r="F407" s="729"/>
      <c r="G407" s="690"/>
      <c r="H407" s="690"/>
      <c r="I407" s="691"/>
    </row>
    <row r="408" spans="1:14" s="680" customFormat="1">
      <c r="A408" s="389" t="s">
        <v>2251</v>
      </c>
      <c r="B408" s="654">
        <v>397</v>
      </c>
      <c r="C408" s="654" t="s">
        <v>2420</v>
      </c>
      <c r="D408" s="680" t="s">
        <v>499</v>
      </c>
      <c r="E408" s="699" t="s">
        <v>381</v>
      </c>
      <c r="F408" s="729" t="s">
        <v>491</v>
      </c>
      <c r="G408" s="460">
        <f>SUM(G393:G406)</f>
        <v>201400.6</v>
      </c>
      <c r="H408" s="460">
        <f>SUM(H393:H406)</f>
        <v>10213.18</v>
      </c>
      <c r="I408" s="691"/>
    </row>
    <row r="409" spans="1:14" s="680" customFormat="1">
      <c r="A409" s="391"/>
      <c r="B409" s="654">
        <v>398</v>
      </c>
      <c r="C409" s="654" t="s">
        <v>2420</v>
      </c>
      <c r="D409" s="680" t="s">
        <v>499</v>
      </c>
      <c r="E409" s="1777" t="s">
        <v>383</v>
      </c>
      <c r="F409" s="1778"/>
      <c r="G409" s="460">
        <f>现金流量表补充资料!D6</f>
        <v>201400.6</v>
      </c>
      <c r="H409" s="460">
        <f>现金流量表补充资料!E6</f>
        <v>10213.18</v>
      </c>
      <c r="I409" s="691"/>
    </row>
    <row r="410" spans="1:14" s="680" customFormat="1">
      <c r="A410" s="693"/>
      <c r="B410" s="654">
        <v>399</v>
      </c>
      <c r="C410" s="654" t="s">
        <v>2420</v>
      </c>
      <c r="D410" s="680" t="s">
        <v>499</v>
      </c>
      <c r="E410" s="1779" t="s">
        <v>384</v>
      </c>
      <c r="F410" s="1780"/>
      <c r="G410" s="460">
        <f>G408-G409</f>
        <v>0</v>
      </c>
      <c r="H410" s="460">
        <f>H408-H409</f>
        <v>0</v>
      </c>
      <c r="I410" s="691"/>
    </row>
    <row r="411" spans="1:14" s="680" customFormat="1" ht="13.5" thickBot="1">
      <c r="A411" s="693"/>
      <c r="B411" s="654">
        <v>400</v>
      </c>
      <c r="C411" s="654" t="s">
        <v>2420</v>
      </c>
      <c r="D411" s="680" t="s">
        <v>499</v>
      </c>
      <c r="E411" s="1781" t="s">
        <v>385</v>
      </c>
      <c r="F411" s="1782"/>
      <c r="G411" s="694"/>
      <c r="H411" s="694"/>
      <c r="I411" s="695"/>
    </row>
    <row r="412" spans="1:14">
      <c r="B412" s="654">
        <v>401</v>
      </c>
      <c r="C412" s="654"/>
    </row>
    <row r="413" spans="1:14">
      <c r="B413" s="654">
        <v>402</v>
      </c>
      <c r="C413" s="654"/>
    </row>
    <row r="414" spans="1:14">
      <c r="A414" s="389" t="s">
        <v>2251</v>
      </c>
      <c r="B414" s="654">
        <v>403</v>
      </c>
      <c r="C414" s="654"/>
      <c r="E414" s="680" t="s">
        <v>2464</v>
      </c>
      <c r="F414" s="680"/>
      <c r="G414" s="680"/>
      <c r="H414" s="680"/>
      <c r="I414" s="731"/>
      <c r="J414" s="667"/>
      <c r="K414" s="680"/>
      <c r="L414" s="680"/>
      <c r="N414" s="680"/>
    </row>
    <row r="415" spans="1:14">
      <c r="A415" s="391"/>
      <c r="B415" s="654">
        <v>404</v>
      </c>
      <c r="C415" s="654"/>
      <c r="E415" s="682" t="s">
        <v>2465</v>
      </c>
      <c r="F415" s="680"/>
      <c r="G415" s="680"/>
      <c r="H415" s="680"/>
      <c r="I415" s="731"/>
      <c r="J415" s="667"/>
      <c r="K415" s="680"/>
      <c r="L415" s="680"/>
      <c r="N415" s="680"/>
    </row>
    <row r="416" spans="1:14">
      <c r="B416" s="654">
        <v>405</v>
      </c>
      <c r="C416" s="654"/>
      <c r="E416" s="732" t="s">
        <v>2266</v>
      </c>
      <c r="F416" s="733"/>
      <c r="G416" s="460">
        <f>G29</f>
        <v>-260377.34999999963</v>
      </c>
      <c r="H416" s="680"/>
      <c r="I416" s="731"/>
      <c r="J416" s="667"/>
      <c r="K416" s="680"/>
      <c r="L416" s="680"/>
      <c r="N416" s="680"/>
    </row>
    <row r="417" spans="1:14">
      <c r="B417" s="654">
        <v>406</v>
      </c>
      <c r="C417" s="654"/>
      <c r="E417" s="734" t="s">
        <v>2466</v>
      </c>
      <c r="F417" s="733"/>
      <c r="G417" s="460">
        <f>G41</f>
        <v>0</v>
      </c>
      <c r="H417" s="680"/>
      <c r="I417" s="731"/>
      <c r="J417" s="667"/>
      <c r="K417" s="680"/>
      <c r="L417" s="680"/>
      <c r="N417" s="680"/>
    </row>
    <row r="418" spans="1:14">
      <c r="B418" s="654">
        <v>407</v>
      </c>
      <c r="C418" s="654"/>
      <c r="E418" s="735" t="s">
        <v>2467</v>
      </c>
      <c r="F418" s="733"/>
      <c r="G418" s="460">
        <f>G57</f>
        <v>0</v>
      </c>
      <c r="H418" s="680"/>
      <c r="I418" s="731"/>
      <c r="J418" s="667"/>
      <c r="K418" s="680"/>
      <c r="L418" s="680"/>
      <c r="N418" s="680"/>
    </row>
    <row r="419" spans="1:14">
      <c r="B419" s="654">
        <v>408</v>
      </c>
      <c r="C419" s="654"/>
    </row>
    <row r="420" spans="1:14">
      <c r="B420" s="654">
        <v>409</v>
      </c>
      <c r="C420" s="654"/>
      <c r="E420" s="732" t="s">
        <v>2468</v>
      </c>
      <c r="G420" s="460">
        <f>G87</f>
        <v>0</v>
      </c>
    </row>
    <row r="421" spans="1:14">
      <c r="B421" s="654">
        <v>410</v>
      </c>
      <c r="C421" s="654"/>
      <c r="E421" s="734" t="s">
        <v>2469</v>
      </c>
      <c r="G421" s="460">
        <f>G99</f>
        <v>-2801805.18</v>
      </c>
    </row>
    <row r="422" spans="1:14">
      <c r="B422" s="654">
        <v>411</v>
      </c>
      <c r="C422" s="654"/>
      <c r="E422" s="734" t="s">
        <v>2470</v>
      </c>
      <c r="G422" s="460">
        <f>G109</f>
        <v>-3178.0600000000559</v>
      </c>
    </row>
    <row r="423" spans="1:14">
      <c r="B423" s="654">
        <v>412</v>
      </c>
      <c r="C423" s="654"/>
      <c r="E423" s="734" t="s">
        <v>2471</v>
      </c>
      <c r="G423" s="460">
        <f>G121</f>
        <v>332709.04000000004</v>
      </c>
    </row>
    <row r="424" spans="1:14">
      <c r="B424" s="654">
        <v>413</v>
      </c>
      <c r="C424" s="654"/>
      <c r="E424" s="734" t="s">
        <v>2472</v>
      </c>
      <c r="G424" s="460">
        <f>G130</f>
        <v>52217.330000000075</v>
      </c>
    </row>
    <row r="425" spans="1:14">
      <c r="B425" s="654">
        <v>414</v>
      </c>
      <c r="C425" s="654"/>
      <c r="E425" s="735" t="s">
        <v>2352</v>
      </c>
      <c r="G425" s="460">
        <f>G176</f>
        <v>-1192091.6399999999</v>
      </c>
    </row>
    <row r="426" spans="1:14">
      <c r="B426" s="654">
        <v>415</v>
      </c>
      <c r="C426" s="654"/>
      <c r="E426" s="680"/>
    </row>
    <row r="427" spans="1:14">
      <c r="A427" s="389" t="s">
        <v>2251</v>
      </c>
      <c r="B427" s="654">
        <v>416</v>
      </c>
      <c r="C427" s="654"/>
      <c r="E427" s="682" t="s">
        <v>2473</v>
      </c>
    </row>
    <row r="428" spans="1:14">
      <c r="A428" s="391"/>
      <c r="B428" s="654">
        <v>417</v>
      </c>
      <c r="C428" s="654"/>
      <c r="E428" s="732" t="s">
        <v>2474</v>
      </c>
      <c r="G428" s="460">
        <f>G189</f>
        <v>0</v>
      </c>
    </row>
    <row r="429" spans="1:14">
      <c r="B429" s="654">
        <v>418</v>
      </c>
      <c r="C429" s="654"/>
      <c r="E429" s="734" t="s">
        <v>2475</v>
      </c>
      <c r="G429" s="460">
        <f>G199</f>
        <v>0</v>
      </c>
    </row>
    <row r="430" spans="1:14">
      <c r="B430" s="654">
        <v>419</v>
      </c>
      <c r="C430" s="654"/>
      <c r="E430" s="734" t="s">
        <v>2476</v>
      </c>
      <c r="G430" s="460">
        <f>G209</f>
        <v>0</v>
      </c>
    </row>
    <row r="431" spans="1:14">
      <c r="B431" s="654">
        <v>420</v>
      </c>
      <c r="C431" s="654"/>
      <c r="E431" s="734" t="s">
        <v>2477</v>
      </c>
      <c r="G431" s="460">
        <f>G218</f>
        <v>0</v>
      </c>
    </row>
    <row r="432" spans="1:14">
      <c r="B432" s="654">
        <v>421</v>
      </c>
      <c r="C432" s="654"/>
      <c r="E432" s="734" t="s">
        <v>2478</v>
      </c>
      <c r="G432" s="460">
        <f>G227</f>
        <v>0</v>
      </c>
    </row>
    <row r="433" spans="1:7">
      <c r="B433" s="654">
        <v>422</v>
      </c>
      <c r="C433" s="654"/>
      <c r="E433" s="734" t="s">
        <v>2479</v>
      </c>
      <c r="G433" s="460">
        <f>G243</f>
        <v>0</v>
      </c>
    </row>
    <row r="434" spans="1:7">
      <c r="A434" s="389" t="s">
        <v>2251</v>
      </c>
      <c r="B434" s="654">
        <v>423</v>
      </c>
      <c r="C434" s="654"/>
      <c r="E434" s="734" t="s">
        <v>2480</v>
      </c>
      <c r="G434" s="460">
        <f>G255</f>
        <v>-30000</v>
      </c>
    </row>
    <row r="435" spans="1:7">
      <c r="A435" s="391"/>
      <c r="B435" s="654">
        <v>424</v>
      </c>
      <c r="C435" s="654"/>
      <c r="E435" s="734" t="s">
        <v>2481</v>
      </c>
      <c r="G435" s="460">
        <f>G263</f>
        <v>0</v>
      </c>
    </row>
    <row r="436" spans="1:7">
      <c r="B436" s="654">
        <v>425</v>
      </c>
      <c r="C436" s="654"/>
      <c r="E436" s="735" t="s">
        <v>2482</v>
      </c>
      <c r="G436" s="460">
        <f>G273</f>
        <v>0</v>
      </c>
    </row>
    <row r="437" spans="1:7">
      <c r="B437" s="654">
        <v>426</v>
      </c>
      <c r="C437" s="654"/>
      <c r="E437" s="680"/>
    </row>
    <row r="438" spans="1:7">
      <c r="B438" s="654">
        <v>427</v>
      </c>
      <c r="C438" s="654"/>
      <c r="E438" s="654" t="s">
        <v>2483</v>
      </c>
    </row>
    <row r="439" spans="1:7">
      <c r="B439" s="654">
        <v>428</v>
      </c>
      <c r="C439" s="654"/>
      <c r="E439" s="732" t="s">
        <v>2484</v>
      </c>
      <c r="G439" s="460">
        <f>G284</f>
        <v>0</v>
      </c>
    </row>
    <row r="440" spans="1:7">
      <c r="B440" s="654">
        <v>429</v>
      </c>
      <c r="C440" s="654"/>
      <c r="E440" s="734" t="s">
        <v>2485</v>
      </c>
      <c r="G440" s="460">
        <f>G293</f>
        <v>0</v>
      </c>
    </row>
    <row r="441" spans="1:7">
      <c r="B441" s="654">
        <v>430</v>
      </c>
      <c r="C441" s="654"/>
      <c r="E441" s="734" t="s">
        <v>2486</v>
      </c>
      <c r="G441" s="460">
        <f>G301</f>
        <v>0</v>
      </c>
    </row>
    <row r="442" spans="1:7">
      <c r="A442" s="389" t="s">
        <v>2251</v>
      </c>
      <c r="B442" s="654">
        <v>431</v>
      </c>
      <c r="C442" s="654"/>
      <c r="E442" s="734" t="s">
        <v>2487</v>
      </c>
      <c r="G442" s="460">
        <f>G312</f>
        <v>0</v>
      </c>
    </row>
    <row r="443" spans="1:7">
      <c r="A443" s="391"/>
      <c r="B443" s="654">
        <v>432</v>
      </c>
      <c r="C443" s="654"/>
      <c r="E443" s="734" t="s">
        <v>2488</v>
      </c>
      <c r="G443" s="460">
        <f>G324</f>
        <v>0</v>
      </c>
    </row>
    <row r="444" spans="1:7">
      <c r="B444" s="654">
        <v>433</v>
      </c>
      <c r="C444" s="654"/>
      <c r="E444" s="734" t="s">
        <v>2489</v>
      </c>
      <c r="G444" s="460">
        <f>G334</f>
        <v>0</v>
      </c>
    </row>
    <row r="445" spans="1:7">
      <c r="C445" s="654"/>
      <c r="E445" s="735" t="s">
        <v>2490</v>
      </c>
      <c r="G445" s="460">
        <f>审定资产负债表!C60+审定资产负债表!C89-审定资产负债表!D89-审定资产负债表!D60+一年内到期的非流动负债!D3-一年内到期的非流动负债!E3-(审定现金流量表!C48-审定现金流量表!C52)</f>
        <v>0</v>
      </c>
    </row>
    <row r="446" spans="1:7">
      <c r="B446" s="654">
        <v>434</v>
      </c>
      <c r="C446" s="654"/>
      <c r="E446" s="680"/>
    </row>
    <row r="447" spans="1:7">
      <c r="B447" s="654">
        <v>435</v>
      </c>
      <c r="C447" s="654"/>
      <c r="E447" s="654" t="s">
        <v>2491</v>
      </c>
    </row>
    <row r="448" spans="1:7">
      <c r="B448" s="654">
        <v>436</v>
      </c>
      <c r="C448" s="654"/>
      <c r="E448" s="736" t="s">
        <v>498</v>
      </c>
      <c r="G448" s="460">
        <f>G346</f>
        <v>0</v>
      </c>
    </row>
    <row r="449" spans="1:14">
      <c r="A449" s="389" t="s">
        <v>2251</v>
      </c>
      <c r="B449" s="654">
        <v>437</v>
      </c>
      <c r="C449" s="654"/>
      <c r="E449" s="737" t="s">
        <v>2423</v>
      </c>
      <c r="G449" s="460">
        <f>G355</f>
        <v>0</v>
      </c>
    </row>
    <row r="450" spans="1:14">
      <c r="A450" s="391"/>
      <c r="B450" s="654">
        <v>438</v>
      </c>
      <c r="C450" s="654"/>
      <c r="E450" s="734" t="s">
        <v>2426</v>
      </c>
      <c r="G450" s="460">
        <f>G370</f>
        <v>-0.654564687050879</v>
      </c>
    </row>
    <row r="451" spans="1:14">
      <c r="B451" s="654">
        <v>439</v>
      </c>
      <c r="C451" s="654"/>
      <c r="E451" s="734" t="s">
        <v>2432</v>
      </c>
      <c r="G451" s="460">
        <f>G389</f>
        <v>76665.739999999991</v>
      </c>
    </row>
    <row r="452" spans="1:14">
      <c r="B452" s="654">
        <v>440</v>
      </c>
      <c r="C452" s="654"/>
      <c r="E452" s="735" t="s">
        <v>499</v>
      </c>
      <c r="G452" s="460">
        <f>G410</f>
        <v>0</v>
      </c>
    </row>
    <row r="453" spans="1:14">
      <c r="B453" s="654">
        <v>441</v>
      </c>
      <c r="C453" s="654"/>
    </row>
    <row r="454" spans="1:14" s="680" customFormat="1">
      <c r="A454" s="693"/>
      <c r="B454" s="654">
        <v>442</v>
      </c>
      <c r="C454" s="654"/>
      <c r="E454" s="738" t="s">
        <v>2492</v>
      </c>
      <c r="F454" s="739"/>
      <c r="G454" s="739"/>
      <c r="H454" s="739"/>
      <c r="I454" s="740"/>
      <c r="K454" s="655"/>
      <c r="L454" s="655"/>
      <c r="M454" s="655"/>
      <c r="N454" s="655"/>
    </row>
    <row r="455" spans="1:14" s="680" customFormat="1">
      <c r="A455" s="693"/>
      <c r="B455" s="682"/>
      <c r="E455" s="1783" t="s">
        <v>2493</v>
      </c>
      <c r="F455" s="1784"/>
      <c r="G455" s="1784"/>
      <c r="H455" s="1784"/>
      <c r="I455" s="741"/>
      <c r="K455" s="655"/>
      <c r="L455" s="655"/>
      <c r="M455" s="655"/>
      <c r="N455" s="655"/>
    </row>
    <row r="456" spans="1:14" s="680" customFormat="1">
      <c r="A456" s="693"/>
      <c r="B456" s="682"/>
      <c r="E456" s="742" t="s">
        <v>2494</v>
      </c>
      <c r="I456" s="741"/>
      <c r="K456" s="655"/>
      <c r="L456" s="655"/>
      <c r="M456" s="655"/>
      <c r="N456" s="655"/>
    </row>
    <row r="457" spans="1:14" s="680" customFormat="1" ht="24" customHeight="1">
      <c r="A457" s="693"/>
      <c r="B457" s="682"/>
      <c r="E457" s="1785" t="s">
        <v>2495</v>
      </c>
      <c r="F457" s="1786"/>
      <c r="G457" s="1786"/>
      <c r="H457" s="1786"/>
      <c r="I457" s="1787"/>
      <c r="K457" s="655"/>
      <c r="L457" s="655"/>
      <c r="M457" s="655"/>
      <c r="N457" s="655"/>
    </row>
  </sheetData>
  <sheetProtection formatCells="0" formatColumns="0" formatRows="0" autoFilter="0"/>
  <mergeCells count="152">
    <mergeCell ref="K1:N4"/>
    <mergeCell ref="E409:F409"/>
    <mergeCell ref="E410:F410"/>
    <mergeCell ref="E411:F411"/>
    <mergeCell ref="E455:H455"/>
    <mergeCell ref="E457:I457"/>
    <mergeCell ref="E108:F108"/>
    <mergeCell ref="E109:F109"/>
    <mergeCell ref="E110:F110"/>
    <mergeCell ref="E129:F129"/>
    <mergeCell ref="E130:F130"/>
    <mergeCell ref="E373:F373"/>
    <mergeCell ref="E388:F388"/>
    <mergeCell ref="E389:F389"/>
    <mergeCell ref="E390:F390"/>
    <mergeCell ref="E391:I391"/>
    <mergeCell ref="E392:F392"/>
    <mergeCell ref="E357:I357"/>
    <mergeCell ref="E358:F358"/>
    <mergeCell ref="E369:F369"/>
    <mergeCell ref="E370:F370"/>
    <mergeCell ref="E371:F371"/>
    <mergeCell ref="E372:I372"/>
    <mergeCell ref="E347:F347"/>
    <mergeCell ref="E348:I348"/>
    <mergeCell ref="E349:F349"/>
    <mergeCell ref="E354:F354"/>
    <mergeCell ref="E355:F355"/>
    <mergeCell ref="E356:F356"/>
    <mergeCell ref="E335:F335"/>
    <mergeCell ref="E336:I336"/>
    <mergeCell ref="E337:I337"/>
    <mergeCell ref="E338:F338"/>
    <mergeCell ref="E345:F345"/>
    <mergeCell ref="E346:F346"/>
    <mergeCell ref="E324:F324"/>
    <mergeCell ref="E325:F325"/>
    <mergeCell ref="E326:I326"/>
    <mergeCell ref="E327:F327"/>
    <mergeCell ref="E333:F333"/>
    <mergeCell ref="E334:F334"/>
    <mergeCell ref="E311:F311"/>
    <mergeCell ref="E312:F312"/>
    <mergeCell ref="E313:F313"/>
    <mergeCell ref="E314:I314"/>
    <mergeCell ref="E315:F315"/>
    <mergeCell ref="E323:F323"/>
    <mergeCell ref="E300:F300"/>
    <mergeCell ref="E301:F301"/>
    <mergeCell ref="E302:F302"/>
    <mergeCell ref="E303:I303"/>
    <mergeCell ref="E304:I304"/>
    <mergeCell ref="E305:F305"/>
    <mergeCell ref="E287:F287"/>
    <mergeCell ref="E292:F292"/>
    <mergeCell ref="E293:F293"/>
    <mergeCell ref="E294:F294"/>
    <mergeCell ref="E295:I295"/>
    <mergeCell ref="E296:F296"/>
    <mergeCell ref="E276:I276"/>
    <mergeCell ref="E277:F277"/>
    <mergeCell ref="E283:F283"/>
    <mergeCell ref="E284:F284"/>
    <mergeCell ref="E285:F285"/>
    <mergeCell ref="E286:I286"/>
    <mergeCell ref="E265:I265"/>
    <mergeCell ref="E266:F266"/>
    <mergeCell ref="E272:F272"/>
    <mergeCell ref="E273:F273"/>
    <mergeCell ref="E274:F274"/>
    <mergeCell ref="E275:I275"/>
    <mergeCell ref="E256:F256"/>
    <mergeCell ref="E257:I257"/>
    <mergeCell ref="E258:F258"/>
    <mergeCell ref="E262:F262"/>
    <mergeCell ref="E263:F263"/>
    <mergeCell ref="E264:F264"/>
    <mergeCell ref="E243:F243"/>
    <mergeCell ref="E244:F244"/>
    <mergeCell ref="E245:I245"/>
    <mergeCell ref="E246:F246"/>
    <mergeCell ref="E254:F254"/>
    <mergeCell ref="E255:F255"/>
    <mergeCell ref="E227:F227"/>
    <mergeCell ref="E228:F228"/>
    <mergeCell ref="E229:I229"/>
    <mergeCell ref="E230:I230"/>
    <mergeCell ref="E231:F231"/>
    <mergeCell ref="E242:F242"/>
    <mergeCell ref="E217:F217"/>
    <mergeCell ref="E218:F218"/>
    <mergeCell ref="E219:F219"/>
    <mergeCell ref="E220:I220"/>
    <mergeCell ref="E221:F221"/>
    <mergeCell ref="E226:F226"/>
    <mergeCell ref="E202:F202"/>
    <mergeCell ref="E208:F208"/>
    <mergeCell ref="E209:F209"/>
    <mergeCell ref="E210:F210"/>
    <mergeCell ref="E211:I211"/>
    <mergeCell ref="E212:F212"/>
    <mergeCell ref="E191:I191"/>
    <mergeCell ref="E192:F192"/>
    <mergeCell ref="E198:F198"/>
    <mergeCell ref="E199:F199"/>
    <mergeCell ref="E200:F200"/>
    <mergeCell ref="E201:I201"/>
    <mergeCell ref="E178:I178"/>
    <mergeCell ref="E179:I179"/>
    <mergeCell ref="E180:F180"/>
    <mergeCell ref="E188:F188"/>
    <mergeCell ref="E189:F189"/>
    <mergeCell ref="E190:F190"/>
    <mergeCell ref="E122:F122"/>
    <mergeCell ref="E132:I132"/>
    <mergeCell ref="E133:F133"/>
    <mergeCell ref="E175:F175"/>
    <mergeCell ref="E176:F176"/>
    <mergeCell ref="E177:F177"/>
    <mergeCell ref="E131:F131"/>
    <mergeCell ref="E123:F123"/>
    <mergeCell ref="E99:F99"/>
    <mergeCell ref="E100:F100"/>
    <mergeCell ref="E111:I111"/>
    <mergeCell ref="E112:F112"/>
    <mergeCell ref="E120:F120"/>
    <mergeCell ref="E121:F121"/>
    <mergeCell ref="E101:F101"/>
    <mergeCell ref="E86:F86"/>
    <mergeCell ref="E87:F87"/>
    <mergeCell ref="E88:F88"/>
    <mergeCell ref="E89:I89"/>
    <mergeCell ref="E90:F90"/>
    <mergeCell ref="E98:F98"/>
    <mergeCell ref="E59:I59"/>
    <mergeCell ref="E60:I60"/>
    <mergeCell ref="E61:F61"/>
    <mergeCell ref="E32:F32"/>
    <mergeCell ref="E40:F40"/>
    <mergeCell ref="E41:F41"/>
    <mergeCell ref="E42:F42"/>
    <mergeCell ref="E43:I43"/>
    <mergeCell ref="E44:F44"/>
    <mergeCell ref="E8:I8"/>
    <mergeCell ref="E9:I9"/>
    <mergeCell ref="E28:F28"/>
    <mergeCell ref="E29:F29"/>
    <mergeCell ref="E30:F30"/>
    <mergeCell ref="E31:I31"/>
    <mergeCell ref="E56:F56"/>
    <mergeCell ref="E57:F57"/>
    <mergeCell ref="E58:F58"/>
  </mergeCells>
  <phoneticPr fontId="5" type="noConversion"/>
  <hyperlinks>
    <hyperlink ref="E6" location="现金流量表项目测试表!D414" display="各项差异明细" xr:uid="{00000000-0004-0000-1000-000000000000}"/>
    <hyperlink ref="G6" location="现金流量表项目测试表!B453" display="编制说明：" xr:uid="{00000000-0004-0000-1000-000001000000}"/>
    <hyperlink ref="A414" location="附注填写封面!B3" display="返回目录" xr:uid="{00000000-0004-0000-1000-000002000000}"/>
    <hyperlink ref="A427" location="附注填写封面!B3" display="返回目录" xr:uid="{00000000-0004-0000-1000-000003000000}"/>
    <hyperlink ref="A449" location="附注填写封面!B3" display="返回目录" xr:uid="{00000000-0004-0000-1000-000004000000}"/>
    <hyperlink ref="A108" location="附注填写封面!B3" display="返回目录" xr:uid="{00000000-0004-0000-1000-000005000000}"/>
    <hyperlink ref="A118" location="附注填写封面!B3" display="返回目录" xr:uid="{00000000-0004-0000-1000-000006000000}"/>
    <hyperlink ref="A137" location="附注填写封面!B3" display="返回目录" xr:uid="{00000000-0004-0000-1000-000007000000}"/>
    <hyperlink ref="A150" location="附注填写封面!B3" display="返回目录" xr:uid="{00000000-0004-0000-1000-000008000000}"/>
    <hyperlink ref="A167" location="附注填写封面!B3" display="返回目录" xr:uid="{00000000-0004-0000-1000-000009000000}"/>
    <hyperlink ref="A183" location="附注填写封面!B3" display="返回目录" xr:uid="{00000000-0004-0000-1000-00000A000000}"/>
    <hyperlink ref="A199" location="附注填写封面!B3" display="返回目录" xr:uid="{00000000-0004-0000-1000-00000B000000}"/>
    <hyperlink ref="A217" location="附注填写封面!B3" display="返回目录" xr:uid="{00000000-0004-0000-1000-00000C000000}"/>
    <hyperlink ref="A228" location="附注填写封面!B3" display="返回目录" xr:uid="{00000000-0004-0000-1000-00000D000000}"/>
    <hyperlink ref="A243" location="附注填写封面!B3" display="返回目录" xr:uid="{00000000-0004-0000-1000-00000E000000}"/>
    <hyperlink ref="A256" location="附注填写封面!B3" display="返回目录" xr:uid="{00000000-0004-0000-1000-00000F000000}"/>
    <hyperlink ref="A267" location="附注填写封面!B3" display="返回目录" xr:uid="{00000000-0004-0000-1000-000010000000}"/>
    <hyperlink ref="A276" location="附注填写封面!B3" display="返回目录" xr:uid="{00000000-0004-0000-1000-000011000000}"/>
    <hyperlink ref="A285" location="附注填写封面!B3" display="返回目录" xr:uid="{00000000-0004-0000-1000-000012000000}"/>
    <hyperlink ref="A299" location="附注填写封面!B3" display="返回目录" xr:uid="{00000000-0004-0000-1000-000013000000}"/>
    <hyperlink ref="A314" location="附注填写封面!B3" display="返回目录" xr:uid="{00000000-0004-0000-1000-000014000000}"/>
    <hyperlink ref="A325" location="附注填写封面!B3" display="返回目录" xr:uid="{00000000-0004-0000-1000-000015000000}"/>
    <hyperlink ref="A338" location="附注填写封面!B3" display="返回目录" xr:uid="{00000000-0004-0000-1000-000016000000}"/>
    <hyperlink ref="A350" location="附注填写封面!B3" display="返回目录" xr:uid="{00000000-0004-0000-1000-000017000000}"/>
    <hyperlink ref="A359" location="附注填写封面!B3" display="返回目录" xr:uid="{00000000-0004-0000-1000-000018000000}"/>
    <hyperlink ref="A374" location="附注填写封面!B3" display="返回目录" xr:uid="{00000000-0004-0000-1000-000019000000}"/>
    <hyperlink ref="A385" location="附注填写封面!B3" display="返回目录" xr:uid="{00000000-0004-0000-1000-00001A000000}"/>
    <hyperlink ref="A394" location="附注填写封面!B3" display="返回目录" xr:uid="{00000000-0004-0000-1000-00001B000000}"/>
    <hyperlink ref="A408" location="附注填写封面!B3" display="返回目录" xr:uid="{00000000-0004-0000-1000-00001C000000}"/>
    <hyperlink ref="A442" location="附注填写封面!B3" display="返回目录" xr:uid="{00000000-0004-0000-1000-00001D000000}"/>
    <hyperlink ref="A434" location="附注填写封面!B3" display="返回目录" xr:uid="{00000000-0004-0000-1000-00001E000000}"/>
    <hyperlink ref="A10" location="附注填写封面!B3" display="返回目录" xr:uid="{00000000-0004-0000-1000-00001F000000}"/>
    <hyperlink ref="A2" location="附注填写封面!B3" display="返回目录" xr:uid="{00000000-0004-0000-1000-000020000000}"/>
    <hyperlink ref="A32" location="附注填写封面!B3" display="返回目录" xr:uid="{00000000-0004-0000-1000-000021000000}"/>
    <hyperlink ref="A25" location="附注填写封面!B3" display="返回目录" xr:uid="{00000000-0004-0000-1000-000022000000}"/>
    <hyperlink ref="A17" location="附注填写封面!B3" display="返回目录" xr:uid="{00000000-0004-0000-1000-000023000000}"/>
    <hyperlink ref="A51" location="附注填写封面!B3" display="返回目录" xr:uid="{00000000-0004-0000-1000-000024000000}"/>
    <hyperlink ref="A44" location="附注填写封面!B3" display="返回目录" xr:uid="{00000000-0004-0000-1000-000025000000}"/>
    <hyperlink ref="A36" location="附注填写封面!B3" display="返回目录" xr:uid="{00000000-0004-0000-1000-000026000000}"/>
    <hyperlink ref="A71" location="附注填写封面!B3" display="返回目录" xr:uid="{00000000-0004-0000-1000-000027000000}"/>
    <hyperlink ref="A64" location="附注填写封面!B3" display="返回目录" xr:uid="{00000000-0004-0000-1000-000028000000}"/>
    <hyperlink ref="A56" location="附注填写封面!B3" display="返回目录" xr:uid="{00000000-0004-0000-1000-000029000000}"/>
    <hyperlink ref="A94" location="附注填写封面!B3" display="返回目录" xr:uid="{00000000-0004-0000-1000-00002A000000}"/>
    <hyperlink ref="A87" location="附注填写封面!B3" display="返回目录" xr:uid="{00000000-0004-0000-1000-00002B000000}"/>
    <hyperlink ref="A79" location="附注填写封面!B3" display="返回目录" xr:uid="{00000000-0004-0000-1000-00002C000000}"/>
    <hyperlink ref="K6" location="附注填写封面!B3" display="返回目录" xr:uid="{00000000-0004-0000-1000-00002D000000}"/>
  </hyperlinks>
  <printOptions horizontalCentered="1"/>
  <pageMargins left="0" right="0" top="0.98425196850393704" bottom="0.98425196850393704" header="0.51181102362204722" footer="0.51181102362204722"/>
  <pageSetup paperSize="9" scale="75" firstPageNumber="4294963191" orientation="landscape" blackAndWhite="1" r:id="rId1"/>
  <headerFooter alignWithMargins="0">
    <oddFooter>&amp;L&amp;"Arial,常规"&amp;10 2013.8&amp;C&amp;P/&amp;N</oddFooter>
  </headerFooter>
  <rowBreaks count="1" manualBreakCount="1">
    <brk id="110" min="4" max="259" man="1"/>
  </rowBreaks>
  <drawing r:id="rId2"/>
  <legacyDrawing r:id="rId3"/>
  <oleObjects>
    <mc:AlternateContent xmlns:mc="http://schemas.openxmlformats.org/markup-compatibility/2006">
      <mc:Choice Requires="x14">
        <oleObject progId="Imaging.Document" shapeId="4097" r:id="rId4">
          <objectPr defaultSize="0" autoPict="0" r:id="rId5">
            <anchor moveWithCells="1" sizeWithCells="1">
              <from>
                <xdr:col>9</xdr:col>
                <xdr:colOff>0</xdr:colOff>
                <xdr:row>4</xdr:row>
                <xdr:rowOff>0</xdr:rowOff>
              </from>
              <to>
                <xdr:col>9</xdr:col>
                <xdr:colOff>9525</xdr:colOff>
                <xdr:row>4</xdr:row>
                <xdr:rowOff>0</xdr:rowOff>
              </to>
            </anchor>
          </objectPr>
        </oleObject>
      </mc:Choice>
      <mc:Fallback>
        <oleObject progId="Imaging.Document" shapeId="4097" r:id="rId4"/>
      </mc:Fallback>
    </mc:AlternateContent>
  </oleObjects>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
    <pageSetUpPr autoPageBreaks="0" fitToPage="1"/>
  </sheetPr>
  <dimension ref="A1:M171"/>
  <sheetViews>
    <sheetView showGridLines="0" showZeros="0" zoomScaleSheetLayoutView="100" workbookViewId="0">
      <pane xSplit="1" ySplit="7" topLeftCell="B8" activePane="bottomRight" state="frozen"/>
      <selection activeCell="A5" sqref="A5:A6"/>
      <selection pane="topRight" activeCell="A5" sqref="A5:A6"/>
      <selection pane="bottomLeft" activeCell="A5" sqref="A5:A6"/>
      <selection pane="bottomRight" activeCell="C8" sqref="C8"/>
    </sheetView>
  </sheetViews>
  <sheetFormatPr defaultColWidth="14" defaultRowHeight="14.25"/>
  <cols>
    <col min="1" max="1" width="23.125" style="45" customWidth="1"/>
    <col min="2" max="4" width="13.125" style="75" customWidth="1"/>
    <col min="5" max="5" width="13.125" style="45" customWidth="1"/>
    <col min="6" max="6" width="9.5" style="45" customWidth="1"/>
    <col min="7" max="7" width="11.375" style="45" customWidth="1"/>
    <col min="8" max="9" width="9" style="45" customWidth="1"/>
    <col min="10" max="10" width="9.125" style="45" customWidth="1"/>
    <col min="11" max="11" width="25" style="45" hidden="1" customWidth="1"/>
    <col min="12" max="13" width="9.125" style="45" customWidth="1"/>
    <col min="14" max="255" width="9" style="45" customWidth="1"/>
    <col min="256" max="16384" width="14" style="45"/>
  </cols>
  <sheetData>
    <row r="1" spans="1:13" s="69" customFormat="1" ht="23.25" customHeight="1" thickBot="1">
      <c r="A1" s="40" t="s">
        <v>332</v>
      </c>
      <c r="B1" s="66"/>
      <c r="C1" s="66"/>
      <c r="D1" s="67"/>
      <c r="E1" s="67"/>
      <c r="F1" s="67"/>
      <c r="G1" s="68"/>
      <c r="I1" s="76" t="s">
        <v>2</v>
      </c>
    </row>
    <row r="2" spans="1:13" s="81" customFormat="1" ht="18" customHeight="1">
      <c r="A2" s="313" t="str">
        <f>封面!$E$4</f>
        <v>被审计单位：华鼎资本（北京）有限公司</v>
      </c>
      <c r="B2" s="77"/>
      <c r="C2" s="4" t="s">
        <v>20</v>
      </c>
      <c r="D2" s="78"/>
      <c r="E2" s="79"/>
      <c r="F2" s="4" t="s">
        <v>21</v>
      </c>
      <c r="G2" s="80"/>
      <c r="I2" s="1788" t="s">
        <v>243</v>
      </c>
      <c r="J2" s="1788"/>
      <c r="K2" s="324">
        <f>试算平衡表!B6</f>
        <v>0</v>
      </c>
      <c r="L2" s="82"/>
      <c r="M2" s="82"/>
    </row>
    <row r="3" spans="1:13" s="81" customFormat="1" ht="18" customHeight="1">
      <c r="A3" s="314" t="str">
        <f>"项目："&amp;A8&amp;"导引表"</f>
        <v>项目：货币资金导引表</v>
      </c>
      <c r="B3" s="83"/>
      <c r="C3" s="6" t="s">
        <v>45</v>
      </c>
      <c r="D3" s="316" t="str">
        <f>封面!C8</f>
        <v>王咲晨</v>
      </c>
      <c r="E3" s="84"/>
      <c r="F3" s="6" t="s">
        <v>46</v>
      </c>
      <c r="G3" s="318">
        <f>封面!C10</f>
        <v>0</v>
      </c>
      <c r="I3" s="1788"/>
      <c r="J3" s="1788"/>
      <c r="K3" s="324" t="str">
        <f>试算平衡表!B7</f>
        <v>货币资金</v>
      </c>
      <c r="L3" s="82"/>
      <c r="M3" s="82"/>
    </row>
    <row r="4" spans="1:13" s="81" customFormat="1" ht="18" customHeight="1" thickBot="1">
      <c r="A4" s="7" t="s">
        <v>22</v>
      </c>
      <c r="B4" s="315">
        <f>封面!C5</f>
        <v>43616</v>
      </c>
      <c r="C4" s="8" t="s">
        <v>23</v>
      </c>
      <c r="D4" s="317" t="str">
        <f>封面!C9</f>
        <v>逯敏</v>
      </c>
      <c r="E4" s="85"/>
      <c r="F4" s="8" t="s">
        <v>46</v>
      </c>
      <c r="G4" s="319">
        <f>封面!C11</f>
        <v>0</v>
      </c>
      <c r="K4" s="324" t="str">
        <f>试算平衡表!B8</f>
        <v>结算备付金</v>
      </c>
      <c r="L4" s="82"/>
      <c r="M4" s="82"/>
    </row>
    <row r="5" spans="1:13" s="44" customFormat="1" ht="7.7" customHeight="1" thickBot="1">
      <c r="A5" s="41"/>
      <c r="B5" s="42"/>
      <c r="C5" s="42"/>
      <c r="D5" s="43"/>
      <c r="E5" s="43"/>
      <c r="F5" s="43"/>
      <c r="G5" s="41"/>
      <c r="K5" s="325" t="str">
        <f>试算平衡表!B9</f>
        <v>拆出资金</v>
      </c>
      <c r="L5" s="45"/>
      <c r="M5" s="45"/>
    </row>
    <row r="6" spans="1:13" s="5" customFormat="1" ht="17.25" customHeight="1">
      <c r="A6" s="1800" t="s">
        <v>3</v>
      </c>
      <c r="B6" s="1805" t="s">
        <v>4</v>
      </c>
      <c r="C6" s="1802" t="s">
        <v>5</v>
      </c>
      <c r="D6" s="1803"/>
      <c r="E6" s="1804"/>
      <c r="F6" s="1807" t="s">
        <v>6</v>
      </c>
      <c r="G6" s="1798" t="s">
        <v>7</v>
      </c>
      <c r="K6" s="326" t="str">
        <f>试算平衡表!B11</f>
        <v>衍生金融资产</v>
      </c>
    </row>
    <row r="7" spans="1:13" s="5" customFormat="1" ht="17.25" customHeight="1">
      <c r="A7" s="1801"/>
      <c r="B7" s="1806"/>
      <c r="C7" s="86" t="s">
        <v>8</v>
      </c>
      <c r="D7" s="86" t="s">
        <v>9</v>
      </c>
      <c r="E7" s="86" t="s">
        <v>10</v>
      </c>
      <c r="F7" s="1808"/>
      <c r="G7" s="1799"/>
      <c r="H7" s="87"/>
      <c r="K7" s="326" t="str">
        <f>试算平衡表!B12</f>
        <v>应收票据</v>
      </c>
    </row>
    <row r="8" spans="1:13" ht="17.25" customHeight="1">
      <c r="A8" s="36" t="s">
        <v>53</v>
      </c>
      <c r="B8" s="320">
        <f>VLOOKUP(A8,试算平衡表!B:N,13,FALSE)</f>
        <v>6270239.29</v>
      </c>
      <c r="C8" s="320">
        <f>VLOOKUP(A8,试算平衡表!B:N,4,FALSE)</f>
        <v>1273033.68</v>
      </c>
      <c r="D8" s="320">
        <f>E8-C8</f>
        <v>0</v>
      </c>
      <c r="E8" s="320">
        <f>VLOOKUP(A8,试算平衡表!B:N,8,FALSE)</f>
        <v>1273033.68</v>
      </c>
      <c r="F8" s="321">
        <f>IF(AND(B8=0,E8=0),0,IF(B8&lt;=0,"不适用",(E8-B8)/B8))</f>
        <v>-0.79697207377232337</v>
      </c>
      <c r="G8" s="62"/>
      <c r="H8" s="61"/>
      <c r="K8" s="325" t="str">
        <f>试算平衡表!B13</f>
        <v>应收账款</v>
      </c>
    </row>
    <row r="9" spans="1:13" ht="17.25" customHeight="1">
      <c r="A9" s="36"/>
      <c r="B9" s="32"/>
      <c r="C9" s="32"/>
      <c r="D9" s="32"/>
      <c r="E9" s="38"/>
      <c r="F9" s="39"/>
      <c r="G9" s="63"/>
      <c r="H9" s="61"/>
      <c r="K9" s="325" t="str">
        <f>试算平衡表!B14</f>
        <v>预付款项</v>
      </c>
    </row>
    <row r="10" spans="1:13" ht="17.25" customHeight="1">
      <c r="A10" s="36"/>
      <c r="B10" s="32"/>
      <c r="C10" s="32"/>
      <c r="D10" s="32"/>
      <c r="E10" s="38"/>
      <c r="F10" s="39"/>
      <c r="G10" s="63"/>
      <c r="H10" s="61"/>
      <c r="K10" s="325" t="str">
        <f>试算平衡表!B15</f>
        <v>应收保费</v>
      </c>
    </row>
    <row r="11" spans="1:13" ht="17.25" customHeight="1">
      <c r="A11" s="36"/>
      <c r="B11" s="32"/>
      <c r="C11" s="32"/>
      <c r="D11" s="32"/>
      <c r="E11" s="38"/>
      <c r="F11" s="39"/>
      <c r="G11" s="63"/>
      <c r="H11" s="61"/>
      <c r="K11" s="325" t="str">
        <f>试算平衡表!B16</f>
        <v>应收分保账款</v>
      </c>
    </row>
    <row r="12" spans="1:13" ht="17.25" customHeight="1">
      <c r="A12" s="36"/>
      <c r="B12" s="32"/>
      <c r="C12" s="32"/>
      <c r="D12" s="32"/>
      <c r="E12" s="38"/>
      <c r="F12" s="39"/>
      <c r="G12" s="63"/>
      <c r="H12" s="61"/>
      <c r="K12" s="325" t="str">
        <f>试算平衡表!B17</f>
        <v>应收分保准备金</v>
      </c>
    </row>
    <row r="13" spans="1:13" ht="17.25" customHeight="1">
      <c r="A13" s="36"/>
      <c r="B13" s="32"/>
      <c r="C13" s="32"/>
      <c r="D13" s="32"/>
      <c r="E13" s="38"/>
      <c r="F13" s="39"/>
      <c r="G13" s="63"/>
      <c r="H13" s="61"/>
      <c r="K13" s="325" t="str">
        <f>试算平衡表!B18</f>
        <v>应收利息</v>
      </c>
    </row>
    <row r="14" spans="1:13" ht="17.25" customHeight="1">
      <c r="A14" s="36"/>
      <c r="B14" s="32"/>
      <c r="C14" s="32"/>
      <c r="D14" s="32"/>
      <c r="E14" s="38"/>
      <c r="F14" s="39"/>
      <c r="G14" s="63"/>
      <c r="H14" s="61"/>
      <c r="K14" s="325" t="str">
        <f>试算平衡表!B19</f>
        <v>应收股利</v>
      </c>
    </row>
    <row r="15" spans="1:13" ht="17.25" customHeight="1">
      <c r="A15" s="36"/>
      <c r="B15" s="32"/>
      <c r="C15" s="32"/>
      <c r="D15" s="32"/>
      <c r="E15" s="38"/>
      <c r="F15" s="39"/>
      <c r="G15" s="63"/>
      <c r="H15" s="61"/>
      <c r="K15" s="325" t="str">
        <f>试算平衡表!B20</f>
        <v>其他应收款</v>
      </c>
    </row>
    <row r="16" spans="1:13" ht="17.25" customHeight="1">
      <c r="A16" s="36"/>
      <c r="B16" s="32"/>
      <c r="C16" s="32"/>
      <c r="D16" s="32"/>
      <c r="E16" s="38"/>
      <c r="F16" s="39"/>
      <c r="G16" s="63"/>
      <c r="H16" s="61"/>
      <c r="K16" s="325" t="str">
        <f>试算平衡表!B21</f>
        <v>买入返售金融资产</v>
      </c>
    </row>
    <row r="17" spans="1:11" ht="17.25" customHeight="1">
      <c r="A17" s="36"/>
      <c r="B17" s="32"/>
      <c r="C17" s="32"/>
      <c r="D17" s="32"/>
      <c r="E17" s="38"/>
      <c r="F17" s="39"/>
      <c r="G17" s="63"/>
      <c r="H17" s="61"/>
      <c r="K17" s="325" t="str">
        <f>试算平衡表!B22</f>
        <v>存货</v>
      </c>
    </row>
    <row r="18" spans="1:11" ht="17.25" customHeight="1">
      <c r="A18" s="36" t="s">
        <v>11</v>
      </c>
      <c r="B18" s="32"/>
      <c r="C18" s="32"/>
      <c r="D18" s="32"/>
      <c r="E18" s="38"/>
      <c r="F18" s="39"/>
      <c r="G18" s="63"/>
      <c r="H18" s="61"/>
      <c r="K18" s="325">
        <f>试算平衡表!B23</f>
        <v>0</v>
      </c>
    </row>
    <row r="19" spans="1:11" ht="17.25" customHeight="1">
      <c r="A19" s="37" t="s">
        <v>12</v>
      </c>
      <c r="B19" s="322">
        <f>SUM(B8:B18)</f>
        <v>6270239.29</v>
      </c>
      <c r="C19" s="322">
        <f>SUM(C8:C18)</f>
        <v>1273033.68</v>
      </c>
      <c r="D19" s="322">
        <f>SUM(D8:D18)</f>
        <v>0</v>
      </c>
      <c r="E19" s="322">
        <f>SUM(E8:E18)</f>
        <v>1273033.68</v>
      </c>
      <c r="F19" s="323">
        <f>IF(AND(B19=0,E19=0),0,IF(B19&lt;=0,"不适用",(E19-B19)/B19))</f>
        <v>-0.79697207377232337</v>
      </c>
      <c r="G19" s="64"/>
      <c r="K19" s="325">
        <f>试算平衡表!B24</f>
        <v>0</v>
      </c>
    </row>
    <row r="20" spans="1:11" ht="17.25" customHeight="1" thickBot="1">
      <c r="A20" s="70"/>
      <c r="B20" s="71"/>
      <c r="C20" s="71"/>
      <c r="D20" s="71"/>
      <c r="E20" s="72"/>
      <c r="F20" s="73"/>
      <c r="G20" s="74"/>
      <c r="K20" s="325" t="str">
        <f>试算平衡表!B26</f>
        <v>一年内到期的非流动资产</v>
      </c>
    </row>
    <row r="21" spans="1:11" s="5" customFormat="1" ht="13.9" customHeight="1">
      <c r="A21" s="65"/>
      <c r="B21" s="9"/>
      <c r="C21" s="9"/>
      <c r="D21" s="9"/>
      <c r="E21" s="10"/>
      <c r="F21" s="10"/>
      <c r="G21" s="10"/>
      <c r="K21" s="326" t="str">
        <f>试算平衡表!B27</f>
        <v>其他流动资产</v>
      </c>
    </row>
    <row r="22" spans="1:11" s="5" customFormat="1" ht="18.95" customHeight="1" thickBot="1">
      <c r="A22" s="11" t="s">
        <v>13</v>
      </c>
      <c r="B22" s="12"/>
      <c r="C22" s="12"/>
      <c r="D22" s="12"/>
      <c r="E22" s="13"/>
      <c r="F22" s="13"/>
      <c r="G22" s="13"/>
      <c r="K22" s="326">
        <f>试算平衡表!B28</f>
        <v>0</v>
      </c>
    </row>
    <row r="23" spans="1:11" s="5" customFormat="1" ht="17.25" customHeight="1">
      <c r="A23" s="1789"/>
      <c r="B23" s="1790"/>
      <c r="C23" s="1790"/>
      <c r="D23" s="1790"/>
      <c r="E23" s="1790"/>
      <c r="F23" s="1790"/>
      <c r="G23" s="1791"/>
      <c r="K23" s="326">
        <f>试算平衡表!B29</f>
        <v>0</v>
      </c>
    </row>
    <row r="24" spans="1:11" s="5" customFormat="1" ht="17.25" customHeight="1">
      <c r="A24" s="1792"/>
      <c r="B24" s="1793"/>
      <c r="C24" s="1793"/>
      <c r="D24" s="1793"/>
      <c r="E24" s="1793"/>
      <c r="F24" s="1793"/>
      <c r="G24" s="1794"/>
      <c r="K24" s="326" t="str">
        <f>试算平衡表!B30</f>
        <v>发放贷款及垫款</v>
      </c>
    </row>
    <row r="25" spans="1:11" s="5" customFormat="1" ht="17.25" customHeight="1">
      <c r="A25" s="1792"/>
      <c r="B25" s="1793"/>
      <c r="C25" s="1793"/>
      <c r="D25" s="1793"/>
      <c r="E25" s="1793"/>
      <c r="F25" s="1793"/>
      <c r="G25" s="1794"/>
      <c r="K25" s="326" t="str">
        <f>试算平衡表!B31</f>
        <v>可供出售金融资产</v>
      </c>
    </row>
    <row r="26" spans="1:11" s="5" customFormat="1" ht="17.25" customHeight="1">
      <c r="A26" s="1792"/>
      <c r="B26" s="1793"/>
      <c r="C26" s="1793"/>
      <c r="D26" s="1793"/>
      <c r="E26" s="1793"/>
      <c r="F26" s="1793"/>
      <c r="G26" s="1794"/>
      <c r="K26" s="326" t="str">
        <f>试算平衡表!B32</f>
        <v>持有至到期投资</v>
      </c>
    </row>
    <row r="27" spans="1:11" s="5" customFormat="1" ht="17.25" customHeight="1">
      <c r="A27" s="1792"/>
      <c r="B27" s="1793"/>
      <c r="C27" s="1793"/>
      <c r="D27" s="1793"/>
      <c r="E27" s="1793"/>
      <c r="F27" s="1793"/>
      <c r="G27" s="1794"/>
      <c r="K27" s="326" t="str">
        <f>试算平衡表!B33</f>
        <v>长期应收款</v>
      </c>
    </row>
    <row r="28" spans="1:11" s="5" customFormat="1" ht="17.25" customHeight="1">
      <c r="A28" s="1792"/>
      <c r="B28" s="1793"/>
      <c r="C28" s="1793"/>
      <c r="D28" s="1793"/>
      <c r="E28" s="1793"/>
      <c r="F28" s="1793"/>
      <c r="G28" s="1794"/>
      <c r="K28" s="326" t="str">
        <f>试算平衡表!B34</f>
        <v>长期股权投资</v>
      </c>
    </row>
    <row r="29" spans="1:11" s="5" customFormat="1" ht="17.25" customHeight="1" thickBot="1">
      <c r="A29" s="1795"/>
      <c r="B29" s="1796"/>
      <c r="C29" s="1796"/>
      <c r="D29" s="1796"/>
      <c r="E29" s="1796"/>
      <c r="F29" s="1796"/>
      <c r="G29" s="1797"/>
      <c r="K29" s="326" t="str">
        <f>试算平衡表!B35</f>
        <v>投资性房地产</v>
      </c>
    </row>
    <row r="30" spans="1:11" s="5" customFormat="1" ht="7.7" customHeight="1">
      <c r="A30" s="18"/>
      <c r="B30" s="9"/>
      <c r="C30" s="9"/>
      <c r="D30" s="9"/>
      <c r="E30" s="10"/>
      <c r="F30" s="10"/>
      <c r="G30" s="14"/>
      <c r="K30" s="326" t="str">
        <f>试算平衡表!B36</f>
        <v>固定资产原价</v>
      </c>
    </row>
    <row r="31" spans="1:11" s="5" customFormat="1" ht="16.5" customHeight="1" thickBot="1">
      <c r="A31" s="19" t="s">
        <v>47</v>
      </c>
      <c r="B31" s="15"/>
      <c r="C31" s="15"/>
      <c r="D31" s="15"/>
      <c r="E31" s="16"/>
      <c r="F31" s="16"/>
      <c r="G31" s="17"/>
      <c r="K31" s="326" t="str">
        <f>试算平衡表!B37</f>
        <v>累计折旧</v>
      </c>
    </row>
    <row r="32" spans="1:11" s="5" customFormat="1" ht="16.5" customHeight="1" thickBot="1">
      <c r="A32" s="20" t="s">
        <v>14</v>
      </c>
      <c r="B32" s="21"/>
      <c r="C32" s="21"/>
      <c r="D32" s="21"/>
      <c r="E32" s="21"/>
      <c r="F32" s="21"/>
      <c r="G32" s="22"/>
      <c r="K32" s="326">
        <f>试算平衡表!B38</f>
        <v>0</v>
      </c>
    </row>
    <row r="33" spans="1:11" s="5" customFormat="1" ht="16.5" customHeight="1" thickBot="1">
      <c r="A33" s="20"/>
      <c r="B33" s="21"/>
      <c r="C33" s="21"/>
      <c r="D33" s="21"/>
      <c r="E33" s="21"/>
      <c r="F33" s="21"/>
      <c r="G33" s="23"/>
      <c r="K33" s="326" t="str">
        <f>试算平衡表!B39</f>
        <v>固定资产减值准备</v>
      </c>
    </row>
    <row r="34" spans="1:11" s="5" customFormat="1" ht="16.5" customHeight="1" thickBot="1">
      <c r="A34" s="20" t="s">
        <v>15</v>
      </c>
      <c r="B34" s="21"/>
      <c r="C34" s="21"/>
      <c r="D34" s="21"/>
      <c r="E34" s="21"/>
      <c r="F34" s="21"/>
      <c r="G34" s="22"/>
      <c r="K34" s="326">
        <f>试算平衡表!B40</f>
        <v>0</v>
      </c>
    </row>
    <row r="35" spans="1:11" s="5" customFormat="1" ht="16.5" customHeight="1" thickBot="1">
      <c r="A35" s="20"/>
      <c r="B35" s="21"/>
      <c r="C35" s="21"/>
      <c r="D35" s="21"/>
      <c r="E35" s="21"/>
      <c r="F35" s="21"/>
      <c r="G35" s="23"/>
      <c r="K35" s="326" t="str">
        <f>试算平衡表!B41</f>
        <v>在建工程</v>
      </c>
    </row>
    <row r="36" spans="1:11" s="5" customFormat="1" ht="17.25" customHeight="1" thickBot="1">
      <c r="A36" s="24" t="s">
        <v>16</v>
      </c>
      <c r="B36" s="25"/>
      <c r="C36" s="25"/>
      <c r="D36" s="25"/>
      <c r="E36" s="25"/>
      <c r="F36" s="25"/>
      <c r="G36" s="22"/>
      <c r="K36" s="326" t="str">
        <f>试算平衡表!B42</f>
        <v>工程物资</v>
      </c>
    </row>
    <row r="37" spans="1:11" s="5" customFormat="1" ht="17.25" customHeight="1">
      <c r="A37" s="5" t="s">
        <v>17</v>
      </c>
      <c r="B37" s="277"/>
      <c r="C37" s="277"/>
      <c r="D37" s="277"/>
      <c r="K37" s="326" t="str">
        <f>试算平衡表!B43</f>
        <v>固定资产清理</v>
      </c>
    </row>
    <row r="38" spans="1:11" s="5" customFormat="1" ht="17.25" customHeight="1">
      <c r="A38" s="5" t="s">
        <v>18</v>
      </c>
      <c r="B38" s="277"/>
      <c r="C38" s="277"/>
      <c r="D38" s="277"/>
      <c r="K38" s="326" t="str">
        <f>试算平衡表!B44</f>
        <v>生产性生物资产</v>
      </c>
    </row>
    <row r="39" spans="1:11" s="5" customFormat="1" ht="17.25" customHeight="1">
      <c r="A39" s="5" t="s">
        <v>19</v>
      </c>
      <c r="B39" s="277"/>
      <c r="C39" s="277"/>
      <c r="D39" s="277"/>
      <c r="K39" s="326" t="str">
        <f>试算平衡表!B45</f>
        <v>油气资产</v>
      </c>
    </row>
    <row r="40" spans="1:11" ht="17.25" customHeight="1">
      <c r="K40" s="325" t="str">
        <f>试算平衡表!B46</f>
        <v>无形资产</v>
      </c>
    </row>
    <row r="41" spans="1:11" ht="17.25" customHeight="1">
      <c r="K41" s="325" t="str">
        <f>试算平衡表!B47</f>
        <v>开发支出</v>
      </c>
    </row>
    <row r="42" spans="1:11">
      <c r="K42" s="325" t="str">
        <f>试算平衡表!B48</f>
        <v>商誉</v>
      </c>
    </row>
    <row r="43" spans="1:11">
      <c r="K43" s="325" t="str">
        <f>试算平衡表!B49</f>
        <v>长期待摊费用</v>
      </c>
    </row>
    <row r="44" spans="1:11">
      <c r="K44" s="325" t="str">
        <f>试算平衡表!B50</f>
        <v>递延所得税资产</v>
      </c>
    </row>
    <row r="45" spans="1:11">
      <c r="K45" s="325" t="str">
        <f>试算平衡表!B51</f>
        <v>其他非流动资产</v>
      </c>
    </row>
    <row r="46" spans="1:11">
      <c r="K46" s="325">
        <f>试算平衡表!B52</f>
        <v>0</v>
      </c>
    </row>
    <row r="47" spans="1:11">
      <c r="K47" s="325">
        <f>试算平衡表!B53</f>
        <v>0</v>
      </c>
    </row>
    <row r="48" spans="1:11">
      <c r="K48" s="325">
        <f>试算平衡表!B54</f>
        <v>0</v>
      </c>
    </row>
    <row r="49" spans="11:11">
      <c r="K49" s="325">
        <f>试算平衡表!B55</f>
        <v>0</v>
      </c>
    </row>
    <row r="50" spans="11:11">
      <c r="K50" s="325">
        <f>试算平衡表!B56</f>
        <v>0</v>
      </c>
    </row>
    <row r="51" spans="11:11">
      <c r="K51" s="325">
        <f>试算平衡表!B57</f>
        <v>0</v>
      </c>
    </row>
    <row r="52" spans="11:11">
      <c r="K52" s="325">
        <f>试算平衡表!B58</f>
        <v>0</v>
      </c>
    </row>
    <row r="53" spans="11:11">
      <c r="K53" s="325">
        <f>试算平衡表!B59</f>
        <v>0</v>
      </c>
    </row>
    <row r="54" spans="11:11">
      <c r="K54" s="325">
        <f>试算平衡表!B60</f>
        <v>0</v>
      </c>
    </row>
    <row r="55" spans="11:11">
      <c r="K55" s="325" t="str">
        <f>试算平衡表!B61</f>
        <v>短期借款</v>
      </c>
    </row>
    <row r="56" spans="11:11">
      <c r="K56" s="325" t="str">
        <f>试算平衡表!B62</f>
        <v>向中央银行借款</v>
      </c>
    </row>
    <row r="57" spans="11:11">
      <c r="K57" s="325" t="str">
        <f>试算平衡表!B63</f>
        <v>吸收存款及同业存放</v>
      </c>
    </row>
    <row r="58" spans="11:11">
      <c r="K58" s="325" t="str">
        <f>试算平衡表!B64</f>
        <v>拆入资金</v>
      </c>
    </row>
    <row r="59" spans="11:11">
      <c r="K59" s="325" t="str">
        <f>试算平衡表!B66</f>
        <v>衍生金融负债</v>
      </c>
    </row>
    <row r="60" spans="11:11">
      <c r="K60" s="325" t="str">
        <f>试算平衡表!B67</f>
        <v>应付票据</v>
      </c>
    </row>
    <row r="61" spans="11:11">
      <c r="K61" s="325" t="str">
        <f>试算平衡表!B68</f>
        <v>应付账款</v>
      </c>
    </row>
    <row r="62" spans="11:11">
      <c r="K62" s="325" t="str">
        <f>试算平衡表!B69</f>
        <v>预收款项</v>
      </c>
    </row>
    <row r="63" spans="11:11">
      <c r="K63" s="325" t="str">
        <f>试算平衡表!B70</f>
        <v>卖出回购金融资产款</v>
      </c>
    </row>
    <row r="64" spans="11:11">
      <c r="K64" s="325" t="str">
        <f>试算平衡表!B71</f>
        <v>应付手续费及佣金</v>
      </c>
    </row>
    <row r="65" spans="11:11">
      <c r="K65" s="325" t="str">
        <f>试算平衡表!B72</f>
        <v>应付职工薪酬</v>
      </c>
    </row>
    <row r="66" spans="11:11">
      <c r="K66" s="325">
        <f>试算平衡表!B73</f>
        <v>0</v>
      </c>
    </row>
    <row r="67" spans="11:11">
      <c r="K67" s="325">
        <f>试算平衡表!B74</f>
        <v>0</v>
      </c>
    </row>
    <row r="68" spans="11:11">
      <c r="K68" s="325">
        <f>试算平衡表!B75</f>
        <v>0</v>
      </c>
    </row>
    <row r="69" spans="11:11">
      <c r="K69" s="325" t="str">
        <f>试算平衡表!B76</f>
        <v>应交税费</v>
      </c>
    </row>
    <row r="70" spans="11:11">
      <c r="K70" s="325">
        <f>试算平衡表!B77</f>
        <v>0</v>
      </c>
    </row>
    <row r="71" spans="11:11">
      <c r="K71" s="325" t="str">
        <f>试算平衡表!B78</f>
        <v>应付利息</v>
      </c>
    </row>
    <row r="72" spans="11:11">
      <c r="K72" s="325" t="str">
        <f>试算平衡表!B79</f>
        <v>应付股利</v>
      </c>
    </row>
    <row r="73" spans="11:11">
      <c r="K73" s="325" t="str">
        <f>试算平衡表!B80</f>
        <v>其他应付款</v>
      </c>
    </row>
    <row r="74" spans="11:11">
      <c r="K74" s="325" t="str">
        <f>试算平衡表!B81</f>
        <v>应付分保账款</v>
      </c>
    </row>
    <row r="75" spans="11:11">
      <c r="K75" s="325" t="str">
        <f>试算平衡表!B82</f>
        <v>保险合同准备金</v>
      </c>
    </row>
    <row r="76" spans="11:11">
      <c r="K76" s="325" t="str">
        <f>试算平衡表!B83</f>
        <v>代理买卖证券款</v>
      </c>
    </row>
    <row r="77" spans="11:11">
      <c r="K77" s="325" t="str">
        <f>试算平衡表!B84</f>
        <v>代理承销证券款</v>
      </c>
    </row>
    <row r="78" spans="11:11">
      <c r="K78" s="325" t="str">
        <f>试算平衡表!B86</f>
        <v>一年内到期的非流动负债</v>
      </c>
    </row>
    <row r="79" spans="11:11">
      <c r="K79" s="325" t="str">
        <f>试算平衡表!B87</f>
        <v>其他流动负债</v>
      </c>
    </row>
    <row r="80" spans="11:11">
      <c r="K80" s="325">
        <f>试算平衡表!B88</f>
        <v>0</v>
      </c>
    </row>
    <row r="81" spans="11:11">
      <c r="K81" s="325">
        <f>试算平衡表!B89</f>
        <v>0</v>
      </c>
    </row>
    <row r="82" spans="11:11">
      <c r="K82" s="325" t="str">
        <f>试算平衡表!B90</f>
        <v>长期借款</v>
      </c>
    </row>
    <row r="83" spans="11:11">
      <c r="K83" s="325" t="str">
        <f>试算平衡表!B91</f>
        <v>应付债券</v>
      </c>
    </row>
    <row r="84" spans="11:11">
      <c r="K84" s="325" t="str">
        <f>试算平衡表!B92</f>
        <v>长期应付款</v>
      </c>
    </row>
    <row r="85" spans="11:11">
      <c r="K85" s="325" t="str">
        <f>试算平衡表!B94</f>
        <v>专项应付款</v>
      </c>
    </row>
    <row r="86" spans="11:11">
      <c r="K86" s="325" t="str">
        <f>试算平衡表!B95</f>
        <v>预计负债</v>
      </c>
    </row>
    <row r="87" spans="11:11">
      <c r="K87" s="325" t="str">
        <f>试算平衡表!B97</f>
        <v>递延所得税负债</v>
      </c>
    </row>
    <row r="88" spans="11:11">
      <c r="K88" s="325" t="str">
        <f>试算平衡表!B98</f>
        <v>其他非流动负债</v>
      </c>
    </row>
    <row r="89" spans="11:11">
      <c r="K89" s="325">
        <f>试算平衡表!B99</f>
        <v>0</v>
      </c>
    </row>
    <row r="90" spans="11:11">
      <c r="K90" s="325">
        <f>试算平衡表!B100</f>
        <v>0</v>
      </c>
    </row>
    <row r="91" spans="11:11">
      <c r="K91" s="325">
        <f>试算平衡表!B101</f>
        <v>0</v>
      </c>
    </row>
    <row r="92" spans="11:11">
      <c r="K92" s="325">
        <f>试算平衡表!B102</f>
        <v>0</v>
      </c>
    </row>
    <row r="93" spans="11:11">
      <c r="K93" s="325" t="str">
        <f>试算平衡表!B103</f>
        <v>实收资本</v>
      </c>
    </row>
    <row r="94" spans="11:11">
      <c r="K94" s="325">
        <f>试算平衡表!B104</f>
        <v>0</v>
      </c>
    </row>
    <row r="95" spans="11:11">
      <c r="K95" s="325">
        <f>试算平衡表!B105</f>
        <v>0</v>
      </c>
    </row>
    <row r="96" spans="11:11">
      <c r="K96" s="325">
        <f>试算平衡表!B106</f>
        <v>0</v>
      </c>
    </row>
    <row r="97" spans="11:11">
      <c r="K97" s="325">
        <f>试算平衡表!B107</f>
        <v>0</v>
      </c>
    </row>
    <row r="98" spans="11:11">
      <c r="K98" s="325">
        <f>试算平衡表!B108</f>
        <v>0</v>
      </c>
    </row>
    <row r="99" spans="11:11">
      <c r="K99" s="325">
        <f>试算平衡表!B109</f>
        <v>0</v>
      </c>
    </row>
    <row r="100" spans="11:11">
      <c r="K100" s="325">
        <f>试算平衡表!B110</f>
        <v>0</v>
      </c>
    </row>
    <row r="101" spans="11:11">
      <c r="K101" s="325">
        <f>试算平衡表!B111</f>
        <v>0</v>
      </c>
    </row>
    <row r="102" spans="11:11">
      <c r="K102" s="325" t="str">
        <f>试算平衡表!B115</f>
        <v>资本公积</v>
      </c>
    </row>
    <row r="103" spans="11:11">
      <c r="K103" s="325" t="str">
        <f>试算平衡表!B116</f>
        <v>库存股</v>
      </c>
    </row>
    <row r="104" spans="11:11">
      <c r="K104" s="325" t="str">
        <f>试算平衡表!B119</f>
        <v>专项储备</v>
      </c>
    </row>
    <row r="105" spans="11:11">
      <c r="K105" s="325" t="str">
        <f>试算平衡表!B120</f>
        <v>盈余公积</v>
      </c>
    </row>
    <row r="106" spans="11:11">
      <c r="K106" s="325">
        <f>试算平衡表!B121</f>
        <v>0</v>
      </c>
    </row>
    <row r="107" spans="11:11">
      <c r="K107" s="325">
        <f>试算平衡表!B122</f>
        <v>0</v>
      </c>
    </row>
    <row r="108" spans="11:11">
      <c r="K108" s="325">
        <f>试算平衡表!B123</f>
        <v>0</v>
      </c>
    </row>
    <row r="109" spans="11:11">
      <c r="K109" s="325">
        <f>试算平衡表!B124</f>
        <v>0</v>
      </c>
    </row>
    <row r="110" spans="11:11">
      <c r="K110" s="325">
        <f>试算平衡表!B125</f>
        <v>0</v>
      </c>
    </row>
    <row r="111" spans="11:11">
      <c r="K111" s="325" t="str">
        <f>试算平衡表!B126</f>
        <v>一般风险准备</v>
      </c>
    </row>
    <row r="112" spans="11:11">
      <c r="K112" s="325" t="str">
        <f>试算平衡表!B127</f>
        <v>未分配利润</v>
      </c>
    </row>
    <row r="113" spans="11:11">
      <c r="K113" s="325" t="e">
        <f>试算平衡表!#REF!</f>
        <v>#REF!</v>
      </c>
    </row>
    <row r="114" spans="11:11">
      <c r="K114" s="325">
        <f>试算平衡表!B128</f>
        <v>0</v>
      </c>
    </row>
    <row r="115" spans="11:11">
      <c r="K115" s="325" t="str">
        <f>试算平衡表!B129</f>
        <v>少数股东权益</v>
      </c>
    </row>
    <row r="116" spans="11:11">
      <c r="K116" s="325">
        <f>试算平衡表!B130</f>
        <v>0</v>
      </c>
    </row>
    <row r="117" spans="11:11">
      <c r="K117" s="325">
        <f>试算平衡表!B130</f>
        <v>0</v>
      </c>
    </row>
    <row r="118" spans="11:11">
      <c r="K118" s="325">
        <f>试算平衡表!B131</f>
        <v>0</v>
      </c>
    </row>
    <row r="119" spans="11:11">
      <c r="K119" s="325">
        <f>试算平衡表!B132</f>
        <v>0</v>
      </c>
    </row>
    <row r="120" spans="11:11">
      <c r="K120" s="325">
        <f>试算平衡表!B133</f>
        <v>0</v>
      </c>
    </row>
    <row r="121" spans="11:11">
      <c r="K121" s="325">
        <f>试算平衡表!B134</f>
        <v>0</v>
      </c>
    </row>
    <row r="122" spans="11:11">
      <c r="K122" s="325">
        <f>试算平衡表!B135</f>
        <v>0</v>
      </c>
    </row>
    <row r="123" spans="11:11">
      <c r="K123" s="325">
        <f>试算平衡表!B136</f>
        <v>0</v>
      </c>
    </row>
    <row r="124" spans="11:11">
      <c r="K124" s="325">
        <f>试算平衡表!B137</f>
        <v>0</v>
      </c>
    </row>
    <row r="125" spans="11:11">
      <c r="K125" s="325">
        <f>试算平衡表!B138</f>
        <v>0</v>
      </c>
    </row>
    <row r="126" spans="11:11">
      <c r="K126" s="325" t="str">
        <f>试算平衡表!B139</f>
        <v>主营业务收入</v>
      </c>
    </row>
    <row r="127" spans="11:11">
      <c r="K127" s="325" t="str">
        <f>试算平衡表!B140</f>
        <v>其他业务收入</v>
      </c>
    </row>
    <row r="128" spans="11:11">
      <c r="K128" s="325" t="str">
        <f>试算平衡表!B141</f>
        <v>利息收入</v>
      </c>
    </row>
    <row r="129" spans="11:11">
      <c r="K129" s="325" t="str">
        <f>试算平衡表!B142</f>
        <v>已赚保费</v>
      </c>
    </row>
    <row r="130" spans="11:11">
      <c r="K130" s="325" t="str">
        <f>试算平衡表!B143</f>
        <v>手续费及佣金收入</v>
      </c>
    </row>
    <row r="131" spans="11:11">
      <c r="K131" s="325">
        <f>试算平衡表!B144</f>
        <v>0</v>
      </c>
    </row>
    <row r="132" spans="11:11">
      <c r="K132" s="325">
        <f>试算平衡表!B145</f>
        <v>0</v>
      </c>
    </row>
    <row r="133" spans="11:11">
      <c r="K133" s="325" t="str">
        <f>试算平衡表!B146</f>
        <v>主营业务成本</v>
      </c>
    </row>
    <row r="134" spans="11:11">
      <c r="K134" s="325" t="str">
        <f>试算平衡表!B147</f>
        <v>其他业务成本</v>
      </c>
    </row>
    <row r="135" spans="11:11">
      <c r="K135" s="325" t="str">
        <f>试算平衡表!B148</f>
        <v>利息支出</v>
      </c>
    </row>
    <row r="136" spans="11:11">
      <c r="K136" s="325" t="str">
        <f>试算平衡表!B149</f>
        <v>手续费及佣金支出</v>
      </c>
    </row>
    <row r="137" spans="11:11">
      <c r="K137" s="325" t="str">
        <f>试算平衡表!B150</f>
        <v>退保金</v>
      </c>
    </row>
    <row r="138" spans="11:11">
      <c r="K138" s="325" t="str">
        <f>试算平衡表!B151</f>
        <v>赔付支出净额</v>
      </c>
    </row>
    <row r="139" spans="11:11">
      <c r="K139" s="325" t="str">
        <f>试算平衡表!B152</f>
        <v>提取保险合同准备金净额</v>
      </c>
    </row>
    <row r="140" spans="11:11">
      <c r="K140" s="325" t="str">
        <f>试算平衡表!B153</f>
        <v>保单红利支出</v>
      </c>
    </row>
    <row r="141" spans="11:11">
      <c r="K141" s="325" t="str">
        <f>试算平衡表!B154</f>
        <v>分保费用</v>
      </c>
    </row>
    <row r="142" spans="11:11">
      <c r="K142" s="325" t="str">
        <f>试算平衡表!B155</f>
        <v>税金及附加</v>
      </c>
    </row>
    <row r="143" spans="11:11">
      <c r="K143" s="325" t="str">
        <f>试算平衡表!B156</f>
        <v>销售费用</v>
      </c>
    </row>
    <row r="144" spans="11:11">
      <c r="K144" s="325" t="str">
        <f>试算平衡表!B157</f>
        <v>管理费用</v>
      </c>
    </row>
    <row r="145" spans="11:11">
      <c r="K145" s="325">
        <f>试算平衡表!B158</f>
        <v>0</v>
      </c>
    </row>
    <row r="146" spans="11:11">
      <c r="K146" s="325" t="str">
        <f>试算平衡表!B160</f>
        <v>财务费用</v>
      </c>
    </row>
    <row r="147" spans="11:11">
      <c r="K147" s="325">
        <f>试算平衡表!B161</f>
        <v>0</v>
      </c>
    </row>
    <row r="148" spans="11:11">
      <c r="K148" s="325">
        <f>试算平衡表!B162</f>
        <v>0</v>
      </c>
    </row>
    <row r="149" spans="11:11">
      <c r="K149" s="325">
        <f>试算平衡表!B163</f>
        <v>0</v>
      </c>
    </row>
    <row r="150" spans="11:11">
      <c r="K150" s="325" t="str">
        <f>试算平衡表!B164</f>
        <v>资产减值损失</v>
      </c>
    </row>
    <row r="151" spans="11:11">
      <c r="K151" s="325">
        <f>试算平衡表!B165</f>
        <v>0</v>
      </c>
    </row>
    <row r="152" spans="11:11">
      <c r="K152" s="325" t="str">
        <f>试算平衡表!B166</f>
        <v>公允价值变动收益</v>
      </c>
    </row>
    <row r="153" spans="11:11">
      <c r="K153" s="325" t="str">
        <f>试算平衡表!B167</f>
        <v>投资收益</v>
      </c>
    </row>
    <row r="154" spans="11:11">
      <c r="K154" s="325">
        <f>试算平衡表!B168</f>
        <v>0</v>
      </c>
    </row>
    <row r="155" spans="11:11">
      <c r="K155" s="325" t="str">
        <f>试算平衡表!B171</f>
        <v>其他收益</v>
      </c>
    </row>
    <row r="156" spans="11:11">
      <c r="K156" s="325">
        <f>试算平衡表!B172</f>
        <v>0</v>
      </c>
    </row>
    <row r="157" spans="11:11">
      <c r="K157" s="325" t="str">
        <f>试算平衡表!B173</f>
        <v>营业外收入</v>
      </c>
    </row>
    <row r="158" spans="11:11">
      <c r="K158" s="325">
        <f>试算平衡表!B174</f>
        <v>0</v>
      </c>
    </row>
    <row r="159" spans="11:11">
      <c r="K159" s="325">
        <f>试算平衡表!B175</f>
        <v>0</v>
      </c>
    </row>
    <row r="160" spans="11:11">
      <c r="K160" s="325">
        <f>试算平衡表!B176</f>
        <v>0</v>
      </c>
    </row>
    <row r="161" spans="11:11">
      <c r="K161" s="325">
        <f>试算平衡表!B177</f>
        <v>0</v>
      </c>
    </row>
    <row r="162" spans="11:11">
      <c r="K162" s="325" t="str">
        <f>试算平衡表!B178</f>
        <v>营业外支出</v>
      </c>
    </row>
    <row r="163" spans="11:11">
      <c r="K163" s="325">
        <f>试算平衡表!B179</f>
        <v>0</v>
      </c>
    </row>
    <row r="164" spans="11:11">
      <c r="K164" s="325">
        <f>试算平衡表!B180</f>
        <v>0</v>
      </c>
    </row>
    <row r="165" spans="11:11">
      <c r="K165" s="325">
        <f>试算平衡表!B181</f>
        <v>0</v>
      </c>
    </row>
    <row r="166" spans="11:11">
      <c r="K166" s="325">
        <f>试算平衡表!B182</f>
        <v>0</v>
      </c>
    </row>
    <row r="167" spans="11:11">
      <c r="K167" s="325" t="str">
        <f>试算平衡表!B183</f>
        <v>所得税费用</v>
      </c>
    </row>
    <row r="168" spans="11:11">
      <c r="K168" s="325">
        <f>试算平衡表!B184</f>
        <v>0</v>
      </c>
    </row>
    <row r="169" spans="11:11">
      <c r="K169" s="325">
        <f>试算平衡表!B185</f>
        <v>0</v>
      </c>
    </row>
    <row r="170" spans="11:11">
      <c r="K170" s="325" t="str">
        <f>试算平衡表!B186</f>
        <v>少数股东损益</v>
      </c>
    </row>
    <row r="171" spans="11:11">
      <c r="K171" s="325">
        <f>试算平衡表!B204</f>
        <v>0</v>
      </c>
    </row>
  </sheetData>
  <sheetProtection formatCells="0" formatColumns="0" formatRows="0" autoFilter="0"/>
  <mergeCells count="7">
    <mergeCell ref="I2:J3"/>
    <mergeCell ref="A23:G29"/>
    <mergeCell ref="G6:G7"/>
    <mergeCell ref="A6:A7"/>
    <mergeCell ref="C6:E6"/>
    <mergeCell ref="B6:B7"/>
    <mergeCell ref="F6:F7"/>
  </mergeCells>
  <phoneticPr fontId="5" type="noConversion"/>
  <dataValidations count="2">
    <dataValidation type="list" allowBlank="1" showInputMessage="1" showErrorMessage="1" sqref="G32 G36 G34" xr:uid="{00000000-0002-0000-1100-000000000000}">
      <formula1>"√"</formula1>
    </dataValidation>
    <dataValidation type="list" allowBlank="1" showInputMessage="1" showErrorMessage="1" sqref="A8" xr:uid="{00000000-0002-0000-1100-000001000000}">
      <formula1>$K$3:$K$171</formula1>
    </dataValidation>
  </dataValidations>
  <hyperlinks>
    <hyperlink ref="I2" location="附注填写封面!B3" display="返回目录" xr:uid="{00000000-0004-0000-1100-000000000000}"/>
  </hyperlinks>
  <printOptions horizontalCentered="1"/>
  <pageMargins left="0.65" right="0.27559055118110237" top="0.98425196850393704" bottom="0.98425196850393704" header="0.51181102362204722" footer="0.51181102362204722"/>
  <pageSetup paperSize="9" scale="66" fitToHeight="0" orientation="portrait" blackAndWhite="1" r:id="rId1"/>
  <headerFooter alignWithMargins="0"/>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rgb="FFFFC000"/>
  </sheetPr>
  <dimension ref="A1:P116"/>
  <sheetViews>
    <sheetView showGridLines="0" showZeros="0" workbookViewId="0">
      <pane xSplit="3" ySplit="3" topLeftCell="D4" activePane="bottomRight" state="frozen"/>
      <selection activeCell="A5" sqref="A5:A6"/>
      <selection pane="topRight" activeCell="A5" sqref="A5:A6"/>
      <selection pane="bottomLeft" activeCell="A5" sqref="A5:A6"/>
      <selection pane="bottomRight" activeCell="G5" sqref="G5"/>
    </sheetView>
  </sheetViews>
  <sheetFormatPr defaultColWidth="11.625" defaultRowHeight="12.75"/>
  <cols>
    <col min="1" max="1" width="9.375" style="744" customWidth="1"/>
    <col min="2" max="2" width="5.625" style="123" hidden="1" customWidth="1"/>
    <col min="3" max="3" width="18.625" style="123" customWidth="1"/>
    <col min="4" max="4" width="14.125" style="123" customWidth="1"/>
    <col min="5" max="5" width="17.125" style="123" customWidth="1"/>
    <col min="6" max="7" width="11.5" style="123" bestFit="1" customWidth="1"/>
    <col min="8" max="8" width="9.625" style="123" customWidth="1"/>
    <col min="9" max="9" width="11.5" style="123" bestFit="1" customWidth="1"/>
    <col min="10" max="10" width="25.125" style="123" customWidth="1"/>
    <col min="11" max="11" width="12.125" style="123" bestFit="1" customWidth="1"/>
    <col min="12" max="13" width="14.125" style="123" bestFit="1" customWidth="1"/>
    <col min="14" max="14" width="12.625" style="123" bestFit="1" customWidth="1"/>
    <col min="15" max="16384" width="11.625" style="123"/>
  </cols>
  <sheetData>
    <row r="1" spans="1:11" ht="22.7" customHeight="1">
      <c r="A1" s="312" t="s">
        <v>243</v>
      </c>
      <c r="B1" s="278" t="s">
        <v>305</v>
      </c>
      <c r="C1" s="743" t="s">
        <v>1472</v>
      </c>
    </row>
    <row r="2" spans="1:11">
      <c r="B2" s="152">
        <v>2</v>
      </c>
      <c r="C2" s="1809" t="s">
        <v>2496</v>
      </c>
      <c r="D2" s="1810" t="s">
        <v>287</v>
      </c>
      <c r="E2" s="1811"/>
      <c r="F2" s="1812"/>
      <c r="G2" s="1810" t="s">
        <v>86</v>
      </c>
      <c r="H2" s="1811"/>
      <c r="I2" s="1812"/>
    </row>
    <row r="3" spans="1:11">
      <c r="B3" s="152">
        <v>3</v>
      </c>
      <c r="C3" s="1809"/>
      <c r="D3" s="153" t="s">
        <v>2497</v>
      </c>
      <c r="E3" s="154" t="s">
        <v>2498</v>
      </c>
      <c r="F3" s="154" t="s">
        <v>42</v>
      </c>
      <c r="G3" s="153" t="s">
        <v>2497</v>
      </c>
      <c r="H3" s="154" t="s">
        <v>2498</v>
      </c>
      <c r="I3" s="154" t="s">
        <v>42</v>
      </c>
      <c r="K3" s="1484" t="s">
        <v>4845</v>
      </c>
    </row>
    <row r="4" spans="1:11">
      <c r="A4" s="312" t="s">
        <v>304</v>
      </c>
      <c r="B4" s="152">
        <v>4</v>
      </c>
      <c r="C4" s="55" t="s">
        <v>216</v>
      </c>
      <c r="D4" s="745">
        <v>28292.44</v>
      </c>
      <c r="E4" s="745"/>
      <c r="F4" s="746">
        <f>SUM(F5:F27)</f>
        <v>28292.44</v>
      </c>
      <c r="G4" s="745">
        <v>29092.44</v>
      </c>
      <c r="H4" s="745"/>
      <c r="I4" s="746">
        <f>SUM(I5:I27)</f>
        <v>29092.44</v>
      </c>
    </row>
    <row r="5" spans="1:11">
      <c r="B5" s="152">
        <v>5</v>
      </c>
      <c r="C5" s="55" t="s">
        <v>199</v>
      </c>
      <c r="D5" s="745">
        <v>28292.44</v>
      </c>
      <c r="E5" s="746">
        <f>IF(D5=0,"",F5/D5)</f>
        <v>1</v>
      </c>
      <c r="F5" s="745">
        <v>28292.44</v>
      </c>
      <c r="G5" s="745">
        <v>29092.44</v>
      </c>
      <c r="H5" s="746">
        <f t="shared" ref="H5:H27" si="0">IF(G5=0,"",I5/G5)</f>
        <v>1</v>
      </c>
      <c r="I5" s="745">
        <v>29092.44</v>
      </c>
    </row>
    <row r="6" spans="1:11">
      <c r="B6" s="152">
        <v>6</v>
      </c>
      <c r="C6" s="55" t="s">
        <v>200</v>
      </c>
      <c r="D6" s="745"/>
      <c r="E6" s="746" t="str">
        <f t="shared" ref="E6:E27" si="1">IF(D6=0,"",F6/D6)</f>
        <v/>
      </c>
      <c r="F6" s="745"/>
      <c r="G6" s="745"/>
      <c r="H6" s="746" t="str">
        <f t="shared" si="0"/>
        <v/>
      </c>
      <c r="I6" s="745"/>
    </row>
    <row r="7" spans="1:11">
      <c r="A7" s="312" t="s">
        <v>243</v>
      </c>
      <c r="B7" s="152">
        <v>7</v>
      </c>
      <c r="C7" s="55" t="s">
        <v>201</v>
      </c>
      <c r="D7" s="745"/>
      <c r="E7" s="746" t="str">
        <f t="shared" si="1"/>
        <v/>
      </c>
      <c r="F7" s="745"/>
      <c r="G7" s="745"/>
      <c r="H7" s="746" t="str">
        <f t="shared" si="0"/>
        <v/>
      </c>
      <c r="I7" s="745"/>
    </row>
    <row r="8" spans="1:11" hidden="1">
      <c r="B8" s="152">
        <v>8</v>
      </c>
      <c r="C8" s="55" t="s">
        <v>202</v>
      </c>
      <c r="D8" s="745"/>
      <c r="E8" s="746" t="str">
        <f t="shared" si="1"/>
        <v/>
      </c>
      <c r="F8" s="745"/>
      <c r="G8" s="745"/>
      <c r="H8" s="746" t="str">
        <f t="shared" si="0"/>
        <v/>
      </c>
      <c r="I8" s="745"/>
    </row>
    <row r="9" spans="1:11" hidden="1">
      <c r="B9" s="152">
        <v>9</v>
      </c>
      <c r="C9" s="55" t="s">
        <v>203</v>
      </c>
      <c r="D9" s="745"/>
      <c r="E9" s="746" t="str">
        <f t="shared" si="1"/>
        <v/>
      </c>
      <c r="F9" s="745"/>
      <c r="G9" s="745"/>
      <c r="H9" s="746" t="str">
        <f t="shared" si="0"/>
        <v/>
      </c>
      <c r="I9" s="745"/>
    </row>
    <row r="10" spans="1:11" hidden="1">
      <c r="A10" s="312" t="s">
        <v>243</v>
      </c>
      <c r="B10" s="152">
        <v>10</v>
      </c>
      <c r="C10" s="55" t="s">
        <v>204</v>
      </c>
      <c r="D10" s="745"/>
      <c r="E10" s="746" t="str">
        <f t="shared" si="1"/>
        <v/>
      </c>
      <c r="F10" s="745"/>
      <c r="G10" s="745"/>
      <c r="H10" s="746" t="str">
        <f t="shared" si="0"/>
        <v/>
      </c>
      <c r="I10" s="745"/>
    </row>
    <row r="11" spans="1:11" hidden="1">
      <c r="B11" s="152">
        <v>11</v>
      </c>
      <c r="C11" s="55" t="s">
        <v>205</v>
      </c>
      <c r="D11" s="745"/>
      <c r="E11" s="746" t="str">
        <f t="shared" si="1"/>
        <v/>
      </c>
      <c r="F11" s="745"/>
      <c r="G11" s="745"/>
      <c r="H11" s="746" t="str">
        <f t="shared" si="0"/>
        <v/>
      </c>
      <c r="I11" s="745"/>
    </row>
    <row r="12" spans="1:11" hidden="1">
      <c r="B12" s="152">
        <v>12</v>
      </c>
      <c r="C12" s="55" t="s">
        <v>206</v>
      </c>
      <c r="D12" s="745"/>
      <c r="E12" s="746" t="str">
        <f t="shared" si="1"/>
        <v/>
      </c>
      <c r="F12" s="745"/>
      <c r="G12" s="745"/>
      <c r="H12" s="746" t="str">
        <f t="shared" si="0"/>
        <v/>
      </c>
      <c r="I12" s="745"/>
    </row>
    <row r="13" spans="1:11" hidden="1">
      <c r="A13" s="312" t="s">
        <v>304</v>
      </c>
      <c r="B13" s="152">
        <v>13</v>
      </c>
      <c r="C13" s="55" t="s">
        <v>207</v>
      </c>
      <c r="D13" s="745"/>
      <c r="E13" s="746" t="str">
        <f t="shared" si="1"/>
        <v/>
      </c>
      <c r="F13" s="745"/>
      <c r="G13" s="745"/>
      <c r="H13" s="746" t="str">
        <f t="shared" si="0"/>
        <v/>
      </c>
      <c r="I13" s="745"/>
    </row>
    <row r="14" spans="1:11" hidden="1">
      <c r="B14" s="152">
        <v>14</v>
      </c>
      <c r="C14" s="55" t="s">
        <v>208</v>
      </c>
      <c r="D14" s="745"/>
      <c r="E14" s="746" t="str">
        <f t="shared" si="1"/>
        <v/>
      </c>
      <c r="F14" s="745"/>
      <c r="G14" s="745"/>
      <c r="H14" s="746" t="str">
        <f t="shared" si="0"/>
        <v/>
      </c>
      <c r="I14" s="745"/>
    </row>
    <row r="15" spans="1:11" hidden="1">
      <c r="B15" s="152">
        <v>15</v>
      </c>
      <c r="C15" s="55" t="s">
        <v>209</v>
      </c>
      <c r="D15" s="745"/>
      <c r="E15" s="746" t="str">
        <f t="shared" si="1"/>
        <v/>
      </c>
      <c r="F15" s="745"/>
      <c r="G15" s="745"/>
      <c r="H15" s="746" t="str">
        <f t="shared" si="0"/>
        <v/>
      </c>
      <c r="I15" s="745"/>
    </row>
    <row r="16" spans="1:11" hidden="1">
      <c r="B16" s="152">
        <v>16</v>
      </c>
      <c r="C16" s="55" t="s">
        <v>210</v>
      </c>
      <c r="D16" s="745"/>
      <c r="E16" s="746" t="str">
        <f t="shared" si="1"/>
        <v/>
      </c>
      <c r="F16" s="745"/>
      <c r="G16" s="745"/>
      <c r="H16" s="746" t="str">
        <f t="shared" si="0"/>
        <v/>
      </c>
      <c r="I16" s="745"/>
    </row>
    <row r="17" spans="1:9" hidden="1">
      <c r="A17" s="312" t="s">
        <v>243</v>
      </c>
      <c r="B17" s="152">
        <v>17</v>
      </c>
      <c r="C17" s="55" t="s">
        <v>252</v>
      </c>
      <c r="D17" s="745"/>
      <c r="E17" s="746" t="str">
        <f t="shared" si="1"/>
        <v/>
      </c>
      <c r="F17" s="745"/>
      <c r="G17" s="745"/>
      <c r="H17" s="746" t="str">
        <f t="shared" si="0"/>
        <v/>
      </c>
      <c r="I17" s="745"/>
    </row>
    <row r="18" spans="1:9" hidden="1">
      <c r="B18" s="152">
        <v>18</v>
      </c>
      <c r="C18" s="55" t="s">
        <v>211</v>
      </c>
      <c r="D18" s="745"/>
      <c r="E18" s="746" t="str">
        <f t="shared" si="1"/>
        <v/>
      </c>
      <c r="F18" s="745"/>
      <c r="G18" s="745"/>
      <c r="H18" s="746" t="str">
        <f t="shared" si="0"/>
        <v/>
      </c>
      <c r="I18" s="745"/>
    </row>
    <row r="19" spans="1:9" hidden="1">
      <c r="B19" s="152">
        <v>19</v>
      </c>
      <c r="C19" s="55" t="s">
        <v>212</v>
      </c>
      <c r="D19" s="745"/>
      <c r="E19" s="746" t="str">
        <f t="shared" si="1"/>
        <v/>
      </c>
      <c r="F19" s="745"/>
      <c r="G19" s="745"/>
      <c r="H19" s="746" t="str">
        <f t="shared" si="0"/>
        <v/>
      </c>
      <c r="I19" s="745"/>
    </row>
    <row r="20" spans="1:9" hidden="1">
      <c r="A20" s="312" t="s">
        <v>304</v>
      </c>
      <c r="B20" s="152">
        <v>20</v>
      </c>
      <c r="C20" s="55" t="s">
        <v>213</v>
      </c>
      <c r="D20" s="745"/>
      <c r="E20" s="746" t="str">
        <f t="shared" si="1"/>
        <v/>
      </c>
      <c r="F20" s="745"/>
      <c r="G20" s="745"/>
      <c r="H20" s="746" t="str">
        <f t="shared" si="0"/>
        <v/>
      </c>
      <c r="I20" s="745"/>
    </row>
    <row r="21" spans="1:9" hidden="1">
      <c r="B21" s="152">
        <v>21</v>
      </c>
      <c r="C21" s="55" t="s">
        <v>250</v>
      </c>
      <c r="D21" s="745"/>
      <c r="E21" s="746" t="str">
        <f t="shared" si="1"/>
        <v/>
      </c>
      <c r="F21" s="745"/>
      <c r="G21" s="745"/>
      <c r="H21" s="746" t="str">
        <f t="shared" si="0"/>
        <v/>
      </c>
      <c r="I21" s="745"/>
    </row>
    <row r="22" spans="1:9" hidden="1">
      <c r="B22" s="152">
        <v>22</v>
      </c>
      <c r="C22" s="55" t="s">
        <v>251</v>
      </c>
      <c r="D22" s="745"/>
      <c r="E22" s="746" t="str">
        <f t="shared" si="1"/>
        <v/>
      </c>
      <c r="F22" s="745"/>
      <c r="G22" s="745"/>
      <c r="H22" s="746" t="str">
        <f t="shared" si="0"/>
        <v/>
      </c>
      <c r="I22" s="745"/>
    </row>
    <row r="23" spans="1:9" hidden="1">
      <c r="B23" s="152">
        <v>23</v>
      </c>
      <c r="C23" s="55" t="s">
        <v>253</v>
      </c>
      <c r="D23" s="745"/>
      <c r="E23" s="746" t="str">
        <f t="shared" si="1"/>
        <v/>
      </c>
      <c r="F23" s="745"/>
      <c r="G23" s="745"/>
      <c r="H23" s="746" t="str">
        <f t="shared" si="0"/>
        <v/>
      </c>
      <c r="I23" s="745"/>
    </row>
    <row r="24" spans="1:9" hidden="1">
      <c r="A24" s="312" t="s">
        <v>243</v>
      </c>
      <c r="B24" s="152">
        <v>24</v>
      </c>
      <c r="C24" s="55" t="s">
        <v>254</v>
      </c>
      <c r="D24" s="745"/>
      <c r="E24" s="746" t="str">
        <f t="shared" si="1"/>
        <v/>
      </c>
      <c r="F24" s="745"/>
      <c r="G24" s="745"/>
      <c r="H24" s="746" t="str">
        <f t="shared" si="0"/>
        <v/>
      </c>
      <c r="I24" s="745"/>
    </row>
    <row r="25" spans="1:9" hidden="1">
      <c r="B25" s="152">
        <v>25</v>
      </c>
      <c r="C25" s="55" t="s">
        <v>255</v>
      </c>
      <c r="D25" s="745"/>
      <c r="E25" s="746" t="str">
        <f t="shared" si="1"/>
        <v/>
      </c>
      <c r="F25" s="745"/>
      <c r="G25" s="745"/>
      <c r="H25" s="746" t="str">
        <f t="shared" si="0"/>
        <v/>
      </c>
      <c r="I25" s="745"/>
    </row>
    <row r="26" spans="1:9" hidden="1">
      <c r="B26" s="152">
        <v>26</v>
      </c>
      <c r="C26" s="55" t="s">
        <v>256</v>
      </c>
      <c r="D26" s="745"/>
      <c r="E26" s="746" t="str">
        <f t="shared" si="1"/>
        <v/>
      </c>
      <c r="F26" s="745"/>
      <c r="G26" s="745"/>
      <c r="H26" s="746" t="str">
        <f t="shared" si="0"/>
        <v/>
      </c>
      <c r="I26" s="745"/>
    </row>
    <row r="27" spans="1:9" hidden="1">
      <c r="B27" s="152">
        <v>27</v>
      </c>
      <c r="C27" s="55" t="s">
        <v>257</v>
      </c>
      <c r="D27" s="745"/>
      <c r="E27" s="746" t="str">
        <f t="shared" si="1"/>
        <v/>
      </c>
      <c r="F27" s="745"/>
      <c r="G27" s="745"/>
      <c r="H27" s="746" t="str">
        <f t="shared" si="0"/>
        <v/>
      </c>
      <c r="I27" s="745"/>
    </row>
    <row r="28" spans="1:9">
      <c r="A28" s="312" t="s">
        <v>304</v>
      </c>
      <c r="B28" s="152">
        <v>28</v>
      </c>
      <c r="C28" s="55" t="s">
        <v>218</v>
      </c>
      <c r="D28" s="745">
        <v>1244741.2400000095</v>
      </c>
      <c r="E28" s="745"/>
      <c r="F28" s="746">
        <f>SUM(F29:F51)</f>
        <v>1244741.2400000095</v>
      </c>
      <c r="G28" s="745">
        <v>6241146.8499999996</v>
      </c>
      <c r="H28" s="745"/>
      <c r="I28" s="746">
        <f>SUM(I29:I51)</f>
        <v>6241146.8499999996</v>
      </c>
    </row>
    <row r="29" spans="1:9">
      <c r="B29" s="152">
        <v>29</v>
      </c>
      <c r="C29" s="55" t="s">
        <v>199</v>
      </c>
      <c r="D29" s="745">
        <v>1244741.2400000095</v>
      </c>
      <c r="E29" s="746">
        <f t="shared" ref="E29:E51" si="2">IF(D29=0,"",F29/D29)</f>
        <v>1</v>
      </c>
      <c r="F29" s="745">
        <v>1244741.2400000095</v>
      </c>
      <c r="G29" s="745">
        <v>6241146.8499999996</v>
      </c>
      <c r="H29" s="746">
        <f t="shared" ref="H29:H51" si="3">IF(G29=0,"",I29/G29)</f>
        <v>1</v>
      </c>
      <c r="I29" s="745">
        <v>6241146.8499999996</v>
      </c>
    </row>
    <row r="30" spans="1:9">
      <c r="B30" s="152">
        <v>30</v>
      </c>
      <c r="C30" s="55" t="s">
        <v>200</v>
      </c>
      <c r="D30" s="745"/>
      <c r="E30" s="746" t="str">
        <f t="shared" si="2"/>
        <v/>
      </c>
      <c r="F30" s="745"/>
      <c r="G30" s="745"/>
      <c r="H30" s="746" t="str">
        <f t="shared" si="3"/>
        <v/>
      </c>
      <c r="I30" s="745"/>
    </row>
    <row r="31" spans="1:9">
      <c r="B31" s="152">
        <v>31</v>
      </c>
      <c r="C31" s="55" t="s">
        <v>201</v>
      </c>
      <c r="D31" s="745"/>
      <c r="E31" s="746" t="str">
        <f t="shared" si="2"/>
        <v/>
      </c>
      <c r="F31" s="745"/>
      <c r="G31" s="745"/>
      <c r="H31" s="746" t="str">
        <f t="shared" si="3"/>
        <v/>
      </c>
      <c r="I31" s="745"/>
    </row>
    <row r="32" spans="1:9" hidden="1">
      <c r="B32" s="152">
        <v>32</v>
      </c>
      <c r="C32" s="55" t="s">
        <v>202</v>
      </c>
      <c r="D32" s="745"/>
      <c r="E32" s="746" t="str">
        <f t="shared" si="2"/>
        <v/>
      </c>
      <c r="F32" s="745"/>
      <c r="G32" s="745"/>
      <c r="H32" s="746" t="str">
        <f t="shared" si="3"/>
        <v/>
      </c>
      <c r="I32" s="745"/>
    </row>
    <row r="33" spans="1:9" hidden="1">
      <c r="B33" s="152">
        <v>33</v>
      </c>
      <c r="C33" s="55" t="s">
        <v>203</v>
      </c>
      <c r="D33" s="745"/>
      <c r="E33" s="746" t="str">
        <f t="shared" si="2"/>
        <v/>
      </c>
      <c r="F33" s="745"/>
      <c r="G33" s="745"/>
      <c r="H33" s="746" t="str">
        <f t="shared" si="3"/>
        <v/>
      </c>
      <c r="I33" s="745"/>
    </row>
    <row r="34" spans="1:9" hidden="1">
      <c r="A34" s="312" t="s">
        <v>243</v>
      </c>
      <c r="B34" s="152">
        <v>34</v>
      </c>
      <c r="C34" s="55" t="s">
        <v>204</v>
      </c>
      <c r="D34" s="745"/>
      <c r="E34" s="746" t="str">
        <f t="shared" si="2"/>
        <v/>
      </c>
      <c r="F34" s="745"/>
      <c r="G34" s="745"/>
      <c r="H34" s="746" t="str">
        <f t="shared" si="3"/>
        <v/>
      </c>
      <c r="I34" s="745"/>
    </row>
    <row r="35" spans="1:9" hidden="1">
      <c r="B35" s="152">
        <v>35</v>
      </c>
      <c r="C35" s="55" t="s">
        <v>205</v>
      </c>
      <c r="D35" s="745"/>
      <c r="E35" s="746" t="str">
        <f t="shared" si="2"/>
        <v/>
      </c>
      <c r="F35" s="745"/>
      <c r="G35" s="745"/>
      <c r="H35" s="746" t="str">
        <f t="shared" si="3"/>
        <v/>
      </c>
      <c r="I35" s="745"/>
    </row>
    <row r="36" spans="1:9" hidden="1">
      <c r="B36" s="152">
        <v>36</v>
      </c>
      <c r="C36" s="55" t="s">
        <v>206</v>
      </c>
      <c r="D36" s="745"/>
      <c r="E36" s="746" t="str">
        <f t="shared" si="2"/>
        <v/>
      </c>
      <c r="F36" s="745"/>
      <c r="G36" s="745"/>
      <c r="H36" s="746" t="str">
        <f t="shared" si="3"/>
        <v/>
      </c>
      <c r="I36" s="745"/>
    </row>
    <row r="37" spans="1:9" hidden="1">
      <c r="B37" s="152">
        <v>37</v>
      </c>
      <c r="C37" s="55" t="s">
        <v>207</v>
      </c>
      <c r="D37" s="745"/>
      <c r="E37" s="746" t="str">
        <f t="shared" si="2"/>
        <v/>
      </c>
      <c r="F37" s="745"/>
      <c r="G37" s="745"/>
      <c r="H37" s="746" t="str">
        <f t="shared" si="3"/>
        <v/>
      </c>
      <c r="I37" s="745"/>
    </row>
    <row r="38" spans="1:9" hidden="1">
      <c r="B38" s="152">
        <v>38</v>
      </c>
      <c r="C38" s="55" t="s">
        <v>208</v>
      </c>
      <c r="D38" s="745"/>
      <c r="E38" s="746" t="str">
        <f t="shared" si="2"/>
        <v/>
      </c>
      <c r="F38" s="745"/>
      <c r="G38" s="745"/>
      <c r="H38" s="746" t="str">
        <f t="shared" si="3"/>
        <v/>
      </c>
      <c r="I38" s="745"/>
    </row>
    <row r="39" spans="1:9" hidden="1">
      <c r="A39" s="312" t="s">
        <v>304</v>
      </c>
      <c r="B39" s="152">
        <v>39</v>
      </c>
      <c r="C39" s="55" t="s">
        <v>209</v>
      </c>
      <c r="D39" s="745"/>
      <c r="E39" s="746" t="str">
        <f t="shared" si="2"/>
        <v/>
      </c>
      <c r="F39" s="745"/>
      <c r="G39" s="745"/>
      <c r="H39" s="746" t="str">
        <f t="shared" si="3"/>
        <v/>
      </c>
      <c r="I39" s="745"/>
    </row>
    <row r="40" spans="1:9" hidden="1">
      <c r="B40" s="152">
        <v>40</v>
      </c>
      <c r="C40" s="55" t="s">
        <v>210</v>
      </c>
      <c r="D40" s="745"/>
      <c r="E40" s="746" t="str">
        <f t="shared" si="2"/>
        <v/>
      </c>
      <c r="F40" s="745"/>
      <c r="G40" s="745"/>
      <c r="H40" s="746" t="str">
        <f t="shared" si="3"/>
        <v/>
      </c>
      <c r="I40" s="745"/>
    </row>
    <row r="41" spans="1:9" hidden="1">
      <c r="B41" s="152">
        <v>41</v>
      </c>
      <c r="C41" s="55" t="s">
        <v>252</v>
      </c>
      <c r="D41" s="745"/>
      <c r="E41" s="746" t="str">
        <f t="shared" si="2"/>
        <v/>
      </c>
      <c r="F41" s="745"/>
      <c r="G41" s="745"/>
      <c r="H41" s="746" t="str">
        <f t="shared" si="3"/>
        <v/>
      </c>
      <c r="I41" s="745"/>
    </row>
    <row r="42" spans="1:9" hidden="1">
      <c r="B42" s="152">
        <v>42</v>
      </c>
      <c r="C42" s="55" t="s">
        <v>211</v>
      </c>
      <c r="D42" s="745"/>
      <c r="E42" s="746" t="str">
        <f t="shared" si="2"/>
        <v/>
      </c>
      <c r="F42" s="745"/>
      <c r="G42" s="745"/>
      <c r="H42" s="746" t="str">
        <f t="shared" si="3"/>
        <v/>
      </c>
      <c r="I42" s="745"/>
    </row>
    <row r="43" spans="1:9" hidden="1">
      <c r="B43" s="152">
        <v>43</v>
      </c>
      <c r="C43" s="55" t="s">
        <v>212</v>
      </c>
      <c r="D43" s="745"/>
      <c r="E43" s="746" t="str">
        <f t="shared" si="2"/>
        <v/>
      </c>
      <c r="F43" s="745"/>
      <c r="G43" s="745"/>
      <c r="H43" s="746" t="str">
        <f t="shared" si="3"/>
        <v/>
      </c>
      <c r="I43" s="745"/>
    </row>
    <row r="44" spans="1:9" hidden="1">
      <c r="A44" s="312" t="s">
        <v>243</v>
      </c>
      <c r="B44" s="152">
        <v>44</v>
      </c>
      <c r="C44" s="55" t="s">
        <v>213</v>
      </c>
      <c r="D44" s="745"/>
      <c r="E44" s="746" t="str">
        <f t="shared" si="2"/>
        <v/>
      </c>
      <c r="F44" s="745"/>
      <c r="G44" s="745"/>
      <c r="H44" s="746" t="str">
        <f t="shared" si="3"/>
        <v/>
      </c>
      <c r="I44" s="745"/>
    </row>
    <row r="45" spans="1:9" hidden="1">
      <c r="B45" s="152">
        <v>45</v>
      </c>
      <c r="C45" s="55" t="s">
        <v>250</v>
      </c>
      <c r="D45" s="745"/>
      <c r="E45" s="746" t="str">
        <f t="shared" si="2"/>
        <v/>
      </c>
      <c r="F45" s="745"/>
      <c r="G45" s="745"/>
      <c r="H45" s="746" t="str">
        <f t="shared" si="3"/>
        <v/>
      </c>
      <c r="I45" s="745"/>
    </row>
    <row r="46" spans="1:9" hidden="1">
      <c r="B46" s="152">
        <v>46</v>
      </c>
      <c r="C46" s="55" t="s">
        <v>251</v>
      </c>
      <c r="D46" s="745"/>
      <c r="E46" s="746" t="str">
        <f t="shared" si="2"/>
        <v/>
      </c>
      <c r="F46" s="745"/>
      <c r="G46" s="745"/>
      <c r="H46" s="746" t="str">
        <f t="shared" si="3"/>
        <v/>
      </c>
      <c r="I46" s="745"/>
    </row>
    <row r="47" spans="1:9" hidden="1">
      <c r="B47" s="152">
        <v>47</v>
      </c>
      <c r="C47" s="55" t="s">
        <v>253</v>
      </c>
      <c r="D47" s="745"/>
      <c r="E47" s="746" t="str">
        <f t="shared" si="2"/>
        <v/>
      </c>
      <c r="F47" s="745"/>
      <c r="G47" s="745"/>
      <c r="H47" s="746" t="str">
        <f t="shared" si="3"/>
        <v/>
      </c>
      <c r="I47" s="745"/>
    </row>
    <row r="48" spans="1:9" hidden="1">
      <c r="B48" s="152">
        <v>48</v>
      </c>
      <c r="C48" s="55" t="s">
        <v>254</v>
      </c>
      <c r="D48" s="745"/>
      <c r="E48" s="746" t="str">
        <f t="shared" si="2"/>
        <v/>
      </c>
      <c r="F48" s="745"/>
      <c r="G48" s="745"/>
      <c r="H48" s="746" t="str">
        <f t="shared" si="3"/>
        <v/>
      </c>
      <c r="I48" s="745"/>
    </row>
    <row r="49" spans="1:9" hidden="1">
      <c r="A49" s="312" t="s">
        <v>304</v>
      </c>
      <c r="B49" s="152">
        <v>49</v>
      </c>
      <c r="C49" s="55" t="s">
        <v>255</v>
      </c>
      <c r="D49" s="745"/>
      <c r="E49" s="746" t="str">
        <f t="shared" si="2"/>
        <v/>
      </c>
      <c r="F49" s="745"/>
      <c r="G49" s="745"/>
      <c r="H49" s="746" t="str">
        <f t="shared" si="3"/>
        <v/>
      </c>
      <c r="I49" s="745"/>
    </row>
    <row r="50" spans="1:9" hidden="1">
      <c r="B50" s="152">
        <v>50</v>
      </c>
      <c r="C50" s="55" t="s">
        <v>256</v>
      </c>
      <c r="D50" s="745"/>
      <c r="E50" s="746" t="str">
        <f t="shared" si="2"/>
        <v/>
      </c>
      <c r="F50" s="745"/>
      <c r="G50" s="745"/>
      <c r="H50" s="746" t="str">
        <f t="shared" si="3"/>
        <v/>
      </c>
      <c r="I50" s="745"/>
    </row>
    <row r="51" spans="1:9" hidden="1">
      <c r="B51" s="152">
        <v>51</v>
      </c>
      <c r="C51" s="55" t="s">
        <v>257</v>
      </c>
      <c r="D51" s="745"/>
      <c r="E51" s="746" t="str">
        <f t="shared" si="2"/>
        <v/>
      </c>
      <c r="F51" s="745"/>
      <c r="G51" s="745"/>
      <c r="H51" s="746" t="str">
        <f t="shared" si="3"/>
        <v/>
      </c>
      <c r="I51" s="745"/>
    </row>
    <row r="52" spans="1:9">
      <c r="B52" s="152">
        <v>52</v>
      </c>
      <c r="C52" s="55" t="s">
        <v>2500</v>
      </c>
      <c r="D52" s="745"/>
      <c r="E52" s="745"/>
      <c r="F52" s="746">
        <f>SUM(F53:F75)</f>
        <v>0</v>
      </c>
      <c r="G52" s="745"/>
      <c r="H52" s="745"/>
      <c r="I52" s="746">
        <f>SUM(I53:I75)</f>
        <v>0</v>
      </c>
    </row>
    <row r="53" spans="1:9">
      <c r="B53" s="152">
        <v>53</v>
      </c>
      <c r="C53" s="55" t="s">
        <v>24</v>
      </c>
      <c r="D53" s="745"/>
      <c r="E53" s="746" t="str">
        <f t="shared" ref="E53:E75" si="4">IF(D53=0,"",F53/D53)</f>
        <v/>
      </c>
      <c r="F53" s="745"/>
      <c r="G53" s="745"/>
      <c r="H53" s="746" t="str">
        <f t="shared" ref="H53:H75" si="5">IF(G53=0,"",I53/G53)</f>
        <v/>
      </c>
      <c r="I53" s="745"/>
    </row>
    <row r="54" spans="1:9">
      <c r="B54" s="152">
        <v>54</v>
      </c>
      <c r="C54" s="55" t="s">
        <v>200</v>
      </c>
      <c r="D54" s="745"/>
      <c r="E54" s="746" t="str">
        <f t="shared" si="4"/>
        <v/>
      </c>
      <c r="F54" s="745"/>
      <c r="G54" s="745"/>
      <c r="H54" s="746" t="str">
        <f t="shared" si="5"/>
        <v/>
      </c>
      <c r="I54" s="745"/>
    </row>
    <row r="55" spans="1:9">
      <c r="A55" s="312" t="s">
        <v>243</v>
      </c>
      <c r="B55" s="152">
        <v>55</v>
      </c>
      <c r="C55" s="55" t="s">
        <v>201</v>
      </c>
      <c r="D55" s="745"/>
      <c r="E55" s="746" t="str">
        <f t="shared" si="4"/>
        <v/>
      </c>
      <c r="F55" s="745"/>
      <c r="G55" s="745"/>
      <c r="H55" s="746" t="str">
        <f t="shared" si="5"/>
        <v/>
      </c>
      <c r="I55" s="745"/>
    </row>
    <row r="56" spans="1:9" hidden="1">
      <c r="B56" s="152">
        <v>56</v>
      </c>
      <c r="C56" s="55" t="s">
        <v>202</v>
      </c>
      <c r="D56" s="745"/>
      <c r="E56" s="746" t="str">
        <f t="shared" si="4"/>
        <v/>
      </c>
      <c r="F56" s="745"/>
      <c r="G56" s="745"/>
      <c r="H56" s="746" t="str">
        <f t="shared" si="5"/>
        <v/>
      </c>
      <c r="I56" s="745"/>
    </row>
    <row r="57" spans="1:9" hidden="1">
      <c r="B57" s="152">
        <v>57</v>
      </c>
      <c r="C57" s="55" t="s">
        <v>203</v>
      </c>
      <c r="D57" s="745"/>
      <c r="E57" s="746" t="str">
        <f t="shared" si="4"/>
        <v/>
      </c>
      <c r="F57" s="745"/>
      <c r="G57" s="745"/>
      <c r="H57" s="746" t="str">
        <f t="shared" si="5"/>
        <v/>
      </c>
      <c r="I57" s="745"/>
    </row>
    <row r="58" spans="1:9" hidden="1">
      <c r="B58" s="152">
        <v>58</v>
      </c>
      <c r="C58" s="55" t="s">
        <v>204</v>
      </c>
      <c r="D58" s="745"/>
      <c r="E58" s="746" t="str">
        <f t="shared" si="4"/>
        <v/>
      </c>
      <c r="F58" s="745"/>
      <c r="G58" s="745"/>
      <c r="H58" s="746" t="str">
        <f t="shared" si="5"/>
        <v/>
      </c>
      <c r="I58" s="745"/>
    </row>
    <row r="59" spans="1:9" hidden="1">
      <c r="B59" s="152">
        <v>59</v>
      </c>
      <c r="C59" s="55" t="s">
        <v>205</v>
      </c>
      <c r="D59" s="745"/>
      <c r="E59" s="746" t="str">
        <f t="shared" si="4"/>
        <v/>
      </c>
      <c r="F59" s="745"/>
      <c r="G59" s="745"/>
      <c r="H59" s="746" t="str">
        <f t="shared" si="5"/>
        <v/>
      </c>
      <c r="I59" s="745"/>
    </row>
    <row r="60" spans="1:9" hidden="1">
      <c r="B60" s="152">
        <v>60</v>
      </c>
      <c r="C60" s="55" t="s">
        <v>206</v>
      </c>
      <c r="D60" s="745"/>
      <c r="E60" s="746" t="str">
        <f t="shared" si="4"/>
        <v/>
      </c>
      <c r="F60" s="745"/>
      <c r="G60" s="745"/>
      <c r="H60" s="746" t="str">
        <f t="shared" si="5"/>
        <v/>
      </c>
      <c r="I60" s="745"/>
    </row>
    <row r="61" spans="1:9" hidden="1">
      <c r="A61" s="312" t="s">
        <v>304</v>
      </c>
      <c r="B61" s="152">
        <v>61</v>
      </c>
      <c r="C61" s="55" t="s">
        <v>207</v>
      </c>
      <c r="D61" s="745"/>
      <c r="E61" s="746" t="str">
        <f t="shared" si="4"/>
        <v/>
      </c>
      <c r="F61" s="745"/>
      <c r="G61" s="745"/>
      <c r="H61" s="746" t="str">
        <f t="shared" si="5"/>
        <v/>
      </c>
      <c r="I61" s="745"/>
    </row>
    <row r="62" spans="1:9" hidden="1">
      <c r="B62" s="152">
        <v>62</v>
      </c>
      <c r="C62" s="55" t="s">
        <v>208</v>
      </c>
      <c r="D62" s="745"/>
      <c r="E62" s="746" t="str">
        <f t="shared" si="4"/>
        <v/>
      </c>
      <c r="F62" s="745"/>
      <c r="G62" s="745"/>
      <c r="H62" s="746" t="str">
        <f t="shared" si="5"/>
        <v/>
      </c>
      <c r="I62" s="745"/>
    </row>
    <row r="63" spans="1:9" hidden="1">
      <c r="B63" s="152">
        <v>63</v>
      </c>
      <c r="C63" s="55" t="s">
        <v>209</v>
      </c>
      <c r="D63" s="745"/>
      <c r="E63" s="746" t="str">
        <f t="shared" si="4"/>
        <v/>
      </c>
      <c r="F63" s="745"/>
      <c r="G63" s="745"/>
      <c r="H63" s="746" t="str">
        <f t="shared" si="5"/>
        <v/>
      </c>
      <c r="I63" s="745"/>
    </row>
    <row r="64" spans="1:9" hidden="1">
      <c r="B64" s="152">
        <v>64</v>
      </c>
      <c r="C64" s="55" t="s">
        <v>210</v>
      </c>
      <c r="D64" s="745"/>
      <c r="E64" s="746" t="str">
        <f t="shared" si="4"/>
        <v/>
      </c>
      <c r="F64" s="745"/>
      <c r="G64" s="745"/>
      <c r="H64" s="746" t="str">
        <f t="shared" si="5"/>
        <v/>
      </c>
      <c r="I64" s="745"/>
    </row>
    <row r="65" spans="1:16" hidden="1">
      <c r="A65" s="312" t="s">
        <v>243</v>
      </c>
      <c r="B65" s="152">
        <v>65</v>
      </c>
      <c r="C65" s="55" t="s">
        <v>252</v>
      </c>
      <c r="D65" s="745"/>
      <c r="E65" s="746" t="str">
        <f t="shared" si="4"/>
        <v/>
      </c>
      <c r="F65" s="745"/>
      <c r="G65" s="745"/>
      <c r="H65" s="746" t="str">
        <f t="shared" si="5"/>
        <v/>
      </c>
      <c r="I65" s="745"/>
    </row>
    <row r="66" spans="1:16" hidden="1">
      <c r="B66" s="152">
        <v>66</v>
      </c>
      <c r="C66" s="55" t="s">
        <v>211</v>
      </c>
      <c r="D66" s="745"/>
      <c r="E66" s="746" t="str">
        <f t="shared" si="4"/>
        <v/>
      </c>
      <c r="F66" s="745"/>
      <c r="G66" s="745"/>
      <c r="H66" s="746" t="str">
        <f t="shared" si="5"/>
        <v/>
      </c>
      <c r="I66" s="745"/>
    </row>
    <row r="67" spans="1:16" hidden="1">
      <c r="B67" s="152">
        <v>67</v>
      </c>
      <c r="C67" s="55" t="s">
        <v>212</v>
      </c>
      <c r="D67" s="745"/>
      <c r="E67" s="746" t="str">
        <f t="shared" si="4"/>
        <v/>
      </c>
      <c r="F67" s="745"/>
      <c r="G67" s="745"/>
      <c r="H67" s="746" t="str">
        <f t="shared" si="5"/>
        <v/>
      </c>
      <c r="I67" s="745"/>
    </row>
    <row r="68" spans="1:16" hidden="1">
      <c r="B68" s="152">
        <v>68</v>
      </c>
      <c r="C68" s="55" t="s">
        <v>213</v>
      </c>
      <c r="D68" s="745"/>
      <c r="E68" s="746" t="str">
        <f t="shared" si="4"/>
        <v/>
      </c>
      <c r="F68" s="745"/>
      <c r="G68" s="745"/>
      <c r="H68" s="746" t="str">
        <f t="shared" si="5"/>
        <v/>
      </c>
      <c r="I68" s="745"/>
    </row>
    <row r="69" spans="1:16" hidden="1">
      <c r="A69" s="312" t="s">
        <v>304</v>
      </c>
      <c r="B69" s="152">
        <v>69</v>
      </c>
      <c r="C69" s="55" t="s">
        <v>250</v>
      </c>
      <c r="D69" s="745"/>
      <c r="E69" s="746" t="str">
        <f t="shared" si="4"/>
        <v/>
      </c>
      <c r="F69" s="745"/>
      <c r="G69" s="745"/>
      <c r="H69" s="746" t="str">
        <f t="shared" si="5"/>
        <v/>
      </c>
      <c r="I69" s="745"/>
    </row>
    <row r="70" spans="1:16" hidden="1">
      <c r="B70" s="152">
        <v>70</v>
      </c>
      <c r="C70" s="55" t="s">
        <v>251</v>
      </c>
      <c r="D70" s="745"/>
      <c r="E70" s="746" t="str">
        <f t="shared" si="4"/>
        <v/>
      </c>
      <c r="F70" s="745"/>
      <c r="G70" s="745"/>
      <c r="H70" s="746" t="str">
        <f t="shared" si="5"/>
        <v/>
      </c>
      <c r="I70" s="745"/>
    </row>
    <row r="71" spans="1:16" hidden="1">
      <c r="B71" s="152">
        <v>71</v>
      </c>
      <c r="C71" s="55" t="s">
        <v>253</v>
      </c>
      <c r="D71" s="745"/>
      <c r="E71" s="746" t="str">
        <f t="shared" si="4"/>
        <v/>
      </c>
      <c r="F71" s="745"/>
      <c r="G71" s="745"/>
      <c r="H71" s="746" t="str">
        <f t="shared" si="5"/>
        <v/>
      </c>
      <c r="I71" s="745"/>
    </row>
    <row r="72" spans="1:16" hidden="1">
      <c r="B72" s="152">
        <v>72</v>
      </c>
      <c r="C72" s="55" t="s">
        <v>254</v>
      </c>
      <c r="D72" s="745"/>
      <c r="E72" s="746" t="str">
        <f t="shared" si="4"/>
        <v/>
      </c>
      <c r="F72" s="745"/>
      <c r="G72" s="745"/>
      <c r="H72" s="746" t="str">
        <f t="shared" si="5"/>
        <v/>
      </c>
      <c r="I72" s="745"/>
    </row>
    <row r="73" spans="1:16" hidden="1">
      <c r="A73" s="312" t="s">
        <v>243</v>
      </c>
      <c r="B73" s="152">
        <v>73</v>
      </c>
      <c r="C73" s="55" t="s">
        <v>255</v>
      </c>
      <c r="D73" s="745"/>
      <c r="E73" s="746" t="str">
        <f t="shared" si="4"/>
        <v/>
      </c>
      <c r="F73" s="745"/>
      <c r="G73" s="745"/>
      <c r="H73" s="746" t="str">
        <f t="shared" si="5"/>
        <v/>
      </c>
      <c r="I73" s="745"/>
    </row>
    <row r="74" spans="1:16" hidden="1">
      <c r="B74" s="152">
        <v>74</v>
      </c>
      <c r="C74" s="55" t="s">
        <v>256</v>
      </c>
      <c r="D74" s="745"/>
      <c r="E74" s="746" t="str">
        <f t="shared" si="4"/>
        <v/>
      </c>
      <c r="F74" s="745"/>
      <c r="G74" s="745"/>
      <c r="H74" s="746" t="str">
        <f t="shared" si="5"/>
        <v/>
      </c>
      <c r="I74" s="745"/>
    </row>
    <row r="75" spans="1:16" hidden="1">
      <c r="B75" s="152">
        <v>75</v>
      </c>
      <c r="C75" s="55" t="s">
        <v>257</v>
      </c>
      <c r="D75" s="745"/>
      <c r="E75" s="746" t="str">
        <f t="shared" si="4"/>
        <v/>
      </c>
      <c r="F75" s="745"/>
      <c r="G75" s="745"/>
      <c r="H75" s="746" t="str">
        <f t="shared" si="5"/>
        <v/>
      </c>
      <c r="I75" s="745"/>
    </row>
    <row r="76" spans="1:16">
      <c r="B76" s="152">
        <v>76</v>
      </c>
      <c r="C76" s="53" t="s">
        <v>2499</v>
      </c>
      <c r="D76" s="745"/>
      <c r="E76" s="747" t="s">
        <v>217</v>
      </c>
      <c r="F76" s="748">
        <f>F52+F28+F4</f>
        <v>1273033.6800000095</v>
      </c>
      <c r="G76" s="747"/>
      <c r="H76" s="747" t="s">
        <v>217</v>
      </c>
      <c r="I76" s="746">
        <f>I52+I28+I4</f>
        <v>6270239.29</v>
      </c>
      <c r="N76" s="1572">
        <f>L81-M81</f>
        <v>-4996395.169999999</v>
      </c>
      <c r="O76" s="1588"/>
      <c r="P76" s="1588"/>
    </row>
    <row r="77" spans="1:16">
      <c r="B77" s="152"/>
      <c r="C77" s="753" t="s">
        <v>2502</v>
      </c>
      <c r="D77" s="745"/>
      <c r="E77" s="747"/>
      <c r="F77" s="756"/>
      <c r="G77" s="747"/>
      <c r="H77" s="747"/>
      <c r="I77" s="757"/>
      <c r="N77" s="1572">
        <f>L82-M82</f>
        <v>-10.439999997615814</v>
      </c>
      <c r="O77" s="1588"/>
      <c r="P77" s="1588"/>
    </row>
    <row r="78" spans="1:16">
      <c r="A78" s="312" t="s">
        <v>304</v>
      </c>
      <c r="B78" s="152">
        <v>77</v>
      </c>
      <c r="D78" s="170"/>
      <c r="E78" s="170"/>
      <c r="F78" s="170"/>
      <c r="G78" s="170"/>
      <c r="H78" s="170"/>
      <c r="I78" s="170"/>
    </row>
    <row r="79" spans="1:16">
      <c r="B79" s="152">
        <v>78</v>
      </c>
      <c r="J79" s="1589" t="s">
        <v>5035</v>
      </c>
      <c r="K79" s="1589" t="s">
        <v>5008</v>
      </c>
      <c r="L79" s="1589" t="s">
        <v>5009</v>
      </c>
      <c r="M79" s="1589" t="s">
        <v>5010</v>
      </c>
      <c r="N79" s="1589" t="s">
        <v>5011</v>
      </c>
    </row>
    <row r="80" spans="1:16" ht="13.5">
      <c r="B80" s="152">
        <v>79</v>
      </c>
      <c r="C80" s="53"/>
      <c r="D80" s="154" t="s">
        <v>39</v>
      </c>
      <c r="E80" s="154" t="s">
        <v>40</v>
      </c>
      <c r="J80" s="1431" t="s">
        <v>5007</v>
      </c>
      <c r="K80" s="1590">
        <v>29092.44</v>
      </c>
      <c r="L80" s="1590"/>
      <c r="M80" s="1590">
        <v>800</v>
      </c>
      <c r="N80" s="1590">
        <f>K80+L80-M80</f>
        <v>28292.44</v>
      </c>
    </row>
    <row r="81" spans="1:14" ht="13.5">
      <c r="A81" s="312" t="s">
        <v>243</v>
      </c>
      <c r="B81" s="152">
        <v>80</v>
      </c>
      <c r="C81" s="55" t="s">
        <v>37</v>
      </c>
      <c r="D81" s="749">
        <f>审定资产负债表!D6</f>
        <v>6270239.29</v>
      </c>
      <c r="E81" s="749">
        <f>审定资产负债表!C6</f>
        <v>1273033.68</v>
      </c>
      <c r="J81" s="1591" t="s">
        <v>5012</v>
      </c>
      <c r="K81" s="1590">
        <v>6121725.0800000001</v>
      </c>
      <c r="L81" s="1590">
        <v>3411.65</v>
      </c>
      <c r="M81" s="1590">
        <v>4999806.8199999994</v>
      </c>
      <c r="N81" s="1590">
        <v>1125329.9099999999</v>
      </c>
    </row>
    <row r="82" spans="1:14" ht="13.5">
      <c r="B82" s="152">
        <v>81</v>
      </c>
      <c r="C82" s="55" t="s">
        <v>38</v>
      </c>
      <c r="D82" s="750">
        <f>I76-D81</f>
        <v>0</v>
      </c>
      <c r="E82" s="750">
        <f>F76-E81</f>
        <v>9.5460563898086548E-9</v>
      </c>
      <c r="J82" s="1591" t="s">
        <v>5013</v>
      </c>
      <c r="K82" s="1590">
        <v>119421.77</v>
      </c>
      <c r="L82" s="1590">
        <v>308000089.56</v>
      </c>
      <c r="M82" s="1590">
        <v>308000100</v>
      </c>
      <c r="N82" s="1590">
        <v>119411.33</v>
      </c>
    </row>
    <row r="83" spans="1:14" ht="13.5">
      <c r="B83" s="152">
        <v>82</v>
      </c>
      <c r="J83" s="1589" t="s">
        <v>5034</v>
      </c>
      <c r="K83" s="1592">
        <f>K80+K81+K82</f>
        <v>6270239.29</v>
      </c>
      <c r="L83" s="1592">
        <f t="shared" ref="L83:N83" si="6">L80+L81+L82</f>
        <v>308003501.20999998</v>
      </c>
      <c r="M83" s="1592">
        <f t="shared" si="6"/>
        <v>313000706.81999999</v>
      </c>
      <c r="N83" s="1592">
        <f t="shared" si="6"/>
        <v>1273033.68</v>
      </c>
    </row>
    <row r="84" spans="1:14">
      <c r="B84" s="152">
        <v>83</v>
      </c>
      <c r="H84" s="751"/>
    </row>
    <row r="85" spans="1:14">
      <c r="A85" s="312" t="s">
        <v>304</v>
      </c>
      <c r="B85" s="152">
        <v>84</v>
      </c>
      <c r="C85" s="123" t="s">
        <v>341</v>
      </c>
      <c r="H85" s="344"/>
    </row>
    <row r="86" spans="1:14">
      <c r="B86" s="152">
        <v>85</v>
      </c>
      <c r="C86" s="154" t="s">
        <v>1</v>
      </c>
      <c r="D86" s="154" t="s">
        <v>339</v>
      </c>
      <c r="E86" s="154" t="s">
        <v>340</v>
      </c>
    </row>
    <row r="87" spans="1:14">
      <c r="B87" s="152">
        <v>86</v>
      </c>
      <c r="C87" s="752" t="s">
        <v>345</v>
      </c>
      <c r="D87" s="746">
        <f>SUM(D88:D89)</f>
        <v>0</v>
      </c>
      <c r="E87" s="746">
        <f>SUM(E88:E89)</f>
        <v>0</v>
      </c>
    </row>
    <row r="88" spans="1:14">
      <c r="B88" s="152">
        <v>87</v>
      </c>
      <c r="C88" s="55" t="s">
        <v>4517</v>
      </c>
      <c r="D88" s="154"/>
      <c r="E88" s="154"/>
    </row>
    <row r="89" spans="1:14">
      <c r="B89" s="152">
        <v>88</v>
      </c>
      <c r="C89" s="55"/>
      <c r="D89" s="154"/>
      <c r="E89" s="154"/>
    </row>
    <row r="90" spans="1:14">
      <c r="A90" s="312" t="s">
        <v>243</v>
      </c>
      <c r="B90" s="152">
        <v>89</v>
      </c>
      <c r="C90" s="753" t="s">
        <v>338</v>
      </c>
      <c r="D90" s="746">
        <f>SUM(D91:D99)</f>
        <v>0</v>
      </c>
      <c r="E90" s="746">
        <f>SUM(E91:E99)</f>
        <v>0</v>
      </c>
    </row>
    <row r="91" spans="1:14">
      <c r="B91" s="152">
        <v>90</v>
      </c>
      <c r="C91" s="55" t="s">
        <v>4523</v>
      </c>
      <c r="D91" s="53"/>
      <c r="E91" s="53"/>
    </row>
    <row r="92" spans="1:14">
      <c r="B92" s="152">
        <v>91</v>
      </c>
      <c r="C92" s="55" t="s">
        <v>4519</v>
      </c>
      <c r="D92" s="53"/>
      <c r="E92" s="53"/>
    </row>
    <row r="93" spans="1:14">
      <c r="B93" s="152">
        <v>92</v>
      </c>
      <c r="C93" s="55" t="s">
        <v>4520</v>
      </c>
      <c r="D93" s="53"/>
      <c r="E93" s="53"/>
    </row>
    <row r="94" spans="1:14">
      <c r="B94" s="152">
        <v>93</v>
      </c>
      <c r="C94" s="55" t="s">
        <v>4521</v>
      </c>
      <c r="D94" s="53"/>
      <c r="E94" s="53"/>
    </row>
    <row r="95" spans="1:14">
      <c r="B95" s="152">
        <v>94</v>
      </c>
      <c r="C95" s="55" t="s">
        <v>4522</v>
      </c>
      <c r="D95" s="53"/>
      <c r="E95" s="53"/>
    </row>
    <row r="96" spans="1:14">
      <c r="A96" s="312" t="s">
        <v>243</v>
      </c>
      <c r="B96" s="152">
        <v>95</v>
      </c>
      <c r="C96" s="55" t="s">
        <v>342</v>
      </c>
      <c r="D96" s="53"/>
      <c r="E96" s="53"/>
    </row>
    <row r="97" spans="1:5">
      <c r="B97" s="152">
        <v>96</v>
      </c>
      <c r="C97" s="55" t="s">
        <v>343</v>
      </c>
      <c r="D97" s="53"/>
      <c r="E97" s="53"/>
    </row>
    <row r="98" spans="1:5">
      <c r="B98" s="152">
        <v>97</v>
      </c>
      <c r="C98" s="55" t="s">
        <v>344</v>
      </c>
      <c r="D98" s="53"/>
      <c r="E98" s="53"/>
    </row>
    <row r="99" spans="1:5">
      <c r="B99" s="152">
        <v>98</v>
      </c>
      <c r="C99" s="55" t="s">
        <v>285</v>
      </c>
      <c r="D99" s="53"/>
      <c r="E99" s="53"/>
    </row>
    <row r="100" spans="1:5">
      <c r="B100" s="152">
        <v>99</v>
      </c>
      <c r="C100" s="754" t="s">
        <v>2501</v>
      </c>
      <c r="D100" s="746">
        <f>SUM(D101:D109)</f>
        <v>0</v>
      </c>
      <c r="E100" s="746">
        <f>SUM(E101:E109)</f>
        <v>0</v>
      </c>
    </row>
    <row r="101" spans="1:5">
      <c r="B101" s="152">
        <v>100</v>
      </c>
      <c r="C101" s="55" t="s">
        <v>4518</v>
      </c>
      <c r="D101" s="53"/>
      <c r="E101" s="53"/>
    </row>
    <row r="102" spans="1:5">
      <c r="A102" s="312" t="s">
        <v>243</v>
      </c>
      <c r="B102" s="152">
        <v>101</v>
      </c>
      <c r="C102" s="55" t="s">
        <v>4519</v>
      </c>
      <c r="D102" s="53"/>
      <c r="E102" s="53"/>
    </row>
    <row r="103" spans="1:5">
      <c r="B103" s="152">
        <v>102</v>
      </c>
      <c r="C103" s="55" t="s">
        <v>4520</v>
      </c>
      <c r="D103" s="53"/>
      <c r="E103" s="53"/>
    </row>
    <row r="104" spans="1:5">
      <c r="B104" s="152">
        <v>103</v>
      </c>
      <c r="C104" s="55" t="s">
        <v>4521</v>
      </c>
      <c r="D104" s="53"/>
      <c r="E104" s="53"/>
    </row>
    <row r="105" spans="1:5">
      <c r="B105" s="152">
        <v>104</v>
      </c>
      <c r="C105" s="55" t="s">
        <v>4522</v>
      </c>
      <c r="D105" s="53"/>
      <c r="E105" s="53"/>
    </row>
    <row r="106" spans="1:5">
      <c r="A106" s="312"/>
      <c r="B106" s="152">
        <v>105</v>
      </c>
      <c r="C106" s="55" t="s">
        <v>342</v>
      </c>
      <c r="D106" s="53"/>
      <c r="E106" s="53"/>
    </row>
    <row r="107" spans="1:5">
      <c r="B107" s="152">
        <v>106</v>
      </c>
      <c r="C107" s="55" t="s">
        <v>343</v>
      </c>
      <c r="D107" s="53"/>
      <c r="E107" s="53"/>
    </row>
    <row r="108" spans="1:5">
      <c r="B108" s="152">
        <v>107</v>
      </c>
      <c r="C108" s="55" t="s">
        <v>344</v>
      </c>
      <c r="D108" s="53"/>
      <c r="E108" s="53"/>
    </row>
    <row r="109" spans="1:5">
      <c r="B109" s="152">
        <v>108</v>
      </c>
      <c r="C109" s="55" t="s">
        <v>285</v>
      </c>
      <c r="D109" s="53"/>
      <c r="E109" s="53"/>
    </row>
    <row r="110" spans="1:5">
      <c r="A110" s="312" t="s">
        <v>243</v>
      </c>
      <c r="B110" s="152">
        <v>109</v>
      </c>
      <c r="C110" s="154" t="s">
        <v>346</v>
      </c>
      <c r="D110" s="746">
        <f>D100+D90+D87</f>
        <v>0</v>
      </c>
      <c r="E110" s="746">
        <f>E100+E90+E87</f>
        <v>0</v>
      </c>
    </row>
    <row r="112" spans="1:5">
      <c r="C112" s="328" t="s">
        <v>347</v>
      </c>
    </row>
    <row r="113" spans="3:5">
      <c r="C113" s="752" t="s">
        <v>345</v>
      </c>
      <c r="D113" s="755">
        <f>IF(D87&gt;F4,"请核实,明细大于总计",0)</f>
        <v>0</v>
      </c>
      <c r="E113" s="755">
        <f>IF(E87&gt;I4,"请核实,明细大于总计",0)</f>
        <v>0</v>
      </c>
    </row>
    <row r="114" spans="3:5">
      <c r="C114" s="753" t="s">
        <v>338</v>
      </c>
      <c r="D114" s="755">
        <f>IF(D90&gt;F28,"请核实,明细大于总计",0)</f>
        <v>0</v>
      </c>
      <c r="E114" s="755">
        <f>IF(E90&gt;I28,"请核实,明细大于总计",0)</f>
        <v>0</v>
      </c>
    </row>
    <row r="115" spans="3:5">
      <c r="C115" s="754" t="s">
        <v>2501</v>
      </c>
      <c r="D115" s="755">
        <f>IF(D100&gt;F52,"请核实,明细大于总计",0)</f>
        <v>0</v>
      </c>
      <c r="E115" s="755">
        <f>IF(E100&gt;I52,"请核实,明细大于总计",0)</f>
        <v>0</v>
      </c>
    </row>
    <row r="116" spans="3:5" ht="14.25">
      <c r="C116"/>
      <c r="D116"/>
      <c r="E116"/>
    </row>
  </sheetData>
  <sheetProtection formatCells="0" formatColumns="0" formatRows="0" autoFilter="0"/>
  <mergeCells count="3">
    <mergeCell ref="C2:C3"/>
    <mergeCell ref="D2:F2"/>
    <mergeCell ref="G2:I2"/>
  </mergeCells>
  <phoneticPr fontId="5" type="noConversion"/>
  <hyperlinks>
    <hyperlink ref="A1" location="附注填写封面!B3" display="返回目录" xr:uid="{00000000-0004-0000-1200-000000000000}"/>
    <hyperlink ref="A7" location="附注填写封面!B3" display="返回目录" xr:uid="{00000000-0004-0000-1200-000001000000}"/>
    <hyperlink ref="A10" location="附注填写封面!B3" display="返回目录" xr:uid="{00000000-0004-0000-1200-000002000000}"/>
    <hyperlink ref="A17" location="附注填写封面!B3" display="返回目录" xr:uid="{00000000-0004-0000-1200-000003000000}"/>
    <hyperlink ref="A24" location="附注填写封面!B3" display="返回目录" xr:uid="{00000000-0004-0000-1200-000004000000}"/>
    <hyperlink ref="A34" location="附注填写封面!B3" display="返回目录" xr:uid="{00000000-0004-0000-1200-000005000000}"/>
    <hyperlink ref="A44" location="附注填写封面!B3" display="返回目录" xr:uid="{00000000-0004-0000-1200-000006000000}"/>
    <hyperlink ref="A55" location="附注填写封面!B3" display="返回目录" xr:uid="{00000000-0004-0000-1200-000007000000}"/>
    <hyperlink ref="A65" location="附注填写封面!B3" display="返回目录" xr:uid="{00000000-0004-0000-1200-000008000000}"/>
    <hyperlink ref="A73" location="附注填写封面!B3" display="返回目录" xr:uid="{00000000-0004-0000-1200-000009000000}"/>
    <hyperlink ref="A81" location="附注填写封面!B3" display="返回目录" xr:uid="{00000000-0004-0000-1200-00000A000000}"/>
    <hyperlink ref="A4" location="现金流量表补充资料!B76" display="到间接法" xr:uid="{00000000-0004-0000-1200-00000B000000}"/>
    <hyperlink ref="A13" location="现金流量表补充资料!B76" display="到间接法" xr:uid="{00000000-0004-0000-1200-00000C000000}"/>
    <hyperlink ref="A20" location="现金流量表补充资料!B76" display="到间接法" xr:uid="{00000000-0004-0000-1200-00000D000000}"/>
    <hyperlink ref="A28" location="现金流量表补充资料!B76" display="到间接法" xr:uid="{00000000-0004-0000-1200-00000E000000}"/>
    <hyperlink ref="A39" location="现金流量表补充资料!B76" display="到间接法" xr:uid="{00000000-0004-0000-1200-00000F000000}"/>
    <hyperlink ref="A49" location="现金流量表补充资料!B76" display="到间接法" xr:uid="{00000000-0004-0000-1200-000010000000}"/>
    <hyperlink ref="A61" location="现金流量表补充资料!B76" display="到间接法" xr:uid="{00000000-0004-0000-1200-000011000000}"/>
    <hyperlink ref="A69" location="现金流量表补充资料!B76" display="到间接法" xr:uid="{00000000-0004-0000-1200-000012000000}"/>
    <hyperlink ref="A78" location="现金流量表补充资料!B76" display="到间接法" xr:uid="{00000000-0004-0000-1200-000013000000}"/>
    <hyperlink ref="A85" location="现金流量表补充资料!B76" display="到间接法" xr:uid="{00000000-0004-0000-1200-000014000000}"/>
    <hyperlink ref="A96" location="附注填写封面!B3" display="返回目录" xr:uid="{00000000-0004-0000-1200-000015000000}"/>
    <hyperlink ref="A110" location="附注填写封面!B3" display="返回目录" xr:uid="{00000000-0004-0000-1200-000016000000}"/>
    <hyperlink ref="A90" location="附注填写封面!B3" display="返回目录" xr:uid="{00000000-0004-0000-1200-000017000000}"/>
    <hyperlink ref="A102" location="附注填写封面!B3" display="返回目录" xr:uid="{00000000-0004-0000-1200-000018000000}"/>
  </hyperlinks>
  <printOptions horizontalCentered="1"/>
  <pageMargins left="0.74803149606299213" right="0.35433070866141736" top="0.98425196850393704" bottom="0.98425196850393704" header="0.39370078740157483" footer="0.51181102362204722"/>
  <pageSetup paperSize="9" scale="90" orientation="portrait" blackAndWhite="1"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E14"/>
  <sheetViews>
    <sheetView showGridLines="0" showZeros="0" workbookViewId="0">
      <pane xSplit="3" ySplit="2" topLeftCell="D3" activePane="bottomRight" state="frozen"/>
      <selection activeCell="A5" sqref="A5:A6"/>
      <selection pane="topRight" activeCell="A5" sqref="A5:A6"/>
      <selection pane="bottomLeft" activeCell="A5" sqref="A5:A6"/>
      <selection pane="bottomRight"/>
    </sheetView>
  </sheetViews>
  <sheetFormatPr defaultColWidth="11.625" defaultRowHeight="12.75"/>
  <cols>
    <col min="1" max="1" width="7.5" style="29" customWidth="1"/>
    <col min="2" max="2" width="5.625" style="29" hidden="1" customWidth="1"/>
    <col min="3" max="3" width="35.875" style="344" customWidth="1"/>
    <col min="4" max="5" width="11.375" style="344" bestFit="1" customWidth="1"/>
    <col min="6" max="16384" width="11.625" style="29"/>
  </cols>
  <sheetData>
    <row r="1" spans="1:5" ht="29.25" customHeight="1">
      <c r="A1" s="758" t="s">
        <v>243</v>
      </c>
      <c r="B1" s="278" t="s">
        <v>305</v>
      </c>
      <c r="C1" s="759" t="s">
        <v>2503</v>
      </c>
    </row>
    <row r="2" spans="1:5" ht="12.75" customHeight="1">
      <c r="B2" s="95">
        <v>2</v>
      </c>
      <c r="C2" s="360" t="s">
        <v>811</v>
      </c>
      <c r="D2" s="154" t="s">
        <v>288</v>
      </c>
      <c r="E2" s="360" t="s">
        <v>880</v>
      </c>
    </row>
    <row r="3" spans="1:5" ht="12.75" customHeight="1">
      <c r="B3" s="95"/>
      <c r="C3" s="1444" t="s">
        <v>4754</v>
      </c>
      <c r="D3" s="360"/>
      <c r="E3" s="360"/>
    </row>
    <row r="4" spans="1:5">
      <c r="B4" s="95">
        <v>3</v>
      </c>
      <c r="C4" s="1444" t="s">
        <v>4755</v>
      </c>
      <c r="D4" s="761"/>
      <c r="E4" s="761"/>
    </row>
    <row r="5" spans="1:5">
      <c r="B5" s="95">
        <v>4</v>
      </c>
      <c r="C5" s="1444" t="s">
        <v>4756</v>
      </c>
      <c r="D5" s="761"/>
      <c r="E5" s="761"/>
    </row>
    <row r="6" spans="1:5" ht="24">
      <c r="A6" s="758" t="s">
        <v>243</v>
      </c>
      <c r="B6" s="95">
        <v>5</v>
      </c>
      <c r="C6" s="359" t="s">
        <v>4757</v>
      </c>
      <c r="D6" s="761"/>
      <c r="E6" s="761"/>
    </row>
    <row r="7" spans="1:5">
      <c r="A7" s="758"/>
      <c r="B7" s="95"/>
      <c r="C7" s="1444" t="s">
        <v>4755</v>
      </c>
      <c r="D7" s="1417"/>
      <c r="E7" s="1417"/>
    </row>
    <row r="8" spans="1:5">
      <c r="A8" s="758"/>
      <c r="B8" s="95"/>
      <c r="C8" s="1444" t="s">
        <v>4756</v>
      </c>
      <c r="D8" s="1417"/>
      <c r="E8" s="1417"/>
    </row>
    <row r="9" spans="1:5">
      <c r="B9" s="95">
        <v>8</v>
      </c>
      <c r="C9" s="1444" t="s">
        <v>4474</v>
      </c>
      <c r="D9" s="761"/>
      <c r="E9" s="761"/>
    </row>
    <row r="10" spans="1:5">
      <c r="B10" s="95">
        <v>9</v>
      </c>
      <c r="C10" s="360" t="s">
        <v>817</v>
      </c>
      <c r="D10" s="406">
        <f>D3+D6+D9</f>
        <v>0</v>
      </c>
      <c r="E10" s="406">
        <f>E3+E6+E9</f>
        <v>0</v>
      </c>
    </row>
    <row r="11" spans="1:5">
      <c r="B11" s="95">
        <v>10</v>
      </c>
    </row>
    <row r="12" spans="1:5">
      <c r="A12" s="758" t="s">
        <v>243</v>
      </c>
      <c r="B12" s="95">
        <v>11</v>
      </c>
      <c r="C12" s="360"/>
      <c r="D12" s="360" t="s">
        <v>2504</v>
      </c>
      <c r="E12" s="360" t="s">
        <v>2505</v>
      </c>
    </row>
    <row r="13" spans="1:5">
      <c r="B13" s="95">
        <v>12</v>
      </c>
      <c r="C13" s="360" t="s">
        <v>2506</v>
      </c>
      <c r="D13" s="406">
        <f>审定资产负债表!D9</f>
        <v>0</v>
      </c>
      <c r="E13" s="406">
        <f>审定资产负债表!C9</f>
        <v>0</v>
      </c>
    </row>
    <row r="14" spans="1:5">
      <c r="B14" s="95">
        <v>13</v>
      </c>
      <c r="C14" s="360" t="s">
        <v>2507</v>
      </c>
      <c r="D14" s="406">
        <f>E10-D13</f>
        <v>0</v>
      </c>
      <c r="E14" s="406">
        <f>D10-E13</f>
        <v>0</v>
      </c>
    </row>
  </sheetData>
  <sheetProtection formatCells="0" formatColumns="0" formatRows="0" autoFilter="0"/>
  <phoneticPr fontId="5" type="noConversion"/>
  <hyperlinks>
    <hyperlink ref="A1" location="附注填写封面!B3" display="返回目录" xr:uid="{00000000-0004-0000-1300-000000000000}"/>
    <hyperlink ref="A6" location="附注填写封面!B3" display="返回目录" xr:uid="{00000000-0004-0000-1300-000001000000}"/>
    <hyperlink ref="A12" location="附注填写封面!B3" display="返回目录" xr:uid="{00000000-0004-0000-1300-000002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79"/>
  <dimension ref="A1:E12"/>
  <sheetViews>
    <sheetView showGridLines="0" workbookViewId="0"/>
  </sheetViews>
  <sheetFormatPr defaultColWidth="11.625" defaultRowHeight="12.75"/>
  <cols>
    <col min="1" max="1" width="7.5" style="29" customWidth="1"/>
    <col min="2" max="2" width="5.625" style="29" hidden="1" customWidth="1"/>
    <col min="3" max="3" width="35.875" style="344" customWidth="1"/>
    <col min="4" max="5" width="11.625" style="344"/>
    <col min="6" max="16384" width="11.625" style="29"/>
  </cols>
  <sheetData>
    <row r="1" spans="1:5" ht="29.25" customHeight="1">
      <c r="A1" s="758" t="s">
        <v>243</v>
      </c>
      <c r="B1" s="278" t="s">
        <v>305</v>
      </c>
      <c r="C1" s="759" t="s">
        <v>2511</v>
      </c>
    </row>
    <row r="2" spans="1:5" ht="12.75" customHeight="1">
      <c r="B2" s="95">
        <v>2</v>
      </c>
      <c r="C2" s="360" t="s">
        <v>811</v>
      </c>
      <c r="D2" s="154" t="s">
        <v>288</v>
      </c>
      <c r="E2" s="360" t="s">
        <v>880</v>
      </c>
    </row>
    <row r="3" spans="1:5" ht="12.75" customHeight="1">
      <c r="B3" s="95"/>
      <c r="C3" s="760"/>
      <c r="D3" s="762"/>
      <c r="E3" s="762"/>
    </row>
    <row r="4" spans="1:5">
      <c r="B4" s="95">
        <v>3</v>
      </c>
      <c r="C4" s="760"/>
      <c r="D4" s="763"/>
      <c r="E4" s="763"/>
    </row>
    <row r="5" spans="1:5">
      <c r="B5" s="95">
        <v>4</v>
      </c>
      <c r="C5" s="760"/>
      <c r="D5" s="763"/>
      <c r="E5" s="763"/>
    </row>
    <row r="6" spans="1:5">
      <c r="A6" s="758" t="s">
        <v>243</v>
      </c>
      <c r="B6" s="95">
        <v>5</v>
      </c>
      <c r="C6" s="338"/>
      <c r="D6" s="763"/>
      <c r="E6" s="763"/>
    </row>
    <row r="7" spans="1:5">
      <c r="B7" s="95">
        <v>8</v>
      </c>
      <c r="C7" s="760"/>
      <c r="D7" s="763"/>
      <c r="E7" s="763"/>
    </row>
    <row r="8" spans="1:5">
      <c r="B8" s="95">
        <v>9</v>
      </c>
      <c r="C8" s="360" t="s">
        <v>817</v>
      </c>
      <c r="D8" s="405">
        <f>SUM(D3:D7)</f>
        <v>0</v>
      </c>
      <c r="E8" s="405">
        <f>SUM(E3:E7)</f>
        <v>0</v>
      </c>
    </row>
    <row r="9" spans="1:5">
      <c r="B9" s="95">
        <v>10</v>
      </c>
      <c r="D9" s="128"/>
      <c r="E9" s="128"/>
    </row>
    <row r="10" spans="1:5">
      <c r="A10" s="758" t="s">
        <v>243</v>
      </c>
      <c r="B10" s="95">
        <v>11</v>
      </c>
      <c r="C10" s="360"/>
      <c r="D10" s="762" t="s">
        <v>2508</v>
      </c>
      <c r="E10" s="762" t="s">
        <v>2509</v>
      </c>
    </row>
    <row r="11" spans="1:5">
      <c r="B11" s="95">
        <v>12</v>
      </c>
      <c r="C11" s="360" t="s">
        <v>2506</v>
      </c>
      <c r="D11" s="405">
        <f>审定资产负债表!D10</f>
        <v>0</v>
      </c>
      <c r="E11" s="405">
        <f>审定资产负债表!C10</f>
        <v>0</v>
      </c>
    </row>
    <row r="12" spans="1:5">
      <c r="B12" s="95">
        <v>13</v>
      </c>
      <c r="C12" s="360" t="s">
        <v>2510</v>
      </c>
      <c r="D12" s="405">
        <f>E8-D11</f>
        <v>0</v>
      </c>
      <c r="E12" s="405">
        <f>D8-E11</f>
        <v>0</v>
      </c>
    </row>
  </sheetData>
  <sheetProtection formatCells="0" formatColumns="0" formatRows="0" autoFilter="0"/>
  <phoneticPr fontId="5" type="noConversion"/>
  <hyperlinks>
    <hyperlink ref="A1" location="附注填写封面!B3" display="返回目录" xr:uid="{00000000-0004-0000-1400-000000000000}"/>
    <hyperlink ref="A6" location="附注填写封面!B3" display="返回目录" xr:uid="{00000000-0004-0000-1400-000001000000}"/>
    <hyperlink ref="A10" location="附注填写封面!B3" display="返回目录" xr:uid="{00000000-0004-0000-1400-000002000000}"/>
  </hyperlinks>
  <pageMargins left="0.7" right="0.7" top="0.75" bottom="0.75" header="0.3" footer="0.3"/>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95"/>
  <dimension ref="A1:G9"/>
  <sheetViews>
    <sheetView showGridLines="0" showZeros="0" workbookViewId="0">
      <pane xSplit="3" ySplit="2" topLeftCell="D3" activePane="bottomRight" state="frozen"/>
      <selection activeCell="A5" sqref="A5:A6"/>
      <selection pane="topRight" activeCell="A5" sqref="A5:A6"/>
      <selection pane="bottomLeft" activeCell="A5" sqref="A5:A6"/>
      <selection pane="bottomRight" activeCell="E16" sqref="E16"/>
    </sheetView>
  </sheetViews>
  <sheetFormatPr defaultColWidth="11.625" defaultRowHeight="12.75"/>
  <cols>
    <col min="1" max="1" width="7.5" style="344" customWidth="1"/>
    <col min="2" max="2" width="5.625" style="344" hidden="1" customWidth="1"/>
    <col min="3" max="3" width="35.875" style="344" customWidth="1"/>
    <col min="4" max="4" width="16.875" style="344" customWidth="1"/>
    <col min="5" max="6" width="11.625" style="344"/>
    <col min="7" max="7" width="13.375" style="344" customWidth="1"/>
    <col min="8" max="16384" width="11.625" style="344"/>
  </cols>
  <sheetData>
    <row r="1" spans="1:7" ht="29.25" customHeight="1">
      <c r="A1" s="764" t="s">
        <v>2260</v>
      </c>
      <c r="B1" s="765" t="s">
        <v>2512</v>
      </c>
      <c r="C1" s="759" t="s">
        <v>2513</v>
      </c>
    </row>
    <row r="2" spans="1:7" ht="40.700000000000003" customHeight="1">
      <c r="B2" s="162">
        <v>2</v>
      </c>
      <c r="C2" s="360" t="s">
        <v>811</v>
      </c>
      <c r="D2" s="338" t="s">
        <v>2514</v>
      </c>
      <c r="E2" s="358" t="s">
        <v>2521</v>
      </c>
      <c r="F2" s="358" t="s">
        <v>2515</v>
      </c>
      <c r="G2" s="338" t="s">
        <v>2516</v>
      </c>
    </row>
    <row r="3" spans="1:7" ht="12.75" customHeight="1">
      <c r="B3" s="162"/>
      <c r="C3" s="760" t="s">
        <v>2517</v>
      </c>
      <c r="D3" s="360"/>
      <c r="E3" s="360"/>
      <c r="F3" s="360"/>
      <c r="G3" s="360"/>
    </row>
    <row r="4" spans="1:7">
      <c r="B4" s="162">
        <v>3</v>
      </c>
      <c r="C4" s="760" t="s">
        <v>2522</v>
      </c>
      <c r="D4" s="761"/>
      <c r="E4" s="761"/>
      <c r="F4" s="761"/>
      <c r="G4" s="761"/>
    </row>
    <row r="5" spans="1:7">
      <c r="B5" s="162">
        <v>4</v>
      </c>
      <c r="C5" s="760" t="s">
        <v>2518</v>
      </c>
      <c r="D5" s="761"/>
      <c r="E5" s="761"/>
      <c r="F5" s="761"/>
      <c r="G5" s="761"/>
    </row>
    <row r="6" spans="1:7">
      <c r="A6" s="764" t="s">
        <v>2260</v>
      </c>
      <c r="B6" s="162">
        <v>5</v>
      </c>
      <c r="C6" s="338" t="s">
        <v>2519</v>
      </c>
      <c r="D6" s="761"/>
      <c r="E6" s="761"/>
      <c r="F6" s="761"/>
      <c r="G6" s="761"/>
    </row>
    <row r="7" spans="1:7" ht="24.75">
      <c r="A7" s="764"/>
      <c r="B7" s="162"/>
      <c r="C7" s="338" t="s">
        <v>2523</v>
      </c>
      <c r="D7" s="761"/>
      <c r="E7" s="761"/>
      <c r="F7" s="761"/>
      <c r="G7" s="761"/>
    </row>
    <row r="8" spans="1:7">
      <c r="B8" s="162">
        <v>8</v>
      </c>
      <c r="C8" s="338" t="s">
        <v>2520</v>
      </c>
      <c r="D8" s="761"/>
      <c r="E8" s="761"/>
      <c r="F8" s="761"/>
      <c r="G8" s="761"/>
    </row>
    <row r="9" spans="1:7">
      <c r="B9" s="162">
        <v>10</v>
      </c>
    </row>
  </sheetData>
  <sheetProtection formatCells="0" formatColumns="0" formatRows="0" autoFilter="0"/>
  <phoneticPr fontId="5" type="noConversion"/>
  <hyperlinks>
    <hyperlink ref="A1" location="附注填写封面!B3" display="返回目录" xr:uid="{00000000-0004-0000-1500-000000000000}"/>
    <hyperlink ref="A6" location="附注填写封面!B3" display="返回目录" xr:uid="{00000000-0004-0000-15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5"/>
  <dimension ref="A1:H35"/>
  <sheetViews>
    <sheetView showGridLines="0" showZeros="0" workbookViewId="0">
      <pane xSplit="3" ySplit="2" topLeftCell="D3" activePane="bottomRight" state="frozen"/>
      <selection activeCell="A5" sqref="A5:A6"/>
      <selection pane="topRight" activeCell="A5" sqref="A5:A6"/>
      <selection pane="bottomLeft" activeCell="A5" sqref="A5:A6"/>
      <selection pane="bottomRight" activeCell="D27" sqref="D27"/>
    </sheetView>
  </sheetViews>
  <sheetFormatPr defaultColWidth="11.625" defaultRowHeight="12.75"/>
  <cols>
    <col min="1" max="1" width="7.5" style="95" customWidth="1"/>
    <col min="2" max="2" width="3.625" style="29" hidden="1" customWidth="1"/>
    <col min="3" max="3" width="35.875" style="123" customWidth="1"/>
    <col min="4" max="4" width="14.125" style="344" customWidth="1"/>
    <col min="5" max="5" width="14.125" style="344" bestFit="1" customWidth="1"/>
    <col min="6" max="16384" width="11.625" style="29"/>
  </cols>
  <sheetData>
    <row r="1" spans="1:7" ht="32.25" customHeight="1">
      <c r="A1" s="817" t="s">
        <v>243</v>
      </c>
      <c r="B1" s="278" t="s">
        <v>305</v>
      </c>
      <c r="C1" s="743" t="s">
        <v>1471</v>
      </c>
    </row>
    <row r="2" spans="1:7">
      <c r="B2" s="95">
        <v>2</v>
      </c>
      <c r="C2" s="357" t="s">
        <v>2526</v>
      </c>
      <c r="D2" s="337" t="s">
        <v>2536</v>
      </c>
      <c r="E2" s="337" t="s">
        <v>2530</v>
      </c>
      <c r="F2" s="94"/>
      <c r="G2" s="94"/>
    </row>
    <row r="3" spans="1:7">
      <c r="B3" s="95">
        <v>3</v>
      </c>
      <c r="C3" s="359" t="s">
        <v>220</v>
      </c>
      <c r="D3" s="400"/>
      <c r="E3" s="400"/>
    </row>
    <row r="4" spans="1:7">
      <c r="B4" s="95">
        <v>4</v>
      </c>
      <c r="C4" s="359" t="s">
        <v>221</v>
      </c>
      <c r="D4" s="761"/>
      <c r="E4" s="761"/>
    </row>
    <row r="5" spans="1:7">
      <c r="B5" s="95">
        <v>5</v>
      </c>
      <c r="C5" s="357" t="s">
        <v>2527</v>
      </c>
      <c r="D5" s="406">
        <f>SUM(D3:D4)</f>
        <v>0</v>
      </c>
      <c r="E5" s="406">
        <f>SUM(E3:E4)</f>
        <v>0</v>
      </c>
    </row>
    <row r="6" spans="1:7">
      <c r="B6" s="95"/>
      <c r="C6" s="766" t="s">
        <v>2529</v>
      </c>
      <c r="D6" s="769"/>
      <c r="E6" s="769"/>
    </row>
    <row r="7" spans="1:7">
      <c r="B7" s="95"/>
      <c r="C7" s="357" t="s">
        <v>2524</v>
      </c>
      <c r="D7" s="770" t="s">
        <v>2531</v>
      </c>
      <c r="E7" s="769"/>
    </row>
    <row r="8" spans="1:7">
      <c r="B8" s="95"/>
      <c r="C8" s="357" t="s">
        <v>220</v>
      </c>
      <c r="D8" s="770"/>
      <c r="E8" s="769"/>
    </row>
    <row r="9" spans="1:7">
      <c r="B9" s="95"/>
      <c r="C9" s="357" t="s">
        <v>221</v>
      </c>
      <c r="D9" s="770"/>
      <c r="E9" s="769"/>
    </row>
    <row r="10" spans="1:7">
      <c r="B10" s="95"/>
      <c r="C10" s="357" t="s">
        <v>222</v>
      </c>
      <c r="D10" s="406">
        <f>SUM(D8:D9)</f>
        <v>0</v>
      </c>
      <c r="E10" s="769"/>
    </row>
    <row r="11" spans="1:7">
      <c r="B11" s="95"/>
      <c r="C11" s="342" t="s">
        <v>2525</v>
      </c>
      <c r="D11" s="769"/>
      <c r="E11" s="769"/>
    </row>
    <row r="12" spans="1:7">
      <c r="B12" s="95"/>
      <c r="C12" s="357" t="s">
        <v>2524</v>
      </c>
      <c r="D12" s="770" t="s">
        <v>2532</v>
      </c>
      <c r="E12" s="770" t="s">
        <v>2533</v>
      </c>
    </row>
    <row r="13" spans="1:7">
      <c r="B13" s="95"/>
      <c r="C13" s="357" t="s">
        <v>220</v>
      </c>
      <c r="D13" s="770"/>
      <c r="E13" s="770"/>
    </row>
    <row r="14" spans="1:7">
      <c r="B14" s="95"/>
      <c r="C14" s="357" t="s">
        <v>221</v>
      </c>
      <c r="D14" s="770"/>
      <c r="E14" s="770"/>
    </row>
    <row r="15" spans="1:7">
      <c r="B15" s="95"/>
      <c r="C15" s="357" t="s">
        <v>222</v>
      </c>
      <c r="D15" s="406">
        <f>SUM(D13:D14)</f>
        <v>0</v>
      </c>
      <c r="E15" s="406">
        <f>SUM(E13:E14)</f>
        <v>0</v>
      </c>
    </row>
    <row r="16" spans="1:7">
      <c r="B16" s="95"/>
      <c r="C16" s="342" t="s">
        <v>2528</v>
      </c>
      <c r="D16" s="769"/>
      <c r="E16" s="769"/>
    </row>
    <row r="17" spans="1:8">
      <c r="B17" s="95"/>
      <c r="C17" s="357" t="s">
        <v>2524</v>
      </c>
      <c r="D17" s="770" t="s">
        <v>2534</v>
      </c>
      <c r="E17" s="769"/>
    </row>
    <row r="18" spans="1:8">
      <c r="B18" s="95"/>
      <c r="C18" s="357" t="s">
        <v>220</v>
      </c>
      <c r="D18" s="770"/>
      <c r="E18" s="769"/>
    </row>
    <row r="19" spans="1:8">
      <c r="B19" s="95"/>
      <c r="C19" s="357" t="s">
        <v>221</v>
      </c>
      <c r="D19" s="770"/>
      <c r="E19" s="769"/>
    </row>
    <row r="20" spans="1:8">
      <c r="B20" s="95"/>
      <c r="C20" s="357" t="s">
        <v>222</v>
      </c>
      <c r="D20" s="406">
        <f>SUM(D18:D19)</f>
        <v>0</v>
      </c>
      <c r="E20" s="769"/>
    </row>
    <row r="21" spans="1:8">
      <c r="B21" s="95">
        <v>6</v>
      </c>
      <c r="C21" s="328"/>
      <c r="G21" s="1813"/>
      <c r="H21" s="1813"/>
    </row>
    <row r="22" spans="1:8">
      <c r="A22" s="817" t="s">
        <v>243</v>
      </c>
      <c r="B22" s="95">
        <v>7</v>
      </c>
      <c r="C22" s="154"/>
      <c r="D22" s="360" t="s">
        <v>2504</v>
      </c>
      <c r="E22" s="360" t="s">
        <v>2505</v>
      </c>
    </row>
    <row r="23" spans="1:8">
      <c r="B23" s="95">
        <v>8</v>
      </c>
      <c r="C23" s="154" t="s">
        <v>30</v>
      </c>
      <c r="D23" s="406">
        <f>审定资产负债表!D11</f>
        <v>0</v>
      </c>
      <c r="E23" s="406">
        <f>审定资产负债表!C11</f>
        <v>0</v>
      </c>
    </row>
    <row r="24" spans="1:8">
      <c r="B24" s="95">
        <v>9</v>
      </c>
      <c r="C24" s="154" t="s">
        <v>31</v>
      </c>
      <c r="D24" s="406">
        <f>E5-D23</f>
        <v>0</v>
      </c>
      <c r="E24" s="406">
        <f>D5-E23</f>
        <v>0</v>
      </c>
    </row>
    <row r="25" spans="1:8">
      <c r="B25" s="95">
        <v>10</v>
      </c>
    </row>
    <row r="26" spans="1:8" s="158" customFormat="1" ht="17.25" customHeight="1">
      <c r="A26" s="95"/>
      <c r="B26" s="95">
        <v>11</v>
      </c>
      <c r="C26" s="767" t="s">
        <v>348</v>
      </c>
      <c r="D26" s="771" t="s">
        <v>2535</v>
      </c>
      <c r="E26" s="771" t="s">
        <v>774</v>
      </c>
    </row>
    <row r="27" spans="1:8" s="158" customFormat="1" ht="17.25" customHeight="1">
      <c r="A27" s="95"/>
      <c r="B27" s="95">
        <v>12</v>
      </c>
      <c r="C27" s="767" t="s">
        <v>349</v>
      </c>
      <c r="D27" s="772"/>
      <c r="E27" s="772"/>
    </row>
    <row r="28" spans="1:8" s="158" customFormat="1" ht="17.25" customHeight="1">
      <c r="A28" s="95"/>
      <c r="B28" s="95">
        <v>13</v>
      </c>
      <c r="C28" s="767" t="s">
        <v>350</v>
      </c>
      <c r="D28" s="772"/>
      <c r="E28" s="772"/>
      <c r="F28" s="275"/>
    </row>
    <row r="29" spans="1:8" s="158" customFormat="1" ht="17.25" customHeight="1">
      <c r="A29" s="95"/>
      <c r="B29" s="95">
        <v>14</v>
      </c>
      <c r="C29" s="357" t="s">
        <v>2527</v>
      </c>
      <c r="D29" s="773">
        <f>SUM(D27:D28)</f>
        <v>0</v>
      </c>
      <c r="E29" s="773">
        <f>SUM(E27:E28)</f>
        <v>0</v>
      </c>
    </row>
    <row r="30" spans="1:8" s="158" customFormat="1" ht="23.25" customHeight="1">
      <c r="A30" s="95"/>
      <c r="B30" s="95">
        <v>15</v>
      </c>
      <c r="C30" s="768"/>
      <c r="D30" s="774"/>
      <c r="E30" s="774"/>
    </row>
    <row r="31" spans="1:8" s="158" customFormat="1" ht="17.25" customHeight="1">
      <c r="A31" s="95"/>
      <c r="B31" s="95">
        <v>16</v>
      </c>
      <c r="C31" s="55" t="s">
        <v>347</v>
      </c>
      <c r="D31" s="771" t="s">
        <v>2535</v>
      </c>
      <c r="E31" s="771" t="s">
        <v>774</v>
      </c>
    </row>
    <row r="32" spans="1:8" s="158" customFormat="1">
      <c r="A32" s="95"/>
      <c r="B32" s="95">
        <v>17</v>
      </c>
      <c r="C32" s="767" t="s">
        <v>349</v>
      </c>
      <c r="D32" s="775">
        <f>IF(D27&gt;D3,"请核实,明细大于总计",0)</f>
        <v>0</v>
      </c>
      <c r="E32" s="775">
        <f>IF(E27&gt;E3,"请核实,明细大于总计",0)</f>
        <v>0</v>
      </c>
    </row>
    <row r="33" spans="1:5" s="158" customFormat="1">
      <c r="A33" s="95"/>
      <c r="B33" s="95">
        <v>18</v>
      </c>
      <c r="C33" s="767" t="s">
        <v>350</v>
      </c>
      <c r="D33" s="775">
        <f>IF(D28&gt;D4,"请核实,明细大于总计",0)</f>
        <v>0</v>
      </c>
      <c r="E33" s="775">
        <f>IF(E28&gt;E4,"请核实,明细大于总计",0)</f>
        <v>0</v>
      </c>
    </row>
    <row r="34" spans="1:5">
      <c r="C34" s="767" t="s">
        <v>4459</v>
      </c>
      <c r="D34" s="775">
        <f>IF(D8&gt;D3,"请核实,明细大于总计",0)</f>
        <v>0</v>
      </c>
    </row>
    <row r="35" spans="1:5">
      <c r="C35" s="767" t="s">
        <v>4460</v>
      </c>
      <c r="D35" s="775">
        <f>IF(D9&gt;D4,"请核实,明细大于总计",0)</f>
        <v>0</v>
      </c>
    </row>
  </sheetData>
  <sheetProtection formatCells="0" formatColumns="0" formatRows="0" autoFilter="0"/>
  <mergeCells count="1">
    <mergeCell ref="G21:H21"/>
  </mergeCells>
  <phoneticPr fontId="5" type="noConversion"/>
  <hyperlinks>
    <hyperlink ref="A1" location="附注填写封面!B3" display="返回目录" xr:uid="{00000000-0004-0000-1600-000000000000}"/>
    <hyperlink ref="A22" location="附注填写封面!B3" display="返回目录" xr:uid="{00000000-0004-0000-16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drawing r:id="rId2"/>
  <legacyDrawing r:id="rId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6">
    <tabColor rgb="FFFFC000"/>
  </sheetPr>
  <dimension ref="A1:U176"/>
  <sheetViews>
    <sheetView showGridLines="0" showZeros="0" topLeftCell="A158" workbookViewId="0">
      <pane xSplit="3" topLeftCell="D1" activePane="topRight" state="frozen"/>
      <selection activeCell="A5" sqref="A5:A6"/>
      <selection pane="topRight" activeCell="C202" sqref="C202"/>
    </sheetView>
  </sheetViews>
  <sheetFormatPr defaultColWidth="11.625" defaultRowHeight="12.75"/>
  <cols>
    <col min="1" max="1" width="10.625" style="897" customWidth="1"/>
    <col min="2" max="2" width="4.5" style="344" hidden="1" customWidth="1"/>
    <col min="3" max="3" width="25.875" style="344" customWidth="1"/>
    <col min="4" max="4" width="11.875" style="345" bestFit="1" customWidth="1"/>
    <col min="5" max="5" width="16.75" style="345" bestFit="1" customWidth="1"/>
    <col min="6" max="6" width="12.125" style="345" customWidth="1"/>
    <col min="7" max="7" width="14.125" style="345" customWidth="1"/>
    <col min="8" max="8" width="16.5" style="345" customWidth="1"/>
    <col min="9" max="9" width="12.125" style="345" customWidth="1"/>
    <col min="10" max="10" width="10.625" style="345" customWidth="1"/>
    <col min="11" max="11" width="16.5" style="345" bestFit="1" customWidth="1"/>
    <col min="12" max="12" width="11.625" style="344"/>
    <col min="13" max="13" width="19.125" style="344" bestFit="1" customWidth="1"/>
    <col min="14" max="14" width="11.625" style="344"/>
    <col min="15" max="15" width="9.625" style="344" customWidth="1"/>
    <col min="16" max="16" width="9.875" style="344" customWidth="1"/>
    <col min="17" max="16384" width="11.625" style="344"/>
  </cols>
  <sheetData>
    <row r="1" spans="1:8" ht="18" customHeight="1">
      <c r="A1" s="894" t="s">
        <v>243</v>
      </c>
      <c r="B1" s="765" t="s">
        <v>1446</v>
      </c>
      <c r="C1" s="759" t="s">
        <v>2686</v>
      </c>
    </row>
    <row r="2" spans="1:8">
      <c r="B2" s="162">
        <v>2</v>
      </c>
      <c r="C2" s="1814" t="s">
        <v>819</v>
      </c>
      <c r="D2" s="1817" t="s">
        <v>2540</v>
      </c>
      <c r="E2" s="1818"/>
      <c r="F2" s="1818"/>
      <c r="G2" s="1819"/>
    </row>
    <row r="3" spans="1:8">
      <c r="B3" s="162">
        <v>3</v>
      </c>
      <c r="C3" s="1815"/>
      <c r="D3" s="1820" t="s">
        <v>826</v>
      </c>
      <c r="E3" s="1820"/>
      <c r="F3" s="1820" t="s">
        <v>828</v>
      </c>
      <c r="G3" s="1820"/>
    </row>
    <row r="4" spans="1:8">
      <c r="B4" s="162">
        <v>4</v>
      </c>
      <c r="C4" s="1816"/>
      <c r="D4" s="883" t="s">
        <v>829</v>
      </c>
      <c r="E4" s="883" t="s">
        <v>830</v>
      </c>
      <c r="F4" s="883" t="s">
        <v>829</v>
      </c>
      <c r="G4" s="883" t="s">
        <v>830</v>
      </c>
    </row>
    <row r="5" spans="1:8">
      <c r="A5" s="894" t="s">
        <v>2685</v>
      </c>
      <c r="B5" s="162">
        <v>5</v>
      </c>
      <c r="C5" s="888" t="s">
        <v>831</v>
      </c>
      <c r="D5" s="335"/>
      <c r="E5" s="777">
        <f>ROUND(IF($D$10&lt;&gt;0,D5/$D$10,0)*100,2)</f>
        <v>0</v>
      </c>
      <c r="F5" s="335"/>
      <c r="G5" s="778">
        <f t="shared" ref="G5:G10" si="0">ROUND(IF(D5&lt;&gt;0,F5/D5*100,0),2)</f>
        <v>0</v>
      </c>
    </row>
    <row r="6" spans="1:8">
      <c r="B6" s="162">
        <v>6</v>
      </c>
      <c r="C6" s="888" t="s">
        <v>2541</v>
      </c>
      <c r="D6" s="348">
        <f>SUM(D7:D8)</f>
        <v>4600000</v>
      </c>
      <c r="E6" s="777">
        <f>E7+E8</f>
        <v>100</v>
      </c>
      <c r="F6" s="348">
        <f>SUM(F7:F8)</f>
        <v>230000</v>
      </c>
      <c r="G6" s="778">
        <f t="shared" si="0"/>
        <v>5</v>
      </c>
      <c r="H6" s="779"/>
    </row>
    <row r="7" spans="1:8">
      <c r="A7" s="899" t="str">
        <f>HYPERLINK("#C1","置顶")</f>
        <v>置顶</v>
      </c>
      <c r="B7" s="162">
        <v>7</v>
      </c>
      <c r="C7" s="888" t="s">
        <v>833</v>
      </c>
      <c r="D7" s="335">
        <f>调整分录!H75+调整分录!H76+调整分录!H77</f>
        <v>4600000</v>
      </c>
      <c r="E7" s="777">
        <f>ROUND(IF($D$10&lt;&gt;0,D7/$D$10,0)*100,2)</f>
        <v>100</v>
      </c>
      <c r="F7" s="335">
        <f>调整分录!I90</f>
        <v>230000</v>
      </c>
      <c r="G7" s="778">
        <f t="shared" si="0"/>
        <v>5</v>
      </c>
    </row>
    <row r="8" spans="1:8">
      <c r="B8" s="162">
        <v>8</v>
      </c>
      <c r="C8" s="888" t="s">
        <v>2687</v>
      </c>
      <c r="D8" s="335"/>
      <c r="E8" s="777">
        <f>ROUND(IF($D$10&lt;&gt;0,D8/$D$10,0)*100,2)</f>
        <v>0</v>
      </c>
      <c r="F8" s="335"/>
      <c r="G8" s="778">
        <f t="shared" si="0"/>
        <v>0</v>
      </c>
    </row>
    <row r="9" spans="1:8">
      <c r="A9" s="894" t="s">
        <v>243</v>
      </c>
      <c r="B9" s="162">
        <v>9</v>
      </c>
      <c r="C9" s="888" t="s">
        <v>835</v>
      </c>
      <c r="D9" s="335"/>
      <c r="E9" s="777">
        <f>ROUND(IF($D$10&lt;&gt;0,D9/$D$10,0)*100,2)</f>
        <v>0</v>
      </c>
      <c r="F9" s="335"/>
      <c r="G9" s="778">
        <f t="shared" si="0"/>
        <v>0</v>
      </c>
    </row>
    <row r="10" spans="1:8">
      <c r="B10" s="162">
        <v>10</v>
      </c>
      <c r="C10" s="888" t="s">
        <v>836</v>
      </c>
      <c r="D10" s="348">
        <f>D5+D6+D9</f>
        <v>4600000</v>
      </c>
      <c r="E10" s="406">
        <f>E5+E6+E9</f>
        <v>100</v>
      </c>
      <c r="F10" s="348">
        <f>F5+F6+F9</f>
        <v>230000</v>
      </c>
      <c r="G10" s="778">
        <f t="shared" si="0"/>
        <v>5</v>
      </c>
    </row>
    <row r="11" spans="1:8">
      <c r="B11" s="162">
        <v>11</v>
      </c>
      <c r="C11" s="344" t="s">
        <v>2688</v>
      </c>
    </row>
    <row r="12" spans="1:8">
      <c r="B12" s="162">
        <v>12</v>
      </c>
    </row>
    <row r="13" spans="1:8">
      <c r="A13" s="894" t="s">
        <v>2684</v>
      </c>
      <c r="B13" s="162">
        <v>13</v>
      </c>
      <c r="C13" s="1814" t="s">
        <v>819</v>
      </c>
      <c r="D13" s="1821" t="s">
        <v>774</v>
      </c>
      <c r="E13" s="1821"/>
      <c r="F13" s="1821"/>
      <c r="G13" s="1821"/>
    </row>
    <row r="14" spans="1:8">
      <c r="B14" s="162">
        <v>14</v>
      </c>
      <c r="C14" s="1815"/>
      <c r="D14" s="1821" t="s">
        <v>826</v>
      </c>
      <c r="E14" s="1821"/>
      <c r="F14" s="1821" t="s">
        <v>827</v>
      </c>
      <c r="G14" s="1821"/>
    </row>
    <row r="15" spans="1:8">
      <c r="A15" s="899" t="str">
        <f>HYPERLINK("#C1","置顶")</f>
        <v>置顶</v>
      </c>
      <c r="B15" s="162">
        <v>15</v>
      </c>
      <c r="C15" s="1816"/>
      <c r="D15" s="882" t="s">
        <v>829</v>
      </c>
      <c r="E15" s="882" t="s">
        <v>830</v>
      </c>
      <c r="F15" s="882" t="s">
        <v>829</v>
      </c>
      <c r="G15" s="882" t="s">
        <v>830</v>
      </c>
    </row>
    <row r="16" spans="1:8">
      <c r="B16" s="162">
        <v>16</v>
      </c>
      <c r="C16" s="888" t="s">
        <v>831</v>
      </c>
      <c r="D16" s="335"/>
      <c r="E16" s="778">
        <f>ROUND(IF($D$21&lt;&gt;0,D16/$D$21*100,0),2)</f>
        <v>0</v>
      </c>
      <c r="F16" s="335"/>
      <c r="G16" s="778">
        <f t="shared" ref="G16:G21" si="1">ROUND(IF(D16&lt;&gt;0,F16/D16*100,0),2)</f>
        <v>0</v>
      </c>
    </row>
    <row r="17" spans="1:21">
      <c r="A17" s="894" t="s">
        <v>243</v>
      </c>
      <c r="B17" s="162">
        <v>17</v>
      </c>
      <c r="C17" s="888" t="s">
        <v>2541</v>
      </c>
      <c r="D17" s="348">
        <f>SUM(D18:D19)</f>
        <v>0</v>
      </c>
      <c r="E17" s="778">
        <f>E18+E19</f>
        <v>0</v>
      </c>
      <c r="F17" s="348">
        <f>SUM(F18:F19)</f>
        <v>0</v>
      </c>
      <c r="G17" s="778">
        <f t="shared" si="1"/>
        <v>0</v>
      </c>
    </row>
    <row r="18" spans="1:21">
      <c r="B18" s="162">
        <v>18</v>
      </c>
      <c r="C18" s="888" t="s">
        <v>833</v>
      </c>
      <c r="D18" s="335"/>
      <c r="E18" s="778">
        <f>ROUND(IF($D$21&lt;&gt;0,D18/$D$21*100,0),2)</f>
        <v>0</v>
      </c>
      <c r="F18" s="335"/>
      <c r="G18" s="778">
        <f t="shared" si="1"/>
        <v>0</v>
      </c>
    </row>
    <row r="19" spans="1:21">
      <c r="B19" s="162">
        <v>19</v>
      </c>
      <c r="C19" s="888" t="s">
        <v>834</v>
      </c>
      <c r="D19" s="335">
        <f>调整分录!F61+调整分录!F62+调整分录!F63</f>
        <v>0</v>
      </c>
      <c r="E19" s="778">
        <f>ROUND(IF($D$21&lt;&gt;0,D19/$D$21*100,0),2)</f>
        <v>0</v>
      </c>
      <c r="F19" s="335"/>
      <c r="G19" s="778">
        <f t="shared" si="1"/>
        <v>0</v>
      </c>
    </row>
    <row r="20" spans="1:21">
      <c r="B20" s="162">
        <v>20</v>
      </c>
      <c r="C20" s="888" t="s">
        <v>835</v>
      </c>
      <c r="D20" s="335"/>
      <c r="E20" s="778">
        <f>ROUND(IF($D$21&lt;&gt;0,D20/$D$21*100,0),2)</f>
        <v>0</v>
      </c>
      <c r="F20" s="335"/>
      <c r="G20" s="778">
        <f t="shared" si="1"/>
        <v>0</v>
      </c>
    </row>
    <row r="21" spans="1:21">
      <c r="A21" s="894" t="s">
        <v>2684</v>
      </c>
      <c r="B21" s="162">
        <v>21</v>
      </c>
      <c r="C21" s="888" t="s">
        <v>836</v>
      </c>
      <c r="D21" s="348">
        <f>D16+D17+D20</f>
        <v>0</v>
      </c>
      <c r="E21" s="778">
        <f>E16+E17+E20</f>
        <v>0</v>
      </c>
      <c r="F21" s="348">
        <f>F16+F17+F20</f>
        <v>0</v>
      </c>
      <c r="G21" s="778">
        <f t="shared" si="1"/>
        <v>0</v>
      </c>
    </row>
    <row r="22" spans="1:21">
      <c r="B22" s="162">
        <v>22</v>
      </c>
      <c r="C22" s="344" t="s">
        <v>2688</v>
      </c>
    </row>
    <row r="23" spans="1:21">
      <c r="A23" s="899" t="str">
        <f>HYPERLINK("#C1","置顶")</f>
        <v>置顶</v>
      </c>
      <c r="B23" s="162">
        <v>23</v>
      </c>
      <c r="C23" s="888"/>
      <c r="D23" s="883" t="s">
        <v>2504</v>
      </c>
      <c r="E23" s="883" t="s">
        <v>2505</v>
      </c>
      <c r="F23" s="883" t="s">
        <v>2543</v>
      </c>
      <c r="G23" s="883" t="s">
        <v>2544</v>
      </c>
    </row>
    <row r="24" spans="1:21">
      <c r="B24" s="162">
        <v>24</v>
      </c>
      <c r="C24" s="888" t="s">
        <v>1319</v>
      </c>
      <c r="D24" s="778">
        <f>审定资产负债表!D12</f>
        <v>0</v>
      </c>
      <c r="E24" s="778">
        <f>审定资产负债表!C12</f>
        <v>4370000</v>
      </c>
      <c r="F24" s="780">
        <f>IF(D10&lt;&gt;0,100-E5-E6-E9,0)</f>
        <v>0</v>
      </c>
      <c r="G24" s="780">
        <f>IF(D21&lt;&gt;0,100-E16-E17-E20,0)</f>
        <v>0</v>
      </c>
    </row>
    <row r="25" spans="1:21">
      <c r="B25" s="162">
        <v>25</v>
      </c>
      <c r="C25" s="888" t="s">
        <v>1320</v>
      </c>
      <c r="D25" s="778">
        <f>D21-F21-D24</f>
        <v>0</v>
      </c>
      <c r="E25" s="778">
        <f>D10-F10-E24</f>
        <v>0</v>
      </c>
      <c r="F25" s="780">
        <f>ROUND(IF($D$10&lt;&gt;0,D6/$D$10,0)*100,2)-E6</f>
        <v>0</v>
      </c>
      <c r="G25" s="780">
        <f>ROUND(IF($D$21&lt;&gt;0,D17/$D$21,0)*100,2)-E17</f>
        <v>0</v>
      </c>
    </row>
    <row r="26" spans="1:21">
      <c r="A26" s="894" t="s">
        <v>243</v>
      </c>
      <c r="B26" s="162">
        <v>26</v>
      </c>
    </row>
    <row r="27" spans="1:21">
      <c r="B27" s="162">
        <v>27</v>
      </c>
      <c r="C27" s="781" t="s">
        <v>2545</v>
      </c>
    </row>
    <row r="28" spans="1:21">
      <c r="B28" s="162">
        <v>28</v>
      </c>
    </row>
    <row r="29" spans="1:21">
      <c r="B29" s="162">
        <v>29</v>
      </c>
      <c r="C29" s="781" t="s">
        <v>837</v>
      </c>
    </row>
    <row r="30" spans="1:21">
      <c r="A30" s="894" t="s">
        <v>2684</v>
      </c>
      <c r="B30" s="162">
        <v>30</v>
      </c>
      <c r="C30" s="1814" t="s">
        <v>838</v>
      </c>
      <c r="D30" s="1820" t="s">
        <v>2546</v>
      </c>
      <c r="E30" s="1820"/>
      <c r="F30" s="1820"/>
      <c r="G30" s="1820" t="s">
        <v>2689</v>
      </c>
      <c r="H30" s="1820"/>
      <c r="I30" s="1820"/>
    </row>
    <row r="31" spans="1:21">
      <c r="B31" s="162">
        <v>31</v>
      </c>
      <c r="C31" s="1815"/>
      <c r="D31" s="1820" t="s">
        <v>826</v>
      </c>
      <c r="E31" s="1820"/>
      <c r="F31" s="1820" t="s">
        <v>827</v>
      </c>
      <c r="G31" s="1820" t="s">
        <v>826</v>
      </c>
      <c r="H31" s="1820"/>
      <c r="I31" s="1820" t="s">
        <v>827</v>
      </c>
      <c r="M31" s="881" t="s">
        <v>2690</v>
      </c>
    </row>
    <row r="32" spans="1:21">
      <c r="A32" s="899" t="str">
        <f>HYPERLINK("#C1","置顶")</f>
        <v>置顶</v>
      </c>
      <c r="B32" s="162">
        <v>32</v>
      </c>
      <c r="C32" s="1816"/>
      <c r="D32" s="882" t="s">
        <v>829</v>
      </c>
      <c r="E32" s="882" t="s">
        <v>830</v>
      </c>
      <c r="F32" s="1820"/>
      <c r="G32" s="882" t="s">
        <v>829</v>
      </c>
      <c r="H32" s="882" t="s">
        <v>830</v>
      </c>
      <c r="I32" s="1820"/>
      <c r="M32" s="1489" t="s">
        <v>4848</v>
      </c>
      <c r="N32" s="782" t="s">
        <v>2691</v>
      </c>
      <c r="O32" s="782" t="s">
        <v>2549</v>
      </c>
    </row>
    <row r="33" spans="1:21">
      <c r="B33" s="162">
        <v>33</v>
      </c>
      <c r="C33" s="888" t="s">
        <v>355</v>
      </c>
      <c r="D33" s="335">
        <f>D7</f>
        <v>4600000</v>
      </c>
      <c r="E33" s="783">
        <f>ROUND(IF($D$41&lt;&gt;0,D33/$D$41,0)*100,2)</f>
        <v>100</v>
      </c>
      <c r="F33" s="335">
        <f>F7</f>
        <v>230000</v>
      </c>
      <c r="G33" s="335"/>
      <c r="H33" s="783">
        <f>ROUND(IF($G$41&lt;&gt;0,G33/$G$41,0)*100,2)</f>
        <v>0</v>
      </c>
      <c r="I33" s="335">
        <f>I34+I35</f>
        <v>0</v>
      </c>
      <c r="K33" s="782" t="s">
        <v>2550</v>
      </c>
      <c r="L33" s="1495" t="str">
        <f>IF(D36-G33&gt;0,"请检验合理性","合理")</f>
        <v>合理</v>
      </c>
      <c r="M33" s="881">
        <v>5</v>
      </c>
      <c r="N33" s="784">
        <f t="shared" ref="N33:N40" si="2">F33/D33*100</f>
        <v>5</v>
      </c>
      <c r="O33" s="784" t="e">
        <f>I33/G33*100</f>
        <v>#DIV/0!</v>
      </c>
      <c r="P33" s="1484" t="s">
        <v>4849</v>
      </c>
    </row>
    <row r="34" spans="1:21" hidden="1">
      <c r="B34" s="162"/>
      <c r="C34" s="1487" t="s">
        <v>4846</v>
      </c>
      <c r="D34" s="1485"/>
      <c r="E34" s="783">
        <f>ROUND(IF($D$41&lt;&gt;0,D34/$D$41,0)*100,2)</f>
        <v>0</v>
      </c>
      <c r="F34" s="1485"/>
      <c r="G34" s="1485"/>
      <c r="H34" s="783">
        <f>ROUND(IF($G$41&lt;&gt;0,G34/$G$41,0)*100,2)</f>
        <v>0</v>
      </c>
      <c r="I34" s="1485"/>
      <c r="K34" s="785"/>
      <c r="L34" s="1496" t="str">
        <f>IF(D35-G34&gt;0,"请检验合理性","合理")</f>
        <v>合理</v>
      </c>
      <c r="M34" s="1486"/>
      <c r="N34" s="784" t="e">
        <f t="shared" si="2"/>
        <v>#DIV/0!</v>
      </c>
      <c r="O34" s="784" t="e">
        <f t="shared" ref="O34:O40" si="3">I34/G34*100</f>
        <v>#DIV/0!</v>
      </c>
    </row>
    <row r="35" spans="1:21" hidden="1">
      <c r="B35" s="162"/>
      <c r="C35" s="1488" t="s">
        <v>4847</v>
      </c>
      <c r="D35" s="1485"/>
      <c r="E35" s="783">
        <f t="shared" ref="E35:E40" si="4">ROUND(IF($D$41&lt;&gt;0,D35/$D$41,0)*100,2)</f>
        <v>0</v>
      </c>
      <c r="F35" s="1485"/>
      <c r="G35" s="1485"/>
      <c r="H35" s="783">
        <f t="shared" ref="H35:H40" si="5">ROUND(IF($G$41&lt;&gt;0,G35/$G$41,0)*100,2)</f>
        <v>0</v>
      </c>
      <c r="I35" s="1485"/>
      <c r="K35" s="785"/>
      <c r="L35" s="1496" t="str">
        <f>IF(D36-G35&gt;0,"请检验合理性","合理")</f>
        <v>合理</v>
      </c>
      <c r="M35" s="1486"/>
      <c r="N35" s="784" t="e">
        <f t="shared" si="2"/>
        <v>#DIV/0!</v>
      </c>
      <c r="O35" s="784" t="e">
        <f t="shared" si="3"/>
        <v>#DIV/0!</v>
      </c>
    </row>
    <row r="36" spans="1:21">
      <c r="A36" s="894" t="s">
        <v>243</v>
      </c>
      <c r="B36" s="162">
        <v>34</v>
      </c>
      <c r="C36" s="888" t="s">
        <v>356</v>
      </c>
      <c r="D36" s="335"/>
      <c r="E36" s="783">
        <f t="shared" si="4"/>
        <v>0</v>
      </c>
      <c r="F36" s="335"/>
      <c r="G36" s="335"/>
      <c r="H36" s="783">
        <f t="shared" si="5"/>
        <v>0</v>
      </c>
      <c r="I36" s="335"/>
      <c r="K36" s="785"/>
      <c r="L36" s="1496" t="str">
        <f>IF(D37-G36&gt;0,"请检验合理性","合理")</f>
        <v>合理</v>
      </c>
      <c r="M36" s="881"/>
      <c r="N36" s="784" t="e">
        <f t="shared" si="2"/>
        <v>#DIV/0!</v>
      </c>
      <c r="O36" s="784" t="e">
        <f t="shared" si="3"/>
        <v>#DIV/0!</v>
      </c>
    </row>
    <row r="37" spans="1:21">
      <c r="B37" s="162">
        <v>35</v>
      </c>
      <c r="C37" s="888" t="s">
        <v>357</v>
      </c>
      <c r="D37" s="1485"/>
      <c r="E37" s="783">
        <f t="shared" si="4"/>
        <v>0</v>
      </c>
      <c r="F37" s="1485"/>
      <c r="G37" s="1485"/>
      <c r="H37" s="783">
        <f t="shared" si="5"/>
        <v>0</v>
      </c>
      <c r="I37" s="1485"/>
      <c r="K37" s="785"/>
      <c r="L37" s="1496" t="str">
        <f>IF(D38-G37&gt;0,"请检验合理性","合理")</f>
        <v>合理</v>
      </c>
      <c r="M37" s="881"/>
      <c r="N37" s="784" t="e">
        <f t="shared" si="2"/>
        <v>#DIV/0!</v>
      </c>
      <c r="O37" s="784" t="e">
        <f t="shared" si="3"/>
        <v>#DIV/0!</v>
      </c>
    </row>
    <row r="38" spans="1:21">
      <c r="A38" s="899" t="str">
        <f>HYPERLINK("#C1","置顶")</f>
        <v>置顶</v>
      </c>
      <c r="B38" s="162">
        <v>36</v>
      </c>
      <c r="C38" s="888" t="s">
        <v>358</v>
      </c>
      <c r="D38" s="1485"/>
      <c r="E38" s="783">
        <f t="shared" si="4"/>
        <v>0</v>
      </c>
      <c r="F38" s="1485"/>
      <c r="G38" s="1485"/>
      <c r="H38" s="783">
        <f t="shared" si="5"/>
        <v>0</v>
      </c>
      <c r="I38" s="1485"/>
      <c r="K38" s="785"/>
      <c r="L38" s="1496" t="str">
        <f>IF(D39-G38&gt;0,"请检验合理性","合理")</f>
        <v>合理</v>
      </c>
      <c r="M38" s="881"/>
      <c r="N38" s="784" t="e">
        <f t="shared" si="2"/>
        <v>#DIV/0!</v>
      </c>
      <c r="O38" s="784" t="e">
        <f t="shared" si="3"/>
        <v>#DIV/0!</v>
      </c>
    </row>
    <row r="39" spans="1:21">
      <c r="B39" s="162">
        <v>37</v>
      </c>
      <c r="C39" s="888" t="s">
        <v>359</v>
      </c>
      <c r="D39" s="335"/>
      <c r="E39" s="783">
        <f t="shared" si="4"/>
        <v>0</v>
      </c>
      <c r="F39" s="335"/>
      <c r="G39" s="335"/>
      <c r="H39" s="783">
        <f t="shared" si="5"/>
        <v>0</v>
      </c>
      <c r="I39" s="335"/>
      <c r="K39" s="786"/>
      <c r="L39" s="1497" t="str">
        <f>IF(D40-G39-G40&gt;0,"请检验合理性","合理")</f>
        <v>合理</v>
      </c>
      <c r="M39" s="881"/>
      <c r="N39" s="784" t="e">
        <f t="shared" si="2"/>
        <v>#DIV/0!</v>
      </c>
      <c r="O39" s="784" t="e">
        <f t="shared" si="3"/>
        <v>#DIV/0!</v>
      </c>
    </row>
    <row r="40" spans="1:21">
      <c r="A40" s="894" t="s">
        <v>2684</v>
      </c>
      <c r="B40" s="162">
        <v>38</v>
      </c>
      <c r="C40" s="888" t="s">
        <v>352</v>
      </c>
      <c r="D40" s="1485"/>
      <c r="E40" s="783">
        <f t="shared" si="4"/>
        <v>0</v>
      </c>
      <c r="F40" s="1485"/>
      <c r="G40" s="1485"/>
      <c r="H40" s="783">
        <f t="shared" si="5"/>
        <v>0</v>
      </c>
      <c r="I40" s="1485"/>
      <c r="M40" s="881"/>
      <c r="N40" s="784" t="e">
        <f t="shared" si="2"/>
        <v>#DIV/0!</v>
      </c>
      <c r="O40" s="784" t="e">
        <f t="shared" si="3"/>
        <v>#DIV/0!</v>
      </c>
    </row>
    <row r="41" spans="1:21">
      <c r="B41" s="162">
        <v>39</v>
      </c>
      <c r="C41" s="881" t="s">
        <v>839</v>
      </c>
      <c r="D41" s="348">
        <f>D33+D36+D37+D38+D39+D40</f>
        <v>4600000</v>
      </c>
      <c r="E41" s="348">
        <f t="shared" ref="E41:F41" si="6">E33+E36+E37+E38+E39+E40</f>
        <v>100</v>
      </c>
      <c r="F41" s="348">
        <f t="shared" si="6"/>
        <v>230000</v>
      </c>
      <c r="G41" s="348">
        <f>G33+G36+G37+G38+G39+G40</f>
        <v>0</v>
      </c>
      <c r="H41" s="348">
        <f t="shared" ref="H41:I41" si="7">H33+H36+H37+H38+H39+H40</f>
        <v>0</v>
      </c>
      <c r="I41" s="348">
        <f t="shared" si="7"/>
        <v>0</v>
      </c>
    </row>
    <row r="42" spans="1:21">
      <c r="B42" s="162">
        <v>40</v>
      </c>
      <c r="C42" s="503"/>
      <c r="D42" s="346"/>
      <c r="E42" s="787"/>
      <c r="F42" s="346"/>
      <c r="G42" s="346"/>
      <c r="H42" s="787"/>
      <c r="I42" s="346"/>
    </row>
    <row r="43" spans="1:21">
      <c r="A43" s="894" t="s">
        <v>243</v>
      </c>
      <c r="B43" s="162">
        <v>41</v>
      </c>
      <c r="C43" s="888" t="s">
        <v>2551</v>
      </c>
      <c r="D43" s="348">
        <f>D41-D7</f>
        <v>0</v>
      </c>
      <c r="E43" s="406">
        <f>IF(D41&lt;&gt;0,100-E41,0)</f>
        <v>0</v>
      </c>
      <c r="F43" s="348">
        <f>F41-F7</f>
        <v>0</v>
      </c>
      <c r="G43" s="348">
        <f>G41-D18</f>
        <v>0</v>
      </c>
      <c r="H43" s="406">
        <f>IF(G41&lt;&gt;0,100-H41,0)</f>
        <v>0</v>
      </c>
      <c r="I43" s="348">
        <f>I41-F18</f>
        <v>0</v>
      </c>
    </row>
    <row r="44" spans="1:21">
      <c r="B44" s="162">
        <v>42</v>
      </c>
      <c r="C44" s="503"/>
      <c r="D44" s="346"/>
      <c r="E44" s="346"/>
      <c r="F44" s="346"/>
      <c r="G44" s="346"/>
      <c r="H44" s="346"/>
      <c r="I44" s="346"/>
    </row>
    <row r="45" spans="1:21" hidden="1">
      <c r="A45" s="899" t="str">
        <f>HYPERLINK("#C1","置顶")</f>
        <v>置顶</v>
      </c>
      <c r="B45" s="162">
        <v>43</v>
      </c>
      <c r="C45" s="781" t="s">
        <v>2552</v>
      </c>
    </row>
    <row r="46" spans="1:21" hidden="1">
      <c r="B46" s="162">
        <v>44</v>
      </c>
      <c r="C46" s="1822" t="s">
        <v>2553</v>
      </c>
      <c r="D46" s="1820" t="s">
        <v>2546</v>
      </c>
      <c r="E46" s="1820"/>
      <c r="F46" s="1820"/>
      <c r="G46" s="1820" t="s">
        <v>774</v>
      </c>
      <c r="H46" s="1820"/>
      <c r="I46" s="1820"/>
      <c r="M46" s="881" t="s">
        <v>2547</v>
      </c>
    </row>
    <row r="47" spans="1:21" hidden="1">
      <c r="A47" s="894" t="s">
        <v>2685</v>
      </c>
      <c r="B47" s="162">
        <v>46</v>
      </c>
      <c r="C47" s="1822"/>
      <c r="D47" s="882" t="s">
        <v>868</v>
      </c>
      <c r="E47" s="882" t="s">
        <v>2554</v>
      </c>
      <c r="F47" s="883" t="s">
        <v>828</v>
      </c>
      <c r="G47" s="882" t="s">
        <v>868</v>
      </c>
      <c r="H47" s="882" t="s">
        <v>2554</v>
      </c>
      <c r="I47" s="883" t="s">
        <v>2692</v>
      </c>
      <c r="M47" s="1489" t="s">
        <v>4848</v>
      </c>
      <c r="N47" s="345" t="s">
        <v>2548</v>
      </c>
      <c r="O47" s="345" t="s">
        <v>2693</v>
      </c>
    </row>
    <row r="48" spans="1:21" hidden="1">
      <c r="A48" s="897">
        <v>1</v>
      </c>
      <c r="B48" s="162">
        <v>47</v>
      </c>
      <c r="C48" s="888"/>
      <c r="D48" s="335"/>
      <c r="E48" s="783">
        <f t="shared" ref="E48:E53" si="8">ROUND(IF(D48&lt;&gt;0,F48/D48,0)*100,2)</f>
        <v>0</v>
      </c>
      <c r="F48" s="335"/>
      <c r="G48" s="335"/>
      <c r="H48" s="783">
        <f t="shared" ref="H48:H53" si="9">ROUND(IF(G48&lt;&gt;0,I48/G48,0)*100,2)</f>
        <v>0</v>
      </c>
      <c r="I48" s="335"/>
      <c r="M48" s="881"/>
      <c r="N48" s="784" t="e">
        <f t="shared" ref="N48:N53" si="10">F48/D48*100</f>
        <v>#DIV/0!</v>
      </c>
      <c r="O48" s="784" t="e">
        <f t="shared" ref="O48:O53" si="11">I48/G48*100</f>
        <v>#DIV/0!</v>
      </c>
    </row>
    <row r="49" spans="1:15" hidden="1">
      <c r="A49" s="897">
        <v>2</v>
      </c>
      <c r="B49" s="162">
        <v>48</v>
      </c>
      <c r="C49" s="888"/>
      <c r="D49" s="335"/>
      <c r="E49" s="783">
        <f t="shared" si="8"/>
        <v>0</v>
      </c>
      <c r="F49" s="335"/>
      <c r="G49" s="335"/>
      <c r="H49" s="783">
        <f t="shared" si="9"/>
        <v>0</v>
      </c>
      <c r="I49" s="335"/>
      <c r="M49" s="881"/>
      <c r="N49" s="784" t="e">
        <f t="shared" si="10"/>
        <v>#DIV/0!</v>
      </c>
      <c r="O49" s="784" t="e">
        <f t="shared" si="11"/>
        <v>#DIV/0!</v>
      </c>
    </row>
    <row r="50" spans="1:15" hidden="1">
      <c r="A50" s="897">
        <v>3</v>
      </c>
      <c r="B50" s="162">
        <v>49</v>
      </c>
      <c r="C50" s="888"/>
      <c r="D50" s="335"/>
      <c r="E50" s="783">
        <f t="shared" si="8"/>
        <v>0</v>
      </c>
      <c r="F50" s="335"/>
      <c r="G50" s="335"/>
      <c r="H50" s="783">
        <f t="shared" si="9"/>
        <v>0</v>
      </c>
      <c r="I50" s="335"/>
      <c r="M50" s="881"/>
      <c r="N50" s="784" t="e">
        <f t="shared" si="10"/>
        <v>#DIV/0!</v>
      </c>
      <c r="O50" s="784" t="e">
        <f t="shared" si="11"/>
        <v>#DIV/0!</v>
      </c>
    </row>
    <row r="51" spans="1:15" hidden="1">
      <c r="A51" s="897">
        <v>4</v>
      </c>
      <c r="B51" s="162">
        <v>50</v>
      </c>
      <c r="C51" s="888"/>
      <c r="D51" s="335"/>
      <c r="E51" s="783">
        <f t="shared" si="8"/>
        <v>0</v>
      </c>
      <c r="F51" s="335"/>
      <c r="G51" s="335"/>
      <c r="H51" s="783">
        <f t="shared" si="9"/>
        <v>0</v>
      </c>
      <c r="I51" s="335"/>
      <c r="M51" s="881"/>
      <c r="N51" s="784" t="e">
        <f t="shared" si="10"/>
        <v>#DIV/0!</v>
      </c>
      <c r="O51" s="784" t="e">
        <f t="shared" si="11"/>
        <v>#DIV/0!</v>
      </c>
    </row>
    <row r="52" spans="1:15" hidden="1">
      <c r="A52" s="897">
        <v>5</v>
      </c>
      <c r="B52" s="162">
        <v>51</v>
      </c>
      <c r="C52" s="888"/>
      <c r="D52" s="335"/>
      <c r="E52" s="783">
        <f t="shared" si="8"/>
        <v>0</v>
      </c>
      <c r="F52" s="335"/>
      <c r="G52" s="335"/>
      <c r="H52" s="783">
        <f t="shared" si="9"/>
        <v>0</v>
      </c>
      <c r="I52" s="335"/>
      <c r="M52" s="881"/>
      <c r="N52" s="784" t="e">
        <f t="shared" si="10"/>
        <v>#DIV/0!</v>
      </c>
      <c r="O52" s="784" t="e">
        <f t="shared" si="11"/>
        <v>#DIV/0!</v>
      </c>
    </row>
    <row r="53" spans="1:15" hidden="1">
      <c r="A53" s="897">
        <v>6</v>
      </c>
      <c r="B53" s="162">
        <v>52</v>
      </c>
      <c r="C53" s="888"/>
      <c r="D53" s="335"/>
      <c r="E53" s="783">
        <f t="shared" si="8"/>
        <v>0</v>
      </c>
      <c r="F53" s="335"/>
      <c r="G53" s="335"/>
      <c r="H53" s="783">
        <f t="shared" si="9"/>
        <v>0</v>
      </c>
      <c r="I53" s="335"/>
      <c r="M53" s="881"/>
      <c r="N53" s="784" t="e">
        <f t="shared" si="10"/>
        <v>#DIV/0!</v>
      </c>
      <c r="O53" s="784" t="e">
        <f t="shared" si="11"/>
        <v>#DIV/0!</v>
      </c>
    </row>
    <row r="54" spans="1:15" hidden="1">
      <c r="B54" s="162">
        <v>53</v>
      </c>
      <c r="C54" s="888" t="s">
        <v>839</v>
      </c>
      <c r="D54" s="348">
        <f t="shared" ref="D54:I54" si="12">SUM(D48:D53)</f>
        <v>0</v>
      </c>
      <c r="E54" s="335"/>
      <c r="F54" s="348">
        <f t="shared" si="12"/>
        <v>0</v>
      </c>
      <c r="G54" s="348">
        <f t="shared" si="12"/>
        <v>0</v>
      </c>
      <c r="H54" s="335"/>
      <c r="I54" s="348">
        <f t="shared" si="12"/>
        <v>0</v>
      </c>
    </row>
    <row r="55" spans="1:15" hidden="1">
      <c r="A55" s="894" t="s">
        <v>243</v>
      </c>
      <c r="B55" s="162">
        <v>54</v>
      </c>
    </row>
    <row r="56" spans="1:15" hidden="1">
      <c r="B56" s="162">
        <v>55</v>
      </c>
      <c r="C56" s="881" t="s">
        <v>2551</v>
      </c>
      <c r="D56" s="348">
        <f>D54</f>
        <v>0</v>
      </c>
      <c r="E56" s="335"/>
      <c r="F56" s="348">
        <f>F54</f>
        <v>0</v>
      </c>
      <c r="G56" s="348">
        <f>G54</f>
        <v>0</v>
      </c>
      <c r="H56" s="335"/>
      <c r="I56" s="348">
        <f>I54</f>
        <v>0</v>
      </c>
    </row>
    <row r="57" spans="1:15" hidden="1">
      <c r="A57" s="899" t="str">
        <f>HYPERLINK("#C1","置顶")</f>
        <v>置顶</v>
      </c>
      <c r="B57" s="162">
        <v>56</v>
      </c>
    </row>
    <row r="58" spans="1:15" hidden="1">
      <c r="B58" s="162">
        <v>57</v>
      </c>
      <c r="C58" s="781" t="s">
        <v>2537</v>
      </c>
    </row>
    <row r="59" spans="1:15" hidden="1">
      <c r="A59" s="894" t="s">
        <v>2684</v>
      </c>
      <c r="B59" s="162">
        <v>58</v>
      </c>
      <c r="C59" s="1814" t="s">
        <v>2555</v>
      </c>
      <c r="D59" s="1820" t="s">
        <v>2540</v>
      </c>
      <c r="E59" s="1820"/>
      <c r="F59" s="1820" t="s">
        <v>774</v>
      </c>
      <c r="G59" s="1820"/>
    </row>
    <row r="60" spans="1:15" hidden="1">
      <c r="B60" s="162">
        <v>59</v>
      </c>
      <c r="C60" s="1816"/>
      <c r="D60" s="883" t="s">
        <v>826</v>
      </c>
      <c r="E60" s="883" t="s">
        <v>827</v>
      </c>
      <c r="F60" s="883" t="s">
        <v>826</v>
      </c>
      <c r="G60" s="883" t="s">
        <v>827</v>
      </c>
    </row>
    <row r="61" spans="1:15" hidden="1">
      <c r="A61" s="897">
        <v>1</v>
      </c>
      <c r="B61" s="162">
        <v>60</v>
      </c>
      <c r="C61" s="888" t="s">
        <v>2694</v>
      </c>
      <c r="D61" s="335">
        <f>D8</f>
        <v>0</v>
      </c>
      <c r="E61" s="335"/>
      <c r="F61" s="335">
        <f>D19</f>
        <v>0</v>
      </c>
      <c r="G61" s="335"/>
    </row>
    <row r="62" spans="1:15" hidden="1">
      <c r="A62" s="897">
        <v>2</v>
      </c>
      <c r="B62" s="162">
        <v>61</v>
      </c>
      <c r="C62" s="888"/>
      <c r="D62" s="335"/>
      <c r="E62" s="335"/>
      <c r="F62" s="335"/>
      <c r="G62" s="335"/>
    </row>
    <row r="63" spans="1:15" hidden="1">
      <c r="A63" s="897">
        <v>3</v>
      </c>
      <c r="B63" s="162">
        <v>62</v>
      </c>
      <c r="C63" s="888"/>
      <c r="D63" s="335"/>
      <c r="E63" s="335"/>
      <c r="F63" s="335"/>
      <c r="G63" s="335"/>
    </row>
    <row r="64" spans="1:15" hidden="1">
      <c r="A64" s="897">
        <v>4</v>
      </c>
      <c r="B64" s="162">
        <v>63</v>
      </c>
      <c r="C64" s="888"/>
      <c r="D64" s="335"/>
      <c r="E64" s="335"/>
      <c r="F64" s="335"/>
      <c r="G64" s="335"/>
    </row>
    <row r="65" spans="1:16" hidden="1">
      <c r="A65" s="897">
        <v>5</v>
      </c>
      <c r="B65" s="162">
        <v>64</v>
      </c>
      <c r="C65" s="888"/>
      <c r="D65" s="335"/>
      <c r="E65" s="335"/>
      <c r="F65" s="335"/>
      <c r="G65" s="335"/>
    </row>
    <row r="66" spans="1:16" hidden="1">
      <c r="B66" s="162">
        <v>65</v>
      </c>
      <c r="C66" s="881" t="s">
        <v>823</v>
      </c>
      <c r="D66" s="348">
        <f>SUM(D61:D65)</f>
        <v>0</v>
      </c>
      <c r="E66" s="348">
        <f>SUM(E61:E65)</f>
        <v>0</v>
      </c>
      <c r="F66" s="348">
        <f>SUM(F61:F65)</f>
        <v>0</v>
      </c>
      <c r="G66" s="348">
        <f>SUM(G61:G65)</f>
        <v>0</v>
      </c>
    </row>
    <row r="67" spans="1:16" hidden="1">
      <c r="A67" s="894" t="s">
        <v>243</v>
      </c>
      <c r="B67" s="162">
        <v>66</v>
      </c>
    </row>
    <row r="68" spans="1:16" hidden="1">
      <c r="B68" s="162">
        <v>67</v>
      </c>
      <c r="C68" s="888" t="s">
        <v>2551</v>
      </c>
      <c r="D68" s="348">
        <f>D66-D8</f>
        <v>0</v>
      </c>
      <c r="E68" s="348">
        <f>E66-F8</f>
        <v>0</v>
      </c>
      <c r="F68" s="348">
        <f>F66-D19</f>
        <v>0</v>
      </c>
      <c r="G68" s="348">
        <f>G66-F19</f>
        <v>0</v>
      </c>
    </row>
    <row r="69" spans="1:16" hidden="1">
      <c r="A69" s="899" t="str">
        <f>HYPERLINK("#C1","置顶")</f>
        <v>置顶</v>
      </c>
      <c r="B69" s="162">
        <v>68</v>
      </c>
    </row>
    <row r="70" spans="1:16" hidden="1">
      <c r="B70" s="162">
        <v>69</v>
      </c>
      <c r="C70" s="781" t="s">
        <v>2557</v>
      </c>
    </row>
    <row r="71" spans="1:16" hidden="1">
      <c r="A71" s="894" t="s">
        <v>2684</v>
      </c>
      <c r="B71" s="162">
        <v>70</v>
      </c>
    </row>
    <row r="72" spans="1:16" ht="14.25" hidden="1" customHeight="1">
      <c r="B72" s="162">
        <v>71</v>
      </c>
      <c r="C72" s="781" t="s">
        <v>2558</v>
      </c>
      <c r="I72" s="788" t="s">
        <v>2695</v>
      </c>
      <c r="J72" s="788"/>
      <c r="K72" s="788"/>
      <c r="L72" s="789"/>
      <c r="M72" s="789"/>
      <c r="N72" s="789"/>
      <c r="O72" s="789"/>
      <c r="P72" s="1823" t="s">
        <v>2560</v>
      </c>
    </row>
    <row r="73" spans="1:16" hidden="1">
      <c r="B73" s="162">
        <v>72</v>
      </c>
      <c r="C73" s="881" t="s">
        <v>2561</v>
      </c>
      <c r="D73" s="883" t="s">
        <v>826</v>
      </c>
      <c r="E73" s="883" t="s">
        <v>827</v>
      </c>
      <c r="F73" s="883" t="s">
        <v>2696</v>
      </c>
      <c r="G73" s="883" t="s">
        <v>2554</v>
      </c>
      <c r="H73" s="885" t="s">
        <v>2563</v>
      </c>
      <c r="I73" s="790" t="s">
        <v>2697</v>
      </c>
      <c r="J73" s="790" t="s">
        <v>2698</v>
      </c>
      <c r="K73" s="790" t="s">
        <v>2699</v>
      </c>
      <c r="L73" s="790" t="s">
        <v>2700</v>
      </c>
      <c r="M73" s="790" t="s">
        <v>2701</v>
      </c>
      <c r="N73" s="790" t="s">
        <v>352</v>
      </c>
      <c r="O73" s="790" t="s">
        <v>839</v>
      </c>
      <c r="P73" s="1823"/>
    </row>
    <row r="74" spans="1:16" hidden="1">
      <c r="A74" s="897">
        <v>1</v>
      </c>
      <c r="B74" s="162">
        <v>73</v>
      </c>
      <c r="C74" s="888"/>
      <c r="D74" s="335"/>
      <c r="E74" s="335"/>
      <c r="F74" s="335"/>
      <c r="G74" s="783">
        <f>ROUND(IF(D74&lt;&gt;0,E74/D74*100,0),2)</f>
        <v>0</v>
      </c>
      <c r="H74" s="335"/>
      <c r="I74" s="335"/>
      <c r="J74" s="335"/>
      <c r="K74" s="335"/>
      <c r="L74" s="888"/>
      <c r="M74" s="888"/>
      <c r="N74" s="888"/>
      <c r="O74" s="348">
        <f>SUM(I74:N74)</f>
        <v>0</v>
      </c>
      <c r="P74" s="791">
        <f>O74-D74</f>
        <v>0</v>
      </c>
    </row>
    <row r="75" spans="1:16" hidden="1">
      <c r="A75" s="897">
        <v>2</v>
      </c>
      <c r="B75" s="162">
        <v>74</v>
      </c>
      <c r="C75" s="888"/>
      <c r="D75" s="335"/>
      <c r="E75" s="335"/>
      <c r="F75" s="335"/>
      <c r="G75" s="783">
        <f t="shared" ref="G75:G88" si="13">ROUND(IF(D75&lt;&gt;0,E75/D75*100,0),2)</f>
        <v>0</v>
      </c>
      <c r="H75" s="335"/>
      <c r="I75" s="335"/>
      <c r="J75" s="335"/>
      <c r="K75" s="335"/>
      <c r="L75" s="888"/>
      <c r="M75" s="888"/>
      <c r="N75" s="888"/>
      <c r="O75" s="348">
        <f t="shared" ref="O75:O88" si="14">SUM(I75:N75)</f>
        <v>0</v>
      </c>
      <c r="P75" s="791">
        <f t="shared" ref="P75:P88" si="15">O75-D75</f>
        <v>0</v>
      </c>
    </row>
    <row r="76" spans="1:16" hidden="1">
      <c r="A76" s="897">
        <v>3</v>
      </c>
      <c r="B76" s="162">
        <v>75</v>
      </c>
      <c r="C76" s="888"/>
      <c r="D76" s="335"/>
      <c r="E76" s="335"/>
      <c r="F76" s="335"/>
      <c r="G76" s="783">
        <f t="shared" si="13"/>
        <v>0</v>
      </c>
      <c r="H76" s="335"/>
      <c r="I76" s="335"/>
      <c r="J76" s="335"/>
      <c r="K76" s="335"/>
      <c r="L76" s="888"/>
      <c r="M76" s="888"/>
      <c r="N76" s="888"/>
      <c r="O76" s="348">
        <f t="shared" si="14"/>
        <v>0</v>
      </c>
      <c r="P76" s="791">
        <f t="shared" si="15"/>
        <v>0</v>
      </c>
    </row>
    <row r="77" spans="1:16" hidden="1">
      <c r="A77" s="897">
        <v>4</v>
      </c>
      <c r="B77" s="162">
        <v>76</v>
      </c>
      <c r="C77" s="888"/>
      <c r="D77" s="335"/>
      <c r="E77" s="335"/>
      <c r="F77" s="335"/>
      <c r="G77" s="783">
        <f t="shared" si="13"/>
        <v>0</v>
      </c>
      <c r="H77" s="335"/>
      <c r="I77" s="335"/>
      <c r="J77" s="335"/>
      <c r="K77" s="335"/>
      <c r="L77" s="888"/>
      <c r="M77" s="888"/>
      <c r="N77" s="888"/>
      <c r="O77" s="348">
        <f t="shared" si="14"/>
        <v>0</v>
      </c>
      <c r="P77" s="791">
        <f t="shared" si="15"/>
        <v>0</v>
      </c>
    </row>
    <row r="78" spans="1:16" hidden="1">
      <c r="A78" s="897">
        <v>5</v>
      </c>
      <c r="B78" s="162">
        <v>77</v>
      </c>
      <c r="C78" s="888"/>
      <c r="D78" s="335"/>
      <c r="E78" s="335"/>
      <c r="F78" s="335"/>
      <c r="G78" s="783">
        <f t="shared" si="13"/>
        <v>0</v>
      </c>
      <c r="H78" s="335"/>
      <c r="I78" s="335"/>
      <c r="J78" s="335"/>
      <c r="K78" s="335"/>
      <c r="L78" s="888"/>
      <c r="M78" s="888"/>
      <c r="N78" s="888"/>
      <c r="O78" s="348">
        <f t="shared" si="14"/>
        <v>0</v>
      </c>
      <c r="P78" s="791">
        <f t="shared" si="15"/>
        <v>0</v>
      </c>
    </row>
    <row r="79" spans="1:16" hidden="1">
      <c r="A79" s="897">
        <v>6</v>
      </c>
      <c r="B79" s="162">
        <v>78</v>
      </c>
      <c r="C79" s="888"/>
      <c r="D79" s="335"/>
      <c r="E79" s="335"/>
      <c r="F79" s="335"/>
      <c r="G79" s="783">
        <f t="shared" si="13"/>
        <v>0</v>
      </c>
      <c r="H79" s="335"/>
      <c r="I79" s="335"/>
      <c r="J79" s="335"/>
      <c r="K79" s="335"/>
      <c r="L79" s="888"/>
      <c r="M79" s="888"/>
      <c r="N79" s="888"/>
      <c r="O79" s="348">
        <f t="shared" si="14"/>
        <v>0</v>
      </c>
      <c r="P79" s="791">
        <f t="shared" si="15"/>
        <v>0</v>
      </c>
    </row>
    <row r="80" spans="1:16" hidden="1">
      <c r="A80" s="897">
        <v>7</v>
      </c>
      <c r="B80" s="162">
        <v>79</v>
      </c>
      <c r="C80" s="888"/>
      <c r="D80" s="335"/>
      <c r="E80" s="335"/>
      <c r="F80" s="335"/>
      <c r="G80" s="783">
        <f t="shared" si="13"/>
        <v>0</v>
      </c>
      <c r="H80" s="335"/>
      <c r="I80" s="335"/>
      <c r="J80" s="335"/>
      <c r="K80" s="335"/>
      <c r="L80" s="888"/>
      <c r="M80" s="888"/>
      <c r="N80" s="888"/>
      <c r="O80" s="348">
        <f t="shared" si="14"/>
        <v>0</v>
      </c>
      <c r="P80" s="791">
        <f t="shared" si="15"/>
        <v>0</v>
      </c>
    </row>
    <row r="81" spans="1:16" hidden="1">
      <c r="A81" s="897">
        <v>8</v>
      </c>
      <c r="B81" s="162">
        <v>80</v>
      </c>
      <c r="C81" s="888"/>
      <c r="D81" s="335"/>
      <c r="E81" s="335"/>
      <c r="F81" s="335"/>
      <c r="G81" s="783">
        <f t="shared" si="13"/>
        <v>0</v>
      </c>
      <c r="H81" s="335"/>
      <c r="I81" s="335"/>
      <c r="J81" s="335"/>
      <c r="K81" s="335"/>
      <c r="L81" s="888"/>
      <c r="M81" s="888"/>
      <c r="N81" s="888"/>
      <c r="O81" s="348">
        <f t="shared" si="14"/>
        <v>0</v>
      </c>
      <c r="P81" s="791">
        <f t="shared" si="15"/>
        <v>0</v>
      </c>
    </row>
    <row r="82" spans="1:16" hidden="1">
      <c r="A82" s="897">
        <v>9</v>
      </c>
      <c r="B82" s="162">
        <v>81</v>
      </c>
      <c r="C82" s="888"/>
      <c r="D82" s="335"/>
      <c r="E82" s="335"/>
      <c r="F82" s="335"/>
      <c r="G82" s="783">
        <f t="shared" si="13"/>
        <v>0</v>
      </c>
      <c r="H82" s="335"/>
      <c r="I82" s="335"/>
      <c r="J82" s="335"/>
      <c r="K82" s="335"/>
      <c r="L82" s="888"/>
      <c r="M82" s="888"/>
      <c r="N82" s="888"/>
      <c r="O82" s="348">
        <f t="shared" si="14"/>
        <v>0</v>
      </c>
      <c r="P82" s="791">
        <f t="shared" si="15"/>
        <v>0</v>
      </c>
    </row>
    <row r="83" spans="1:16" hidden="1">
      <c r="A83" s="897">
        <v>10</v>
      </c>
      <c r="B83" s="162">
        <v>82</v>
      </c>
      <c r="C83" s="888"/>
      <c r="D83" s="335"/>
      <c r="E83" s="335"/>
      <c r="F83" s="335"/>
      <c r="G83" s="783">
        <f t="shared" si="13"/>
        <v>0</v>
      </c>
      <c r="H83" s="335"/>
      <c r="I83" s="335"/>
      <c r="J83" s="335"/>
      <c r="K83" s="335"/>
      <c r="L83" s="888"/>
      <c r="M83" s="888"/>
      <c r="N83" s="888"/>
      <c r="O83" s="348">
        <f t="shared" si="14"/>
        <v>0</v>
      </c>
      <c r="P83" s="791">
        <f t="shared" si="15"/>
        <v>0</v>
      </c>
    </row>
    <row r="84" spans="1:16" hidden="1">
      <c r="A84" s="897">
        <v>11</v>
      </c>
      <c r="B84" s="162">
        <v>83</v>
      </c>
      <c r="C84" s="888"/>
      <c r="D84" s="335"/>
      <c r="E84" s="335"/>
      <c r="F84" s="335"/>
      <c r="G84" s="783">
        <f t="shared" si="13"/>
        <v>0</v>
      </c>
      <c r="H84" s="335"/>
      <c r="I84" s="335"/>
      <c r="J84" s="335"/>
      <c r="K84" s="335"/>
      <c r="L84" s="888"/>
      <c r="M84" s="888"/>
      <c r="N84" s="888"/>
      <c r="O84" s="348">
        <f t="shared" si="14"/>
        <v>0</v>
      </c>
      <c r="P84" s="791">
        <f t="shared" si="15"/>
        <v>0</v>
      </c>
    </row>
    <row r="85" spans="1:16" hidden="1">
      <c r="A85" s="897">
        <v>12</v>
      </c>
      <c r="B85" s="162">
        <v>84</v>
      </c>
      <c r="C85" s="888"/>
      <c r="D85" s="335"/>
      <c r="E85" s="335"/>
      <c r="F85" s="335"/>
      <c r="G85" s="783">
        <f t="shared" si="13"/>
        <v>0</v>
      </c>
      <c r="H85" s="335"/>
      <c r="I85" s="335"/>
      <c r="J85" s="335"/>
      <c r="K85" s="335"/>
      <c r="L85" s="888"/>
      <c r="M85" s="888"/>
      <c r="N85" s="888"/>
      <c r="O85" s="348">
        <f t="shared" si="14"/>
        <v>0</v>
      </c>
      <c r="P85" s="791">
        <f t="shared" si="15"/>
        <v>0</v>
      </c>
    </row>
    <row r="86" spans="1:16" hidden="1">
      <c r="A86" s="897">
        <v>13</v>
      </c>
      <c r="B86" s="162">
        <v>85</v>
      </c>
      <c r="C86" s="888"/>
      <c r="D86" s="335"/>
      <c r="E86" s="335"/>
      <c r="F86" s="335"/>
      <c r="G86" s="783">
        <f t="shared" si="13"/>
        <v>0</v>
      </c>
      <c r="H86" s="335"/>
      <c r="I86" s="335"/>
      <c r="J86" s="335"/>
      <c r="K86" s="335"/>
      <c r="L86" s="888"/>
      <c r="M86" s="888"/>
      <c r="N86" s="888"/>
      <c r="O86" s="348">
        <f t="shared" si="14"/>
        <v>0</v>
      </c>
      <c r="P86" s="791">
        <f t="shared" si="15"/>
        <v>0</v>
      </c>
    </row>
    <row r="87" spans="1:16" hidden="1">
      <c r="A87" s="897">
        <v>14</v>
      </c>
      <c r="B87" s="162">
        <v>86</v>
      </c>
      <c r="C87" s="888"/>
      <c r="D87" s="335"/>
      <c r="E87" s="335"/>
      <c r="F87" s="335"/>
      <c r="G87" s="783">
        <f t="shared" si="13"/>
        <v>0</v>
      </c>
      <c r="H87" s="335"/>
      <c r="I87" s="335"/>
      <c r="J87" s="335"/>
      <c r="K87" s="335"/>
      <c r="L87" s="888"/>
      <c r="M87" s="888"/>
      <c r="N87" s="888"/>
      <c r="O87" s="348">
        <f t="shared" si="14"/>
        <v>0</v>
      </c>
      <c r="P87" s="791">
        <f t="shared" si="15"/>
        <v>0</v>
      </c>
    </row>
    <row r="88" spans="1:16" hidden="1">
      <c r="A88" s="897">
        <v>15</v>
      </c>
      <c r="B88" s="162">
        <v>87</v>
      </c>
      <c r="C88" s="888"/>
      <c r="D88" s="335"/>
      <c r="E88" s="335"/>
      <c r="F88" s="335"/>
      <c r="G88" s="783">
        <f t="shared" si="13"/>
        <v>0</v>
      </c>
      <c r="H88" s="335"/>
      <c r="I88" s="335"/>
      <c r="J88" s="335"/>
      <c r="K88" s="335"/>
      <c r="L88" s="888"/>
      <c r="M88" s="888"/>
      <c r="N88" s="888"/>
      <c r="O88" s="348">
        <f t="shared" si="14"/>
        <v>0</v>
      </c>
      <c r="P88" s="791">
        <f t="shared" si="15"/>
        <v>0</v>
      </c>
    </row>
    <row r="89" spans="1:16" hidden="1">
      <c r="A89" s="894" t="s">
        <v>243</v>
      </c>
      <c r="B89" s="162">
        <v>88</v>
      </c>
      <c r="C89" s="881" t="s">
        <v>823</v>
      </c>
      <c r="D89" s="348">
        <f>SUM(D74:D88)</f>
        <v>0</v>
      </c>
      <c r="E89" s="348">
        <f>SUM(E74:E88)</f>
        <v>0</v>
      </c>
      <c r="F89" s="335"/>
      <c r="G89" s="335"/>
      <c r="H89" s="335"/>
      <c r="I89" s="348">
        <f>SUM(I74:I88)</f>
        <v>0</v>
      </c>
      <c r="J89" s="348">
        <f t="shared" ref="J89:P89" si="16">SUM(J74:J88)</f>
        <v>0</v>
      </c>
      <c r="K89" s="348">
        <f t="shared" si="16"/>
        <v>0</v>
      </c>
      <c r="L89" s="348">
        <f t="shared" si="16"/>
        <v>0</v>
      </c>
      <c r="M89" s="348">
        <f t="shared" si="16"/>
        <v>0</v>
      </c>
      <c r="N89" s="348">
        <f t="shared" si="16"/>
        <v>0</v>
      </c>
      <c r="O89" s="348">
        <f t="shared" si="16"/>
        <v>0</v>
      </c>
      <c r="P89" s="348">
        <f t="shared" si="16"/>
        <v>0</v>
      </c>
    </row>
    <row r="90" spans="1:16" hidden="1">
      <c r="B90" s="162">
        <v>89</v>
      </c>
      <c r="C90" s="503"/>
      <c r="D90" s="346"/>
      <c r="E90" s="346"/>
      <c r="F90" s="787"/>
      <c r="G90" s="346"/>
    </row>
    <row r="91" spans="1:16" hidden="1">
      <c r="A91" s="899" t="str">
        <f>HYPERLINK("#C1","置顶")</f>
        <v>置顶</v>
      </c>
      <c r="B91" s="162">
        <v>90</v>
      </c>
      <c r="C91" s="881" t="s">
        <v>2551</v>
      </c>
      <c r="D91" s="348">
        <f>D89-D5</f>
        <v>0</v>
      </c>
      <c r="E91" s="348">
        <f>E89-F5</f>
        <v>0</v>
      </c>
      <c r="F91" s="406">
        <f>D89-O89</f>
        <v>0</v>
      </c>
    </row>
    <row r="92" spans="1:16" hidden="1">
      <c r="B92" s="162">
        <v>91</v>
      </c>
    </row>
    <row r="93" spans="1:16" hidden="1">
      <c r="A93" s="894" t="s">
        <v>2684</v>
      </c>
      <c r="B93" s="162">
        <v>92</v>
      </c>
      <c r="C93" s="781" t="s">
        <v>2564</v>
      </c>
      <c r="I93" s="788" t="s">
        <v>2695</v>
      </c>
      <c r="J93" s="788"/>
      <c r="K93" s="788"/>
      <c r="L93" s="789"/>
      <c r="M93" s="789"/>
      <c r="N93" s="789"/>
      <c r="O93" s="789"/>
      <c r="P93" s="1824" t="s">
        <v>2702</v>
      </c>
    </row>
    <row r="94" spans="1:16" hidden="1">
      <c r="B94" s="162">
        <v>93</v>
      </c>
      <c r="C94" s="881" t="s">
        <v>2561</v>
      </c>
      <c r="D94" s="883" t="s">
        <v>826</v>
      </c>
      <c r="E94" s="883" t="s">
        <v>827</v>
      </c>
      <c r="F94" s="883" t="s">
        <v>2696</v>
      </c>
      <c r="G94" s="883" t="s">
        <v>2554</v>
      </c>
      <c r="H94" s="883" t="s">
        <v>2563</v>
      </c>
      <c r="I94" s="790" t="s">
        <v>2697</v>
      </c>
      <c r="J94" s="790" t="s">
        <v>2703</v>
      </c>
      <c r="K94" s="790" t="s">
        <v>2699</v>
      </c>
      <c r="L94" s="790" t="s">
        <v>2700</v>
      </c>
      <c r="M94" s="790" t="s">
        <v>2701</v>
      </c>
      <c r="N94" s="790" t="s">
        <v>352</v>
      </c>
      <c r="O94" s="790" t="s">
        <v>839</v>
      </c>
      <c r="P94" s="1824"/>
    </row>
    <row r="95" spans="1:16" hidden="1">
      <c r="A95" s="897">
        <v>1</v>
      </c>
      <c r="B95" s="162">
        <v>94</v>
      </c>
      <c r="C95" s="888"/>
      <c r="D95" s="335"/>
      <c r="E95" s="335"/>
      <c r="F95" s="335"/>
      <c r="G95" s="783">
        <f>ROUND(IF(D95&lt;&gt;0,E95/D95*100,0),2)</f>
        <v>0</v>
      </c>
      <c r="H95" s="335"/>
      <c r="I95" s="335"/>
      <c r="J95" s="335"/>
      <c r="K95" s="335"/>
      <c r="L95" s="888"/>
      <c r="M95" s="888"/>
      <c r="N95" s="888"/>
      <c r="O95" s="348">
        <f>SUM(I95:N95)</f>
        <v>0</v>
      </c>
      <c r="P95" s="348">
        <f>O95-D95</f>
        <v>0</v>
      </c>
    </row>
    <row r="96" spans="1:16" hidden="1">
      <c r="A96" s="897">
        <v>2</v>
      </c>
      <c r="B96" s="162">
        <v>95</v>
      </c>
      <c r="C96" s="888"/>
      <c r="D96" s="335"/>
      <c r="E96" s="335"/>
      <c r="F96" s="335"/>
      <c r="G96" s="783">
        <f t="shared" ref="G96:G108" si="17">ROUND(IF(D96&lt;&gt;0,E96/D96*100,0),2)</f>
        <v>0</v>
      </c>
      <c r="H96" s="335"/>
      <c r="I96" s="335"/>
      <c r="J96" s="335"/>
      <c r="K96" s="335"/>
      <c r="L96" s="888"/>
      <c r="M96" s="888"/>
      <c r="N96" s="888"/>
      <c r="O96" s="348">
        <f t="shared" ref="O96:O109" si="18">SUM(I96:N96)</f>
        <v>0</v>
      </c>
      <c r="P96" s="348">
        <f t="shared" ref="P96:P109" si="19">O96-D96</f>
        <v>0</v>
      </c>
    </row>
    <row r="97" spans="1:16" hidden="1">
      <c r="A97" s="897">
        <v>3</v>
      </c>
      <c r="B97" s="162">
        <v>96</v>
      </c>
      <c r="C97" s="888"/>
      <c r="D97" s="335"/>
      <c r="E97" s="335"/>
      <c r="F97" s="335"/>
      <c r="G97" s="783">
        <f t="shared" si="17"/>
        <v>0</v>
      </c>
      <c r="H97" s="335"/>
      <c r="I97" s="335"/>
      <c r="J97" s="335"/>
      <c r="K97" s="335"/>
      <c r="L97" s="888"/>
      <c r="M97" s="888"/>
      <c r="N97" s="888"/>
      <c r="O97" s="348">
        <f t="shared" si="18"/>
        <v>0</v>
      </c>
      <c r="P97" s="348">
        <f t="shared" si="19"/>
        <v>0</v>
      </c>
    </row>
    <row r="98" spans="1:16" hidden="1">
      <c r="A98" s="897">
        <v>4</v>
      </c>
      <c r="B98" s="162">
        <v>97</v>
      </c>
      <c r="C98" s="888"/>
      <c r="D98" s="335"/>
      <c r="E98" s="335"/>
      <c r="F98" s="335"/>
      <c r="G98" s="783">
        <f t="shared" si="17"/>
        <v>0</v>
      </c>
      <c r="H98" s="335"/>
      <c r="I98" s="335"/>
      <c r="J98" s="335"/>
      <c r="K98" s="335"/>
      <c r="L98" s="888"/>
      <c r="M98" s="888"/>
      <c r="N98" s="888"/>
      <c r="O98" s="348">
        <f t="shared" si="18"/>
        <v>0</v>
      </c>
      <c r="P98" s="348">
        <f t="shared" si="19"/>
        <v>0</v>
      </c>
    </row>
    <row r="99" spans="1:16" hidden="1">
      <c r="A99" s="897">
        <v>5</v>
      </c>
      <c r="B99" s="162">
        <v>98</v>
      </c>
      <c r="C99" s="888"/>
      <c r="D99" s="335"/>
      <c r="E99" s="335"/>
      <c r="F99" s="335"/>
      <c r="G99" s="783">
        <f t="shared" si="17"/>
        <v>0</v>
      </c>
      <c r="H99" s="335"/>
      <c r="I99" s="335"/>
      <c r="J99" s="335"/>
      <c r="K99" s="335"/>
      <c r="L99" s="888"/>
      <c r="M99" s="888"/>
      <c r="N99" s="888"/>
      <c r="O99" s="348">
        <f t="shared" si="18"/>
        <v>0</v>
      </c>
      <c r="P99" s="348">
        <f t="shared" si="19"/>
        <v>0</v>
      </c>
    </row>
    <row r="100" spans="1:16" hidden="1">
      <c r="A100" s="897">
        <v>6</v>
      </c>
      <c r="B100" s="162">
        <v>99</v>
      </c>
      <c r="C100" s="888"/>
      <c r="D100" s="335"/>
      <c r="E100" s="335"/>
      <c r="F100" s="335"/>
      <c r="G100" s="783">
        <f t="shared" si="17"/>
        <v>0</v>
      </c>
      <c r="H100" s="335"/>
      <c r="I100" s="335"/>
      <c r="J100" s="335"/>
      <c r="K100" s="335"/>
      <c r="L100" s="888"/>
      <c r="M100" s="888"/>
      <c r="N100" s="888"/>
      <c r="O100" s="348">
        <f t="shared" si="18"/>
        <v>0</v>
      </c>
      <c r="P100" s="348">
        <f t="shared" si="19"/>
        <v>0</v>
      </c>
    </row>
    <row r="101" spans="1:16" hidden="1">
      <c r="A101" s="897">
        <v>7</v>
      </c>
      <c r="B101" s="162">
        <v>100</v>
      </c>
      <c r="C101" s="888"/>
      <c r="D101" s="335"/>
      <c r="E101" s="335"/>
      <c r="F101" s="335"/>
      <c r="G101" s="783">
        <f t="shared" si="17"/>
        <v>0</v>
      </c>
      <c r="H101" s="335"/>
      <c r="I101" s="335"/>
      <c r="J101" s="335"/>
      <c r="K101" s="335"/>
      <c r="L101" s="888"/>
      <c r="M101" s="888"/>
      <c r="N101" s="888"/>
      <c r="O101" s="348">
        <f t="shared" si="18"/>
        <v>0</v>
      </c>
      <c r="P101" s="348">
        <f t="shared" si="19"/>
        <v>0</v>
      </c>
    </row>
    <row r="102" spans="1:16" hidden="1">
      <c r="A102" s="897">
        <v>8</v>
      </c>
      <c r="B102" s="162">
        <v>101</v>
      </c>
      <c r="C102" s="888"/>
      <c r="D102" s="335"/>
      <c r="E102" s="335"/>
      <c r="F102" s="335"/>
      <c r="G102" s="783">
        <f t="shared" si="17"/>
        <v>0</v>
      </c>
      <c r="H102" s="335"/>
      <c r="I102" s="335"/>
      <c r="J102" s="335"/>
      <c r="K102" s="335"/>
      <c r="L102" s="888"/>
      <c r="M102" s="888"/>
      <c r="N102" s="888"/>
      <c r="O102" s="348">
        <f t="shared" si="18"/>
        <v>0</v>
      </c>
      <c r="P102" s="348">
        <f t="shared" si="19"/>
        <v>0</v>
      </c>
    </row>
    <row r="103" spans="1:16" hidden="1">
      <c r="A103" s="897">
        <v>9</v>
      </c>
      <c r="B103" s="162">
        <v>102</v>
      </c>
      <c r="C103" s="888"/>
      <c r="D103" s="335"/>
      <c r="E103" s="335"/>
      <c r="F103" s="335"/>
      <c r="G103" s="783">
        <f t="shared" si="17"/>
        <v>0</v>
      </c>
      <c r="H103" s="335"/>
      <c r="I103" s="335"/>
      <c r="J103" s="335"/>
      <c r="K103" s="335"/>
      <c r="L103" s="888"/>
      <c r="M103" s="888"/>
      <c r="N103" s="888"/>
      <c r="O103" s="348">
        <f t="shared" si="18"/>
        <v>0</v>
      </c>
      <c r="P103" s="348">
        <f t="shared" si="19"/>
        <v>0</v>
      </c>
    </row>
    <row r="104" spans="1:16" hidden="1">
      <c r="A104" s="897">
        <v>10</v>
      </c>
      <c r="B104" s="162">
        <v>103</v>
      </c>
      <c r="C104" s="888"/>
      <c r="D104" s="335"/>
      <c r="E104" s="335"/>
      <c r="F104" s="335"/>
      <c r="G104" s="783">
        <f t="shared" si="17"/>
        <v>0</v>
      </c>
      <c r="H104" s="335"/>
      <c r="I104" s="335"/>
      <c r="J104" s="335"/>
      <c r="K104" s="335"/>
      <c r="L104" s="888"/>
      <c r="M104" s="888"/>
      <c r="N104" s="888"/>
      <c r="O104" s="348">
        <f t="shared" si="18"/>
        <v>0</v>
      </c>
      <c r="P104" s="348">
        <f t="shared" si="19"/>
        <v>0</v>
      </c>
    </row>
    <row r="105" spans="1:16" hidden="1">
      <c r="A105" s="897">
        <v>11</v>
      </c>
      <c r="B105" s="162">
        <v>104</v>
      </c>
      <c r="C105" s="888"/>
      <c r="D105" s="335"/>
      <c r="E105" s="335"/>
      <c r="F105" s="335"/>
      <c r="G105" s="783">
        <f t="shared" si="17"/>
        <v>0</v>
      </c>
      <c r="H105" s="335"/>
      <c r="I105" s="335"/>
      <c r="J105" s="335"/>
      <c r="K105" s="335"/>
      <c r="L105" s="888"/>
      <c r="M105" s="888"/>
      <c r="N105" s="888"/>
      <c r="O105" s="348">
        <f t="shared" si="18"/>
        <v>0</v>
      </c>
      <c r="P105" s="348">
        <f t="shared" si="19"/>
        <v>0</v>
      </c>
    </row>
    <row r="106" spans="1:16" hidden="1">
      <c r="A106" s="897">
        <v>12</v>
      </c>
      <c r="B106" s="162">
        <v>105</v>
      </c>
      <c r="C106" s="888"/>
      <c r="D106" s="335"/>
      <c r="E106" s="335"/>
      <c r="F106" s="335"/>
      <c r="G106" s="783">
        <f t="shared" si="17"/>
        <v>0</v>
      </c>
      <c r="H106" s="335"/>
      <c r="I106" s="335"/>
      <c r="J106" s="335"/>
      <c r="K106" s="335"/>
      <c r="L106" s="888"/>
      <c r="M106" s="888"/>
      <c r="N106" s="888"/>
      <c r="O106" s="348">
        <f t="shared" si="18"/>
        <v>0</v>
      </c>
      <c r="P106" s="348">
        <f t="shared" si="19"/>
        <v>0</v>
      </c>
    </row>
    <row r="107" spans="1:16" hidden="1">
      <c r="A107" s="897">
        <v>13</v>
      </c>
      <c r="B107" s="162">
        <v>106</v>
      </c>
      <c r="C107" s="888"/>
      <c r="D107" s="335"/>
      <c r="E107" s="335"/>
      <c r="F107" s="335"/>
      <c r="G107" s="783">
        <f t="shared" si="17"/>
        <v>0</v>
      </c>
      <c r="H107" s="335"/>
      <c r="I107" s="335"/>
      <c r="J107" s="335"/>
      <c r="K107" s="335"/>
      <c r="L107" s="888"/>
      <c r="M107" s="888"/>
      <c r="N107" s="888"/>
      <c r="O107" s="348">
        <f t="shared" si="18"/>
        <v>0</v>
      </c>
      <c r="P107" s="348">
        <f t="shared" si="19"/>
        <v>0</v>
      </c>
    </row>
    <row r="108" spans="1:16" hidden="1">
      <c r="A108" s="897">
        <v>14</v>
      </c>
      <c r="B108" s="162">
        <v>107</v>
      </c>
      <c r="C108" s="888"/>
      <c r="D108" s="335"/>
      <c r="E108" s="335"/>
      <c r="F108" s="335"/>
      <c r="G108" s="783">
        <f t="shared" si="17"/>
        <v>0</v>
      </c>
      <c r="H108" s="335"/>
      <c r="I108" s="335"/>
      <c r="J108" s="335"/>
      <c r="K108" s="335"/>
      <c r="L108" s="888"/>
      <c r="M108" s="888"/>
      <c r="N108" s="888"/>
      <c r="O108" s="348">
        <f t="shared" si="18"/>
        <v>0</v>
      </c>
      <c r="P108" s="348">
        <f t="shared" si="19"/>
        <v>0</v>
      </c>
    </row>
    <row r="109" spans="1:16" hidden="1">
      <c r="A109" s="897">
        <v>15</v>
      </c>
      <c r="B109" s="162">
        <v>108</v>
      </c>
      <c r="C109" s="888"/>
      <c r="D109" s="335"/>
      <c r="E109" s="335"/>
      <c r="F109" s="335"/>
      <c r="G109" s="783">
        <f>ROUND(IF(D109&lt;&gt;0,E109/D109*100,0),2)</f>
        <v>0</v>
      </c>
      <c r="H109" s="335"/>
      <c r="I109" s="335"/>
      <c r="J109" s="335"/>
      <c r="K109" s="335"/>
      <c r="L109" s="888"/>
      <c r="M109" s="888"/>
      <c r="N109" s="888"/>
      <c r="O109" s="348">
        <f t="shared" si="18"/>
        <v>0</v>
      </c>
      <c r="P109" s="348">
        <f t="shared" si="19"/>
        <v>0</v>
      </c>
    </row>
    <row r="110" spans="1:16" hidden="1">
      <c r="A110" s="894" t="s">
        <v>243</v>
      </c>
      <c r="B110" s="162">
        <v>109</v>
      </c>
      <c r="C110" s="888" t="s">
        <v>836</v>
      </c>
      <c r="D110" s="348">
        <f>SUM(D95:D109)</f>
        <v>0</v>
      </c>
      <c r="E110" s="348">
        <f>SUM(E95:E109)</f>
        <v>0</v>
      </c>
      <c r="F110" s="335"/>
      <c r="G110" s="335"/>
      <c r="H110" s="335"/>
      <c r="I110" s="348">
        <f>SUM(I95:I109)</f>
        <v>0</v>
      </c>
      <c r="J110" s="348">
        <f t="shared" ref="J110:P110" si="20">SUM(J95:J109)</f>
        <v>0</v>
      </c>
      <c r="K110" s="348">
        <f t="shared" si="20"/>
        <v>0</v>
      </c>
      <c r="L110" s="348">
        <f t="shared" si="20"/>
        <v>0</v>
      </c>
      <c r="M110" s="348">
        <f t="shared" si="20"/>
        <v>0</v>
      </c>
      <c r="N110" s="348">
        <f t="shared" si="20"/>
        <v>0</v>
      </c>
      <c r="O110" s="348">
        <f t="shared" si="20"/>
        <v>0</v>
      </c>
      <c r="P110" s="348">
        <f t="shared" si="20"/>
        <v>0</v>
      </c>
    </row>
    <row r="111" spans="1:16" hidden="1">
      <c r="B111" s="162">
        <v>110</v>
      </c>
    </row>
    <row r="112" spans="1:16" hidden="1">
      <c r="A112" s="899" t="str">
        <f>HYPERLINK("#C1","置顶")</f>
        <v>置顶</v>
      </c>
      <c r="B112" s="162">
        <v>111</v>
      </c>
      <c r="C112" s="888" t="s">
        <v>2551</v>
      </c>
      <c r="D112" s="348">
        <f>D110-D9</f>
        <v>0</v>
      </c>
      <c r="E112" s="348">
        <f>E110-F9</f>
        <v>0</v>
      </c>
      <c r="F112" s="406">
        <f>D110-O110</f>
        <v>0</v>
      </c>
    </row>
    <row r="113" spans="1:11" hidden="1">
      <c r="B113" s="162">
        <v>112</v>
      </c>
    </row>
    <row r="114" spans="1:11" hidden="1">
      <c r="A114" s="894" t="s">
        <v>2684</v>
      </c>
      <c r="B114" s="162">
        <v>113</v>
      </c>
      <c r="C114" s="781" t="s">
        <v>2565</v>
      </c>
    </row>
    <row r="115" spans="1:11" ht="30.75" hidden="1" customHeight="1">
      <c r="B115" s="162">
        <v>114</v>
      </c>
      <c r="C115" s="881" t="s">
        <v>2561</v>
      </c>
      <c r="D115" s="1325" t="s">
        <v>4679</v>
      </c>
      <c r="E115" s="1325" t="s">
        <v>4524</v>
      </c>
      <c r="F115" s="1325" t="s">
        <v>4525</v>
      </c>
      <c r="K115" s="344"/>
    </row>
    <row r="116" spans="1:11" hidden="1">
      <c r="A116" s="897">
        <v>1</v>
      </c>
      <c r="B116" s="162">
        <v>115</v>
      </c>
      <c r="C116" s="888"/>
      <c r="D116" s="335"/>
      <c r="E116" s="335"/>
      <c r="F116" s="335"/>
      <c r="K116" s="344"/>
    </row>
    <row r="117" spans="1:11" hidden="1">
      <c r="A117" s="897">
        <v>2</v>
      </c>
      <c r="B117" s="162">
        <v>116</v>
      </c>
      <c r="C117" s="888"/>
      <c r="D117" s="335"/>
      <c r="E117" s="335"/>
      <c r="F117" s="335"/>
      <c r="K117" s="344"/>
    </row>
    <row r="118" spans="1:11" hidden="1">
      <c r="A118" s="897">
        <v>3</v>
      </c>
      <c r="B118" s="162">
        <v>117</v>
      </c>
      <c r="C118" s="888"/>
      <c r="D118" s="335"/>
      <c r="E118" s="335"/>
      <c r="F118" s="335"/>
      <c r="K118" s="344"/>
    </row>
    <row r="119" spans="1:11" hidden="1">
      <c r="A119" s="897">
        <v>4</v>
      </c>
      <c r="B119" s="162">
        <v>118</v>
      </c>
      <c r="C119" s="888"/>
      <c r="D119" s="335"/>
      <c r="E119" s="335"/>
      <c r="F119" s="335"/>
      <c r="K119" s="344"/>
    </row>
    <row r="120" spans="1:11" hidden="1">
      <c r="A120" s="897">
        <v>5</v>
      </c>
      <c r="B120" s="162">
        <v>119</v>
      </c>
      <c r="C120" s="888"/>
      <c r="D120" s="335"/>
      <c r="E120" s="335"/>
      <c r="F120" s="335"/>
      <c r="K120" s="344"/>
    </row>
    <row r="121" spans="1:11" hidden="1">
      <c r="A121" s="897">
        <v>6</v>
      </c>
      <c r="B121" s="162">
        <v>120</v>
      </c>
      <c r="C121" s="888"/>
      <c r="D121" s="335"/>
      <c r="E121" s="335"/>
      <c r="F121" s="335"/>
      <c r="K121" s="344"/>
    </row>
    <row r="122" spans="1:11" hidden="1">
      <c r="A122" s="897">
        <v>7</v>
      </c>
      <c r="B122" s="162">
        <v>121</v>
      </c>
      <c r="C122" s="888"/>
      <c r="D122" s="335"/>
      <c r="E122" s="335"/>
      <c r="F122" s="335"/>
      <c r="K122" s="344"/>
    </row>
    <row r="123" spans="1:11" hidden="1">
      <c r="A123" s="897">
        <v>8</v>
      </c>
      <c r="B123" s="162">
        <v>122</v>
      </c>
      <c r="C123" s="888"/>
      <c r="D123" s="335"/>
      <c r="E123" s="335"/>
      <c r="F123" s="335"/>
      <c r="K123" s="344"/>
    </row>
    <row r="124" spans="1:11" hidden="1">
      <c r="A124" s="897">
        <v>9</v>
      </c>
      <c r="B124" s="162">
        <v>123</v>
      </c>
      <c r="C124" s="888"/>
      <c r="D124" s="335"/>
      <c r="E124" s="335"/>
      <c r="F124" s="335"/>
      <c r="K124" s="344"/>
    </row>
    <row r="125" spans="1:11" hidden="1">
      <c r="A125" s="897">
        <v>10</v>
      </c>
      <c r="B125" s="162">
        <v>124</v>
      </c>
      <c r="C125" s="888"/>
      <c r="D125" s="335"/>
      <c r="E125" s="335"/>
      <c r="F125" s="335"/>
      <c r="K125" s="344"/>
    </row>
    <row r="126" spans="1:11" hidden="1">
      <c r="A126" s="897">
        <v>11</v>
      </c>
      <c r="B126" s="162">
        <v>125</v>
      </c>
      <c r="C126" s="888"/>
      <c r="D126" s="335"/>
      <c r="E126" s="335"/>
      <c r="F126" s="335"/>
      <c r="K126" s="344"/>
    </row>
    <row r="127" spans="1:11" hidden="1">
      <c r="A127" s="897">
        <v>12</v>
      </c>
      <c r="B127" s="162">
        <v>126</v>
      </c>
      <c r="C127" s="888"/>
      <c r="D127" s="335"/>
      <c r="E127" s="335"/>
      <c r="F127" s="335"/>
      <c r="K127" s="344"/>
    </row>
    <row r="128" spans="1:11" hidden="1">
      <c r="A128" s="897">
        <v>13</v>
      </c>
      <c r="B128" s="162">
        <v>127</v>
      </c>
      <c r="C128" s="888"/>
      <c r="D128" s="335"/>
      <c r="E128" s="335"/>
      <c r="F128" s="335"/>
      <c r="K128" s="344"/>
    </row>
    <row r="129" spans="1:11" hidden="1">
      <c r="A129" s="897">
        <v>14</v>
      </c>
      <c r="B129" s="162">
        <v>128</v>
      </c>
      <c r="C129" s="888"/>
      <c r="D129" s="335"/>
      <c r="E129" s="335"/>
      <c r="F129" s="335"/>
      <c r="K129" s="344"/>
    </row>
    <row r="130" spans="1:11" hidden="1">
      <c r="A130" s="897">
        <v>15</v>
      </c>
      <c r="B130" s="162">
        <v>129</v>
      </c>
      <c r="C130" s="888"/>
      <c r="D130" s="335"/>
      <c r="E130" s="335"/>
      <c r="F130" s="335"/>
      <c r="K130" s="344"/>
    </row>
    <row r="131" spans="1:11" hidden="1">
      <c r="A131" s="894" t="s">
        <v>243</v>
      </c>
      <c r="B131" s="162">
        <v>130</v>
      </c>
      <c r="C131" s="888" t="s">
        <v>2568</v>
      </c>
      <c r="D131" s="348">
        <f>SUM(D116:D130)</f>
        <v>0</v>
      </c>
      <c r="E131" s="348">
        <f>SUM(E116:E130)</f>
        <v>0</v>
      </c>
      <c r="F131" s="335"/>
      <c r="K131" s="344"/>
    </row>
    <row r="132" spans="1:11" hidden="1">
      <c r="B132" s="162">
        <v>131</v>
      </c>
    </row>
    <row r="133" spans="1:11" hidden="1">
      <c r="A133" s="894" t="s">
        <v>2684</v>
      </c>
      <c r="B133" s="162">
        <v>132</v>
      </c>
      <c r="C133" s="781" t="s">
        <v>2569</v>
      </c>
    </row>
    <row r="134" spans="1:11" hidden="1">
      <c r="B134" s="162">
        <v>133</v>
      </c>
      <c r="C134" s="888" t="s">
        <v>2561</v>
      </c>
      <c r="D134" s="335" t="s">
        <v>2570</v>
      </c>
      <c r="E134" s="335" t="s">
        <v>2571</v>
      </c>
      <c r="F134" s="335" t="s">
        <v>2572</v>
      </c>
      <c r="G134" s="1326" t="s">
        <v>4526</v>
      </c>
      <c r="H134" s="335" t="s">
        <v>2573</v>
      </c>
    </row>
    <row r="135" spans="1:11" hidden="1">
      <c r="A135" s="897">
        <v>1</v>
      </c>
      <c r="B135" s="162">
        <v>134</v>
      </c>
      <c r="C135" s="888"/>
      <c r="D135" s="335"/>
      <c r="E135" s="335"/>
      <c r="F135" s="335"/>
      <c r="G135" s="335"/>
      <c r="H135" s="335"/>
    </row>
    <row r="136" spans="1:11" hidden="1">
      <c r="A136" s="897">
        <v>2</v>
      </c>
      <c r="B136" s="162">
        <v>135</v>
      </c>
      <c r="C136" s="888"/>
      <c r="D136" s="335"/>
      <c r="E136" s="335"/>
      <c r="F136" s="335"/>
      <c r="G136" s="335"/>
      <c r="H136" s="335"/>
    </row>
    <row r="137" spans="1:11" hidden="1">
      <c r="A137" s="897">
        <v>3</v>
      </c>
      <c r="B137" s="162">
        <v>136</v>
      </c>
      <c r="C137" s="888"/>
      <c r="D137" s="335"/>
      <c r="E137" s="335"/>
      <c r="F137" s="335"/>
      <c r="G137" s="335"/>
      <c r="H137" s="335"/>
    </row>
    <row r="138" spans="1:11" hidden="1">
      <c r="A138" s="897">
        <v>4</v>
      </c>
      <c r="B138" s="162">
        <v>137</v>
      </c>
      <c r="C138" s="888"/>
      <c r="D138" s="335"/>
      <c r="E138" s="335"/>
      <c r="F138" s="335"/>
      <c r="G138" s="335"/>
      <c r="H138" s="335"/>
    </row>
    <row r="139" spans="1:11" hidden="1">
      <c r="A139" s="897">
        <v>5</v>
      </c>
      <c r="B139" s="162">
        <v>138</v>
      </c>
      <c r="C139" s="888"/>
      <c r="D139" s="335"/>
      <c r="E139" s="335"/>
      <c r="F139" s="335"/>
      <c r="G139" s="335"/>
      <c r="H139" s="335"/>
    </row>
    <row r="140" spans="1:11" hidden="1">
      <c r="A140" s="897">
        <v>6</v>
      </c>
      <c r="B140" s="162">
        <v>139</v>
      </c>
      <c r="C140" s="888"/>
      <c r="D140" s="335"/>
      <c r="E140" s="335"/>
      <c r="F140" s="335"/>
      <c r="G140" s="335"/>
      <c r="H140" s="335"/>
    </row>
    <row r="141" spans="1:11" hidden="1">
      <c r="A141" s="897">
        <v>7</v>
      </c>
      <c r="B141" s="162">
        <v>140</v>
      </c>
      <c r="C141" s="888"/>
      <c r="D141" s="335"/>
      <c r="E141" s="335"/>
      <c r="F141" s="335"/>
      <c r="G141" s="335"/>
      <c r="H141" s="335"/>
    </row>
    <row r="142" spans="1:11" hidden="1">
      <c r="A142" s="897">
        <v>8</v>
      </c>
      <c r="B142" s="162">
        <v>141</v>
      </c>
      <c r="C142" s="888"/>
      <c r="D142" s="335"/>
      <c r="E142" s="335"/>
      <c r="F142" s="335"/>
      <c r="G142" s="335"/>
      <c r="H142" s="335"/>
    </row>
    <row r="143" spans="1:11" hidden="1">
      <c r="A143" s="897">
        <v>9</v>
      </c>
      <c r="B143" s="162">
        <v>142</v>
      </c>
      <c r="C143" s="888"/>
      <c r="D143" s="335"/>
      <c r="E143" s="335"/>
      <c r="F143" s="335"/>
      <c r="G143" s="335"/>
      <c r="H143" s="335"/>
    </row>
    <row r="144" spans="1:11" hidden="1">
      <c r="A144" s="897">
        <v>10</v>
      </c>
      <c r="B144" s="162">
        <v>143</v>
      </c>
      <c r="C144" s="888"/>
      <c r="D144" s="335"/>
      <c r="E144" s="335"/>
      <c r="F144" s="335"/>
      <c r="G144" s="335"/>
      <c r="H144" s="335"/>
    </row>
    <row r="145" spans="1:8" hidden="1">
      <c r="A145" s="897">
        <v>11</v>
      </c>
      <c r="B145" s="162">
        <v>144</v>
      </c>
      <c r="C145" s="888"/>
      <c r="D145" s="335"/>
      <c r="E145" s="335"/>
      <c r="F145" s="335"/>
      <c r="G145" s="335"/>
      <c r="H145" s="335"/>
    </row>
    <row r="146" spans="1:8" hidden="1">
      <c r="A146" s="897">
        <v>12</v>
      </c>
      <c r="B146" s="162">
        <v>145</v>
      </c>
      <c r="C146" s="888"/>
      <c r="D146" s="335"/>
      <c r="E146" s="335"/>
      <c r="F146" s="335"/>
      <c r="G146" s="335"/>
      <c r="H146" s="335"/>
    </row>
    <row r="147" spans="1:8" hidden="1">
      <c r="A147" s="897">
        <v>13</v>
      </c>
      <c r="B147" s="162">
        <v>146</v>
      </c>
      <c r="C147" s="888"/>
      <c r="D147" s="335"/>
      <c r="E147" s="335"/>
      <c r="F147" s="335"/>
      <c r="G147" s="335"/>
      <c r="H147" s="335"/>
    </row>
    <row r="148" spans="1:8" hidden="1">
      <c r="A148" s="897">
        <v>14</v>
      </c>
      <c r="B148" s="162">
        <v>147</v>
      </c>
      <c r="C148" s="888"/>
      <c r="D148" s="335"/>
      <c r="E148" s="335"/>
      <c r="F148" s="335"/>
      <c r="G148" s="335"/>
      <c r="H148" s="335"/>
    </row>
    <row r="149" spans="1:8" hidden="1">
      <c r="A149" s="897">
        <v>15</v>
      </c>
      <c r="B149" s="162">
        <v>148</v>
      </c>
      <c r="C149" s="888"/>
      <c r="D149" s="335"/>
      <c r="E149" s="335"/>
      <c r="F149" s="335"/>
      <c r="G149" s="335"/>
      <c r="H149" s="335"/>
    </row>
    <row r="150" spans="1:8" hidden="1">
      <c r="B150" s="162">
        <v>149</v>
      </c>
      <c r="C150" s="881" t="s">
        <v>2574</v>
      </c>
      <c r="D150" s="335"/>
      <c r="E150" s="348">
        <f>SUM(E135:E149)</f>
        <v>0</v>
      </c>
      <c r="F150" s="335"/>
      <c r="G150" s="335"/>
      <c r="H150" s="335"/>
    </row>
    <row r="151" spans="1:8" hidden="1">
      <c r="A151" s="894" t="s">
        <v>243</v>
      </c>
      <c r="B151" s="162">
        <v>150</v>
      </c>
    </row>
    <row r="152" spans="1:8">
      <c r="B152" s="162">
        <v>151</v>
      </c>
    </row>
    <row r="153" spans="1:8">
      <c r="B153" s="162"/>
      <c r="C153" s="781" t="s">
        <v>2575</v>
      </c>
    </row>
    <row r="154" spans="1:8" ht="24.75">
      <c r="B154" s="162"/>
      <c r="C154" s="1321" t="s">
        <v>2561</v>
      </c>
      <c r="D154" s="1321" t="s">
        <v>826</v>
      </c>
      <c r="E154" s="1327" t="s">
        <v>4528</v>
      </c>
      <c r="F154" s="1327" t="s">
        <v>4527</v>
      </c>
    </row>
    <row r="155" spans="1:8">
      <c r="B155" s="162"/>
      <c r="C155" s="1321" t="s">
        <v>5231</v>
      </c>
      <c r="D155" s="1650">
        <f>调整分录!H75</f>
        <v>2600000</v>
      </c>
      <c r="E155" s="1490">
        <f>D155/$D$10*100</f>
        <v>56.521739130434781</v>
      </c>
      <c r="F155" s="792">
        <f>D155*0.05</f>
        <v>130000</v>
      </c>
    </row>
    <row r="156" spans="1:8">
      <c r="B156" s="162"/>
      <c r="C156" s="1321" t="s">
        <v>5233</v>
      </c>
      <c r="D156" s="1650">
        <f>调整分录!H76</f>
        <v>1000000</v>
      </c>
      <c r="E156" s="1490">
        <f t="shared" ref="E156:E159" si="21">D156/$D$10*100</f>
        <v>21.739130434782609</v>
      </c>
      <c r="F156" s="792">
        <f t="shared" ref="F156:F157" si="22">D156*0.05</f>
        <v>50000</v>
      </c>
    </row>
    <row r="157" spans="1:8">
      <c r="B157" s="162"/>
      <c r="C157" s="1321" t="s">
        <v>5235</v>
      </c>
      <c r="D157" s="1650">
        <f>调整分录!H77</f>
        <v>1000000</v>
      </c>
      <c r="E157" s="1490">
        <f t="shared" si="21"/>
        <v>21.739130434782609</v>
      </c>
      <c r="F157" s="792">
        <f t="shared" si="22"/>
        <v>50000</v>
      </c>
    </row>
    <row r="158" spans="1:8">
      <c r="B158" s="162"/>
      <c r="C158" s="1321"/>
      <c r="D158" s="1650"/>
      <c r="E158" s="1490">
        <f t="shared" si="21"/>
        <v>0</v>
      </c>
      <c r="F158" s="792"/>
    </row>
    <row r="159" spans="1:8">
      <c r="B159" s="162"/>
      <c r="C159" s="1321"/>
      <c r="D159" s="1650"/>
      <c r="E159" s="1490">
        <f t="shared" si="21"/>
        <v>0</v>
      </c>
      <c r="F159" s="792"/>
    </row>
    <row r="160" spans="1:8">
      <c r="B160" s="162"/>
      <c r="C160" s="1321" t="s">
        <v>1005</v>
      </c>
      <c r="D160" s="1651">
        <f>SUM(D155:D159)</f>
        <v>4600000</v>
      </c>
      <c r="E160" s="348">
        <f>SUM(E155:E159)</f>
        <v>100</v>
      </c>
      <c r="F160" s="348">
        <f t="shared" ref="F160" si="23">SUM(F155:F159)</f>
        <v>230000</v>
      </c>
    </row>
    <row r="161" spans="1:13">
      <c r="A161" s="899" t="str">
        <f>HYPERLINK("#C1","置顶")</f>
        <v>置顶</v>
      </c>
      <c r="B161" s="162">
        <v>152</v>
      </c>
    </row>
    <row r="162" spans="1:13" s="128" customFormat="1" ht="15" customHeight="1">
      <c r="A162" s="897"/>
      <c r="B162" s="162">
        <v>153</v>
      </c>
      <c r="C162" s="796" t="s">
        <v>2576</v>
      </c>
      <c r="D162" s="797"/>
      <c r="E162" s="797"/>
      <c r="F162" s="797"/>
      <c r="G162" s="797"/>
      <c r="H162" s="797"/>
      <c r="I162" s="797"/>
      <c r="J162" s="797"/>
      <c r="K162" s="797"/>
    </row>
    <row r="163" spans="1:13" s="128" customFormat="1" ht="15" customHeight="1">
      <c r="A163" s="894" t="s">
        <v>2684</v>
      </c>
      <c r="B163" s="162">
        <v>154</v>
      </c>
      <c r="C163" s="1825" t="s">
        <v>841</v>
      </c>
      <c r="D163" s="1826" t="s">
        <v>2538</v>
      </c>
      <c r="E163" s="1826"/>
      <c r="F163" s="1826"/>
      <c r="G163" s="1826" t="s">
        <v>2539</v>
      </c>
      <c r="H163" s="1826"/>
      <c r="I163" s="1826"/>
      <c r="J163" s="797"/>
      <c r="K163" s="1827" t="s">
        <v>2577</v>
      </c>
      <c r="L163" s="1827"/>
    </row>
    <row r="164" spans="1:13" s="128" customFormat="1" ht="15" customHeight="1">
      <c r="A164" s="897"/>
      <c r="B164" s="162">
        <v>155</v>
      </c>
      <c r="C164" s="1825"/>
      <c r="D164" s="1826" t="s">
        <v>842</v>
      </c>
      <c r="E164" s="1826"/>
      <c r="F164" s="1828" t="s">
        <v>843</v>
      </c>
      <c r="G164" s="1826" t="s">
        <v>842</v>
      </c>
      <c r="H164" s="1826"/>
      <c r="I164" s="1828" t="s">
        <v>843</v>
      </c>
      <c r="J164" s="797"/>
      <c r="K164" s="797"/>
    </row>
    <row r="165" spans="1:13" s="128" customFormat="1" ht="15" customHeight="1">
      <c r="A165" s="899" t="str">
        <f>HYPERLINK("#C1","置顶")</f>
        <v>置顶</v>
      </c>
      <c r="B165" s="162">
        <v>156</v>
      </c>
      <c r="C165" s="1825"/>
      <c r="D165" s="798" t="s">
        <v>844</v>
      </c>
      <c r="E165" s="798" t="s">
        <v>845</v>
      </c>
      <c r="F165" s="1828"/>
      <c r="G165" s="798" t="s">
        <v>844</v>
      </c>
      <c r="H165" s="798" t="s">
        <v>845</v>
      </c>
      <c r="I165" s="1828"/>
      <c r="J165" s="799" t="s">
        <v>2578</v>
      </c>
      <c r="K165" s="800" t="s">
        <v>4852</v>
      </c>
      <c r="L165" s="801" t="s">
        <v>2580</v>
      </c>
      <c r="M165" s="801" t="s">
        <v>2581</v>
      </c>
    </row>
    <row r="166" spans="1:13" s="128" customFormat="1" ht="15" customHeight="1">
      <c r="A166" s="900"/>
      <c r="B166" s="162">
        <v>157</v>
      </c>
      <c r="C166" s="802" t="s">
        <v>846</v>
      </c>
      <c r="D166" s="803">
        <v>4600000</v>
      </c>
      <c r="E166" s="406">
        <f>ROUND(IF($D$174&lt;&gt;0,D166/$D$174,0)*100,2)</f>
        <v>100</v>
      </c>
      <c r="F166" s="803">
        <v>230000</v>
      </c>
      <c r="G166" s="803">
        <f>D19</f>
        <v>0</v>
      </c>
      <c r="H166" s="406">
        <f>ROUND(IF($G$174&lt;&gt;0,G166/$G$174,0)*100,2)</f>
        <v>0</v>
      </c>
      <c r="I166" s="803">
        <f>I167+I168</f>
        <v>0</v>
      </c>
      <c r="J166" s="804" t="str">
        <f>IF(TYPE(G166)=2,I166,IF(ROUND(G166-D169,2)&gt;=0,"相符","账龄不勾辑"&amp;ROUND(G166-D169,2)))</f>
        <v>相符</v>
      </c>
      <c r="K166" s="776">
        <v>0.05</v>
      </c>
      <c r="L166" s="805" t="str">
        <f>IF(TYPE(D166)=2,D166,IF(ROUND(F166-D166*K166,2)=0,"相符","坏账准备计算错误"&amp;ROUND(F166-D166*K166,2)))</f>
        <v>相符</v>
      </c>
      <c r="M166" s="805" t="str">
        <f t="shared" ref="M166:M173" si="24">IF(TYPE(G166)=2,G166,IF(ROUND(I166-G166*K166,2)=0,"相符","坏账准备计算错误"&amp;ROUND(I166-G166*K166,2)))</f>
        <v>相符</v>
      </c>
    </row>
    <row r="167" spans="1:13" s="1479" customFormat="1" ht="15" hidden="1" customHeight="1">
      <c r="A167" s="900"/>
      <c r="B167" s="162"/>
      <c r="C167" s="1493" t="s">
        <v>4850</v>
      </c>
      <c r="D167" s="1491"/>
      <c r="E167" s="406">
        <f t="shared" ref="E167:E173" si="25">ROUND(IF($D$174&lt;&gt;0,D167/$D$174,0)*100,2)</f>
        <v>0</v>
      </c>
      <c r="F167" s="1491"/>
      <c r="G167" s="1491"/>
      <c r="H167" s="406">
        <f t="shared" ref="H167:H173" si="26">ROUND(IF($G$174&lt;&gt;0,G167/$G$174,0)*100,2)</f>
        <v>0</v>
      </c>
      <c r="I167" s="1491"/>
      <c r="J167" s="804" t="str">
        <f t="shared" ref="J167:J168" si="27">IF(TYPE(G167)=2,I167,IF(ROUND(G167-D168,2)&gt;=0,"相符","账龄不勾辑"&amp;ROUND(G167-D168,2)))</f>
        <v>相符</v>
      </c>
      <c r="K167" s="1492"/>
      <c r="L167" s="805" t="str">
        <f t="shared" ref="L167:L173" si="28">IF(TYPE(D167)=2,D167,IF(ROUND(F167-D167*K167,2)=0,"相符","坏账准备计算错误"&amp;ROUND(F167-D167*K167,2)))</f>
        <v>相符</v>
      </c>
      <c r="M167" s="805" t="str">
        <f t="shared" si="24"/>
        <v>相符</v>
      </c>
    </row>
    <row r="168" spans="1:13" s="1479" customFormat="1" ht="15" hidden="1" customHeight="1">
      <c r="A168" s="900"/>
      <c r="B168" s="162"/>
      <c r="C168" s="1494" t="s">
        <v>4851</v>
      </c>
      <c r="D168" s="1491"/>
      <c r="E168" s="406">
        <f t="shared" si="25"/>
        <v>0</v>
      </c>
      <c r="F168" s="1491"/>
      <c r="G168" s="1491"/>
      <c r="H168" s="406">
        <f t="shared" si="26"/>
        <v>0</v>
      </c>
      <c r="I168" s="1491"/>
      <c r="J168" s="804" t="str">
        <f t="shared" si="27"/>
        <v>相符</v>
      </c>
      <c r="K168" s="1492"/>
      <c r="L168" s="805" t="str">
        <f t="shared" si="28"/>
        <v>相符</v>
      </c>
      <c r="M168" s="805" t="str">
        <f t="shared" si="24"/>
        <v>相符</v>
      </c>
    </row>
    <row r="169" spans="1:13" s="128" customFormat="1" ht="15" customHeight="1">
      <c r="A169" s="894" t="s">
        <v>243</v>
      </c>
      <c r="B169" s="162">
        <v>158</v>
      </c>
      <c r="C169" s="802" t="s">
        <v>847</v>
      </c>
      <c r="D169" s="1491">
        <f>D19</f>
        <v>0</v>
      </c>
      <c r="E169" s="406">
        <f t="shared" si="25"/>
        <v>0</v>
      </c>
      <c r="F169" s="1491"/>
      <c r="G169" s="1491"/>
      <c r="H169" s="406">
        <f t="shared" si="26"/>
        <v>0</v>
      </c>
      <c r="I169" s="1491"/>
      <c r="J169" s="804" t="str">
        <f>IF(TYPE(G169)=2,I169,IF(ROUND(G169-D170,2)&gt;=0,"相符","账龄不勾辑"&amp;ROUND(G169-D170,2)))</f>
        <v>相符</v>
      </c>
      <c r="K169" s="776"/>
      <c r="L169" s="805" t="str">
        <f t="shared" si="28"/>
        <v>相符</v>
      </c>
      <c r="M169" s="805" t="str">
        <f t="shared" si="24"/>
        <v>相符</v>
      </c>
    </row>
    <row r="170" spans="1:13" s="128" customFormat="1" ht="15" customHeight="1">
      <c r="A170" s="897"/>
      <c r="B170" s="162">
        <v>159</v>
      </c>
      <c r="C170" s="802" t="s">
        <v>848</v>
      </c>
      <c r="D170" s="1491"/>
      <c r="E170" s="406">
        <f t="shared" si="25"/>
        <v>0</v>
      </c>
      <c r="F170" s="1491"/>
      <c r="G170" s="1491"/>
      <c r="H170" s="406">
        <f t="shared" si="26"/>
        <v>0</v>
      </c>
      <c r="I170" s="1491"/>
      <c r="J170" s="804" t="str">
        <f t="shared" ref="J170:J171" si="29">IF(TYPE(G170)=2,I170,IF(ROUND(G170-D171,2)&gt;=0,"相符","账龄不勾辑"&amp;ROUND(G170-D171,2)))</f>
        <v>相符</v>
      </c>
      <c r="K170" s="776"/>
      <c r="L170" s="805" t="str">
        <f t="shared" si="28"/>
        <v>相符</v>
      </c>
      <c r="M170" s="805" t="str">
        <f t="shared" si="24"/>
        <v>相符</v>
      </c>
    </row>
    <row r="171" spans="1:13" s="128" customFormat="1" ht="15" customHeight="1">
      <c r="A171" s="899" t="str">
        <f>HYPERLINK("#C1","置顶")</f>
        <v>置顶</v>
      </c>
      <c r="B171" s="162">
        <v>160</v>
      </c>
      <c r="C171" s="802" t="s">
        <v>849</v>
      </c>
      <c r="D171" s="1491"/>
      <c r="E171" s="406">
        <f t="shared" si="25"/>
        <v>0</v>
      </c>
      <c r="F171" s="1491"/>
      <c r="G171" s="1491"/>
      <c r="H171" s="406">
        <f t="shared" si="26"/>
        <v>0</v>
      </c>
      <c r="I171" s="1491"/>
      <c r="J171" s="804" t="str">
        <f t="shared" si="29"/>
        <v>相符</v>
      </c>
      <c r="K171" s="776"/>
      <c r="L171" s="805" t="str">
        <f t="shared" si="28"/>
        <v>相符</v>
      </c>
      <c r="M171" s="805" t="str">
        <f t="shared" si="24"/>
        <v>相符</v>
      </c>
    </row>
    <row r="172" spans="1:13" s="128" customFormat="1" ht="15" customHeight="1">
      <c r="A172" s="897"/>
      <c r="B172" s="162">
        <v>161</v>
      </c>
      <c r="C172" s="802" t="s">
        <v>850</v>
      </c>
      <c r="D172" s="1491"/>
      <c r="E172" s="406">
        <f t="shared" si="25"/>
        <v>0</v>
      </c>
      <c r="F172" s="1491"/>
      <c r="G172" s="1491"/>
      <c r="H172" s="406">
        <f t="shared" si="26"/>
        <v>0</v>
      </c>
      <c r="I172" s="1491"/>
      <c r="J172" s="804" t="str">
        <f>IF(TYPE(G172)=2,I172,IF(ROUND(G172+G173-D173,2)&gt;=0,"相符","账龄不勾辑"&amp;ROUND(G172+G173-D173,2)))</f>
        <v>相符</v>
      </c>
      <c r="K172" s="776"/>
      <c r="L172" s="805" t="str">
        <f t="shared" si="28"/>
        <v>相符</v>
      </c>
      <c r="M172" s="805" t="str">
        <f t="shared" si="24"/>
        <v>相符</v>
      </c>
    </row>
    <row r="173" spans="1:13" s="128" customFormat="1" ht="15" customHeight="1">
      <c r="A173" s="894" t="s">
        <v>2684</v>
      </c>
      <c r="B173" s="162">
        <v>162</v>
      </c>
      <c r="C173" s="802" t="s">
        <v>851</v>
      </c>
      <c r="D173" s="1491"/>
      <c r="E173" s="406">
        <f t="shared" si="25"/>
        <v>0</v>
      </c>
      <c r="F173" s="1491"/>
      <c r="G173" s="1491"/>
      <c r="H173" s="406">
        <f t="shared" si="26"/>
        <v>0</v>
      </c>
      <c r="I173" s="1491"/>
      <c r="J173" s="804"/>
      <c r="K173" s="776"/>
      <c r="L173" s="805" t="str">
        <f t="shared" si="28"/>
        <v>相符</v>
      </c>
      <c r="M173" s="805" t="str">
        <f t="shared" si="24"/>
        <v>相符</v>
      </c>
    </row>
    <row r="174" spans="1:13" s="128" customFormat="1" ht="15" customHeight="1">
      <c r="A174" s="897"/>
      <c r="B174" s="162">
        <v>163</v>
      </c>
      <c r="C174" s="802" t="s">
        <v>852</v>
      </c>
      <c r="D174" s="406">
        <f>D166+D169+D170+D171+D172+D173</f>
        <v>4600000</v>
      </c>
      <c r="E174" s="406">
        <f t="shared" ref="E174:F174" si="30">E166+E169+E170+E171+E172+E173</f>
        <v>100</v>
      </c>
      <c r="F174" s="406">
        <f t="shared" si="30"/>
        <v>230000</v>
      </c>
      <c r="G174" s="406">
        <f>G166+G169+G170+G171+G172+G173</f>
        <v>0</v>
      </c>
      <c r="H174" s="406">
        <f t="shared" ref="H174:I174" si="31">H166+H169+H170+H171+H172+H173</f>
        <v>0</v>
      </c>
      <c r="I174" s="406">
        <f t="shared" si="31"/>
        <v>0</v>
      </c>
      <c r="J174" s="797"/>
      <c r="K174" s="797"/>
    </row>
    <row r="175" spans="1:13" s="128" customFormat="1" ht="15" customHeight="1">
      <c r="A175" s="900"/>
      <c r="B175" s="162">
        <v>164</v>
      </c>
      <c r="C175" s="128" t="s">
        <v>2582</v>
      </c>
      <c r="D175" s="778">
        <f>D174-D10</f>
        <v>0</v>
      </c>
      <c r="E175" s="806">
        <f>IF(D174&lt;&gt;0,100-E174,0)</f>
        <v>0</v>
      </c>
      <c r="F175" s="778">
        <f>F174-F10</f>
        <v>0</v>
      </c>
      <c r="G175" s="778">
        <f>G174-D21</f>
        <v>0</v>
      </c>
      <c r="H175" s="778">
        <f>IF(G174&lt;&gt;0,100-H174,0)</f>
        <v>0</v>
      </c>
      <c r="I175" s="778">
        <f>I174-F21</f>
        <v>0</v>
      </c>
      <c r="J175" s="797"/>
      <c r="K175" s="797"/>
    </row>
    <row r="176" spans="1:13">
      <c r="A176" s="894" t="s">
        <v>243</v>
      </c>
      <c r="B176" s="162">
        <v>165</v>
      </c>
      <c r="C176" s="128" t="s">
        <v>2583</v>
      </c>
      <c r="D176" s="778">
        <f>D174-F174-审定资产负债表!C12</f>
        <v>0</v>
      </c>
      <c r="G176" s="778">
        <f>G174-I174-审定资产负债表!D12</f>
        <v>0</v>
      </c>
    </row>
  </sheetData>
  <sheetProtection formatCells="0" formatColumns="0" formatRows="0" autoFilter="0"/>
  <mergeCells count="31">
    <mergeCell ref="P72:P73"/>
    <mergeCell ref="P93:P94"/>
    <mergeCell ref="C163:C165"/>
    <mergeCell ref="D163:F163"/>
    <mergeCell ref="G163:I163"/>
    <mergeCell ref="K163:L163"/>
    <mergeCell ref="D164:E164"/>
    <mergeCell ref="F164:F165"/>
    <mergeCell ref="G164:H164"/>
    <mergeCell ref="I164:I165"/>
    <mergeCell ref="C59:C60"/>
    <mergeCell ref="D59:E59"/>
    <mergeCell ref="F59:G59"/>
    <mergeCell ref="C30:C32"/>
    <mergeCell ref="D30:F30"/>
    <mergeCell ref="D31:E31"/>
    <mergeCell ref="F31:F32"/>
    <mergeCell ref="G31:H31"/>
    <mergeCell ref="G30:I30"/>
    <mergeCell ref="C46:C47"/>
    <mergeCell ref="D46:F46"/>
    <mergeCell ref="G46:I46"/>
    <mergeCell ref="C2:C4"/>
    <mergeCell ref="D2:G2"/>
    <mergeCell ref="D3:E3"/>
    <mergeCell ref="F3:G3"/>
    <mergeCell ref="I31:I32"/>
    <mergeCell ref="C13:C15"/>
    <mergeCell ref="D13:G13"/>
    <mergeCell ref="D14:E14"/>
    <mergeCell ref="F14:G14"/>
  </mergeCells>
  <phoneticPr fontId="5" type="noConversion"/>
  <conditionalFormatting sqref="L166:M173 J166:J173">
    <cfRule type="expression" dxfId="121" priority="3" stopIfTrue="1">
      <formula>OR(J166="相符",J166="不适用")</formula>
    </cfRule>
    <cfRule type="expression" dxfId="120" priority="4" stopIfTrue="1">
      <formula>J166&lt;&gt;"相符"</formula>
    </cfRule>
  </conditionalFormatting>
  <hyperlinks>
    <hyperlink ref="A1" location="附注填写封面!B3" display="返回目录" xr:uid="{00000000-0004-0000-1700-000000000000}"/>
    <hyperlink ref="A5" location="审定资产减值准备情况表!B5" display="返回减值准备表" xr:uid="{00000000-0004-0000-1700-000001000000}"/>
    <hyperlink ref="A9" location="附注填写封面!B3" display="返回目录" xr:uid="{00000000-0004-0000-1700-000002000000}"/>
    <hyperlink ref="A17" location="附注填写封面!B3" display="返回目录" xr:uid="{00000000-0004-0000-1700-000003000000}"/>
    <hyperlink ref="A26" location="附注填写封面!B3" display="返回目录" xr:uid="{00000000-0004-0000-1700-000004000000}"/>
    <hyperlink ref="A36" location="附注填写封面!B3" display="返回目录" xr:uid="{00000000-0004-0000-1700-000005000000}"/>
    <hyperlink ref="A43" location="附注填写封面!B3" display="返回目录" xr:uid="{00000000-0004-0000-1700-000006000000}"/>
    <hyperlink ref="A55" location="附注填写封面!B3" display="返回目录" xr:uid="{00000000-0004-0000-1700-000007000000}"/>
    <hyperlink ref="A67" location="附注填写封面!B3" display="返回目录" xr:uid="{00000000-0004-0000-1700-000008000000}"/>
    <hyperlink ref="A89" location="附注填写封面!B3" display="返回目录" xr:uid="{00000000-0004-0000-1700-000009000000}"/>
    <hyperlink ref="A110" location="附注填写封面!B3" display="返回目录" xr:uid="{00000000-0004-0000-1700-00000A000000}"/>
    <hyperlink ref="A131" location="附注填写封面!B3" display="返回目录" xr:uid="{00000000-0004-0000-1700-00000B000000}"/>
    <hyperlink ref="A135" location="附注填写封面!B3" display="返回目录" xr:uid="{00000000-0004-0000-1700-00000C000000}"/>
    <hyperlink ref="A151" location="附注填写封面!B3" display="返回目录" xr:uid="{00000000-0004-0000-1700-00000D000000}"/>
    <hyperlink ref="A169" location="附注填写封面!B3" display="返回目录" xr:uid="{00000000-0004-0000-1700-00000E000000}"/>
    <hyperlink ref="A176" location="附注填写封面!B3" display="返回目录" xr:uid="{00000000-0004-0000-1700-00000F000000}"/>
    <hyperlink ref="A13" location="审定资产减值准备情况表!B5" display="返回减值准备表" xr:uid="{00000000-0004-0000-1700-000010000000}"/>
    <hyperlink ref="A21" location="审定资产减值准备情况表!B5" display="返回减值准备表" xr:uid="{00000000-0004-0000-1700-000011000000}"/>
    <hyperlink ref="A30" location="审定资产减值准备情况表!B5" display="返回减值准备表" xr:uid="{00000000-0004-0000-1700-000012000000}"/>
    <hyperlink ref="A40" location="审定资产减值准备情况表!B5" display="返回减值准备表" xr:uid="{00000000-0004-0000-1700-000013000000}"/>
    <hyperlink ref="A47" location="审定资产减值准备情况表!B5" display="返回减值准备表" xr:uid="{00000000-0004-0000-1700-000014000000}"/>
    <hyperlink ref="A59" location="审定资产减值准备情况表!B5" display="返回减值准备表" xr:uid="{00000000-0004-0000-1700-000015000000}"/>
    <hyperlink ref="A71" location="审定资产减值准备情况表!B5" display="返回减值准备表" xr:uid="{00000000-0004-0000-1700-000016000000}"/>
    <hyperlink ref="A93" location="审定资产减值准备情况表!B5" display="返回减值准备表" xr:uid="{00000000-0004-0000-1700-000017000000}"/>
    <hyperlink ref="A114" location="审定资产减值准备情况表!B5" display="返回减值准备表" xr:uid="{00000000-0004-0000-1700-000018000000}"/>
    <hyperlink ref="A133" location="审定资产减值准备情况表!B5" display="返回减值准备表" xr:uid="{00000000-0004-0000-1700-000019000000}"/>
    <hyperlink ref="A163" location="审定资产减值准备情况表!B5" display="返回减值准备表" xr:uid="{00000000-0004-0000-1700-00001A000000}"/>
    <hyperlink ref="A173" location="审定资产减值准备情况表!B5" display="返回减值准备表" xr:uid="{00000000-0004-0000-1700-00001B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legacyDrawing r:id="rId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8"/>
  <dimension ref="A1:L45"/>
  <sheetViews>
    <sheetView showGridLines="0" showZeros="0" topLeftCell="A20" workbookViewId="0">
      <selection activeCell="D9" sqref="D9"/>
    </sheetView>
  </sheetViews>
  <sheetFormatPr defaultColWidth="9" defaultRowHeight="12" customHeight="1"/>
  <cols>
    <col min="1" max="1" width="8.625" style="95" customWidth="1"/>
    <col min="2" max="2" width="6" style="29" hidden="1" customWidth="1"/>
    <col min="3" max="3" width="12.625" style="29" customWidth="1"/>
    <col min="4" max="9" width="11.625" style="29" customWidth="1"/>
    <col min="10" max="10" width="6.625" style="29" customWidth="1"/>
    <col min="11" max="11" width="7" style="29" customWidth="1"/>
    <col min="12" max="12" width="10.125" style="29" customWidth="1"/>
    <col min="13" max="16384" width="9" style="29"/>
  </cols>
  <sheetData>
    <row r="1" spans="1:12" ht="26.45" customHeight="1">
      <c r="A1" s="860" t="s">
        <v>2260</v>
      </c>
      <c r="B1" s="901" t="s">
        <v>2668</v>
      </c>
      <c r="C1" s="862" t="s">
        <v>2704</v>
      </c>
      <c r="D1" s="150"/>
      <c r="E1" s="150"/>
      <c r="F1" s="150"/>
      <c r="G1" s="150"/>
      <c r="H1" s="150"/>
      <c r="I1" s="150"/>
      <c r="J1" s="150"/>
      <c r="K1" s="150"/>
      <c r="L1" s="150"/>
    </row>
    <row r="2" spans="1:12" ht="12" customHeight="1">
      <c r="A2" s="863"/>
      <c r="B2" s="863">
        <v>2</v>
      </c>
      <c r="C2" s="1831" t="s">
        <v>2719</v>
      </c>
      <c r="D2" s="1832" t="s">
        <v>2705</v>
      </c>
      <c r="E2" s="1832"/>
      <c r="F2" s="1832"/>
      <c r="G2" s="1832" t="s">
        <v>2706</v>
      </c>
      <c r="H2" s="1832"/>
      <c r="I2" s="1832"/>
      <c r="J2" s="150" t="s">
        <v>2718</v>
      </c>
      <c r="K2" s="150"/>
      <c r="L2" s="150"/>
    </row>
    <row r="3" spans="1:12" ht="12" customHeight="1">
      <c r="A3" s="863"/>
      <c r="B3" s="863">
        <v>3</v>
      </c>
      <c r="C3" s="1831"/>
      <c r="D3" s="1831" t="s">
        <v>279</v>
      </c>
      <c r="E3" s="1831" t="s">
        <v>176</v>
      </c>
      <c r="F3" s="1831" t="s">
        <v>2707</v>
      </c>
      <c r="G3" s="1831" t="s">
        <v>279</v>
      </c>
      <c r="H3" s="1831" t="s">
        <v>176</v>
      </c>
      <c r="I3" s="1831" t="s">
        <v>2707</v>
      </c>
      <c r="J3" s="902"/>
      <c r="K3" s="150"/>
      <c r="L3" s="150"/>
    </row>
    <row r="4" spans="1:12" ht="12" customHeight="1">
      <c r="A4" s="863"/>
      <c r="B4" s="863">
        <v>4</v>
      </c>
      <c r="C4" s="1831"/>
      <c r="D4" s="870" t="s">
        <v>2720</v>
      </c>
      <c r="E4" s="870" t="s">
        <v>2721</v>
      </c>
      <c r="F4" s="1831" t="s">
        <v>176</v>
      </c>
      <c r="G4" s="870" t="s">
        <v>2720</v>
      </c>
      <c r="H4" s="870" t="s">
        <v>2721</v>
      </c>
      <c r="I4" s="1831" t="s">
        <v>176</v>
      </c>
      <c r="J4" s="902"/>
      <c r="K4" s="150"/>
      <c r="L4" s="150"/>
    </row>
    <row r="5" spans="1:12" ht="12" customHeight="1">
      <c r="A5" s="863"/>
      <c r="B5" s="863">
        <v>5</v>
      </c>
      <c r="C5" s="868" t="s">
        <v>2722</v>
      </c>
      <c r="D5" s="866"/>
      <c r="E5" s="903">
        <f>ROUND(IF($D$9&lt;&gt;0,D5/$D$9,0)*100,2)</f>
        <v>0</v>
      </c>
      <c r="F5" s="866"/>
      <c r="G5" s="866"/>
      <c r="H5" s="903">
        <f>ROUND(IF($G$9&lt;&gt;0,G5/$G$9,0)*100,2)</f>
        <v>0</v>
      </c>
      <c r="I5" s="904"/>
      <c r="J5" s="150"/>
      <c r="K5" s="905" t="s">
        <v>2708</v>
      </c>
      <c r="L5" s="906" t="str">
        <f>IF(D6-G5&gt;0,"请检验合理性","合理")</f>
        <v>合理</v>
      </c>
    </row>
    <row r="6" spans="1:12" ht="12" customHeight="1">
      <c r="A6" s="863"/>
      <c r="B6" s="863">
        <v>6</v>
      </c>
      <c r="C6" s="868" t="s">
        <v>2723</v>
      </c>
      <c r="D6" s="866"/>
      <c r="E6" s="903">
        <f>ROUND(IF($D$9&lt;&gt;0,D6/$D$9,0)*100,2)</f>
        <v>0</v>
      </c>
      <c r="F6" s="866"/>
      <c r="G6" s="866"/>
      <c r="H6" s="903">
        <f>ROUND(IF($G$9&lt;&gt;0,G6/$G$9,0)*100,2)</f>
        <v>0</v>
      </c>
      <c r="I6" s="904"/>
      <c r="J6" s="150"/>
      <c r="K6" s="907"/>
      <c r="L6" s="908" t="str">
        <f>IF(D7-G6&gt;0,"请检验合理性","合理")</f>
        <v>合理</v>
      </c>
    </row>
    <row r="7" spans="1:12" ht="12" customHeight="1">
      <c r="A7" s="863"/>
      <c r="B7" s="863">
        <v>7</v>
      </c>
      <c r="C7" s="868" t="s">
        <v>2724</v>
      </c>
      <c r="D7" s="866"/>
      <c r="E7" s="903">
        <f>ROUND(IF($D$9&lt;&gt;0,D7/$D$9,0)*100,2)</f>
        <v>0</v>
      </c>
      <c r="F7" s="866"/>
      <c r="G7" s="866"/>
      <c r="H7" s="903">
        <f>ROUND(IF($G$9&lt;&gt;0,G7/$G$9,0)*100,2)</f>
        <v>0</v>
      </c>
      <c r="I7" s="904"/>
      <c r="J7" s="150"/>
      <c r="K7" s="907"/>
      <c r="L7" s="908" t="str">
        <f>IF(D8-G7-G8&gt;0,"请检验合理性","合理")</f>
        <v>合理</v>
      </c>
    </row>
    <row r="8" spans="1:12" ht="12" customHeight="1">
      <c r="A8" s="863"/>
      <c r="B8" s="863">
        <v>8</v>
      </c>
      <c r="C8" s="868" t="s">
        <v>2709</v>
      </c>
      <c r="D8" s="866"/>
      <c r="E8" s="903">
        <f>ROUND(IF($D$9&lt;&gt;0,D8/$D$9,0)*100,2)</f>
        <v>0</v>
      </c>
      <c r="F8" s="866"/>
      <c r="G8" s="866"/>
      <c r="H8" s="903">
        <f>ROUND(IF($G$9&lt;&gt;0,G8/$G$9,0)*100,2)</f>
        <v>0</v>
      </c>
      <c r="I8" s="904"/>
      <c r="J8" s="150"/>
      <c r="K8" s="907"/>
      <c r="L8" s="909"/>
    </row>
    <row r="9" spans="1:12" ht="12" customHeight="1">
      <c r="A9" s="863"/>
      <c r="B9" s="863">
        <v>9</v>
      </c>
      <c r="C9" s="870" t="s">
        <v>2725</v>
      </c>
      <c r="D9" s="869">
        <f t="shared" ref="D9:I9" si="0">SUM(D5:D8)</f>
        <v>0</v>
      </c>
      <c r="E9" s="903">
        <f t="shared" si="0"/>
        <v>0</v>
      </c>
      <c r="F9" s="903">
        <f t="shared" si="0"/>
        <v>0</v>
      </c>
      <c r="G9" s="869">
        <f t="shared" si="0"/>
        <v>0</v>
      </c>
      <c r="H9" s="903">
        <f t="shared" si="0"/>
        <v>0</v>
      </c>
      <c r="I9" s="903">
        <f t="shared" si="0"/>
        <v>0</v>
      </c>
      <c r="J9" s="150"/>
      <c r="K9" s="910"/>
      <c r="L9" s="911"/>
    </row>
    <row r="10" spans="1:12" ht="12" customHeight="1">
      <c r="A10" s="863"/>
      <c r="B10" s="863">
        <v>10</v>
      </c>
      <c r="C10" s="150"/>
      <c r="D10" s="150"/>
      <c r="E10" s="150"/>
      <c r="F10" s="150"/>
      <c r="G10" s="150"/>
      <c r="H10" s="150"/>
      <c r="I10" s="150"/>
      <c r="J10" s="150"/>
      <c r="K10" s="912"/>
      <c r="L10" s="139"/>
    </row>
    <row r="11" spans="1:12" ht="12" customHeight="1">
      <c r="A11" s="863"/>
      <c r="B11" s="863">
        <v>11</v>
      </c>
      <c r="C11" s="870"/>
      <c r="D11" s="870" t="s">
        <v>2711</v>
      </c>
      <c r="E11" s="870" t="s">
        <v>2710</v>
      </c>
      <c r="F11" s="150"/>
      <c r="G11" s="870"/>
      <c r="H11" s="870" t="s">
        <v>2711</v>
      </c>
      <c r="I11" s="870" t="s">
        <v>2710</v>
      </c>
      <c r="J11" s="150"/>
      <c r="K11" s="150"/>
      <c r="L11" s="150"/>
    </row>
    <row r="12" spans="1:12" ht="12" customHeight="1">
      <c r="A12" s="863"/>
      <c r="B12" s="863">
        <v>12</v>
      </c>
      <c r="C12" s="870" t="s">
        <v>2665</v>
      </c>
      <c r="D12" s="869">
        <f>审定资产负债表!C13</f>
        <v>0</v>
      </c>
      <c r="E12" s="869">
        <f>审定资产负债表!D13</f>
        <v>0</v>
      </c>
      <c r="F12" s="150"/>
      <c r="G12" s="913" t="s">
        <v>2712</v>
      </c>
      <c r="H12" s="869">
        <f>IF(D9&lt;&gt;0,100-E9,0)</f>
        <v>0</v>
      </c>
      <c r="I12" s="869">
        <f>IF(G9&lt;&gt;0,100-H9,0)</f>
        <v>0</v>
      </c>
      <c r="J12" s="150"/>
      <c r="K12" s="150"/>
      <c r="L12" s="150"/>
    </row>
    <row r="13" spans="1:12" ht="12" customHeight="1">
      <c r="A13" s="863"/>
      <c r="B13" s="863">
        <v>13</v>
      </c>
      <c r="C13" s="870" t="s">
        <v>2666</v>
      </c>
      <c r="D13" s="869">
        <f>D9-F9-D12</f>
        <v>0</v>
      </c>
      <c r="E13" s="869">
        <f>G9-I9-E12</f>
        <v>0</v>
      </c>
      <c r="F13" s="150"/>
      <c r="G13" s="138"/>
      <c r="H13" s="150"/>
      <c r="I13" s="150"/>
      <c r="J13" s="150"/>
      <c r="K13" s="150"/>
      <c r="L13" s="150"/>
    </row>
    <row r="14" spans="1:12" ht="12" customHeight="1">
      <c r="A14" s="863"/>
      <c r="B14" s="863">
        <v>14</v>
      </c>
      <c r="C14" s="150"/>
      <c r="D14" s="150"/>
      <c r="E14" s="150"/>
      <c r="F14" s="150"/>
      <c r="G14" s="150"/>
      <c r="H14" s="150"/>
      <c r="I14" s="150"/>
      <c r="J14" s="150"/>
      <c r="K14" s="150"/>
      <c r="L14" s="150"/>
    </row>
    <row r="15" spans="1:12" ht="12" customHeight="1">
      <c r="A15" s="863"/>
      <c r="B15" s="863">
        <v>15</v>
      </c>
      <c r="C15" s="150"/>
      <c r="D15" s="150"/>
      <c r="E15" s="150"/>
      <c r="F15" s="150"/>
      <c r="G15" s="150"/>
      <c r="H15" s="150"/>
      <c r="I15" s="150"/>
      <c r="J15" s="150"/>
      <c r="K15" s="150"/>
      <c r="L15" s="150"/>
    </row>
    <row r="16" spans="1:12" ht="12" customHeight="1">
      <c r="A16" s="860" t="s">
        <v>2260</v>
      </c>
      <c r="B16" s="863">
        <v>16</v>
      </c>
      <c r="C16" s="136" t="s">
        <v>2726</v>
      </c>
      <c r="D16" s="150"/>
      <c r="E16" s="150"/>
      <c r="F16" s="150"/>
      <c r="G16" s="150"/>
      <c r="H16" s="150"/>
      <c r="I16" s="150"/>
      <c r="J16" s="150"/>
      <c r="K16" s="150"/>
      <c r="L16" s="150"/>
    </row>
    <row r="17" spans="1:12" ht="12" customHeight="1">
      <c r="A17" s="863"/>
      <c r="B17" s="863">
        <v>17</v>
      </c>
      <c r="C17" s="870" t="s">
        <v>2713</v>
      </c>
      <c r="D17" s="870" t="s">
        <v>2714</v>
      </c>
      <c r="E17" s="870" t="s">
        <v>276</v>
      </c>
      <c r="F17" s="870" t="s">
        <v>2715</v>
      </c>
      <c r="G17" s="870" t="s">
        <v>2716</v>
      </c>
      <c r="H17" s="150"/>
      <c r="I17" s="150"/>
      <c r="J17" s="150"/>
      <c r="K17" s="150"/>
      <c r="L17" s="150"/>
    </row>
    <row r="18" spans="1:12" ht="12" customHeight="1">
      <c r="A18" s="863">
        <v>1</v>
      </c>
      <c r="B18" s="863">
        <v>18</v>
      </c>
      <c r="C18" s="870"/>
      <c r="D18" s="870"/>
      <c r="E18" s="870"/>
      <c r="F18" s="870"/>
      <c r="G18" s="870"/>
      <c r="H18" s="150"/>
      <c r="I18" s="150"/>
      <c r="J18" s="150"/>
      <c r="K18" s="150"/>
      <c r="L18" s="150"/>
    </row>
    <row r="19" spans="1:12" ht="12" customHeight="1">
      <c r="A19" s="863">
        <v>2</v>
      </c>
      <c r="B19" s="863">
        <v>19</v>
      </c>
      <c r="C19" s="870"/>
      <c r="D19" s="870"/>
      <c r="E19" s="870"/>
      <c r="F19" s="870"/>
      <c r="G19" s="870"/>
      <c r="H19" s="150"/>
      <c r="I19" s="150"/>
      <c r="J19" s="150"/>
      <c r="K19" s="150"/>
      <c r="L19" s="150"/>
    </row>
    <row r="20" spans="1:12" ht="12" customHeight="1">
      <c r="A20" s="863">
        <v>3</v>
      </c>
      <c r="B20" s="863">
        <v>20</v>
      </c>
      <c r="C20" s="870"/>
      <c r="D20" s="870"/>
      <c r="E20" s="870"/>
      <c r="F20" s="870"/>
      <c r="G20" s="870"/>
      <c r="H20" s="150"/>
      <c r="I20" s="150"/>
      <c r="J20" s="150"/>
      <c r="K20" s="150"/>
      <c r="L20" s="150"/>
    </row>
    <row r="21" spans="1:12" ht="12" customHeight="1">
      <c r="A21" s="863">
        <v>4</v>
      </c>
      <c r="B21" s="863">
        <v>21</v>
      </c>
      <c r="C21" s="868"/>
      <c r="D21" s="868"/>
      <c r="E21" s="866"/>
      <c r="F21" s="868"/>
      <c r="G21" s="868"/>
      <c r="H21" s="150"/>
      <c r="I21" s="150"/>
      <c r="J21" s="150"/>
      <c r="K21" s="150"/>
      <c r="L21" s="150"/>
    </row>
    <row r="22" spans="1:12" ht="12" customHeight="1">
      <c r="A22" s="863">
        <v>5</v>
      </c>
      <c r="B22" s="863">
        <v>22</v>
      </c>
      <c r="C22" s="868"/>
      <c r="D22" s="868"/>
      <c r="E22" s="866"/>
      <c r="F22" s="868"/>
      <c r="G22" s="868"/>
      <c r="H22" s="150"/>
      <c r="I22" s="150"/>
      <c r="J22" s="150"/>
      <c r="K22" s="150"/>
      <c r="L22" s="150"/>
    </row>
    <row r="23" spans="1:12" ht="12" customHeight="1">
      <c r="A23" s="863">
        <v>6</v>
      </c>
      <c r="B23" s="863">
        <v>23</v>
      </c>
      <c r="C23" s="868"/>
      <c r="D23" s="868"/>
      <c r="E23" s="866"/>
      <c r="F23" s="868"/>
      <c r="G23" s="868"/>
      <c r="H23" s="150"/>
      <c r="I23" s="150"/>
      <c r="J23" s="150"/>
      <c r="K23" s="150"/>
      <c r="L23" s="150"/>
    </row>
    <row r="24" spans="1:12" ht="12" customHeight="1">
      <c r="A24" s="863">
        <v>7</v>
      </c>
      <c r="B24" s="863">
        <v>24</v>
      </c>
      <c r="C24" s="868"/>
      <c r="D24" s="868"/>
      <c r="E24" s="866"/>
      <c r="F24" s="868"/>
      <c r="G24" s="868"/>
      <c r="H24" s="150"/>
      <c r="I24" s="150"/>
      <c r="J24" s="150"/>
      <c r="K24" s="150"/>
      <c r="L24" s="150"/>
    </row>
    <row r="25" spans="1:12" ht="12" customHeight="1">
      <c r="A25" s="863">
        <v>8</v>
      </c>
      <c r="B25" s="863">
        <v>25</v>
      </c>
      <c r="C25" s="868"/>
      <c r="D25" s="868"/>
      <c r="E25" s="866"/>
      <c r="F25" s="868"/>
      <c r="G25" s="868"/>
      <c r="H25" s="150"/>
      <c r="I25" s="150"/>
      <c r="J25" s="150"/>
      <c r="K25" s="150"/>
      <c r="L25" s="150"/>
    </row>
    <row r="26" spans="1:12" ht="12" customHeight="1">
      <c r="A26" s="863">
        <v>9</v>
      </c>
      <c r="B26" s="863">
        <v>26</v>
      </c>
      <c r="C26" s="868"/>
      <c r="D26" s="868"/>
      <c r="E26" s="866"/>
      <c r="F26" s="868"/>
      <c r="G26" s="868"/>
      <c r="H26" s="150"/>
      <c r="I26" s="150"/>
      <c r="J26" s="150"/>
      <c r="K26" s="150"/>
      <c r="L26" s="150"/>
    </row>
    <row r="27" spans="1:12" ht="12" customHeight="1">
      <c r="A27" s="863">
        <v>10</v>
      </c>
      <c r="B27" s="863">
        <v>27</v>
      </c>
      <c r="C27" s="868"/>
      <c r="D27" s="868"/>
      <c r="E27" s="866"/>
      <c r="F27" s="868"/>
      <c r="G27" s="868"/>
      <c r="H27" s="150"/>
      <c r="I27" s="150"/>
      <c r="J27" s="150"/>
      <c r="K27" s="150"/>
      <c r="L27" s="150"/>
    </row>
    <row r="28" spans="1:12" ht="12" customHeight="1">
      <c r="A28" s="863">
        <v>11</v>
      </c>
      <c r="B28" s="863">
        <v>28</v>
      </c>
      <c r="C28" s="868"/>
      <c r="D28" s="868"/>
      <c r="E28" s="866"/>
      <c r="F28" s="868"/>
      <c r="G28" s="868"/>
      <c r="H28" s="150"/>
      <c r="I28" s="150"/>
      <c r="J28" s="150"/>
      <c r="K28" s="150"/>
      <c r="L28" s="150"/>
    </row>
    <row r="29" spans="1:12" ht="12" customHeight="1">
      <c r="A29" s="863">
        <v>12</v>
      </c>
      <c r="B29" s="863">
        <v>29</v>
      </c>
      <c r="C29" s="868"/>
      <c r="D29" s="868"/>
      <c r="E29" s="866"/>
      <c r="F29" s="868"/>
      <c r="G29" s="868"/>
      <c r="H29" s="150"/>
      <c r="I29" s="150"/>
      <c r="J29" s="150"/>
      <c r="K29" s="150"/>
      <c r="L29" s="150"/>
    </row>
    <row r="30" spans="1:12" ht="12" customHeight="1">
      <c r="A30" s="863">
        <v>13</v>
      </c>
      <c r="B30" s="863">
        <v>30</v>
      </c>
      <c r="C30" s="868"/>
      <c r="D30" s="868"/>
      <c r="E30" s="866"/>
      <c r="F30" s="868"/>
      <c r="G30" s="868"/>
      <c r="H30" s="150"/>
      <c r="I30" s="150"/>
      <c r="J30" s="150"/>
      <c r="K30" s="150"/>
      <c r="L30" s="150"/>
    </row>
    <row r="31" spans="1:12" ht="12" customHeight="1">
      <c r="A31" s="863">
        <v>14</v>
      </c>
      <c r="B31" s="863">
        <v>31</v>
      </c>
      <c r="C31" s="868"/>
      <c r="D31" s="868"/>
      <c r="E31" s="866"/>
      <c r="F31" s="868"/>
      <c r="G31" s="868"/>
      <c r="H31" s="150"/>
      <c r="I31" s="150"/>
      <c r="J31" s="150"/>
      <c r="K31" s="150"/>
      <c r="L31" s="150"/>
    </row>
    <row r="32" spans="1:12" ht="12" customHeight="1">
      <c r="A32" s="863">
        <v>15</v>
      </c>
      <c r="B32" s="863">
        <v>32</v>
      </c>
      <c r="C32" s="868"/>
      <c r="D32" s="868"/>
      <c r="E32" s="866"/>
      <c r="F32" s="868"/>
      <c r="G32" s="868"/>
      <c r="H32" s="150"/>
      <c r="I32" s="150"/>
      <c r="J32" s="150"/>
      <c r="K32" s="150"/>
      <c r="L32" s="150"/>
    </row>
    <row r="33" spans="1:12" ht="12" customHeight="1">
      <c r="A33" s="863"/>
      <c r="B33" s="863">
        <v>33</v>
      </c>
      <c r="C33" s="1829" t="s">
        <v>2717</v>
      </c>
      <c r="D33" s="1830"/>
      <c r="E33" s="869">
        <f>SUM(E18:E32)</f>
        <v>0</v>
      </c>
      <c r="F33" s="868"/>
      <c r="G33" s="868"/>
      <c r="H33" s="150"/>
      <c r="I33" s="150"/>
      <c r="J33" s="150"/>
      <c r="K33" s="150"/>
      <c r="L33" s="150"/>
    </row>
    <row r="34" spans="1:12" ht="12" customHeight="1">
      <c r="A34" s="863"/>
      <c r="B34" s="863">
        <v>34</v>
      </c>
      <c r="C34" s="150"/>
      <c r="D34" s="150"/>
      <c r="E34" s="150"/>
      <c r="F34" s="150"/>
      <c r="G34" s="150"/>
      <c r="H34" s="150"/>
      <c r="I34" s="150"/>
      <c r="J34" s="150"/>
      <c r="K34" s="150"/>
      <c r="L34" s="150"/>
    </row>
    <row r="35" spans="1:12" ht="12" customHeight="1">
      <c r="A35" s="863"/>
      <c r="B35" s="863">
        <v>35</v>
      </c>
      <c r="C35" s="904" t="s">
        <v>2728</v>
      </c>
      <c r="D35" s="904"/>
      <c r="E35" s="869">
        <f>SUM(D6:D8)</f>
        <v>0</v>
      </c>
      <c r="F35" s="150"/>
      <c r="G35" s="150"/>
      <c r="H35" s="150"/>
      <c r="I35" s="150"/>
      <c r="J35" s="150"/>
      <c r="K35" s="150"/>
      <c r="L35" s="150"/>
    </row>
    <row r="36" spans="1:12" ht="12" customHeight="1">
      <c r="A36" s="863"/>
      <c r="B36" s="863">
        <v>36</v>
      </c>
      <c r="C36" s="904" t="s">
        <v>2727</v>
      </c>
      <c r="D36" s="904"/>
      <c r="E36" s="869" t="str">
        <f>IF(E35&lt;&gt;0,E33/E35*100,"")</f>
        <v/>
      </c>
      <c r="F36" s="150"/>
      <c r="G36" s="150"/>
      <c r="H36" s="150"/>
      <c r="I36" s="150"/>
      <c r="J36" s="150"/>
      <c r="K36" s="150"/>
      <c r="L36" s="150"/>
    </row>
    <row r="37" spans="1:12" ht="12" customHeight="1">
      <c r="A37" s="863"/>
      <c r="B37" s="863">
        <v>37</v>
      </c>
      <c r="C37" s="150"/>
      <c r="D37" s="150"/>
      <c r="E37" s="150"/>
      <c r="F37" s="150"/>
      <c r="G37" s="150"/>
      <c r="H37" s="150"/>
      <c r="I37" s="150"/>
      <c r="J37" s="150"/>
      <c r="K37" s="150"/>
      <c r="L37" s="150"/>
    </row>
    <row r="38" spans="1:12" ht="12" customHeight="1">
      <c r="A38" s="860" t="s">
        <v>2260</v>
      </c>
      <c r="B38" s="863">
        <v>38</v>
      </c>
      <c r="C38" s="136" t="s">
        <v>4535</v>
      </c>
      <c r="D38" s="150"/>
      <c r="E38" s="150"/>
      <c r="F38" s="150"/>
      <c r="G38" s="150"/>
      <c r="H38" s="150"/>
      <c r="I38" s="150"/>
      <c r="J38" s="150"/>
      <c r="K38" s="150"/>
      <c r="L38" s="150"/>
    </row>
    <row r="39" spans="1:12" ht="24.75">
      <c r="A39" s="863"/>
      <c r="B39" s="863">
        <v>39</v>
      </c>
      <c r="C39" s="1331" t="s">
        <v>4529</v>
      </c>
      <c r="D39" s="1330" t="s">
        <v>4530</v>
      </c>
      <c r="E39" s="1330" t="s">
        <v>4536</v>
      </c>
      <c r="F39" s="1330" t="s">
        <v>4527</v>
      </c>
      <c r="G39" s="150"/>
      <c r="H39" s="150"/>
      <c r="I39" s="150"/>
      <c r="J39" s="150"/>
      <c r="K39" s="150"/>
      <c r="L39" s="150"/>
    </row>
    <row r="40" spans="1:12" ht="12" customHeight="1">
      <c r="C40" s="871"/>
      <c r="D40" s="1332"/>
      <c r="E40" s="1332"/>
      <c r="F40" s="1332"/>
    </row>
    <row r="41" spans="1:12" ht="12" customHeight="1">
      <c r="C41" s="871"/>
      <c r="D41" s="1332"/>
      <c r="E41" s="1332"/>
      <c r="F41" s="1332"/>
    </row>
    <row r="42" spans="1:12" ht="12" customHeight="1">
      <c r="C42" s="871"/>
      <c r="D42" s="1332"/>
      <c r="E42" s="1332"/>
      <c r="F42" s="1332"/>
    </row>
    <row r="43" spans="1:12" ht="12" customHeight="1">
      <c r="C43" s="871"/>
      <c r="D43" s="1332"/>
      <c r="E43" s="1332"/>
      <c r="F43" s="1332"/>
    </row>
    <row r="44" spans="1:12" ht="12" customHeight="1">
      <c r="C44" s="871"/>
      <c r="D44" s="1332"/>
      <c r="E44" s="1332"/>
      <c r="F44" s="1332"/>
    </row>
    <row r="45" spans="1:12" ht="12" customHeight="1">
      <c r="C45" s="1331" t="s">
        <v>4532</v>
      </c>
      <c r="D45" s="1309">
        <f>SUM(D40:D44)</f>
        <v>0</v>
      </c>
      <c r="E45" s="1390">
        <f>SUM(E40:E44)</f>
        <v>0</v>
      </c>
      <c r="F45" s="1309">
        <f>SUM(F40:F44)</f>
        <v>0</v>
      </c>
    </row>
  </sheetData>
  <sheetProtection formatCells="0" formatColumns="0" formatRows="0" autoFilter="0"/>
  <mergeCells count="8">
    <mergeCell ref="C33:D33"/>
    <mergeCell ref="I3:I4"/>
    <mergeCell ref="G2:I2"/>
    <mergeCell ref="C2:C4"/>
    <mergeCell ref="D3:E3"/>
    <mergeCell ref="F3:F4"/>
    <mergeCell ref="D2:F2"/>
    <mergeCell ref="G3:H3"/>
  </mergeCells>
  <phoneticPr fontId="5" type="noConversion"/>
  <hyperlinks>
    <hyperlink ref="A1" location="附注填写封面!B3" display="返回目录" xr:uid="{00000000-0004-0000-1800-000000000000}"/>
    <hyperlink ref="A16" location="附注填写封面!B3" display="返回目录" xr:uid="{00000000-0004-0000-1800-000001000000}"/>
    <hyperlink ref="A38" location="附注填写封面!B3" display="返回目录" xr:uid="{00000000-0004-0000-1800-000002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68"/>
  <dimension ref="A1:G42"/>
  <sheetViews>
    <sheetView showGridLines="0" showZeros="0" workbookViewId="0">
      <pane xSplit="3" ySplit="2" topLeftCell="D3" activePane="bottomRight" state="frozen"/>
      <selection activeCell="A5" sqref="A5:A6"/>
      <selection pane="topRight" activeCell="A5" sqref="A5:A6"/>
      <selection pane="bottomLeft" activeCell="A5" sqref="A5:A6"/>
      <selection pane="bottomRight" activeCell="D33" sqref="D33"/>
    </sheetView>
  </sheetViews>
  <sheetFormatPr defaultColWidth="11.625" defaultRowHeight="12.75"/>
  <cols>
    <col min="1" max="1" width="6.625" style="344" customWidth="1"/>
    <col min="2" max="2" width="6" style="344" hidden="1" customWidth="1"/>
    <col min="3" max="3" width="35.875" style="344" customWidth="1"/>
    <col min="4" max="4" width="17.5" style="344" customWidth="1"/>
    <col min="5" max="5" width="17.375" style="344" customWidth="1"/>
    <col min="6" max="16384" width="11.625" style="344"/>
  </cols>
  <sheetData>
    <row r="1" spans="1:5" ht="27.2" customHeight="1">
      <c r="A1" s="764" t="s">
        <v>2260</v>
      </c>
      <c r="B1" s="765" t="s">
        <v>2731</v>
      </c>
      <c r="C1" s="759" t="s">
        <v>2590</v>
      </c>
    </row>
    <row r="2" spans="1:5">
      <c r="B2" s="162">
        <v>2</v>
      </c>
      <c r="C2" s="889" t="s">
        <v>890</v>
      </c>
      <c r="D2" s="881" t="s">
        <v>2729</v>
      </c>
      <c r="E2" s="889" t="s">
        <v>526</v>
      </c>
    </row>
    <row r="3" spans="1:5">
      <c r="A3" s="162">
        <v>1</v>
      </c>
      <c r="B3" s="162">
        <v>3</v>
      </c>
      <c r="C3" s="357" t="s">
        <v>4673</v>
      </c>
      <c r="D3" s="400"/>
      <c r="E3" s="400"/>
    </row>
    <row r="4" spans="1:5">
      <c r="A4" s="162">
        <v>2</v>
      </c>
      <c r="B4" s="162">
        <v>4</v>
      </c>
      <c r="C4" s="357" t="s">
        <v>4674</v>
      </c>
      <c r="D4" s="400"/>
      <c r="E4" s="400"/>
    </row>
    <row r="5" spans="1:5">
      <c r="A5" s="162">
        <v>3</v>
      </c>
      <c r="B5" s="162">
        <v>5</v>
      </c>
      <c r="C5" s="357" t="s">
        <v>4676</v>
      </c>
      <c r="D5" s="400"/>
      <c r="E5" s="400"/>
    </row>
    <row r="6" spans="1:5">
      <c r="A6" s="162">
        <v>4</v>
      </c>
      <c r="B6" s="162">
        <v>6</v>
      </c>
      <c r="C6" s="357" t="s">
        <v>4474</v>
      </c>
      <c r="D6" s="400"/>
      <c r="E6" s="400"/>
    </row>
    <row r="7" spans="1:5">
      <c r="A7" s="162">
        <v>5</v>
      </c>
      <c r="B7" s="162">
        <v>7</v>
      </c>
      <c r="C7" s="889"/>
      <c r="D7" s="400"/>
      <c r="E7" s="400"/>
    </row>
    <row r="8" spans="1:5">
      <c r="A8" s="162">
        <v>6</v>
      </c>
      <c r="B8" s="162">
        <v>8</v>
      </c>
      <c r="C8" s="889"/>
      <c r="D8" s="400"/>
      <c r="E8" s="400"/>
    </row>
    <row r="9" spans="1:5">
      <c r="A9" s="162">
        <v>7</v>
      </c>
      <c r="B9" s="162">
        <v>9</v>
      </c>
      <c r="C9" s="889"/>
      <c r="D9" s="400"/>
      <c r="E9" s="400"/>
    </row>
    <row r="10" spans="1:5">
      <c r="A10" s="162">
        <v>8</v>
      </c>
      <c r="B10" s="162">
        <v>10</v>
      </c>
      <c r="C10" s="889"/>
      <c r="D10" s="400"/>
      <c r="E10" s="400"/>
    </row>
    <row r="11" spans="1:5">
      <c r="A11" s="162">
        <v>9</v>
      </c>
      <c r="B11" s="162">
        <v>11</v>
      </c>
      <c r="C11" s="889"/>
      <c r="D11" s="400"/>
      <c r="E11" s="400"/>
    </row>
    <row r="12" spans="1:5">
      <c r="A12" s="162">
        <v>10</v>
      </c>
      <c r="B12" s="162">
        <v>12</v>
      </c>
      <c r="C12" s="889"/>
      <c r="D12" s="400"/>
      <c r="E12" s="400"/>
    </row>
    <row r="13" spans="1:5">
      <c r="A13" s="162">
        <v>11</v>
      </c>
      <c r="B13" s="162">
        <v>13</v>
      </c>
      <c r="C13" s="889"/>
      <c r="D13" s="400"/>
      <c r="E13" s="400"/>
    </row>
    <row r="14" spans="1:5">
      <c r="A14" s="162">
        <v>12</v>
      </c>
      <c r="B14" s="162">
        <v>14</v>
      </c>
      <c r="C14" s="889"/>
      <c r="D14" s="400"/>
      <c r="E14" s="400"/>
    </row>
    <row r="15" spans="1:5">
      <c r="A15" s="162">
        <v>13</v>
      </c>
      <c r="B15" s="162">
        <v>15</v>
      </c>
      <c r="C15" s="357"/>
      <c r="D15" s="400"/>
      <c r="E15" s="400"/>
    </row>
    <row r="16" spans="1:5">
      <c r="A16" s="162">
        <v>14</v>
      </c>
      <c r="B16" s="162">
        <v>16</v>
      </c>
      <c r="C16" s="357"/>
      <c r="D16" s="400"/>
      <c r="E16" s="400"/>
    </row>
    <row r="17" spans="1:7">
      <c r="A17" s="162">
        <v>15</v>
      </c>
      <c r="B17" s="162">
        <v>17</v>
      </c>
      <c r="C17" s="357"/>
      <c r="D17" s="400"/>
      <c r="E17" s="400"/>
    </row>
    <row r="18" spans="1:7">
      <c r="A18" s="162">
        <v>16</v>
      </c>
      <c r="B18" s="162">
        <v>18</v>
      </c>
      <c r="C18" s="357"/>
      <c r="D18" s="400"/>
      <c r="E18" s="400"/>
    </row>
    <row r="19" spans="1:7">
      <c r="A19" s="162">
        <v>17</v>
      </c>
      <c r="B19" s="162">
        <v>19</v>
      </c>
      <c r="C19" s="889"/>
      <c r="D19" s="400"/>
      <c r="E19" s="400"/>
    </row>
    <row r="20" spans="1:7">
      <c r="B20" s="162">
        <v>20</v>
      </c>
      <c r="C20" s="889" t="s">
        <v>823</v>
      </c>
      <c r="D20" s="406">
        <f>SUM(D3:D19)</f>
        <v>0</v>
      </c>
      <c r="E20" s="406">
        <f>SUM(E3:E19)</f>
        <v>0</v>
      </c>
    </row>
    <row r="21" spans="1:7">
      <c r="B21" s="162">
        <v>21</v>
      </c>
    </row>
    <row r="22" spans="1:7">
      <c r="B22" s="162">
        <v>22</v>
      </c>
      <c r="C22" s="881"/>
      <c r="D22" s="881" t="s">
        <v>2591</v>
      </c>
      <c r="E22" s="881" t="s">
        <v>2592</v>
      </c>
    </row>
    <row r="23" spans="1:7" ht="24">
      <c r="A23" s="764" t="s">
        <v>2260</v>
      </c>
      <c r="B23" s="162">
        <v>23</v>
      </c>
      <c r="C23" s="881" t="s">
        <v>1319</v>
      </c>
      <c r="D23" s="406">
        <f>审定资产负债表!C17</f>
        <v>0</v>
      </c>
      <c r="E23" s="406">
        <f>审定资产负债表!D17</f>
        <v>0</v>
      </c>
    </row>
    <row r="24" spans="1:7">
      <c r="B24" s="162">
        <v>24</v>
      </c>
      <c r="C24" s="881" t="s">
        <v>1320</v>
      </c>
      <c r="D24" s="406">
        <f>D20-D23</f>
        <v>0</v>
      </c>
      <c r="E24" s="406">
        <f>E20-E23</f>
        <v>0</v>
      </c>
    </row>
    <row r="25" spans="1:7">
      <c r="B25" s="162"/>
    </row>
    <row r="26" spans="1:7">
      <c r="B26" s="162"/>
      <c r="C26" s="781" t="s">
        <v>2593</v>
      </c>
    </row>
    <row r="27" spans="1:7" ht="24">
      <c r="B27" s="162"/>
      <c r="C27" s="890" t="s">
        <v>2587</v>
      </c>
      <c r="D27" s="890" t="s">
        <v>527</v>
      </c>
      <c r="E27" s="1327" t="s">
        <v>4783</v>
      </c>
      <c r="F27" s="890" t="s">
        <v>2588</v>
      </c>
      <c r="G27" s="891" t="s">
        <v>2589</v>
      </c>
    </row>
    <row r="28" spans="1:7">
      <c r="B28" s="162"/>
      <c r="C28" s="815"/>
      <c r="D28" s="815"/>
      <c r="E28" s="795"/>
      <c r="F28" s="816"/>
      <c r="G28" s="794"/>
    </row>
    <row r="29" spans="1:7">
      <c r="B29" s="162"/>
      <c r="C29" s="815"/>
      <c r="D29" s="815"/>
      <c r="E29" s="795"/>
      <c r="F29" s="816"/>
      <c r="G29" s="794"/>
    </row>
    <row r="30" spans="1:7">
      <c r="B30" s="162"/>
      <c r="C30" s="815"/>
      <c r="D30" s="815"/>
      <c r="E30" s="795"/>
      <c r="F30" s="816"/>
      <c r="G30" s="794"/>
    </row>
    <row r="31" spans="1:7">
      <c r="B31" s="162"/>
      <c r="C31" s="815"/>
      <c r="D31" s="815"/>
      <c r="E31" s="795"/>
      <c r="F31" s="816"/>
      <c r="G31" s="794"/>
    </row>
    <row r="32" spans="1:7">
      <c r="B32" s="162"/>
      <c r="C32" s="815"/>
      <c r="D32" s="815"/>
      <c r="E32" s="795"/>
      <c r="F32" s="816"/>
      <c r="G32" s="794"/>
    </row>
    <row r="33" spans="2:7">
      <c r="B33" s="162"/>
      <c r="C33" s="890" t="s">
        <v>823</v>
      </c>
      <c r="D33" s="406">
        <f>SUM(D28:D32)</f>
        <v>0</v>
      </c>
      <c r="E33" s="891" t="s">
        <v>217</v>
      </c>
      <c r="F33" s="890" t="s">
        <v>217</v>
      </c>
      <c r="G33" s="891" t="s">
        <v>217</v>
      </c>
    </row>
    <row r="34" spans="2:7">
      <c r="B34" s="162"/>
    </row>
    <row r="35" spans="2:7">
      <c r="B35" s="162"/>
    </row>
    <row r="36" spans="2:7">
      <c r="B36" s="162"/>
    </row>
    <row r="37" spans="2:7">
      <c r="B37" s="162"/>
    </row>
    <row r="38" spans="2:7">
      <c r="B38" s="162"/>
    </row>
    <row r="39" spans="2:7">
      <c r="B39" s="162"/>
    </row>
    <row r="40" spans="2:7">
      <c r="B40" s="162"/>
    </row>
    <row r="41" spans="2:7">
      <c r="B41" s="162"/>
    </row>
    <row r="42" spans="2:7">
      <c r="B42" s="162"/>
    </row>
  </sheetData>
  <sheetProtection formatCells="0" formatColumns="0" formatRows="0" autoFilter="0"/>
  <phoneticPr fontId="5" type="noConversion"/>
  <hyperlinks>
    <hyperlink ref="A1" location="附注填写封面!B3" display="返回目录" xr:uid="{00000000-0004-0000-1900-000000000000}"/>
    <hyperlink ref="A23" location="附注填写封面!B3" display="返回目录" xr:uid="{00000000-0004-0000-19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69"/>
  <dimension ref="A1:I39"/>
  <sheetViews>
    <sheetView showGridLines="0" showZeros="0" workbookViewId="0">
      <pane xSplit="3" ySplit="2" topLeftCell="D3" activePane="bottomRight" state="frozen"/>
      <selection activeCell="A5" sqref="A5:A6"/>
      <selection pane="topRight" activeCell="A5" sqref="A5:A6"/>
      <selection pane="bottomLeft" activeCell="A5" sqref="A5:A6"/>
      <selection pane="bottomRight" activeCell="D3" sqref="D3"/>
    </sheetView>
  </sheetViews>
  <sheetFormatPr defaultColWidth="11.625" defaultRowHeight="12.75"/>
  <cols>
    <col min="1" max="1" width="8.375" style="162" customWidth="1"/>
    <col min="2" max="2" width="6" style="344" hidden="1" customWidth="1"/>
    <col min="3" max="3" width="35.875" style="344" customWidth="1"/>
    <col min="4" max="8" width="11.625" style="344"/>
    <col min="9" max="9" width="14.875" style="344" customWidth="1"/>
    <col min="10" max="16384" width="11.625" style="344"/>
  </cols>
  <sheetData>
    <row r="1" spans="1:9">
      <c r="A1" s="860" t="s">
        <v>2260</v>
      </c>
      <c r="B1" s="765" t="s">
        <v>1446</v>
      </c>
      <c r="C1" s="759" t="s">
        <v>2739</v>
      </c>
    </row>
    <row r="2" spans="1:9" ht="24">
      <c r="B2" s="162">
        <v>2</v>
      </c>
      <c r="C2" s="889" t="s">
        <v>366</v>
      </c>
      <c r="D2" s="889" t="s">
        <v>526</v>
      </c>
      <c r="E2" s="889" t="s">
        <v>2740</v>
      </c>
      <c r="F2" s="889" t="s">
        <v>2741</v>
      </c>
      <c r="G2" s="889" t="s">
        <v>527</v>
      </c>
      <c r="H2" s="889" t="s">
        <v>2742</v>
      </c>
      <c r="I2" s="357" t="s">
        <v>4677</v>
      </c>
    </row>
    <row r="3" spans="1:9">
      <c r="B3" s="162">
        <v>3</v>
      </c>
      <c r="C3" s="916" t="s">
        <v>2743</v>
      </c>
      <c r="D3" s="406">
        <f>SUM(D4:D13)</f>
        <v>0</v>
      </c>
      <c r="E3" s="406">
        <f>SUM(E4:E13)</f>
        <v>0</v>
      </c>
      <c r="F3" s="406">
        <f>SUM(F4:F13)</f>
        <v>0</v>
      </c>
      <c r="G3" s="406">
        <f>D3+E3-F3</f>
        <v>0</v>
      </c>
      <c r="H3" s="400"/>
      <c r="I3" s="400"/>
    </row>
    <row r="4" spans="1:9">
      <c r="A4" s="162">
        <v>1</v>
      </c>
      <c r="B4" s="162">
        <v>4</v>
      </c>
      <c r="C4" s="820" t="s">
        <v>2744</v>
      </c>
      <c r="D4" s="400"/>
      <c r="E4" s="400"/>
      <c r="F4" s="400"/>
      <c r="G4" s="406">
        <f t="shared" ref="G4:G25" si="0">D4+E4-F4</f>
        <v>0</v>
      </c>
      <c r="H4" s="400"/>
      <c r="I4" s="400"/>
    </row>
    <row r="5" spans="1:9">
      <c r="A5" s="162">
        <v>2</v>
      </c>
      <c r="B5" s="162">
        <v>5</v>
      </c>
      <c r="C5" s="917" t="s">
        <v>334</v>
      </c>
      <c r="D5" s="400"/>
      <c r="E5" s="400"/>
      <c r="F5" s="400"/>
      <c r="G5" s="406">
        <f t="shared" si="0"/>
        <v>0</v>
      </c>
      <c r="H5" s="400"/>
      <c r="I5" s="400"/>
    </row>
    <row r="6" spans="1:9">
      <c r="A6" s="162">
        <v>3</v>
      </c>
      <c r="B6" s="162">
        <v>6</v>
      </c>
      <c r="C6" s="917" t="s">
        <v>335</v>
      </c>
      <c r="D6" s="400"/>
      <c r="E6" s="400"/>
      <c r="F6" s="400"/>
      <c r="G6" s="406">
        <f t="shared" si="0"/>
        <v>0</v>
      </c>
      <c r="H6" s="400"/>
      <c r="I6" s="400"/>
    </row>
    <row r="7" spans="1:9">
      <c r="A7" s="162">
        <v>4</v>
      </c>
      <c r="B7" s="162">
        <v>7</v>
      </c>
      <c r="C7" s="917" t="s">
        <v>336</v>
      </c>
      <c r="D7" s="400"/>
      <c r="E7" s="400"/>
      <c r="F7" s="400"/>
      <c r="G7" s="406">
        <f t="shared" si="0"/>
        <v>0</v>
      </c>
      <c r="H7" s="400"/>
      <c r="I7" s="400"/>
    </row>
    <row r="8" spans="1:9">
      <c r="A8" s="162">
        <v>5</v>
      </c>
      <c r="B8" s="162">
        <v>8</v>
      </c>
      <c r="C8" s="918" t="s">
        <v>337</v>
      </c>
      <c r="D8" s="400"/>
      <c r="E8" s="400"/>
      <c r="F8" s="400"/>
      <c r="G8" s="406">
        <f t="shared" si="0"/>
        <v>0</v>
      </c>
      <c r="H8" s="400"/>
      <c r="I8" s="400"/>
    </row>
    <row r="9" spans="1:9">
      <c r="A9" s="162">
        <v>6</v>
      </c>
      <c r="B9" s="162">
        <v>9</v>
      </c>
      <c r="C9" s="820"/>
      <c r="D9" s="400"/>
      <c r="E9" s="400"/>
      <c r="F9" s="400"/>
      <c r="G9" s="406">
        <f t="shared" si="0"/>
        <v>0</v>
      </c>
      <c r="H9" s="400"/>
      <c r="I9" s="400"/>
    </row>
    <row r="10" spans="1:9">
      <c r="A10" s="162">
        <v>7</v>
      </c>
      <c r="B10" s="162">
        <v>10</v>
      </c>
      <c r="C10" s="820"/>
      <c r="D10" s="400"/>
      <c r="E10" s="400"/>
      <c r="F10" s="400"/>
      <c r="G10" s="406">
        <f t="shared" si="0"/>
        <v>0</v>
      </c>
      <c r="H10" s="400"/>
      <c r="I10" s="400"/>
    </row>
    <row r="11" spans="1:9">
      <c r="A11" s="162">
        <v>8</v>
      </c>
      <c r="B11" s="162">
        <v>11</v>
      </c>
      <c r="C11" s="820"/>
      <c r="D11" s="400"/>
      <c r="E11" s="400"/>
      <c r="F11" s="400"/>
      <c r="G11" s="406">
        <f t="shared" si="0"/>
        <v>0</v>
      </c>
      <c r="H11" s="400"/>
      <c r="I11" s="400"/>
    </row>
    <row r="12" spans="1:9">
      <c r="A12" s="162">
        <v>9</v>
      </c>
      <c r="B12" s="162">
        <v>12</v>
      </c>
      <c r="C12" s="820"/>
      <c r="D12" s="400"/>
      <c r="E12" s="400"/>
      <c r="F12" s="400"/>
      <c r="G12" s="406">
        <f t="shared" si="0"/>
        <v>0</v>
      </c>
      <c r="H12" s="400"/>
      <c r="I12" s="400"/>
    </row>
    <row r="13" spans="1:9">
      <c r="A13" s="162">
        <v>10</v>
      </c>
      <c r="B13" s="162">
        <v>13</v>
      </c>
      <c r="C13" s="820"/>
      <c r="D13" s="400"/>
      <c r="E13" s="400"/>
      <c r="F13" s="400"/>
      <c r="G13" s="406">
        <f t="shared" si="0"/>
        <v>0</v>
      </c>
      <c r="H13" s="400"/>
      <c r="I13" s="400"/>
    </row>
    <row r="14" spans="1:9">
      <c r="A14" s="860" t="s">
        <v>2260</v>
      </c>
      <c r="B14" s="162">
        <v>14</v>
      </c>
      <c r="C14" s="916" t="s">
        <v>2745</v>
      </c>
      <c r="D14" s="406">
        <f>SUM(D15:D24)</f>
        <v>0</v>
      </c>
      <c r="E14" s="406">
        <f>SUM(E15:E24)</f>
        <v>0</v>
      </c>
      <c r="F14" s="406">
        <f>SUM(F15:F24)</f>
        <v>0</v>
      </c>
      <c r="G14" s="406">
        <f>D14+E14-F14</f>
        <v>0</v>
      </c>
      <c r="H14" s="400"/>
      <c r="I14" s="400"/>
    </row>
    <row r="15" spans="1:9">
      <c r="A15" s="162">
        <v>1</v>
      </c>
      <c r="B15" s="162">
        <v>15</v>
      </c>
      <c r="C15" s="820" t="s">
        <v>2746</v>
      </c>
      <c r="D15" s="400"/>
      <c r="E15" s="400"/>
      <c r="F15" s="400"/>
      <c r="G15" s="406">
        <f t="shared" si="0"/>
        <v>0</v>
      </c>
      <c r="H15" s="400"/>
      <c r="I15" s="400"/>
    </row>
    <row r="16" spans="1:9">
      <c r="A16" s="162">
        <v>2</v>
      </c>
      <c r="B16" s="162">
        <v>16</v>
      </c>
      <c r="C16" s="917" t="s">
        <v>334</v>
      </c>
      <c r="D16" s="400"/>
      <c r="E16" s="400"/>
      <c r="F16" s="400"/>
      <c r="G16" s="406">
        <f t="shared" si="0"/>
        <v>0</v>
      </c>
      <c r="H16" s="400"/>
      <c r="I16" s="400"/>
    </row>
    <row r="17" spans="1:9">
      <c r="A17" s="162">
        <v>3</v>
      </c>
      <c r="B17" s="162">
        <v>17</v>
      </c>
      <c r="C17" s="917" t="s">
        <v>335</v>
      </c>
      <c r="D17" s="400"/>
      <c r="E17" s="400"/>
      <c r="F17" s="400"/>
      <c r="G17" s="406">
        <f t="shared" si="0"/>
        <v>0</v>
      </c>
      <c r="H17" s="400"/>
      <c r="I17" s="400"/>
    </row>
    <row r="18" spans="1:9">
      <c r="A18" s="162">
        <v>4</v>
      </c>
      <c r="B18" s="162">
        <v>18</v>
      </c>
      <c r="C18" s="917" t="s">
        <v>336</v>
      </c>
      <c r="D18" s="400"/>
      <c r="E18" s="400"/>
      <c r="F18" s="400"/>
      <c r="G18" s="406">
        <f t="shared" si="0"/>
        <v>0</v>
      </c>
      <c r="H18" s="400"/>
      <c r="I18" s="400"/>
    </row>
    <row r="19" spans="1:9">
      <c r="A19" s="162">
        <v>5</v>
      </c>
      <c r="B19" s="162">
        <v>19</v>
      </c>
      <c r="C19" s="918" t="s">
        <v>337</v>
      </c>
      <c r="D19" s="400"/>
      <c r="E19" s="400"/>
      <c r="F19" s="400"/>
      <c r="G19" s="406">
        <f t="shared" si="0"/>
        <v>0</v>
      </c>
      <c r="H19" s="400"/>
      <c r="I19" s="400"/>
    </row>
    <row r="20" spans="1:9">
      <c r="A20" s="162">
        <v>6</v>
      </c>
      <c r="B20" s="162">
        <v>20</v>
      </c>
      <c r="C20" s="338"/>
      <c r="D20" s="400"/>
      <c r="E20" s="400"/>
      <c r="F20" s="400"/>
      <c r="G20" s="406">
        <f t="shared" si="0"/>
        <v>0</v>
      </c>
      <c r="H20" s="400"/>
      <c r="I20" s="400"/>
    </row>
    <row r="21" spans="1:9">
      <c r="A21" s="162">
        <v>7</v>
      </c>
      <c r="B21" s="162">
        <v>21</v>
      </c>
      <c r="C21" s="338"/>
      <c r="D21" s="400"/>
      <c r="E21" s="400"/>
      <c r="F21" s="400"/>
      <c r="G21" s="406">
        <f t="shared" si="0"/>
        <v>0</v>
      </c>
      <c r="H21" s="400"/>
      <c r="I21" s="400"/>
    </row>
    <row r="22" spans="1:9">
      <c r="A22" s="162">
        <v>8</v>
      </c>
      <c r="B22" s="162">
        <v>22</v>
      </c>
      <c r="C22" s="338"/>
      <c r="D22" s="400"/>
      <c r="E22" s="400"/>
      <c r="F22" s="400"/>
      <c r="G22" s="406">
        <f t="shared" si="0"/>
        <v>0</v>
      </c>
      <c r="H22" s="400"/>
      <c r="I22" s="400"/>
    </row>
    <row r="23" spans="1:9">
      <c r="A23" s="162">
        <v>9</v>
      </c>
      <c r="B23" s="162">
        <v>23</v>
      </c>
      <c r="C23" s="338"/>
      <c r="D23" s="400"/>
      <c r="E23" s="400"/>
      <c r="F23" s="400"/>
      <c r="G23" s="406">
        <f t="shared" si="0"/>
        <v>0</v>
      </c>
      <c r="H23" s="400"/>
      <c r="I23" s="400"/>
    </row>
    <row r="24" spans="1:9">
      <c r="A24" s="162">
        <v>10</v>
      </c>
      <c r="B24" s="162">
        <v>24</v>
      </c>
      <c r="C24" s="338"/>
      <c r="D24" s="400"/>
      <c r="E24" s="400"/>
      <c r="F24" s="400"/>
      <c r="G24" s="406">
        <f t="shared" si="0"/>
        <v>0</v>
      </c>
      <c r="H24" s="400"/>
      <c r="I24" s="400"/>
    </row>
    <row r="25" spans="1:9">
      <c r="B25" s="162">
        <v>25</v>
      </c>
      <c r="C25" s="919" t="s">
        <v>823</v>
      </c>
      <c r="D25" s="406">
        <f>D14+D3</f>
        <v>0</v>
      </c>
      <c r="E25" s="406">
        <f>E14+E3</f>
        <v>0</v>
      </c>
      <c r="F25" s="406">
        <f>F14+F3</f>
        <v>0</v>
      </c>
      <c r="G25" s="406">
        <f t="shared" si="0"/>
        <v>0</v>
      </c>
      <c r="H25" s="400"/>
      <c r="I25" s="400"/>
    </row>
    <row r="26" spans="1:9">
      <c r="B26" s="162">
        <v>26</v>
      </c>
    </row>
    <row r="27" spans="1:9">
      <c r="A27" s="860" t="s">
        <v>2260</v>
      </c>
      <c r="B27" s="162">
        <v>27</v>
      </c>
      <c r="C27" s="881" t="s">
        <v>1319</v>
      </c>
      <c r="D27" s="406">
        <f>审定资产负债表!D18</f>
        <v>0</v>
      </c>
      <c r="E27" s="400"/>
      <c r="F27" s="400"/>
      <c r="G27" s="406">
        <f>审定资产负债表!C18</f>
        <v>0</v>
      </c>
    </row>
    <row r="28" spans="1:9">
      <c r="B28" s="162">
        <v>28</v>
      </c>
      <c r="C28" s="881" t="s">
        <v>1320</v>
      </c>
      <c r="D28" s="406">
        <f>D25-D27</f>
        <v>0</v>
      </c>
      <c r="E28" s="400"/>
      <c r="F28" s="400"/>
      <c r="G28" s="406">
        <f>G25-G27</f>
        <v>0</v>
      </c>
    </row>
    <row r="29" spans="1:9">
      <c r="B29" s="162">
        <v>29</v>
      </c>
    </row>
    <row r="30" spans="1:9">
      <c r="B30" s="162">
        <v>30</v>
      </c>
    </row>
    <row r="31" spans="1:9">
      <c r="B31" s="162">
        <v>31</v>
      </c>
    </row>
    <row r="32" spans="1:9">
      <c r="B32" s="162">
        <v>32</v>
      </c>
    </row>
    <row r="33" spans="2:2">
      <c r="B33" s="162">
        <v>33</v>
      </c>
    </row>
    <row r="34" spans="2:2">
      <c r="B34" s="162">
        <v>34</v>
      </c>
    </row>
    <row r="35" spans="2:2">
      <c r="B35" s="162">
        <v>35</v>
      </c>
    </row>
    <row r="36" spans="2:2">
      <c r="B36" s="162">
        <v>36</v>
      </c>
    </row>
    <row r="37" spans="2:2">
      <c r="B37" s="162">
        <v>37</v>
      </c>
    </row>
    <row r="38" spans="2:2">
      <c r="B38" s="162">
        <v>38</v>
      </c>
    </row>
    <row r="39" spans="2:2">
      <c r="B39" s="162">
        <v>39</v>
      </c>
    </row>
  </sheetData>
  <sheetProtection formatCells="0" formatColumns="0" formatRows="0" autoFilter="0"/>
  <phoneticPr fontId="5" type="noConversion"/>
  <hyperlinks>
    <hyperlink ref="A1" location="附注填写封面!B3" display="返回目录" xr:uid="{00000000-0004-0000-1A00-000000000000}"/>
    <hyperlink ref="A27" location="附注填写封面!B3" display="返回目录" xr:uid="{00000000-0004-0000-1A00-000001000000}"/>
    <hyperlink ref="A14" location="附注填写封面!B3" display="返回目录" xr:uid="{00000000-0004-0000-1A00-000002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7">
    <tabColor rgb="FFFFC000"/>
  </sheetPr>
  <dimension ref="A1:U182"/>
  <sheetViews>
    <sheetView showGridLines="0" showZeros="0" tabSelected="1" topLeftCell="C1" workbookViewId="0">
      <selection activeCell="H11" sqref="H11"/>
    </sheetView>
  </sheetViews>
  <sheetFormatPr defaultColWidth="11.625" defaultRowHeight="12.75"/>
  <cols>
    <col min="1" max="1" width="8" style="810" customWidth="1"/>
    <col min="2" max="2" width="11.375" style="344" hidden="1" customWidth="1"/>
    <col min="3" max="3" width="40.625" style="344" customWidth="1"/>
    <col min="4" max="6" width="11.625" style="345"/>
    <col min="7" max="7" width="13.625" style="345" bestFit="1" customWidth="1"/>
    <col min="8" max="8" width="17.125" style="345" bestFit="1" customWidth="1"/>
    <col min="9" max="9" width="33.75" style="345" bestFit="1" customWidth="1"/>
    <col min="10" max="10" width="14" style="344" customWidth="1"/>
    <col min="11" max="11" width="11.625" style="344"/>
    <col min="12" max="12" width="23.125" style="344" customWidth="1"/>
    <col min="13" max="14" width="11.625" style="344"/>
    <col min="15" max="15" width="29.375" style="344" bestFit="1" customWidth="1"/>
    <col min="16" max="16" width="16.25" style="344" bestFit="1" customWidth="1"/>
    <col min="17" max="17" width="11.625" style="344"/>
    <col min="18" max="18" width="11.625" style="347"/>
    <col min="19" max="19" width="29.375" style="344" bestFit="1" customWidth="1"/>
    <col min="20" max="20" width="16.125" style="344" bestFit="1" customWidth="1"/>
    <col min="21" max="16384" width="11.625" style="344"/>
  </cols>
  <sheetData>
    <row r="1" spans="1:21" ht="24" customHeight="1">
      <c r="A1" s="809" t="s">
        <v>2260</v>
      </c>
      <c r="B1" s="765" t="s">
        <v>2747</v>
      </c>
      <c r="C1" s="759" t="s">
        <v>2748</v>
      </c>
    </row>
    <row r="2" spans="1:21">
      <c r="B2" s="162">
        <v>2</v>
      </c>
      <c r="C2" s="1824" t="s">
        <v>819</v>
      </c>
      <c r="D2" s="1820" t="s">
        <v>2535</v>
      </c>
      <c r="E2" s="1820"/>
      <c r="F2" s="1820"/>
      <c r="G2" s="1820"/>
      <c r="I2" s="345">
        <v>301600.65000000002</v>
      </c>
    </row>
    <row r="3" spans="1:21">
      <c r="B3" s="162">
        <v>3</v>
      </c>
      <c r="C3" s="1824"/>
      <c r="D3" s="1820" t="s">
        <v>826</v>
      </c>
      <c r="E3" s="1820"/>
      <c r="F3" s="1820" t="s">
        <v>828</v>
      </c>
      <c r="G3" s="1820"/>
      <c r="H3" s="345">
        <v>0</v>
      </c>
      <c r="I3" s="345">
        <v>301600.65000000002</v>
      </c>
    </row>
    <row r="4" spans="1:21">
      <c r="B4" s="162">
        <v>4</v>
      </c>
      <c r="C4" s="1824"/>
      <c r="D4" s="883" t="s">
        <v>829</v>
      </c>
      <c r="E4" s="792" t="s">
        <v>830</v>
      </c>
      <c r="F4" s="883" t="s">
        <v>829</v>
      </c>
      <c r="G4" s="792" t="s">
        <v>830</v>
      </c>
    </row>
    <row r="5" spans="1:21">
      <c r="A5" s="809" t="s">
        <v>2586</v>
      </c>
      <c r="B5" s="162">
        <v>5</v>
      </c>
      <c r="C5" s="340" t="s">
        <v>2594</v>
      </c>
      <c r="D5" s="400"/>
      <c r="E5" s="777">
        <f>ROUND(IF($D$10&lt;&gt;0,D5/$D$10,0)*100,2)</f>
        <v>0</v>
      </c>
      <c r="F5" s="400"/>
      <c r="G5" s="819">
        <f t="shared" ref="G5:G10" si="0">ROUND(IF(D5&lt;&gt;0,F5/D5*100,0),2)</f>
        <v>0</v>
      </c>
      <c r="H5" s="345">
        <f>ROUND(,2)</f>
        <v>0</v>
      </c>
      <c r="I5" s="345">
        <v>301600.65000000002</v>
      </c>
    </row>
    <row r="6" spans="1:21">
      <c r="B6" s="162">
        <v>6</v>
      </c>
      <c r="C6" s="340" t="s">
        <v>2595</v>
      </c>
      <c r="D6" s="406">
        <f>(SUM(D7:D8))</f>
        <v>875588.55456468696</v>
      </c>
      <c r="E6" s="777">
        <f>E7+E8</f>
        <v>100</v>
      </c>
      <c r="F6" s="406">
        <f>SUM(F7:F8)</f>
        <v>15240</v>
      </c>
      <c r="G6" s="819">
        <f t="shared" si="0"/>
        <v>1.74</v>
      </c>
      <c r="H6" s="345">
        <f>ROUND((SUM(D7:D8)),2)</f>
        <v>875588.55</v>
      </c>
    </row>
    <row r="7" spans="1:21">
      <c r="A7" s="811" t="str">
        <f>HYPERLINK("#C1","置顶")</f>
        <v>置顶</v>
      </c>
      <c r="B7" s="162">
        <v>7</v>
      </c>
      <c r="C7" s="820" t="s">
        <v>833</v>
      </c>
      <c r="D7" s="400">
        <v>301600.65456468699</v>
      </c>
      <c r="E7" s="777">
        <f>ROUND(IF($D$10&lt;&gt;0,D7/$D$10,0)*100,2)</f>
        <v>34.450000000000003</v>
      </c>
      <c r="F7" s="400">
        <v>15240</v>
      </c>
      <c r="G7" s="819">
        <f t="shared" si="0"/>
        <v>5.05</v>
      </c>
      <c r="H7" s="345">
        <f>ROUND(301600.654564687,2)</f>
        <v>301600.65000000002</v>
      </c>
    </row>
    <row r="8" spans="1:21">
      <c r="B8" s="162">
        <v>8</v>
      </c>
      <c r="C8" s="820" t="s">
        <v>2542</v>
      </c>
      <c r="D8" s="400">
        <v>573987.9</v>
      </c>
      <c r="E8" s="777">
        <f>ROUND(IF($D$10&lt;&gt;0,D8/$D$10,0)*100,2)</f>
        <v>65.55</v>
      </c>
      <c r="F8" s="400"/>
      <c r="G8" s="819">
        <f t="shared" si="0"/>
        <v>0</v>
      </c>
      <c r="H8" s="345">
        <f>ROUND(573987.9,2)</f>
        <v>573987.9</v>
      </c>
      <c r="I8" s="1596" t="s">
        <v>5036</v>
      </c>
      <c r="J8" s="1589" t="s">
        <v>5038</v>
      </c>
      <c r="K8" s="1589" t="s">
        <v>5040</v>
      </c>
      <c r="L8" s="1589" t="s">
        <v>5042</v>
      </c>
      <c r="M8" s="1589" t="s">
        <v>5043</v>
      </c>
      <c r="O8" s="1589" t="s">
        <v>5205</v>
      </c>
      <c r="P8" s="1601" t="s">
        <v>5207</v>
      </c>
      <c r="Q8" s="1589" t="s">
        <v>5199</v>
      </c>
      <c r="S8" s="1589" t="s">
        <v>5205</v>
      </c>
      <c r="T8" s="1601" t="s">
        <v>5208</v>
      </c>
      <c r="U8" s="1589" t="s">
        <v>5199</v>
      </c>
    </row>
    <row r="9" spans="1:21" ht="18" customHeight="1">
      <c r="A9" s="809" t="s">
        <v>2260</v>
      </c>
      <c r="B9" s="162">
        <v>9</v>
      </c>
      <c r="C9" s="821" t="s">
        <v>2596</v>
      </c>
      <c r="D9" s="400"/>
      <c r="E9" s="777">
        <f>ROUND(IF($D$10&lt;&gt;0,D9/$D$10,0)*100,2)</f>
        <v>0</v>
      </c>
      <c r="F9" s="400"/>
      <c r="G9" s="819">
        <f t="shared" si="0"/>
        <v>0</v>
      </c>
      <c r="H9" s="345">
        <f>ROUND(,2)</f>
        <v>0</v>
      </c>
      <c r="I9" s="1485" t="s">
        <v>5044</v>
      </c>
      <c r="J9" s="1597">
        <v>535239.9</v>
      </c>
      <c r="K9" s="1597"/>
      <c r="L9" s="1597"/>
      <c r="M9" s="1597">
        <v>535239.9</v>
      </c>
      <c r="O9" s="1430" t="s">
        <v>5188</v>
      </c>
      <c r="P9" s="1597">
        <v>535239.9</v>
      </c>
      <c r="Q9" s="1486" t="s">
        <v>5200</v>
      </c>
      <c r="S9" s="1431" t="s">
        <v>5214</v>
      </c>
      <c r="T9" s="1597">
        <v>535239.9</v>
      </c>
      <c r="U9" s="1486" t="s">
        <v>5211</v>
      </c>
    </row>
    <row r="10" spans="1:21">
      <c r="B10" s="162">
        <v>10</v>
      </c>
      <c r="C10" s="881" t="s">
        <v>836</v>
      </c>
      <c r="D10" s="406">
        <f>D5+D6+D9</f>
        <v>875588.55456468696</v>
      </c>
      <c r="E10" s="406">
        <f>E5+E6+E9</f>
        <v>100</v>
      </c>
      <c r="F10" s="406">
        <f>F5+F6+F9</f>
        <v>15240</v>
      </c>
      <c r="G10" s="819">
        <f t="shared" si="0"/>
        <v>1.74</v>
      </c>
      <c r="H10" s="345">
        <f>ROUND(D5+D6+D9,2)</f>
        <v>875588.55</v>
      </c>
      <c r="I10" s="1485" t="s">
        <v>5045</v>
      </c>
      <c r="J10" s="1597">
        <v>300720</v>
      </c>
      <c r="K10" s="1597">
        <v>12560</v>
      </c>
      <c r="L10" s="1597">
        <v>11760</v>
      </c>
      <c r="M10" s="1597">
        <v>301520</v>
      </c>
      <c r="O10" s="1631" t="s">
        <v>5189</v>
      </c>
      <c r="P10" s="1632">
        <v>300000</v>
      </c>
      <c r="Q10" s="1633" t="s">
        <v>5200</v>
      </c>
      <c r="R10" s="1634">
        <v>0.05</v>
      </c>
      <c r="S10" s="1631" t="s">
        <v>5189</v>
      </c>
      <c r="T10" s="1632">
        <v>300000</v>
      </c>
      <c r="U10" s="1633" t="s">
        <v>5201</v>
      </c>
    </row>
    <row r="11" spans="1:21">
      <c r="B11" s="162">
        <v>11</v>
      </c>
      <c r="C11" s="344" t="s">
        <v>2688</v>
      </c>
      <c r="D11" s="822"/>
      <c r="I11" s="1485" t="s">
        <v>5046</v>
      </c>
      <c r="J11" s="1597">
        <v>27528</v>
      </c>
      <c r="K11" s="1597"/>
      <c r="L11" s="1597"/>
      <c r="M11" s="1597">
        <v>27528</v>
      </c>
      <c r="O11" s="1430" t="s">
        <v>4447</v>
      </c>
      <c r="P11" s="1597">
        <v>720</v>
      </c>
      <c r="Q11" s="1486" t="s">
        <v>5200</v>
      </c>
      <c r="S11" s="1430" t="s">
        <v>4447</v>
      </c>
      <c r="T11" s="1597">
        <v>720</v>
      </c>
      <c r="U11" s="1486" t="s">
        <v>5211</v>
      </c>
    </row>
    <row r="12" spans="1:21">
      <c r="B12" s="162">
        <v>12</v>
      </c>
      <c r="I12" s="1485" t="s">
        <v>5047</v>
      </c>
      <c r="J12" s="1597">
        <v>2000</v>
      </c>
      <c r="K12" s="1597"/>
      <c r="L12" s="1597"/>
      <c r="M12" s="1597">
        <v>2000</v>
      </c>
      <c r="O12" s="1430" t="s">
        <v>5190</v>
      </c>
      <c r="P12" s="1597">
        <v>27528</v>
      </c>
      <c r="Q12" s="1486" t="s">
        <v>5200</v>
      </c>
      <c r="S12" s="1430" t="s">
        <v>5190</v>
      </c>
      <c r="T12" s="1597">
        <v>27528</v>
      </c>
      <c r="U12" s="1486" t="s">
        <v>5212</v>
      </c>
    </row>
    <row r="13" spans="1:21">
      <c r="A13" s="809" t="s">
        <v>2586</v>
      </c>
      <c r="B13" s="162">
        <v>13</v>
      </c>
      <c r="C13" s="1824" t="s">
        <v>819</v>
      </c>
      <c r="D13" s="1821" t="s">
        <v>774</v>
      </c>
      <c r="E13" s="1821"/>
      <c r="F13" s="1821"/>
      <c r="G13" s="1821"/>
      <c r="I13" s="1485" t="s">
        <v>5048</v>
      </c>
      <c r="J13" s="1597">
        <v>745</v>
      </c>
      <c r="K13" s="1597"/>
      <c r="L13" s="1597"/>
      <c r="M13" s="1597">
        <v>745</v>
      </c>
      <c r="O13" s="1430" t="s">
        <v>5191</v>
      </c>
      <c r="P13" s="1597">
        <v>2000</v>
      </c>
      <c r="Q13" s="1486" t="s">
        <v>5200</v>
      </c>
      <c r="S13" s="1430" t="s">
        <v>5191</v>
      </c>
      <c r="T13" s="1597">
        <v>2000</v>
      </c>
      <c r="U13" s="1486" t="s">
        <v>5211</v>
      </c>
    </row>
    <row r="14" spans="1:21">
      <c r="B14" s="162">
        <v>14</v>
      </c>
      <c r="C14" s="1824"/>
      <c r="D14" s="1821" t="s">
        <v>826</v>
      </c>
      <c r="E14" s="1821"/>
      <c r="F14" s="1821" t="s">
        <v>827</v>
      </c>
      <c r="G14" s="1821"/>
      <c r="I14" s="1485" t="s">
        <v>5049</v>
      </c>
      <c r="J14" s="1597">
        <v>455</v>
      </c>
      <c r="K14" s="1597"/>
      <c r="L14" s="1597"/>
      <c r="M14" s="1597">
        <v>455</v>
      </c>
      <c r="O14" s="1430" t="s">
        <v>5192</v>
      </c>
      <c r="P14" s="1597">
        <v>745</v>
      </c>
      <c r="Q14" s="1486" t="s">
        <v>5200</v>
      </c>
      <c r="S14" s="1430" t="s">
        <v>5192</v>
      </c>
      <c r="T14" s="1597">
        <v>745</v>
      </c>
      <c r="U14" s="1486" t="s">
        <v>5211</v>
      </c>
    </row>
    <row r="15" spans="1:21">
      <c r="A15" s="811" t="str">
        <f>HYPERLINK("#C1","置顶")</f>
        <v>置顶</v>
      </c>
      <c r="B15" s="162">
        <v>15</v>
      </c>
      <c r="C15" s="1824"/>
      <c r="D15" s="882" t="s">
        <v>829</v>
      </c>
      <c r="E15" s="823" t="s">
        <v>830</v>
      </c>
      <c r="F15" s="882" t="s">
        <v>829</v>
      </c>
      <c r="G15" s="823" t="s">
        <v>830</v>
      </c>
      <c r="I15" s="1485" t="s">
        <v>5050</v>
      </c>
      <c r="J15" s="1597">
        <v>800</v>
      </c>
      <c r="K15" s="1597"/>
      <c r="L15" s="1597"/>
      <c r="M15" s="1597">
        <v>800</v>
      </c>
      <c r="O15" s="1430" t="s">
        <v>5193</v>
      </c>
      <c r="P15" s="1597">
        <v>455</v>
      </c>
      <c r="Q15" s="1486" t="s">
        <v>5200</v>
      </c>
      <c r="S15" s="1430" t="s">
        <v>5193</v>
      </c>
      <c r="T15" s="1597">
        <v>455</v>
      </c>
      <c r="U15" s="1486" t="s">
        <v>5211</v>
      </c>
    </row>
    <row r="16" spans="1:21">
      <c r="B16" s="162">
        <v>16</v>
      </c>
      <c r="C16" s="340" t="s">
        <v>2594</v>
      </c>
      <c r="D16" s="400"/>
      <c r="E16" s="778">
        <f>ROUND(IF($D$21&lt;&gt;0,D16/$D$21*100,0),2)</f>
        <v>0</v>
      </c>
      <c r="F16" s="400"/>
      <c r="G16" s="819">
        <f t="shared" ref="G16:G21" si="1">ROUND(IF(D16&lt;&gt;0,F16/D16*100,0),2)</f>
        <v>0</v>
      </c>
      <c r="I16" s="1485" t="s">
        <v>5051</v>
      </c>
      <c r="J16" s="1597">
        <v>5000</v>
      </c>
      <c r="K16" s="1597"/>
      <c r="L16" s="1597"/>
      <c r="M16" s="1597">
        <v>5000</v>
      </c>
      <c r="O16" s="1631" t="s">
        <v>5194</v>
      </c>
      <c r="P16" s="1632">
        <v>800</v>
      </c>
      <c r="Q16" s="1633" t="s">
        <v>5202</v>
      </c>
      <c r="R16" s="1634">
        <v>0.2</v>
      </c>
      <c r="S16" s="1631" t="s">
        <v>5194</v>
      </c>
      <c r="T16" s="1632">
        <v>800</v>
      </c>
      <c r="U16" s="1633" t="s">
        <v>5213</v>
      </c>
    </row>
    <row r="17" spans="1:21">
      <c r="A17" s="809" t="s">
        <v>2260</v>
      </c>
      <c r="B17" s="162">
        <v>17</v>
      </c>
      <c r="C17" s="340" t="s">
        <v>2595</v>
      </c>
      <c r="D17" s="406">
        <f>SUM(D18:D19)</f>
        <v>876787.9</v>
      </c>
      <c r="E17" s="778">
        <f>E18+E19</f>
        <v>100</v>
      </c>
      <c r="F17" s="406">
        <f>SUM(F18:F19)</f>
        <v>43839.400000000023</v>
      </c>
      <c r="G17" s="819">
        <f t="shared" si="1"/>
        <v>5</v>
      </c>
      <c r="I17" s="1485" t="s">
        <v>5052</v>
      </c>
      <c r="J17" s="1597">
        <v>800</v>
      </c>
      <c r="K17" s="1597"/>
      <c r="L17" s="1597"/>
      <c r="M17" s="1597">
        <v>800</v>
      </c>
      <c r="O17" s="1430" t="s">
        <v>5195</v>
      </c>
      <c r="P17" s="1597">
        <v>5000</v>
      </c>
      <c r="Q17" s="1486" t="s">
        <v>5200</v>
      </c>
      <c r="S17" s="1430" t="s">
        <v>5195</v>
      </c>
      <c r="T17" s="1597">
        <v>5000</v>
      </c>
      <c r="U17" s="1486" t="s">
        <v>5211</v>
      </c>
    </row>
    <row r="18" spans="1:21">
      <c r="B18" s="162">
        <v>18</v>
      </c>
      <c r="C18" s="820" t="s">
        <v>833</v>
      </c>
      <c r="D18" s="400">
        <v>875987.9</v>
      </c>
      <c r="E18" s="778">
        <f>ROUND(IF($D$21&lt;&gt;0,D18/$D$21*100,0),2)</f>
        <v>99.91</v>
      </c>
      <c r="F18" s="400">
        <v>43839.400000000023</v>
      </c>
      <c r="G18" s="819">
        <f t="shared" si="1"/>
        <v>5</v>
      </c>
      <c r="I18" s="1485" t="s">
        <v>5053</v>
      </c>
      <c r="J18" s="1597">
        <v>1500</v>
      </c>
      <c r="K18" s="1597"/>
      <c r="L18" s="1597"/>
      <c r="M18" s="1597">
        <v>1500</v>
      </c>
      <c r="O18" s="1631" t="s">
        <v>5196</v>
      </c>
      <c r="P18" s="1632">
        <v>800</v>
      </c>
      <c r="Q18" s="1633" t="s">
        <v>5203</v>
      </c>
      <c r="R18" s="1634">
        <v>0.1</v>
      </c>
      <c r="S18" s="1631" t="s">
        <v>5196</v>
      </c>
      <c r="T18" s="1632">
        <v>800</v>
      </c>
      <c r="U18" s="1633" t="s">
        <v>5211</v>
      </c>
    </row>
    <row r="19" spans="1:21">
      <c r="B19" s="162">
        <v>19</v>
      </c>
      <c r="C19" s="820" t="s">
        <v>2542</v>
      </c>
      <c r="D19" s="400">
        <v>800</v>
      </c>
      <c r="E19" s="778">
        <f>ROUND(IF($D$21&lt;&gt;0,D19/$D$21*100,0),2)</f>
        <v>0.09</v>
      </c>
      <c r="F19" s="400"/>
      <c r="G19" s="819">
        <f t="shared" si="1"/>
        <v>0</v>
      </c>
      <c r="I19" s="1485" t="s">
        <v>5054</v>
      </c>
      <c r="J19" s="1597">
        <v>2000</v>
      </c>
      <c r="K19" s="1597"/>
      <c r="L19" s="1597">
        <v>2000</v>
      </c>
      <c r="M19" s="1597"/>
      <c r="O19" s="1430" t="s">
        <v>5197</v>
      </c>
      <c r="P19" s="1597">
        <v>1500</v>
      </c>
      <c r="Q19" s="1486" t="s">
        <v>5201</v>
      </c>
      <c r="S19" s="1430" t="s">
        <v>5197</v>
      </c>
      <c r="T19" s="1597">
        <v>1500</v>
      </c>
      <c r="U19" s="1486" t="s">
        <v>5211</v>
      </c>
    </row>
    <row r="20" spans="1:21" ht="15" customHeight="1">
      <c r="B20" s="162">
        <v>20</v>
      </c>
      <c r="C20" s="821" t="s">
        <v>2596</v>
      </c>
      <c r="D20" s="400"/>
      <c r="E20" s="778">
        <f>ROUND(IF($D$21&lt;&gt;0,D20/$D$21*100,0),2)</f>
        <v>0</v>
      </c>
      <c r="F20" s="400"/>
      <c r="G20" s="819">
        <f t="shared" si="1"/>
        <v>0</v>
      </c>
      <c r="I20" s="1596" t="s">
        <v>5055</v>
      </c>
      <c r="J20" s="1598">
        <f>SUM(J9:J19)</f>
        <v>876787.9</v>
      </c>
      <c r="K20" s="1598">
        <f t="shared" ref="K20:M20" si="2">SUM(K9:K19)</f>
        <v>12560</v>
      </c>
      <c r="L20" s="1598">
        <f t="shared" si="2"/>
        <v>13760</v>
      </c>
      <c r="M20" s="1598">
        <f t="shared" si="2"/>
        <v>875587.9</v>
      </c>
      <c r="O20" s="1430" t="s">
        <v>5198</v>
      </c>
      <c r="P20" s="1597">
        <v>2000</v>
      </c>
      <c r="Q20" s="1486" t="s">
        <v>5201</v>
      </c>
      <c r="S20" s="1431" t="s">
        <v>5209</v>
      </c>
      <c r="T20" s="1597">
        <v>800</v>
      </c>
      <c r="U20" s="1486" t="s">
        <v>5212</v>
      </c>
    </row>
    <row r="21" spans="1:21">
      <c r="A21" s="809" t="s">
        <v>2586</v>
      </c>
      <c r="B21" s="162">
        <v>21</v>
      </c>
      <c r="C21" s="881" t="s">
        <v>836</v>
      </c>
      <c r="D21" s="406">
        <f>D16+D17+D20</f>
        <v>876787.9</v>
      </c>
      <c r="E21" s="778">
        <f>E16+E17+E20</f>
        <v>100</v>
      </c>
      <c r="F21" s="406">
        <f>F16+F17+F20</f>
        <v>43839.400000000023</v>
      </c>
      <c r="G21" s="819">
        <f t="shared" si="1"/>
        <v>5</v>
      </c>
      <c r="O21" s="1589" t="s">
        <v>5204</v>
      </c>
      <c r="P21" s="1598">
        <f>SUM(P9:P20)</f>
        <v>876787.9</v>
      </c>
      <c r="Q21" s="1601" t="s">
        <v>5206</v>
      </c>
      <c r="S21" s="1589" t="s">
        <v>5210</v>
      </c>
      <c r="T21" s="1598">
        <f>SUM(T9:T20)</f>
        <v>875587.9</v>
      </c>
      <c r="U21" s="1601" t="s">
        <v>5206</v>
      </c>
    </row>
    <row r="22" spans="1:21">
      <c r="B22" s="162">
        <v>22</v>
      </c>
      <c r="C22" s="344" t="s">
        <v>2688</v>
      </c>
      <c r="D22" s="824"/>
      <c r="I22" s="1593" t="s">
        <v>5056</v>
      </c>
      <c r="J22" s="162" t="s">
        <v>5037</v>
      </c>
      <c r="K22" s="162" t="s">
        <v>5039</v>
      </c>
      <c r="L22" s="162" t="s">
        <v>5041</v>
      </c>
      <c r="M22" s="162" t="s">
        <v>4596</v>
      </c>
    </row>
    <row r="23" spans="1:21">
      <c r="A23" s="811" t="str">
        <f>HYPERLINK("#C1","置顶")</f>
        <v>置顶</v>
      </c>
      <c r="B23" s="162">
        <v>23</v>
      </c>
      <c r="C23" s="881"/>
      <c r="D23" s="883" t="s">
        <v>2591</v>
      </c>
      <c r="E23" s="883" t="s">
        <v>2592</v>
      </c>
      <c r="F23" s="883" t="s">
        <v>2543</v>
      </c>
      <c r="G23" s="883" t="s">
        <v>2544</v>
      </c>
      <c r="I23" s="1593" t="s">
        <v>5057</v>
      </c>
      <c r="J23" s="1585">
        <v>43839.4</v>
      </c>
      <c r="M23" s="1585">
        <v>43839.4</v>
      </c>
      <c r="P23" s="1594"/>
    </row>
    <row r="24" spans="1:21">
      <c r="B24" s="162">
        <v>24</v>
      </c>
      <c r="C24" s="881" t="s">
        <v>1319</v>
      </c>
      <c r="D24" s="406">
        <f>审定资产负债表!C19</f>
        <v>860347.9</v>
      </c>
      <c r="E24" s="406">
        <f>审定资产负债表!D19</f>
        <v>832948.5</v>
      </c>
      <c r="F24" s="780">
        <f>IF(D10&lt;&gt;0,100-E5-E6-E9,0)</f>
        <v>0</v>
      </c>
      <c r="G24" s="780">
        <f>IF(D21&lt;&gt;0,100-E16-E17-E20,0)</f>
        <v>0</v>
      </c>
      <c r="P24" s="328" t="s">
        <v>5245</v>
      </c>
      <c r="Q24" s="1594">
        <f>P10*R10+P16*R16+P18*R18</f>
        <v>15240</v>
      </c>
    </row>
    <row r="25" spans="1:21">
      <c r="B25" s="162">
        <v>25</v>
      </c>
      <c r="C25" s="881" t="s">
        <v>1320</v>
      </c>
      <c r="D25" s="406">
        <f>D10-F10-D24</f>
        <v>0.65456468693446368</v>
      </c>
      <c r="E25" s="406">
        <f>D21-F21-E24</f>
        <v>0</v>
      </c>
      <c r="F25" s="780">
        <f>ROUND(IF($D$10&lt;&gt;0,D6/$D$10,0)*100,2)-E6</f>
        <v>0</v>
      </c>
      <c r="G25" s="780">
        <f>ROUND(IF($D$21&lt;&gt;0,D17/$D$21,0)*100,2)-E17</f>
        <v>0</v>
      </c>
      <c r="P25" s="328" t="s">
        <v>5246</v>
      </c>
      <c r="Q25" s="1594">
        <f>M23-Q24</f>
        <v>28599.4</v>
      </c>
      <c r="U25" s="1594"/>
    </row>
    <row r="26" spans="1:21">
      <c r="A26" s="809" t="s">
        <v>2260</v>
      </c>
      <c r="B26" s="162">
        <v>26</v>
      </c>
      <c r="J26" s="1599" t="s">
        <v>5058</v>
      </c>
      <c r="U26" s="1611"/>
    </row>
    <row r="27" spans="1:21">
      <c r="B27" s="162">
        <v>27</v>
      </c>
      <c r="C27" s="781" t="s">
        <v>2597</v>
      </c>
      <c r="O27" s="781"/>
      <c r="P27" s="344" t="s">
        <v>5303</v>
      </c>
      <c r="Q27" s="1594">
        <f>SUM(P9:P15)+P17+P19+P20</f>
        <v>875187.9</v>
      </c>
      <c r="R27" s="1654">
        <f>Q27*0.05</f>
        <v>43759.395000000004</v>
      </c>
      <c r="U27" s="1594"/>
    </row>
    <row r="28" spans="1:21">
      <c r="B28" s="162">
        <v>28</v>
      </c>
      <c r="C28" s="781"/>
      <c r="P28" s="344" t="s">
        <v>5304</v>
      </c>
      <c r="Q28" s="1594">
        <f>P18</f>
        <v>800</v>
      </c>
      <c r="R28" s="1654">
        <f>Q28*0.1</f>
        <v>80</v>
      </c>
    </row>
    <row r="29" spans="1:21">
      <c r="B29" s="162">
        <v>29</v>
      </c>
      <c r="C29" s="825" t="s">
        <v>2585</v>
      </c>
      <c r="P29" s="344" t="s">
        <v>5305</v>
      </c>
      <c r="Q29" s="1594">
        <f>P16</f>
        <v>800</v>
      </c>
      <c r="R29" s="1654">
        <f>Q29*0.2</f>
        <v>160</v>
      </c>
    </row>
    <row r="30" spans="1:21">
      <c r="A30" s="809" t="s">
        <v>2586</v>
      </c>
      <c r="B30" s="162">
        <v>30</v>
      </c>
      <c r="C30" s="1824" t="s">
        <v>1099</v>
      </c>
      <c r="D30" s="1821" t="s">
        <v>2535</v>
      </c>
      <c r="E30" s="1821"/>
      <c r="F30" s="1821"/>
      <c r="G30" s="1820" t="s">
        <v>774</v>
      </c>
      <c r="H30" s="1820"/>
      <c r="I30" s="1820"/>
    </row>
    <row r="31" spans="1:21">
      <c r="B31" s="162">
        <v>31</v>
      </c>
      <c r="C31" s="1824"/>
      <c r="D31" s="1820" t="s">
        <v>826</v>
      </c>
      <c r="E31" s="1820"/>
      <c r="F31" s="1820" t="s">
        <v>827</v>
      </c>
      <c r="G31" s="1820" t="s">
        <v>826</v>
      </c>
      <c r="H31" s="1820"/>
      <c r="I31" s="1820" t="s">
        <v>827</v>
      </c>
      <c r="M31" s="881" t="s">
        <v>2749</v>
      </c>
    </row>
    <row r="32" spans="1:21">
      <c r="A32" s="811" t="str">
        <f>HYPERLINK("#C1","置顶")</f>
        <v>置顶</v>
      </c>
      <c r="B32" s="162">
        <v>32</v>
      </c>
      <c r="C32" s="1824"/>
      <c r="D32" s="883" t="s">
        <v>829</v>
      </c>
      <c r="E32" s="792" t="s">
        <v>830</v>
      </c>
      <c r="F32" s="1820"/>
      <c r="G32" s="883" t="s">
        <v>829</v>
      </c>
      <c r="H32" s="792" t="s">
        <v>830</v>
      </c>
      <c r="I32" s="1820"/>
      <c r="M32" s="1489" t="s">
        <v>4948</v>
      </c>
      <c r="N32" s="826" t="s">
        <v>2548</v>
      </c>
      <c r="O32" s="826" t="s">
        <v>2549</v>
      </c>
    </row>
    <row r="33" spans="1:21">
      <c r="B33" s="162">
        <v>33</v>
      </c>
      <c r="C33" s="760" t="s">
        <v>355</v>
      </c>
      <c r="D33" s="827">
        <v>300000</v>
      </c>
      <c r="E33" s="783">
        <f>ROUND(IF($D$41&lt;&gt;0,D33/$D$41,0)*100,2)-0.01</f>
        <v>99.46</v>
      </c>
      <c r="F33" s="400">
        <v>15000</v>
      </c>
      <c r="G33" s="400">
        <v>875187.9</v>
      </c>
      <c r="H33" s="783">
        <f>ROUND(IF($G$41&lt;&gt;0,G33/$G$41,0)*100,2)</f>
        <v>99.91</v>
      </c>
      <c r="I33" s="400">
        <v>43759.4</v>
      </c>
      <c r="K33" s="828" t="s">
        <v>2750</v>
      </c>
      <c r="L33" s="829" t="str">
        <f>IF(D36-G33&gt;0,"请检验合理性","合理")</f>
        <v>合理</v>
      </c>
      <c r="M33" s="881">
        <v>5</v>
      </c>
      <c r="N33" s="784">
        <f>F33/D33*100</f>
        <v>5</v>
      </c>
      <c r="O33" s="784">
        <f t="shared" ref="O33:O40" si="3">I33/G33*100</f>
        <v>5.0000005713058879</v>
      </c>
    </row>
    <row r="34" spans="1:21" hidden="1">
      <c r="B34" s="162"/>
      <c r="C34" s="1546" t="s">
        <v>4949</v>
      </c>
      <c r="D34" s="1545"/>
      <c r="E34" s="783">
        <f t="shared" ref="E34:E40" si="4">ROUND(IF($D$41&lt;&gt;0,D34/$D$41,0)*100,2)</f>
        <v>0</v>
      </c>
      <c r="F34" s="1545"/>
      <c r="G34" s="1545">
        <v>800</v>
      </c>
      <c r="H34" s="783">
        <f t="shared" ref="H34:H40" si="5">ROUND(IF($G$41&lt;&gt;0,G34/$G$41,0)*100,2)</f>
        <v>0.09</v>
      </c>
      <c r="I34" s="1545">
        <v>80</v>
      </c>
      <c r="K34" s="1481"/>
      <c r="L34" s="831" t="str">
        <f>IF(D35-G34&gt;0,"请检验合理性","合理")</f>
        <v>合理</v>
      </c>
      <c r="M34" s="1486"/>
      <c r="N34" s="784" t="e">
        <f t="shared" ref="N34:N40" si="6">F34/D34*100</f>
        <v>#DIV/0!</v>
      </c>
      <c r="O34" s="784">
        <f t="shared" si="3"/>
        <v>10</v>
      </c>
    </row>
    <row r="35" spans="1:21" hidden="1">
      <c r="B35" s="162"/>
      <c r="C35" s="1544" t="s">
        <v>4950</v>
      </c>
      <c r="D35" s="1545"/>
      <c r="E35" s="783">
        <f t="shared" si="4"/>
        <v>0</v>
      </c>
      <c r="F35" s="1545"/>
      <c r="G35" s="1545">
        <v>800</v>
      </c>
      <c r="H35" s="783">
        <f t="shared" si="5"/>
        <v>0.09</v>
      </c>
      <c r="I35" s="1545">
        <v>160</v>
      </c>
      <c r="K35" s="1481"/>
      <c r="L35" s="831" t="str">
        <f t="shared" ref="L35" si="7">IF(D36-G35&gt;0,"请检验合理性","合理")</f>
        <v>合理</v>
      </c>
      <c r="M35" s="1486"/>
      <c r="N35" s="784" t="e">
        <f t="shared" si="6"/>
        <v>#DIV/0!</v>
      </c>
      <c r="O35" s="784">
        <f t="shared" si="3"/>
        <v>20</v>
      </c>
    </row>
    <row r="36" spans="1:21">
      <c r="A36" s="809" t="s">
        <v>2260</v>
      </c>
      <c r="B36" s="162">
        <v>34</v>
      </c>
      <c r="C36" s="760" t="s">
        <v>356</v>
      </c>
      <c r="D36" s="827">
        <v>800</v>
      </c>
      <c r="E36" s="783">
        <f>ROUND(IF($D$41&lt;&gt;0,D36/$D$41,0)*100,2)</f>
        <v>0.27</v>
      </c>
      <c r="F36" s="827">
        <v>80</v>
      </c>
      <c r="G36" s="827">
        <v>800</v>
      </c>
      <c r="H36" s="783">
        <f t="shared" si="5"/>
        <v>0.09</v>
      </c>
      <c r="I36" s="827">
        <v>80</v>
      </c>
      <c r="K36" s="830"/>
      <c r="L36" s="831" t="str">
        <f>IF(D37-G36&gt;0,"请检验合理性","合理")</f>
        <v>合理</v>
      </c>
      <c r="M36" s="881">
        <v>10</v>
      </c>
      <c r="N36" s="784">
        <f t="shared" si="6"/>
        <v>10</v>
      </c>
      <c r="O36" s="784">
        <f t="shared" si="3"/>
        <v>10</v>
      </c>
    </row>
    <row r="37" spans="1:21">
      <c r="B37" s="162">
        <v>35</v>
      </c>
      <c r="C37" s="760" t="s">
        <v>357</v>
      </c>
      <c r="D37" s="1545">
        <v>800</v>
      </c>
      <c r="E37" s="783">
        <f t="shared" si="4"/>
        <v>0.27</v>
      </c>
      <c r="F37" s="1545">
        <v>160</v>
      </c>
      <c r="G37" s="1545"/>
      <c r="H37" s="783">
        <f t="shared" si="5"/>
        <v>0</v>
      </c>
      <c r="I37" s="1545"/>
      <c r="K37" s="830"/>
      <c r="L37" s="831" t="str">
        <f>IF(D38-G37&gt;0,"请检验合理性","合理")</f>
        <v>合理</v>
      </c>
      <c r="M37" s="881">
        <v>30</v>
      </c>
      <c r="N37" s="784">
        <f t="shared" si="6"/>
        <v>20</v>
      </c>
      <c r="O37" s="784" t="e">
        <f t="shared" si="3"/>
        <v>#DIV/0!</v>
      </c>
    </row>
    <row r="38" spans="1:21">
      <c r="A38" s="811" t="str">
        <f>HYPERLINK("#C1","置顶")</f>
        <v>置顶</v>
      </c>
      <c r="B38" s="162">
        <v>36</v>
      </c>
      <c r="C38" s="760" t="s">
        <v>358</v>
      </c>
      <c r="D38" s="1545"/>
      <c r="E38" s="783">
        <f t="shared" si="4"/>
        <v>0</v>
      </c>
      <c r="F38" s="1545"/>
      <c r="G38" s="1545"/>
      <c r="H38" s="783">
        <f t="shared" si="5"/>
        <v>0</v>
      </c>
      <c r="I38" s="1545"/>
      <c r="K38" s="830"/>
      <c r="L38" s="831" t="str">
        <f>IF(D39-G38&gt;0,"请检验合理性","合理")</f>
        <v>合理</v>
      </c>
      <c r="M38" s="881">
        <v>50</v>
      </c>
      <c r="N38" s="784" t="e">
        <f t="shared" si="6"/>
        <v>#DIV/0!</v>
      </c>
      <c r="O38" s="784" t="e">
        <f t="shared" si="3"/>
        <v>#DIV/0!</v>
      </c>
    </row>
    <row r="39" spans="1:21">
      <c r="B39" s="162">
        <v>37</v>
      </c>
      <c r="C39" s="760" t="s">
        <v>359</v>
      </c>
      <c r="D39" s="827"/>
      <c r="E39" s="783">
        <f t="shared" si="4"/>
        <v>0</v>
      </c>
      <c r="F39" s="827"/>
      <c r="G39" s="827"/>
      <c r="H39" s="783">
        <f t="shared" si="5"/>
        <v>0</v>
      </c>
      <c r="I39" s="827"/>
      <c r="K39" s="832"/>
      <c r="L39" s="833" t="str">
        <f>IF(D40-G39-G40&gt;0,"请检验合理性","合理")</f>
        <v>合理</v>
      </c>
      <c r="M39" s="881">
        <v>80</v>
      </c>
      <c r="N39" s="784" t="e">
        <f t="shared" si="6"/>
        <v>#DIV/0!</v>
      </c>
      <c r="O39" s="784" t="e">
        <f t="shared" si="3"/>
        <v>#DIV/0!</v>
      </c>
    </row>
    <row r="40" spans="1:21">
      <c r="A40" s="809" t="s">
        <v>2751</v>
      </c>
      <c r="B40" s="162">
        <v>38</v>
      </c>
      <c r="C40" s="760" t="s">
        <v>352</v>
      </c>
      <c r="D40" s="1545"/>
      <c r="E40" s="783">
        <f t="shared" si="4"/>
        <v>0</v>
      </c>
      <c r="F40" s="1545"/>
      <c r="G40" s="1545"/>
      <c r="H40" s="783">
        <f t="shared" si="5"/>
        <v>0</v>
      </c>
      <c r="I40" s="1545"/>
      <c r="K40" s="503"/>
      <c r="L40" s="834"/>
      <c r="M40" s="881">
        <v>100</v>
      </c>
      <c r="N40" s="784" t="e">
        <f t="shared" si="6"/>
        <v>#DIV/0!</v>
      </c>
      <c r="O40" s="784" t="e">
        <f t="shared" si="3"/>
        <v>#DIV/0!</v>
      </c>
    </row>
    <row r="41" spans="1:21">
      <c r="B41" s="162">
        <v>39</v>
      </c>
      <c r="C41" s="881" t="s">
        <v>1005</v>
      </c>
      <c r="D41" s="406">
        <f>D33+D36+D37+D38+D39+D40</f>
        <v>301600</v>
      </c>
      <c r="E41" s="406">
        <f t="shared" ref="E41:H41" si="8">E33+E36+E37+E38+E39+E40</f>
        <v>99.999999999999986</v>
      </c>
      <c r="F41" s="406">
        <f t="shared" si="8"/>
        <v>15240</v>
      </c>
      <c r="G41" s="406">
        <f t="shared" si="8"/>
        <v>875987.9</v>
      </c>
      <c r="H41" s="406">
        <f t="shared" si="8"/>
        <v>100</v>
      </c>
      <c r="I41" s="406">
        <f>I33+I36+I37+I38+I39+I40</f>
        <v>43839.4</v>
      </c>
    </row>
    <row r="42" spans="1:21">
      <c r="B42" s="162">
        <v>40</v>
      </c>
    </row>
    <row r="43" spans="1:21">
      <c r="A43" s="809" t="s">
        <v>2260</v>
      </c>
      <c r="B43" s="162">
        <v>41</v>
      </c>
      <c r="C43" s="881" t="s">
        <v>2551</v>
      </c>
      <c r="D43" s="406">
        <f>D41-D7</f>
        <v>-0.65456468699267134</v>
      </c>
      <c r="E43" s="406">
        <f>ROUND(IF(D41&lt;&gt;0,100-E41,0),2)</f>
        <v>0</v>
      </c>
      <c r="F43" s="406">
        <f>ROUND(F41-F7,2)</f>
        <v>0</v>
      </c>
      <c r="G43" s="406">
        <f>ROUND(G41-D18,2)</f>
        <v>0</v>
      </c>
      <c r="H43" s="406">
        <f>ROUND(IF(G41&lt;&gt;0,100-H41,0),2)</f>
        <v>0</v>
      </c>
      <c r="I43" s="406">
        <f>ROUND(I41-F18,2)</f>
        <v>0</v>
      </c>
    </row>
    <row r="44" spans="1:21">
      <c r="B44" s="162">
        <v>42</v>
      </c>
      <c r="C44" s="834"/>
      <c r="D44" s="835"/>
      <c r="E44" s="835"/>
    </row>
    <row r="45" spans="1:21" hidden="1">
      <c r="A45" s="811" t="str">
        <f>HYPERLINK("#C1","置顶")</f>
        <v>置顶</v>
      </c>
      <c r="B45" s="162">
        <v>43</v>
      </c>
      <c r="C45" s="825" t="s">
        <v>2598</v>
      </c>
      <c r="D45" s="835"/>
      <c r="E45" s="835"/>
    </row>
    <row r="46" spans="1:21" hidden="1">
      <c r="B46" s="162">
        <v>44</v>
      </c>
      <c r="C46" s="1833" t="s">
        <v>2553</v>
      </c>
      <c r="D46" s="1820" t="s">
        <v>2535</v>
      </c>
      <c r="E46" s="1820"/>
      <c r="F46" s="1820"/>
      <c r="G46" s="1820" t="s">
        <v>774</v>
      </c>
      <c r="H46" s="1820"/>
      <c r="I46" s="1820"/>
      <c r="M46" s="881" t="s">
        <v>2749</v>
      </c>
    </row>
    <row r="47" spans="1:21" hidden="1">
      <c r="A47" s="809" t="s">
        <v>2751</v>
      </c>
      <c r="B47" s="162">
        <v>46</v>
      </c>
      <c r="C47" s="1833"/>
      <c r="D47" s="882" t="s">
        <v>2752</v>
      </c>
      <c r="E47" s="882" t="s">
        <v>2753</v>
      </c>
      <c r="F47" s="792" t="s">
        <v>2692</v>
      </c>
      <c r="G47" s="882" t="s">
        <v>2752</v>
      </c>
      <c r="H47" s="882" t="s">
        <v>2753</v>
      </c>
      <c r="I47" s="792" t="s">
        <v>2692</v>
      </c>
      <c r="M47" s="882" t="s">
        <v>2754</v>
      </c>
      <c r="N47" s="826" t="s">
        <v>2755</v>
      </c>
      <c r="O47" s="826" t="s">
        <v>2756</v>
      </c>
    </row>
    <row r="48" spans="1:21" hidden="1">
      <c r="A48" s="810">
        <v>1</v>
      </c>
      <c r="B48" s="162">
        <v>47</v>
      </c>
      <c r="C48" s="340"/>
      <c r="D48" s="400"/>
      <c r="E48" s="783">
        <f t="shared" ref="E48:E53" si="9">ROUND(IF(D48&lt;&gt;0,F48/D48,0)*100,2)</f>
        <v>0</v>
      </c>
      <c r="F48" s="400"/>
      <c r="G48" s="400"/>
      <c r="H48" s="783">
        <f t="shared" ref="H48:H53" si="10">ROUND(IF(G48&lt;&gt;0,I48/G48,0)*100,2)</f>
        <v>0</v>
      </c>
      <c r="I48" s="400"/>
      <c r="M48" s="881">
        <v>5</v>
      </c>
      <c r="N48" s="784" t="e">
        <f t="shared" ref="N48:N53" si="11">F48/D48*100</f>
        <v>#DIV/0!</v>
      </c>
      <c r="O48" s="784" t="e">
        <f t="shared" ref="O48:O53" si="12">I48/G48*100</f>
        <v>#DIV/0!</v>
      </c>
    </row>
    <row r="49" spans="1:15" hidden="1">
      <c r="A49" s="810">
        <v>2</v>
      </c>
      <c r="B49" s="162">
        <v>48</v>
      </c>
      <c r="C49" s="340"/>
      <c r="D49" s="400"/>
      <c r="E49" s="783">
        <f t="shared" si="9"/>
        <v>0</v>
      </c>
      <c r="F49" s="400"/>
      <c r="G49" s="400"/>
      <c r="H49" s="783">
        <f t="shared" si="10"/>
        <v>0</v>
      </c>
      <c r="I49" s="400"/>
      <c r="M49" s="881">
        <v>10</v>
      </c>
      <c r="N49" s="784" t="e">
        <f t="shared" si="11"/>
        <v>#DIV/0!</v>
      </c>
      <c r="O49" s="784" t="e">
        <f t="shared" si="12"/>
        <v>#DIV/0!</v>
      </c>
    </row>
    <row r="50" spans="1:15" hidden="1">
      <c r="A50" s="810">
        <v>3</v>
      </c>
      <c r="B50" s="162">
        <v>49</v>
      </c>
      <c r="C50" s="340"/>
      <c r="D50" s="400"/>
      <c r="E50" s="783">
        <f t="shared" si="9"/>
        <v>0</v>
      </c>
      <c r="F50" s="400"/>
      <c r="G50" s="400"/>
      <c r="H50" s="783">
        <f t="shared" si="10"/>
        <v>0</v>
      </c>
      <c r="I50" s="400"/>
      <c r="M50" s="881">
        <v>30</v>
      </c>
      <c r="N50" s="784" t="e">
        <f t="shared" si="11"/>
        <v>#DIV/0!</v>
      </c>
      <c r="O50" s="784" t="e">
        <f t="shared" si="12"/>
        <v>#DIV/0!</v>
      </c>
    </row>
    <row r="51" spans="1:15" hidden="1">
      <c r="A51" s="810">
        <v>4</v>
      </c>
      <c r="B51" s="162">
        <v>50</v>
      </c>
      <c r="C51" s="340"/>
      <c r="D51" s="400"/>
      <c r="E51" s="783">
        <f t="shared" si="9"/>
        <v>0</v>
      </c>
      <c r="F51" s="400"/>
      <c r="G51" s="400"/>
      <c r="H51" s="783">
        <f t="shared" si="10"/>
        <v>0</v>
      </c>
      <c r="I51" s="400"/>
      <c r="M51" s="881">
        <v>50</v>
      </c>
      <c r="N51" s="784" t="e">
        <f t="shared" si="11"/>
        <v>#DIV/0!</v>
      </c>
      <c r="O51" s="784" t="e">
        <f t="shared" si="12"/>
        <v>#DIV/0!</v>
      </c>
    </row>
    <row r="52" spans="1:15" hidden="1">
      <c r="A52" s="810">
        <v>5</v>
      </c>
      <c r="B52" s="162">
        <v>51</v>
      </c>
      <c r="C52" s="340"/>
      <c r="D52" s="400"/>
      <c r="E52" s="783">
        <f t="shared" si="9"/>
        <v>0</v>
      </c>
      <c r="F52" s="400"/>
      <c r="G52" s="400"/>
      <c r="H52" s="783">
        <f t="shared" si="10"/>
        <v>0</v>
      </c>
      <c r="I52" s="400"/>
      <c r="M52" s="881">
        <v>80</v>
      </c>
      <c r="N52" s="784" t="e">
        <f t="shared" si="11"/>
        <v>#DIV/0!</v>
      </c>
      <c r="O52" s="784" t="e">
        <f t="shared" si="12"/>
        <v>#DIV/0!</v>
      </c>
    </row>
    <row r="53" spans="1:15" hidden="1">
      <c r="A53" s="810">
        <v>6</v>
      </c>
      <c r="B53" s="162">
        <v>52</v>
      </c>
      <c r="C53" s="340"/>
      <c r="D53" s="400"/>
      <c r="E53" s="783">
        <f t="shared" si="9"/>
        <v>0</v>
      </c>
      <c r="F53" s="400"/>
      <c r="G53" s="400"/>
      <c r="H53" s="783">
        <f t="shared" si="10"/>
        <v>0</v>
      </c>
      <c r="I53" s="400"/>
      <c r="M53" s="881">
        <v>100</v>
      </c>
      <c r="N53" s="784" t="e">
        <f t="shared" si="11"/>
        <v>#DIV/0!</v>
      </c>
      <c r="O53" s="784" t="e">
        <f t="shared" si="12"/>
        <v>#DIV/0!</v>
      </c>
    </row>
    <row r="54" spans="1:15" hidden="1">
      <c r="B54" s="162">
        <v>53</v>
      </c>
      <c r="C54" s="889" t="s">
        <v>823</v>
      </c>
      <c r="D54" s="406">
        <f t="shared" ref="D54:I54" si="13">SUM(D48:D53)</f>
        <v>0</v>
      </c>
      <c r="E54" s="400"/>
      <c r="F54" s="406">
        <f t="shared" si="13"/>
        <v>0</v>
      </c>
      <c r="G54" s="406">
        <f t="shared" si="13"/>
        <v>0</v>
      </c>
      <c r="H54" s="400"/>
      <c r="I54" s="406">
        <f t="shared" si="13"/>
        <v>0</v>
      </c>
    </row>
    <row r="55" spans="1:15" hidden="1">
      <c r="A55" s="809" t="s">
        <v>2260</v>
      </c>
      <c r="B55" s="162">
        <v>54</v>
      </c>
      <c r="C55" s="834"/>
      <c r="D55" s="835"/>
      <c r="E55" s="835"/>
    </row>
    <row r="56" spans="1:15" hidden="1">
      <c r="B56" s="162">
        <v>55</v>
      </c>
      <c r="C56" s="881" t="s">
        <v>2551</v>
      </c>
      <c r="D56" s="406">
        <f>D54</f>
        <v>0</v>
      </c>
      <c r="E56" s="400"/>
      <c r="F56" s="780">
        <f>F54</f>
        <v>0</v>
      </c>
      <c r="G56" s="780">
        <f>G54</f>
        <v>0</v>
      </c>
      <c r="H56" s="400"/>
      <c r="I56" s="780">
        <f>I54</f>
        <v>0</v>
      </c>
    </row>
    <row r="57" spans="1:15">
      <c r="A57" s="811" t="str">
        <f>HYPERLINK("#C1","置顶")</f>
        <v>置顶</v>
      </c>
      <c r="B57" s="162">
        <v>56</v>
      </c>
      <c r="C57" s="834"/>
      <c r="D57" s="835"/>
      <c r="E57" s="835"/>
    </row>
    <row r="58" spans="1:15">
      <c r="B58" s="162">
        <v>57</v>
      </c>
      <c r="C58" s="825" t="s">
        <v>2599</v>
      </c>
      <c r="D58" s="835"/>
      <c r="E58" s="835"/>
    </row>
    <row r="59" spans="1:15">
      <c r="A59" s="809" t="s">
        <v>2586</v>
      </c>
      <c r="B59" s="162">
        <v>58</v>
      </c>
      <c r="C59" s="1833" t="s">
        <v>2553</v>
      </c>
      <c r="D59" s="1834" t="s">
        <v>2535</v>
      </c>
      <c r="E59" s="1835"/>
      <c r="F59" s="1834" t="s">
        <v>774</v>
      </c>
      <c r="G59" s="1835"/>
    </row>
    <row r="60" spans="1:15">
      <c r="B60" s="162">
        <v>59</v>
      </c>
      <c r="C60" s="1833"/>
      <c r="D60" s="792" t="s">
        <v>826</v>
      </c>
      <c r="E60" s="792" t="s">
        <v>827</v>
      </c>
      <c r="F60" s="792" t="s">
        <v>826</v>
      </c>
      <c r="G60" s="792" t="s">
        <v>827</v>
      </c>
    </row>
    <row r="61" spans="1:15">
      <c r="A61" s="810">
        <v>1</v>
      </c>
      <c r="B61" s="162">
        <v>60</v>
      </c>
      <c r="C61" s="836" t="s">
        <v>2556</v>
      </c>
      <c r="D61" s="400">
        <v>573987.9</v>
      </c>
      <c r="E61" s="400">
        <v>0</v>
      </c>
      <c r="F61" s="400">
        <v>800</v>
      </c>
      <c r="G61" s="400"/>
    </row>
    <row r="62" spans="1:15">
      <c r="A62" s="810">
        <v>2</v>
      </c>
      <c r="B62" s="162">
        <v>61</v>
      </c>
      <c r="C62" s="340"/>
      <c r="D62" s="400"/>
      <c r="E62" s="400"/>
      <c r="F62" s="400"/>
      <c r="G62" s="400"/>
    </row>
    <row r="63" spans="1:15">
      <c r="A63" s="810">
        <v>3</v>
      </c>
      <c r="B63" s="162">
        <v>62</v>
      </c>
      <c r="C63" s="340"/>
      <c r="D63" s="400"/>
      <c r="E63" s="400"/>
      <c r="F63" s="400"/>
      <c r="G63" s="400"/>
    </row>
    <row r="64" spans="1:15">
      <c r="A64" s="810">
        <v>4</v>
      </c>
      <c r="B64" s="162">
        <v>63</v>
      </c>
      <c r="C64" s="340"/>
      <c r="D64" s="400"/>
      <c r="E64" s="400"/>
      <c r="F64" s="400"/>
      <c r="G64" s="400"/>
    </row>
    <row r="65" spans="1:16">
      <c r="A65" s="810">
        <v>5</v>
      </c>
      <c r="B65" s="162">
        <v>64</v>
      </c>
      <c r="C65" s="340"/>
      <c r="D65" s="400"/>
      <c r="E65" s="400"/>
      <c r="F65" s="400"/>
      <c r="G65" s="400"/>
    </row>
    <row r="66" spans="1:16">
      <c r="B66" s="162">
        <v>65</v>
      </c>
      <c r="C66" s="889" t="s">
        <v>823</v>
      </c>
      <c r="D66" s="406">
        <f>SUM(D61:D65)</f>
        <v>573987.9</v>
      </c>
      <c r="E66" s="406">
        <f>SUM(E61:E65)</f>
        <v>0</v>
      </c>
      <c r="F66" s="406">
        <f>SUM(F61:F65)</f>
        <v>800</v>
      </c>
      <c r="G66" s="406">
        <f>SUM(G61:G65)</f>
        <v>0</v>
      </c>
    </row>
    <row r="67" spans="1:16">
      <c r="A67" s="809" t="s">
        <v>2260</v>
      </c>
      <c r="B67" s="162">
        <v>66</v>
      </c>
      <c r="C67" s="834"/>
      <c r="D67" s="835"/>
      <c r="E67" s="835"/>
    </row>
    <row r="68" spans="1:16">
      <c r="B68" s="162">
        <v>67</v>
      </c>
      <c r="C68" s="881" t="s">
        <v>2551</v>
      </c>
      <c r="D68" s="406">
        <f>D66-D8</f>
        <v>0</v>
      </c>
      <c r="E68" s="406">
        <f>E66-F8</f>
        <v>0</v>
      </c>
      <c r="F68" s="406">
        <f>F66-D19</f>
        <v>0</v>
      </c>
      <c r="G68" s="406">
        <f>G66-F19</f>
        <v>0</v>
      </c>
    </row>
    <row r="69" spans="1:16">
      <c r="A69" s="811" t="str">
        <f>HYPERLINK("#C1","置顶")</f>
        <v>置顶</v>
      </c>
      <c r="B69" s="162">
        <v>68</v>
      </c>
      <c r="C69" s="834"/>
      <c r="D69" s="835"/>
      <c r="E69" s="835"/>
    </row>
    <row r="70" spans="1:16" hidden="1">
      <c r="B70" s="162">
        <v>69</v>
      </c>
      <c r="C70" s="825" t="s">
        <v>2600</v>
      </c>
      <c r="D70" s="835"/>
      <c r="E70" s="835"/>
    </row>
    <row r="71" spans="1:16" hidden="1">
      <c r="A71" s="809" t="s">
        <v>2586</v>
      </c>
      <c r="B71" s="162">
        <v>70</v>
      </c>
      <c r="C71" s="825"/>
      <c r="D71" s="835"/>
      <c r="E71" s="835"/>
    </row>
    <row r="72" spans="1:16" hidden="1">
      <c r="B72" s="162">
        <v>71</v>
      </c>
      <c r="C72" s="837" t="s">
        <v>2601</v>
      </c>
      <c r="D72" s="835"/>
      <c r="E72" s="835"/>
      <c r="I72" s="788" t="s">
        <v>2559</v>
      </c>
      <c r="J72" s="788"/>
      <c r="K72" s="788"/>
      <c r="L72" s="789"/>
      <c r="M72" s="789"/>
      <c r="N72" s="789"/>
      <c r="O72" s="789"/>
      <c r="P72" s="1824" t="s">
        <v>2560</v>
      </c>
    </row>
    <row r="73" spans="1:16" hidden="1">
      <c r="B73" s="162">
        <v>72</v>
      </c>
      <c r="C73" s="889" t="s">
        <v>2561</v>
      </c>
      <c r="D73" s="883" t="s">
        <v>826</v>
      </c>
      <c r="E73" s="883" t="s">
        <v>827</v>
      </c>
      <c r="F73" s="883" t="s">
        <v>2562</v>
      </c>
      <c r="G73" s="883" t="s">
        <v>2602</v>
      </c>
      <c r="H73" s="883" t="s">
        <v>2563</v>
      </c>
      <c r="I73" s="790" t="s">
        <v>2697</v>
      </c>
      <c r="J73" s="790" t="s">
        <v>2698</v>
      </c>
      <c r="K73" s="790" t="s">
        <v>2699</v>
      </c>
      <c r="L73" s="790" t="s">
        <v>2700</v>
      </c>
      <c r="M73" s="790" t="s">
        <v>2701</v>
      </c>
      <c r="N73" s="790" t="s">
        <v>352</v>
      </c>
      <c r="O73" s="790" t="s">
        <v>839</v>
      </c>
      <c r="P73" s="1824"/>
    </row>
    <row r="74" spans="1:16" hidden="1">
      <c r="A74" s="810">
        <v>1</v>
      </c>
      <c r="B74" s="162">
        <v>73</v>
      </c>
      <c r="C74" s="338"/>
      <c r="D74" s="400"/>
      <c r="E74" s="400"/>
      <c r="F74" s="400"/>
      <c r="G74" s="406">
        <f>ROUND(IF(D74&lt;&gt;0,E74/D74*100,0),2)</f>
        <v>0</v>
      </c>
      <c r="H74" s="838"/>
      <c r="I74" s="335"/>
      <c r="J74" s="335"/>
      <c r="K74" s="335"/>
      <c r="L74" s="888"/>
      <c r="M74" s="888"/>
      <c r="N74" s="888"/>
      <c r="O74" s="348">
        <f>SUM(I74:N74)</f>
        <v>0</v>
      </c>
      <c r="P74" s="348">
        <f>O74-D74</f>
        <v>0</v>
      </c>
    </row>
    <row r="75" spans="1:16" hidden="1">
      <c r="A75" s="810">
        <v>2</v>
      </c>
      <c r="B75" s="162">
        <v>74</v>
      </c>
      <c r="C75" s="338"/>
      <c r="D75" s="400"/>
      <c r="E75" s="400"/>
      <c r="F75" s="400"/>
      <c r="G75" s="406">
        <f t="shared" ref="G75:G88" si="14">ROUND(IF(D75&lt;&gt;0,E75/D75*100,0),2)</f>
        <v>0</v>
      </c>
      <c r="H75" s="838"/>
      <c r="I75" s="335"/>
      <c r="J75" s="335"/>
      <c r="K75" s="335"/>
      <c r="L75" s="888"/>
      <c r="M75" s="888"/>
      <c r="N75" s="888"/>
      <c r="O75" s="348">
        <f t="shared" ref="O75:O90" si="15">SUM(I75:N75)</f>
        <v>0</v>
      </c>
      <c r="P75" s="348">
        <f t="shared" ref="P75:P90" si="16">O75-D75</f>
        <v>0</v>
      </c>
    </row>
    <row r="76" spans="1:16" hidden="1">
      <c r="A76" s="810">
        <v>3</v>
      </c>
      <c r="B76" s="162">
        <v>75</v>
      </c>
      <c r="C76" s="760"/>
      <c r="D76" s="400"/>
      <c r="E76" s="400"/>
      <c r="F76" s="400"/>
      <c r="G76" s="406">
        <f t="shared" si="14"/>
        <v>0</v>
      </c>
      <c r="H76" s="838"/>
      <c r="I76" s="690"/>
      <c r="J76" s="690"/>
      <c r="K76" s="690"/>
      <c r="L76" s="690"/>
      <c r="M76" s="839"/>
      <c r="N76" s="839"/>
      <c r="O76" s="348">
        <f t="shared" si="15"/>
        <v>0</v>
      </c>
      <c r="P76" s="348">
        <f t="shared" si="16"/>
        <v>0</v>
      </c>
    </row>
    <row r="77" spans="1:16" hidden="1">
      <c r="A77" s="810">
        <v>4</v>
      </c>
      <c r="B77" s="162">
        <v>76</v>
      </c>
      <c r="C77" s="338"/>
      <c r="D77" s="400"/>
      <c r="E77" s="400"/>
      <c r="F77" s="400"/>
      <c r="G77" s="406">
        <f t="shared" si="14"/>
        <v>0</v>
      </c>
      <c r="H77" s="838"/>
      <c r="I77" s="690"/>
      <c r="J77" s="690"/>
      <c r="K77" s="690"/>
      <c r="L77" s="690"/>
      <c r="M77" s="839"/>
      <c r="N77" s="839"/>
      <c r="O77" s="348">
        <f t="shared" si="15"/>
        <v>0</v>
      </c>
      <c r="P77" s="348">
        <f t="shared" si="16"/>
        <v>0</v>
      </c>
    </row>
    <row r="78" spans="1:16" hidden="1">
      <c r="A78" s="810">
        <v>5</v>
      </c>
      <c r="B78" s="162">
        <v>77</v>
      </c>
      <c r="C78" s="338"/>
      <c r="D78" s="400"/>
      <c r="E78" s="400"/>
      <c r="F78" s="400"/>
      <c r="G78" s="406">
        <f t="shared" si="14"/>
        <v>0</v>
      </c>
      <c r="H78" s="838"/>
      <c r="I78" s="690"/>
      <c r="J78" s="690"/>
      <c r="K78" s="690"/>
      <c r="L78" s="690"/>
      <c r="M78" s="839"/>
      <c r="N78" s="839"/>
      <c r="O78" s="348">
        <f t="shared" si="15"/>
        <v>0</v>
      </c>
      <c r="P78" s="348">
        <f t="shared" si="16"/>
        <v>0</v>
      </c>
    </row>
    <row r="79" spans="1:16" hidden="1">
      <c r="A79" s="810">
        <v>6</v>
      </c>
      <c r="B79" s="162">
        <v>78</v>
      </c>
      <c r="C79" s="338"/>
      <c r="D79" s="400"/>
      <c r="E79" s="400"/>
      <c r="F79" s="400"/>
      <c r="G79" s="406">
        <f t="shared" si="14"/>
        <v>0</v>
      </c>
      <c r="H79" s="838"/>
      <c r="I79" s="690"/>
      <c r="J79" s="690"/>
      <c r="K79" s="690"/>
      <c r="L79" s="690"/>
      <c r="M79" s="839"/>
      <c r="N79" s="839"/>
      <c r="O79" s="348">
        <f t="shared" si="15"/>
        <v>0</v>
      </c>
      <c r="P79" s="348">
        <f t="shared" si="16"/>
        <v>0</v>
      </c>
    </row>
    <row r="80" spans="1:16" hidden="1">
      <c r="A80" s="810">
        <v>7</v>
      </c>
      <c r="B80" s="162">
        <v>79</v>
      </c>
      <c r="C80" s="760"/>
      <c r="D80" s="400"/>
      <c r="E80" s="400"/>
      <c r="F80" s="400"/>
      <c r="G80" s="406">
        <f t="shared" si="14"/>
        <v>0</v>
      </c>
      <c r="H80" s="838"/>
      <c r="I80" s="690"/>
      <c r="J80" s="690"/>
      <c r="K80" s="690"/>
      <c r="L80" s="690"/>
      <c r="M80" s="839"/>
      <c r="N80" s="839"/>
      <c r="O80" s="348">
        <f t="shared" si="15"/>
        <v>0</v>
      </c>
      <c r="P80" s="348">
        <f t="shared" si="16"/>
        <v>0</v>
      </c>
    </row>
    <row r="81" spans="1:16" hidden="1">
      <c r="A81" s="810">
        <v>8</v>
      </c>
      <c r="B81" s="162">
        <v>80</v>
      </c>
      <c r="C81" s="338"/>
      <c r="D81" s="400"/>
      <c r="E81" s="400"/>
      <c r="F81" s="400"/>
      <c r="G81" s="406">
        <f t="shared" si="14"/>
        <v>0</v>
      </c>
      <c r="H81" s="838"/>
      <c r="I81" s="690"/>
      <c r="J81" s="690"/>
      <c r="K81" s="690"/>
      <c r="L81" s="690"/>
      <c r="M81" s="839"/>
      <c r="N81" s="839"/>
      <c r="O81" s="348">
        <f t="shared" si="15"/>
        <v>0</v>
      </c>
      <c r="P81" s="348">
        <f t="shared" si="16"/>
        <v>0</v>
      </c>
    </row>
    <row r="82" spans="1:16" hidden="1">
      <c r="A82" s="810">
        <v>9</v>
      </c>
      <c r="B82" s="162">
        <v>81</v>
      </c>
      <c r="C82" s="338"/>
      <c r="D82" s="400"/>
      <c r="E82" s="400"/>
      <c r="F82" s="400"/>
      <c r="G82" s="406">
        <f t="shared" si="14"/>
        <v>0</v>
      </c>
      <c r="H82" s="838"/>
      <c r="I82" s="690"/>
      <c r="J82" s="690"/>
      <c r="K82" s="690"/>
      <c r="L82" s="690"/>
      <c r="M82" s="839"/>
      <c r="N82" s="839"/>
      <c r="O82" s="348">
        <f t="shared" si="15"/>
        <v>0</v>
      </c>
      <c r="P82" s="348">
        <f t="shared" si="16"/>
        <v>0</v>
      </c>
    </row>
    <row r="83" spans="1:16" hidden="1">
      <c r="A83" s="810">
        <v>10</v>
      </c>
      <c r="B83" s="162">
        <v>82</v>
      </c>
      <c r="C83" s="338"/>
      <c r="D83" s="400"/>
      <c r="E83" s="400"/>
      <c r="F83" s="400"/>
      <c r="G83" s="406">
        <f t="shared" si="14"/>
        <v>0</v>
      </c>
      <c r="H83" s="838"/>
      <c r="I83" s="690"/>
      <c r="J83" s="690"/>
      <c r="K83" s="690"/>
      <c r="L83" s="690"/>
      <c r="M83" s="839"/>
      <c r="N83" s="839"/>
      <c r="O83" s="348">
        <f t="shared" si="15"/>
        <v>0</v>
      </c>
      <c r="P83" s="348">
        <f t="shared" si="16"/>
        <v>0</v>
      </c>
    </row>
    <row r="84" spans="1:16" hidden="1">
      <c r="A84" s="810">
        <v>11</v>
      </c>
      <c r="B84" s="162">
        <v>83</v>
      </c>
      <c r="C84" s="338"/>
      <c r="D84" s="400"/>
      <c r="E84" s="400"/>
      <c r="F84" s="400"/>
      <c r="G84" s="406">
        <f t="shared" si="14"/>
        <v>0</v>
      </c>
      <c r="H84" s="838"/>
      <c r="I84" s="690"/>
      <c r="J84" s="690"/>
      <c r="K84" s="690"/>
      <c r="L84" s="690"/>
      <c r="M84" s="839"/>
      <c r="N84" s="839"/>
      <c r="O84" s="348">
        <f t="shared" si="15"/>
        <v>0</v>
      </c>
      <c r="P84" s="348">
        <f t="shared" si="16"/>
        <v>0</v>
      </c>
    </row>
    <row r="85" spans="1:16" hidden="1">
      <c r="A85" s="810">
        <v>12</v>
      </c>
      <c r="B85" s="162">
        <v>84</v>
      </c>
      <c r="C85" s="338"/>
      <c r="D85" s="400"/>
      <c r="E85" s="400"/>
      <c r="F85" s="400"/>
      <c r="G85" s="406">
        <f t="shared" si="14"/>
        <v>0</v>
      </c>
      <c r="H85" s="838"/>
      <c r="I85" s="690"/>
      <c r="J85" s="690"/>
      <c r="K85" s="690"/>
      <c r="L85" s="690"/>
      <c r="M85" s="839"/>
      <c r="N85" s="839"/>
      <c r="O85" s="348">
        <f t="shared" si="15"/>
        <v>0</v>
      </c>
      <c r="P85" s="348">
        <f t="shared" si="16"/>
        <v>0</v>
      </c>
    </row>
    <row r="86" spans="1:16" hidden="1">
      <c r="A86" s="810">
        <v>13</v>
      </c>
      <c r="B86" s="162">
        <v>85</v>
      </c>
      <c r="C86" s="338"/>
      <c r="D86" s="400"/>
      <c r="E86" s="400"/>
      <c r="F86" s="400"/>
      <c r="G86" s="406">
        <f t="shared" si="14"/>
        <v>0</v>
      </c>
      <c r="H86" s="838"/>
      <c r="I86" s="690"/>
      <c r="J86" s="690"/>
      <c r="K86" s="690"/>
      <c r="L86" s="690"/>
      <c r="M86" s="839"/>
      <c r="N86" s="839"/>
      <c r="O86" s="348">
        <f t="shared" si="15"/>
        <v>0</v>
      </c>
      <c r="P86" s="348">
        <f t="shared" si="16"/>
        <v>0</v>
      </c>
    </row>
    <row r="87" spans="1:16" hidden="1">
      <c r="A87" s="810">
        <v>14</v>
      </c>
      <c r="B87" s="162">
        <v>86</v>
      </c>
      <c r="C87" s="338"/>
      <c r="D87" s="400"/>
      <c r="E87" s="400"/>
      <c r="F87" s="400"/>
      <c r="G87" s="406">
        <f t="shared" si="14"/>
        <v>0</v>
      </c>
      <c r="H87" s="838"/>
      <c r="I87" s="690"/>
      <c r="J87" s="690"/>
      <c r="K87" s="690"/>
      <c r="L87" s="690"/>
      <c r="M87" s="839"/>
      <c r="N87" s="839"/>
      <c r="O87" s="348">
        <f t="shared" si="15"/>
        <v>0</v>
      </c>
      <c r="P87" s="348">
        <f t="shared" si="16"/>
        <v>0</v>
      </c>
    </row>
    <row r="88" spans="1:16" hidden="1">
      <c r="A88" s="810">
        <v>15</v>
      </c>
      <c r="B88" s="162">
        <v>87</v>
      </c>
      <c r="C88" s="338"/>
      <c r="D88" s="400"/>
      <c r="E88" s="400"/>
      <c r="F88" s="400"/>
      <c r="G88" s="406">
        <f t="shared" si="14"/>
        <v>0</v>
      </c>
      <c r="H88" s="838"/>
      <c r="I88" s="690"/>
      <c r="J88" s="690"/>
      <c r="K88" s="690"/>
      <c r="L88" s="690"/>
      <c r="M88" s="839"/>
      <c r="N88" s="839"/>
      <c r="O88" s="348">
        <f t="shared" si="15"/>
        <v>0</v>
      </c>
      <c r="P88" s="348">
        <f t="shared" si="16"/>
        <v>0</v>
      </c>
    </row>
    <row r="89" spans="1:16" hidden="1">
      <c r="A89" s="809" t="s">
        <v>2260</v>
      </c>
      <c r="B89" s="162">
        <v>88</v>
      </c>
      <c r="C89" s="889" t="s">
        <v>823</v>
      </c>
      <c r="D89" s="406">
        <f>SUM(D74:D88)</f>
        <v>0</v>
      </c>
      <c r="E89" s="406">
        <f>SUM(E74:E88)</f>
        <v>0</v>
      </c>
      <c r="F89" s="400"/>
      <c r="G89" s="400"/>
      <c r="H89" s="838"/>
      <c r="I89" s="806">
        <f>SUM(I74:I88)</f>
        <v>0</v>
      </c>
      <c r="J89" s="806">
        <f t="shared" ref="J89:P89" si="17">SUM(J74:J88)</f>
        <v>0</v>
      </c>
      <c r="K89" s="806">
        <f t="shared" si="17"/>
        <v>0</v>
      </c>
      <c r="L89" s="806">
        <f t="shared" si="17"/>
        <v>0</v>
      </c>
      <c r="M89" s="806">
        <f t="shared" si="17"/>
        <v>0</v>
      </c>
      <c r="N89" s="806">
        <f t="shared" si="17"/>
        <v>0</v>
      </c>
      <c r="O89" s="806">
        <f t="shared" si="17"/>
        <v>0</v>
      </c>
      <c r="P89" s="806">
        <f t="shared" si="17"/>
        <v>0</v>
      </c>
    </row>
    <row r="90" spans="1:16" hidden="1">
      <c r="B90" s="162">
        <v>89</v>
      </c>
      <c r="C90" s="834"/>
      <c r="D90" s="835"/>
      <c r="E90" s="835"/>
      <c r="I90" s="824"/>
      <c r="J90" s="824"/>
      <c r="K90" s="824"/>
      <c r="L90" s="824"/>
      <c r="M90" s="840"/>
      <c r="N90" s="840"/>
      <c r="O90" s="841">
        <f t="shared" si="15"/>
        <v>0</v>
      </c>
      <c r="P90" s="841">
        <f t="shared" si="16"/>
        <v>0</v>
      </c>
    </row>
    <row r="91" spans="1:16" hidden="1">
      <c r="A91" s="811" t="str">
        <f>HYPERLINK("#C1","置顶")</f>
        <v>置顶</v>
      </c>
      <c r="B91" s="162">
        <v>90</v>
      </c>
      <c r="C91" s="881" t="s">
        <v>2551</v>
      </c>
      <c r="D91" s="406">
        <f>D89-D5</f>
        <v>0</v>
      </c>
      <c r="E91" s="406">
        <f>E89-F5</f>
        <v>0</v>
      </c>
      <c r="F91" s="406">
        <f>D89-O89</f>
        <v>0</v>
      </c>
      <c r="I91" s="824"/>
      <c r="J91" s="824"/>
      <c r="K91" s="824"/>
      <c r="L91" s="824"/>
      <c r="M91" s="840"/>
      <c r="N91" s="840"/>
      <c r="O91" s="840"/>
      <c r="P91" s="840"/>
    </row>
    <row r="92" spans="1:16" hidden="1">
      <c r="B92" s="162">
        <v>91</v>
      </c>
      <c r="C92" s="834"/>
      <c r="D92" s="835"/>
      <c r="E92" s="835"/>
      <c r="I92" s="824"/>
      <c r="J92" s="824"/>
      <c r="K92" s="824"/>
      <c r="L92" s="824"/>
      <c r="M92" s="840"/>
      <c r="N92" s="840"/>
      <c r="O92" s="840"/>
      <c r="P92" s="840"/>
    </row>
    <row r="93" spans="1:16" hidden="1">
      <c r="A93" s="809" t="s">
        <v>2586</v>
      </c>
      <c r="B93" s="162">
        <v>92</v>
      </c>
      <c r="C93" s="837" t="s">
        <v>2603</v>
      </c>
      <c r="D93" s="835"/>
      <c r="E93" s="835"/>
      <c r="I93" s="788" t="s">
        <v>2559</v>
      </c>
      <c r="J93" s="788"/>
      <c r="K93" s="788"/>
      <c r="L93" s="789"/>
      <c r="M93" s="789"/>
      <c r="N93" s="789"/>
      <c r="O93" s="789"/>
      <c r="P93" s="1824" t="s">
        <v>2560</v>
      </c>
    </row>
    <row r="94" spans="1:16" hidden="1">
      <c r="B94" s="162">
        <v>93</v>
      </c>
      <c r="C94" s="889" t="s">
        <v>2561</v>
      </c>
      <c r="D94" s="883" t="s">
        <v>826</v>
      </c>
      <c r="E94" s="883" t="s">
        <v>827</v>
      </c>
      <c r="F94" s="883" t="s">
        <v>2562</v>
      </c>
      <c r="G94" s="883" t="s">
        <v>2602</v>
      </c>
      <c r="H94" s="883" t="s">
        <v>2563</v>
      </c>
      <c r="I94" s="790" t="s">
        <v>2697</v>
      </c>
      <c r="J94" s="790" t="s">
        <v>2698</v>
      </c>
      <c r="K94" s="790" t="s">
        <v>2699</v>
      </c>
      <c r="L94" s="790" t="s">
        <v>2700</v>
      </c>
      <c r="M94" s="790" t="s">
        <v>2701</v>
      </c>
      <c r="N94" s="790" t="s">
        <v>352</v>
      </c>
      <c r="O94" s="790" t="s">
        <v>839</v>
      </c>
      <c r="P94" s="1824"/>
    </row>
    <row r="95" spans="1:16" hidden="1">
      <c r="A95" s="810">
        <v>1</v>
      </c>
      <c r="B95" s="162">
        <v>94</v>
      </c>
      <c r="C95" s="760"/>
      <c r="D95" s="400"/>
      <c r="E95" s="400"/>
      <c r="F95" s="400"/>
      <c r="G95" s="406">
        <f t="shared" ref="G95:G109" si="18">ROUND(IF(D95&lt;&gt;0,E95/D95*100,0),2)</f>
        <v>0</v>
      </c>
      <c r="H95" s="838"/>
      <c r="I95" s="335"/>
      <c r="J95" s="335"/>
      <c r="K95" s="335"/>
      <c r="L95" s="888"/>
      <c r="M95" s="888"/>
      <c r="N95" s="888"/>
      <c r="O95" s="348">
        <f>SUM(I95:N95)</f>
        <v>0</v>
      </c>
      <c r="P95" s="348">
        <f>O95-D95</f>
        <v>0</v>
      </c>
    </row>
    <row r="96" spans="1:16" hidden="1">
      <c r="A96" s="810">
        <v>2</v>
      </c>
      <c r="B96" s="162">
        <v>95</v>
      </c>
      <c r="C96" s="760"/>
      <c r="D96" s="400"/>
      <c r="E96" s="400"/>
      <c r="F96" s="400"/>
      <c r="G96" s="406">
        <f t="shared" si="18"/>
        <v>0</v>
      </c>
      <c r="H96" s="838"/>
      <c r="I96" s="335"/>
      <c r="J96" s="335"/>
      <c r="K96" s="335"/>
      <c r="L96" s="888"/>
      <c r="M96" s="888"/>
      <c r="N96" s="888"/>
      <c r="O96" s="348">
        <f t="shared" ref="O96:O109" si="19">SUM(I96:N96)</f>
        <v>0</v>
      </c>
      <c r="P96" s="348">
        <f t="shared" ref="P96:P109" si="20">O96-D96</f>
        <v>0</v>
      </c>
    </row>
    <row r="97" spans="1:16" hidden="1">
      <c r="A97" s="810">
        <v>3</v>
      </c>
      <c r="B97" s="162">
        <v>96</v>
      </c>
      <c r="C97" s="760"/>
      <c r="D97" s="400"/>
      <c r="E97" s="400"/>
      <c r="F97" s="400"/>
      <c r="G97" s="406">
        <f t="shared" si="18"/>
        <v>0</v>
      </c>
      <c r="H97" s="838"/>
      <c r="I97" s="335"/>
      <c r="J97" s="335"/>
      <c r="K97" s="335"/>
      <c r="L97" s="888"/>
      <c r="M97" s="888"/>
      <c r="N97" s="888"/>
      <c r="O97" s="348">
        <f t="shared" si="19"/>
        <v>0</v>
      </c>
      <c r="P97" s="348">
        <f t="shared" si="20"/>
        <v>0</v>
      </c>
    </row>
    <row r="98" spans="1:16" hidden="1">
      <c r="A98" s="810">
        <v>4</v>
      </c>
      <c r="B98" s="162">
        <v>97</v>
      </c>
      <c r="C98" s="760"/>
      <c r="D98" s="400"/>
      <c r="E98" s="400"/>
      <c r="F98" s="400"/>
      <c r="G98" s="406">
        <f t="shared" si="18"/>
        <v>0</v>
      </c>
      <c r="H98" s="838"/>
      <c r="I98" s="335"/>
      <c r="J98" s="335"/>
      <c r="K98" s="335"/>
      <c r="L98" s="888"/>
      <c r="M98" s="888"/>
      <c r="N98" s="888"/>
      <c r="O98" s="348">
        <f t="shared" si="19"/>
        <v>0</v>
      </c>
      <c r="P98" s="348">
        <f t="shared" si="20"/>
        <v>0</v>
      </c>
    </row>
    <row r="99" spans="1:16" hidden="1">
      <c r="A99" s="810">
        <v>5</v>
      </c>
      <c r="B99" s="162">
        <v>98</v>
      </c>
      <c r="C99" s="760"/>
      <c r="D99" s="400"/>
      <c r="E99" s="400"/>
      <c r="F99" s="400"/>
      <c r="G99" s="406">
        <f t="shared" si="18"/>
        <v>0</v>
      </c>
      <c r="H99" s="838"/>
      <c r="I99" s="335"/>
      <c r="J99" s="335"/>
      <c r="K99" s="335"/>
      <c r="L99" s="888"/>
      <c r="M99" s="888"/>
      <c r="N99" s="888"/>
      <c r="O99" s="348">
        <f t="shared" si="19"/>
        <v>0</v>
      </c>
      <c r="P99" s="348">
        <f t="shared" si="20"/>
        <v>0</v>
      </c>
    </row>
    <row r="100" spans="1:16" hidden="1">
      <c r="A100" s="810">
        <v>6</v>
      </c>
      <c r="B100" s="162">
        <v>99</v>
      </c>
      <c r="C100" s="760"/>
      <c r="D100" s="400"/>
      <c r="E100" s="400"/>
      <c r="F100" s="400"/>
      <c r="G100" s="406">
        <f t="shared" si="18"/>
        <v>0</v>
      </c>
      <c r="H100" s="838"/>
      <c r="I100" s="335"/>
      <c r="J100" s="335"/>
      <c r="K100" s="335"/>
      <c r="L100" s="888"/>
      <c r="M100" s="888"/>
      <c r="N100" s="888"/>
      <c r="O100" s="348">
        <f t="shared" si="19"/>
        <v>0</v>
      </c>
      <c r="P100" s="348">
        <f t="shared" si="20"/>
        <v>0</v>
      </c>
    </row>
    <row r="101" spans="1:16" hidden="1">
      <c r="A101" s="810">
        <v>7</v>
      </c>
      <c r="B101" s="162">
        <v>100</v>
      </c>
      <c r="C101" s="760"/>
      <c r="D101" s="400"/>
      <c r="E101" s="400"/>
      <c r="F101" s="400"/>
      <c r="G101" s="406">
        <f t="shared" si="18"/>
        <v>0</v>
      </c>
      <c r="H101" s="838"/>
      <c r="I101" s="335"/>
      <c r="J101" s="335"/>
      <c r="K101" s="335"/>
      <c r="L101" s="888"/>
      <c r="M101" s="888"/>
      <c r="N101" s="888"/>
      <c r="O101" s="348">
        <f t="shared" si="19"/>
        <v>0</v>
      </c>
      <c r="P101" s="348">
        <f t="shared" si="20"/>
        <v>0</v>
      </c>
    </row>
    <row r="102" spans="1:16" hidden="1">
      <c r="A102" s="810">
        <v>8</v>
      </c>
      <c r="B102" s="162">
        <v>101</v>
      </c>
      <c r="C102" s="338"/>
      <c r="D102" s="883"/>
      <c r="E102" s="883"/>
      <c r="F102" s="883"/>
      <c r="G102" s="406">
        <f t="shared" si="18"/>
        <v>0</v>
      </c>
      <c r="H102" s="883"/>
      <c r="I102" s="335"/>
      <c r="J102" s="335"/>
      <c r="K102" s="335"/>
      <c r="L102" s="888"/>
      <c r="M102" s="888"/>
      <c r="N102" s="888"/>
      <c r="O102" s="348">
        <f t="shared" si="19"/>
        <v>0</v>
      </c>
      <c r="P102" s="348">
        <f t="shared" si="20"/>
        <v>0</v>
      </c>
    </row>
    <row r="103" spans="1:16" hidden="1">
      <c r="A103" s="810">
        <v>9</v>
      </c>
      <c r="B103" s="162">
        <v>102</v>
      </c>
      <c r="C103" s="338"/>
      <c r="D103" s="400"/>
      <c r="E103" s="400"/>
      <c r="F103" s="400"/>
      <c r="G103" s="406">
        <f t="shared" si="18"/>
        <v>0</v>
      </c>
      <c r="H103" s="838"/>
      <c r="I103" s="335"/>
      <c r="J103" s="335"/>
      <c r="K103" s="335"/>
      <c r="L103" s="888"/>
      <c r="M103" s="888"/>
      <c r="N103" s="888"/>
      <c r="O103" s="348">
        <f t="shared" si="19"/>
        <v>0</v>
      </c>
      <c r="P103" s="348">
        <f t="shared" si="20"/>
        <v>0</v>
      </c>
    </row>
    <row r="104" spans="1:16" hidden="1">
      <c r="A104" s="810">
        <v>10</v>
      </c>
      <c r="B104" s="162">
        <v>103</v>
      </c>
      <c r="C104" s="338"/>
      <c r="D104" s="400"/>
      <c r="E104" s="400"/>
      <c r="F104" s="400"/>
      <c r="G104" s="406">
        <f t="shared" si="18"/>
        <v>0</v>
      </c>
      <c r="H104" s="838"/>
      <c r="I104" s="335"/>
      <c r="J104" s="335"/>
      <c r="K104" s="335"/>
      <c r="L104" s="888"/>
      <c r="M104" s="888"/>
      <c r="N104" s="888"/>
      <c r="O104" s="348">
        <f t="shared" si="19"/>
        <v>0</v>
      </c>
      <c r="P104" s="348">
        <f t="shared" si="20"/>
        <v>0</v>
      </c>
    </row>
    <row r="105" spans="1:16" hidden="1">
      <c r="A105" s="810">
        <v>11</v>
      </c>
      <c r="B105" s="162">
        <v>104</v>
      </c>
      <c r="C105" s="338"/>
      <c r="D105" s="400"/>
      <c r="E105" s="400"/>
      <c r="F105" s="400"/>
      <c r="G105" s="406">
        <f t="shared" si="18"/>
        <v>0</v>
      </c>
      <c r="H105" s="838"/>
      <c r="I105" s="335"/>
      <c r="J105" s="335"/>
      <c r="K105" s="335"/>
      <c r="L105" s="888"/>
      <c r="M105" s="888"/>
      <c r="N105" s="888"/>
      <c r="O105" s="348">
        <f t="shared" si="19"/>
        <v>0</v>
      </c>
      <c r="P105" s="348">
        <f t="shared" si="20"/>
        <v>0</v>
      </c>
    </row>
    <row r="106" spans="1:16" hidden="1">
      <c r="A106" s="810">
        <v>12</v>
      </c>
      <c r="B106" s="162">
        <v>105</v>
      </c>
      <c r="C106" s="338"/>
      <c r="D106" s="400"/>
      <c r="E106" s="400"/>
      <c r="F106" s="400"/>
      <c r="G106" s="406">
        <f t="shared" si="18"/>
        <v>0</v>
      </c>
      <c r="H106" s="838"/>
      <c r="I106" s="335"/>
      <c r="J106" s="335"/>
      <c r="K106" s="335"/>
      <c r="L106" s="888"/>
      <c r="M106" s="888"/>
      <c r="N106" s="888"/>
      <c r="O106" s="348">
        <f t="shared" si="19"/>
        <v>0</v>
      </c>
      <c r="P106" s="348">
        <f t="shared" si="20"/>
        <v>0</v>
      </c>
    </row>
    <row r="107" spans="1:16" hidden="1">
      <c r="A107" s="810">
        <v>13</v>
      </c>
      <c r="B107" s="162">
        <v>106</v>
      </c>
      <c r="C107" s="338"/>
      <c r="D107" s="400"/>
      <c r="E107" s="400"/>
      <c r="F107" s="400"/>
      <c r="G107" s="406">
        <f t="shared" si="18"/>
        <v>0</v>
      </c>
      <c r="H107" s="838"/>
      <c r="I107" s="335"/>
      <c r="J107" s="335"/>
      <c r="K107" s="335"/>
      <c r="L107" s="888"/>
      <c r="M107" s="888"/>
      <c r="N107" s="888"/>
      <c r="O107" s="348">
        <f t="shared" si="19"/>
        <v>0</v>
      </c>
      <c r="P107" s="348">
        <f t="shared" si="20"/>
        <v>0</v>
      </c>
    </row>
    <row r="108" spans="1:16" hidden="1">
      <c r="A108" s="810">
        <v>14</v>
      </c>
      <c r="B108" s="162">
        <v>107</v>
      </c>
      <c r="C108" s="338"/>
      <c r="D108" s="400"/>
      <c r="E108" s="400"/>
      <c r="F108" s="400"/>
      <c r="G108" s="406">
        <f t="shared" si="18"/>
        <v>0</v>
      </c>
      <c r="H108" s="838"/>
      <c r="I108" s="335"/>
      <c r="J108" s="335"/>
      <c r="K108" s="335"/>
      <c r="L108" s="888"/>
      <c r="M108" s="888"/>
      <c r="N108" s="888"/>
      <c r="O108" s="348">
        <f t="shared" si="19"/>
        <v>0</v>
      </c>
      <c r="P108" s="348">
        <f t="shared" si="20"/>
        <v>0</v>
      </c>
    </row>
    <row r="109" spans="1:16" hidden="1">
      <c r="A109" s="810">
        <v>15</v>
      </c>
      <c r="B109" s="162">
        <v>108</v>
      </c>
      <c r="C109" s="338"/>
      <c r="D109" s="400"/>
      <c r="E109" s="400"/>
      <c r="F109" s="400"/>
      <c r="G109" s="406">
        <f t="shared" si="18"/>
        <v>0</v>
      </c>
      <c r="H109" s="838"/>
      <c r="I109" s="335"/>
      <c r="J109" s="335"/>
      <c r="K109" s="335"/>
      <c r="L109" s="888"/>
      <c r="M109" s="888"/>
      <c r="N109" s="888"/>
      <c r="O109" s="348">
        <f t="shared" si="19"/>
        <v>0</v>
      </c>
      <c r="P109" s="348">
        <f t="shared" si="20"/>
        <v>0</v>
      </c>
    </row>
    <row r="110" spans="1:16" hidden="1">
      <c r="A110" s="809" t="s">
        <v>2260</v>
      </c>
      <c r="B110" s="162">
        <v>109</v>
      </c>
      <c r="C110" s="889" t="s">
        <v>823</v>
      </c>
      <c r="D110" s="406">
        <f>SUM(D95:D109)</f>
        <v>0</v>
      </c>
      <c r="E110" s="406">
        <f>SUM(E95:E109)</f>
        <v>0</v>
      </c>
      <c r="F110" s="400"/>
      <c r="G110" s="838"/>
      <c r="H110" s="838"/>
      <c r="I110" s="348">
        <f>SUM(I95:I109)</f>
        <v>0</v>
      </c>
      <c r="J110" s="348">
        <f t="shared" ref="J110:O110" si="21">SUM(J95:J109)</f>
        <v>0</v>
      </c>
      <c r="K110" s="348">
        <f t="shared" si="21"/>
        <v>0</v>
      </c>
      <c r="L110" s="348">
        <f t="shared" si="21"/>
        <v>0</v>
      </c>
      <c r="M110" s="348">
        <f t="shared" si="21"/>
        <v>0</v>
      </c>
      <c r="N110" s="348">
        <f t="shared" si="21"/>
        <v>0</v>
      </c>
      <c r="O110" s="348">
        <f t="shared" si="21"/>
        <v>0</v>
      </c>
      <c r="P110" s="348">
        <f>SUM(P95:P109)</f>
        <v>0</v>
      </c>
    </row>
    <row r="111" spans="1:16" hidden="1">
      <c r="B111" s="162">
        <v>110</v>
      </c>
      <c r="C111" s="834"/>
      <c r="D111" s="835"/>
      <c r="E111" s="835"/>
    </row>
    <row r="112" spans="1:16" hidden="1">
      <c r="A112" s="811" t="str">
        <f>HYPERLINK("#C1","置顶")</f>
        <v>置顶</v>
      </c>
      <c r="B112" s="162">
        <v>111</v>
      </c>
      <c r="C112" s="881" t="s">
        <v>2551</v>
      </c>
      <c r="D112" s="406">
        <f>D110-D9</f>
        <v>0</v>
      </c>
      <c r="E112" s="406">
        <f>E110-F9</f>
        <v>0</v>
      </c>
      <c r="F112" s="406">
        <f>D110-O110</f>
        <v>0</v>
      </c>
    </row>
    <row r="113" spans="1:18">
      <c r="B113" s="162">
        <v>112</v>
      </c>
      <c r="C113" s="834"/>
      <c r="D113" s="835"/>
      <c r="E113" s="835"/>
    </row>
    <row r="114" spans="1:18" hidden="1">
      <c r="A114" s="809" t="s">
        <v>2586</v>
      </c>
      <c r="B114" s="162">
        <v>113</v>
      </c>
      <c r="C114" s="837" t="s">
        <v>2604</v>
      </c>
      <c r="D114" s="835"/>
      <c r="E114" s="835"/>
    </row>
    <row r="115" spans="1:18" s="843" customFormat="1" ht="36" hidden="1">
      <c r="A115" s="810"/>
      <c r="B115" s="162">
        <v>114</v>
      </c>
      <c r="C115" s="889" t="s">
        <v>2561</v>
      </c>
      <c r="D115" s="792" t="s">
        <v>2567</v>
      </c>
      <c r="E115" s="792" t="s">
        <v>2566</v>
      </c>
      <c r="F115" s="1325" t="s">
        <v>4678</v>
      </c>
      <c r="G115" s="842"/>
      <c r="H115" s="842"/>
      <c r="R115" s="1054"/>
    </row>
    <row r="116" spans="1:18" hidden="1">
      <c r="A116" s="810">
        <v>1</v>
      </c>
      <c r="B116" s="162">
        <v>115</v>
      </c>
      <c r="C116" s="760"/>
      <c r="D116" s="883"/>
      <c r="E116" s="400"/>
      <c r="F116" s="400"/>
      <c r="I116" s="344"/>
    </row>
    <row r="117" spans="1:18" hidden="1">
      <c r="A117" s="810">
        <v>2</v>
      </c>
      <c r="B117" s="162">
        <v>116</v>
      </c>
      <c r="C117" s="760"/>
      <c r="D117" s="883"/>
      <c r="E117" s="400"/>
      <c r="F117" s="400"/>
      <c r="I117" s="344"/>
    </row>
    <row r="118" spans="1:18" hidden="1">
      <c r="A118" s="810">
        <v>3</v>
      </c>
      <c r="B118" s="162">
        <v>117</v>
      </c>
      <c r="C118" s="760"/>
      <c r="D118" s="883"/>
      <c r="E118" s="400"/>
      <c r="F118" s="400"/>
      <c r="I118" s="344"/>
    </row>
    <row r="119" spans="1:18" hidden="1">
      <c r="A119" s="810">
        <v>4</v>
      </c>
      <c r="B119" s="162">
        <v>118</v>
      </c>
      <c r="C119" s="760"/>
      <c r="D119" s="883"/>
      <c r="E119" s="400"/>
      <c r="F119" s="400"/>
      <c r="I119" s="344"/>
    </row>
    <row r="120" spans="1:18" hidden="1">
      <c r="A120" s="810">
        <v>5</v>
      </c>
      <c r="B120" s="162">
        <v>119</v>
      </c>
      <c r="C120" s="760"/>
      <c r="D120" s="883"/>
      <c r="E120" s="883"/>
      <c r="F120" s="883"/>
      <c r="I120" s="344"/>
    </row>
    <row r="121" spans="1:18" hidden="1">
      <c r="A121" s="810">
        <v>6</v>
      </c>
      <c r="B121" s="162">
        <v>120</v>
      </c>
      <c r="C121" s="760"/>
      <c r="D121" s="883"/>
      <c r="E121" s="400"/>
      <c r="F121" s="400"/>
      <c r="I121" s="344"/>
    </row>
    <row r="122" spans="1:18" hidden="1">
      <c r="A122" s="810">
        <v>7</v>
      </c>
      <c r="B122" s="162">
        <v>121</v>
      </c>
      <c r="C122" s="760"/>
      <c r="D122" s="883"/>
      <c r="E122" s="400"/>
      <c r="F122" s="400"/>
      <c r="I122" s="344"/>
    </row>
    <row r="123" spans="1:18" hidden="1">
      <c r="A123" s="810">
        <v>8</v>
      </c>
      <c r="B123" s="162">
        <v>122</v>
      </c>
      <c r="C123" s="760"/>
      <c r="D123" s="883"/>
      <c r="E123" s="400"/>
      <c r="F123" s="400"/>
      <c r="I123" s="344"/>
    </row>
    <row r="124" spans="1:18" hidden="1">
      <c r="A124" s="810">
        <v>9</v>
      </c>
      <c r="B124" s="162">
        <v>123</v>
      </c>
      <c r="C124" s="760"/>
      <c r="D124" s="883"/>
      <c r="E124" s="400"/>
      <c r="F124" s="400"/>
      <c r="I124" s="344"/>
    </row>
    <row r="125" spans="1:18" hidden="1">
      <c r="A125" s="810">
        <v>10</v>
      </c>
      <c r="B125" s="162">
        <v>124</v>
      </c>
      <c r="C125" s="760"/>
      <c r="D125" s="883"/>
      <c r="E125" s="400"/>
      <c r="F125" s="400"/>
      <c r="I125" s="344"/>
    </row>
    <row r="126" spans="1:18" hidden="1">
      <c r="A126" s="810">
        <v>11</v>
      </c>
      <c r="B126" s="162">
        <v>125</v>
      </c>
      <c r="C126" s="760"/>
      <c r="D126" s="883"/>
      <c r="E126" s="400"/>
      <c r="F126" s="400"/>
      <c r="I126" s="344"/>
    </row>
    <row r="127" spans="1:18" hidden="1">
      <c r="A127" s="810">
        <v>12</v>
      </c>
      <c r="B127" s="162">
        <v>126</v>
      </c>
      <c r="C127" s="760"/>
      <c r="D127" s="883"/>
      <c r="E127" s="400"/>
      <c r="F127" s="400"/>
      <c r="I127" s="344"/>
    </row>
    <row r="128" spans="1:18" hidden="1">
      <c r="A128" s="810">
        <v>13</v>
      </c>
      <c r="B128" s="162">
        <v>127</v>
      </c>
      <c r="C128" s="760"/>
      <c r="D128" s="883"/>
      <c r="E128" s="400"/>
      <c r="F128" s="400"/>
      <c r="I128" s="344"/>
    </row>
    <row r="129" spans="1:9" hidden="1">
      <c r="A129" s="810">
        <v>14</v>
      </c>
      <c r="B129" s="162">
        <v>128</v>
      </c>
      <c r="C129" s="760"/>
      <c r="D129" s="883"/>
      <c r="E129" s="400"/>
      <c r="F129" s="400"/>
      <c r="I129" s="344"/>
    </row>
    <row r="130" spans="1:9" hidden="1">
      <c r="A130" s="810">
        <v>15</v>
      </c>
      <c r="B130" s="162">
        <v>129</v>
      </c>
      <c r="C130" s="760"/>
      <c r="D130" s="883"/>
      <c r="E130" s="400"/>
      <c r="F130" s="400"/>
      <c r="I130" s="344"/>
    </row>
    <row r="131" spans="1:9" ht="14.25" hidden="1">
      <c r="A131" s="809" t="s">
        <v>2260</v>
      </c>
      <c r="B131" s="162">
        <v>130</v>
      </c>
      <c r="C131" s="881" t="s">
        <v>2574</v>
      </c>
      <c r="D131" s="406">
        <f>SUM(D116:D130)</f>
        <v>0</v>
      </c>
      <c r="E131" s="406">
        <f>SUM(E116:E130)</f>
        <v>0</v>
      </c>
      <c r="F131" s="1419"/>
      <c r="I131" s="344"/>
    </row>
    <row r="132" spans="1:9">
      <c r="B132" s="162">
        <v>131</v>
      </c>
      <c r="C132" s="834"/>
      <c r="D132" s="835"/>
      <c r="E132" s="835"/>
    </row>
    <row r="133" spans="1:9" hidden="1">
      <c r="A133" s="809" t="s">
        <v>2586</v>
      </c>
      <c r="B133" s="162">
        <v>132</v>
      </c>
      <c r="C133" s="837" t="s">
        <v>2605</v>
      </c>
      <c r="D133" s="835"/>
      <c r="E133" s="835"/>
    </row>
    <row r="134" spans="1:9" hidden="1">
      <c r="B134" s="162">
        <v>133</v>
      </c>
      <c r="C134" s="881" t="s">
        <v>2561</v>
      </c>
      <c r="D134" s="883" t="s">
        <v>2606</v>
      </c>
      <c r="E134" s="792" t="s">
        <v>2571</v>
      </c>
      <c r="F134" s="792" t="s">
        <v>2572</v>
      </c>
      <c r="G134" s="1326" t="s">
        <v>4526</v>
      </c>
      <c r="H134" s="1326" t="s">
        <v>4680</v>
      </c>
    </row>
    <row r="135" spans="1:9" hidden="1">
      <c r="A135" s="810">
        <v>1</v>
      </c>
      <c r="B135" s="162">
        <v>134</v>
      </c>
      <c r="C135" s="760"/>
      <c r="D135" s="883"/>
      <c r="E135" s="400"/>
      <c r="F135" s="792"/>
      <c r="G135" s="792"/>
      <c r="H135" s="335"/>
    </row>
    <row r="136" spans="1:9" hidden="1">
      <c r="A136" s="810">
        <v>2</v>
      </c>
      <c r="B136" s="162">
        <v>135</v>
      </c>
      <c r="C136" s="760"/>
      <c r="D136" s="883"/>
      <c r="E136" s="400"/>
      <c r="F136" s="792"/>
      <c r="G136" s="792"/>
      <c r="H136" s="335"/>
    </row>
    <row r="137" spans="1:9" hidden="1">
      <c r="A137" s="810">
        <v>3</v>
      </c>
      <c r="B137" s="162">
        <v>136</v>
      </c>
      <c r="C137" s="760"/>
      <c r="D137" s="883"/>
      <c r="E137" s="400"/>
      <c r="F137" s="792"/>
      <c r="G137" s="792"/>
      <c r="H137" s="335"/>
    </row>
    <row r="138" spans="1:9" hidden="1">
      <c r="A138" s="810">
        <v>4</v>
      </c>
      <c r="B138" s="162">
        <v>137</v>
      </c>
      <c r="C138" s="760"/>
      <c r="D138" s="883"/>
      <c r="E138" s="400"/>
      <c r="F138" s="792"/>
      <c r="G138" s="792"/>
      <c r="H138" s="335"/>
    </row>
    <row r="139" spans="1:9" hidden="1">
      <c r="A139" s="810">
        <v>5</v>
      </c>
      <c r="B139" s="162">
        <v>138</v>
      </c>
      <c r="C139" s="760"/>
      <c r="D139" s="883"/>
      <c r="E139" s="400"/>
      <c r="F139" s="792"/>
      <c r="G139" s="792"/>
      <c r="H139" s="335"/>
    </row>
    <row r="140" spans="1:9" hidden="1">
      <c r="A140" s="810">
        <v>6</v>
      </c>
      <c r="B140" s="162">
        <v>139</v>
      </c>
      <c r="C140" s="760"/>
      <c r="D140" s="883"/>
      <c r="E140" s="400"/>
      <c r="F140" s="792"/>
      <c r="G140" s="792"/>
      <c r="H140" s="335"/>
    </row>
    <row r="141" spans="1:9" hidden="1">
      <c r="A141" s="810">
        <v>7</v>
      </c>
      <c r="B141" s="162">
        <v>140</v>
      </c>
      <c r="C141" s="760"/>
      <c r="D141" s="883"/>
      <c r="E141" s="400"/>
      <c r="F141" s="792"/>
      <c r="G141" s="792"/>
      <c r="H141" s="335"/>
    </row>
    <row r="142" spans="1:9" hidden="1">
      <c r="A142" s="810">
        <v>8</v>
      </c>
      <c r="B142" s="162">
        <v>141</v>
      </c>
      <c r="C142" s="760"/>
      <c r="D142" s="883"/>
      <c r="E142" s="400"/>
      <c r="F142" s="792"/>
      <c r="G142" s="792"/>
      <c r="H142" s="335"/>
    </row>
    <row r="143" spans="1:9" hidden="1">
      <c r="A143" s="810">
        <v>9</v>
      </c>
      <c r="B143" s="162">
        <v>142</v>
      </c>
      <c r="C143" s="760"/>
      <c r="D143" s="883"/>
      <c r="E143" s="400"/>
      <c r="F143" s="792"/>
      <c r="G143" s="792"/>
      <c r="H143" s="335"/>
    </row>
    <row r="144" spans="1:9" hidden="1">
      <c r="A144" s="810">
        <v>10</v>
      </c>
      <c r="B144" s="162">
        <v>143</v>
      </c>
      <c r="C144" s="760"/>
      <c r="D144" s="883"/>
      <c r="E144" s="400"/>
      <c r="F144" s="792"/>
      <c r="G144" s="792"/>
      <c r="H144" s="335"/>
    </row>
    <row r="145" spans="1:8" hidden="1">
      <c r="A145" s="810">
        <v>11</v>
      </c>
      <c r="B145" s="162">
        <v>144</v>
      </c>
      <c r="C145" s="760"/>
      <c r="D145" s="883"/>
      <c r="E145" s="400"/>
      <c r="F145" s="792"/>
      <c r="G145" s="792"/>
      <c r="H145" s="335"/>
    </row>
    <row r="146" spans="1:8" hidden="1">
      <c r="A146" s="810">
        <v>12</v>
      </c>
      <c r="B146" s="162">
        <v>145</v>
      </c>
      <c r="C146" s="760"/>
      <c r="D146" s="883"/>
      <c r="E146" s="400"/>
      <c r="F146" s="792"/>
      <c r="G146" s="792"/>
      <c r="H146" s="335"/>
    </row>
    <row r="147" spans="1:8" hidden="1">
      <c r="A147" s="810">
        <v>13</v>
      </c>
      <c r="B147" s="162">
        <v>146</v>
      </c>
      <c r="C147" s="760"/>
      <c r="D147" s="883"/>
      <c r="E147" s="400"/>
      <c r="F147" s="792"/>
      <c r="G147" s="792"/>
      <c r="H147" s="335"/>
    </row>
    <row r="148" spans="1:8" hidden="1">
      <c r="A148" s="810">
        <v>14</v>
      </c>
      <c r="B148" s="162">
        <v>147</v>
      </c>
      <c r="C148" s="760"/>
      <c r="D148" s="883"/>
      <c r="E148" s="400"/>
      <c r="F148" s="792"/>
      <c r="G148" s="792"/>
      <c r="H148" s="335"/>
    </row>
    <row r="149" spans="1:8" hidden="1">
      <c r="A149" s="810">
        <v>15</v>
      </c>
      <c r="B149" s="162">
        <v>148</v>
      </c>
      <c r="C149" s="760"/>
      <c r="D149" s="883"/>
      <c r="E149" s="400"/>
      <c r="F149" s="792"/>
      <c r="G149" s="792"/>
      <c r="H149" s="335"/>
    </row>
    <row r="150" spans="1:8" hidden="1">
      <c r="B150" s="162">
        <v>149</v>
      </c>
      <c r="C150" s="881" t="s">
        <v>2574</v>
      </c>
      <c r="D150" s="883"/>
      <c r="E150" s="406">
        <f>SUM(E135:E149)</f>
        <v>0</v>
      </c>
      <c r="F150" s="792"/>
      <c r="G150" s="792"/>
      <c r="H150" s="335"/>
    </row>
    <row r="151" spans="1:8">
      <c r="A151" s="809" t="s">
        <v>2260</v>
      </c>
      <c r="B151" s="162">
        <v>150</v>
      </c>
    </row>
    <row r="152" spans="1:8">
      <c r="B152" s="162">
        <v>151</v>
      </c>
      <c r="C152" s="844" t="s">
        <v>2757</v>
      </c>
    </row>
    <row r="153" spans="1:8">
      <c r="B153" s="162"/>
    </row>
    <row r="154" spans="1:8" ht="24.75">
      <c r="B154" s="162"/>
      <c r="C154" s="1321" t="s">
        <v>2561</v>
      </c>
      <c r="D154" s="357" t="s">
        <v>4533</v>
      </c>
      <c r="E154" s="1321" t="s">
        <v>826</v>
      </c>
      <c r="F154" s="1325" t="s">
        <v>4534</v>
      </c>
      <c r="G154" s="1330" t="s">
        <v>4531</v>
      </c>
      <c r="H154" s="1330" t="s">
        <v>4527</v>
      </c>
    </row>
    <row r="155" spans="1:8">
      <c r="B155" s="162"/>
      <c r="C155" s="1429" t="s">
        <v>5188</v>
      </c>
      <c r="D155" s="1285" t="s">
        <v>5215</v>
      </c>
      <c r="E155" s="1600">
        <v>535239.9</v>
      </c>
      <c r="F155" s="792" t="s">
        <v>5217</v>
      </c>
      <c r="G155" s="1619">
        <f>E155/$D$10</f>
        <v>0.61129156749439606</v>
      </c>
      <c r="H155" s="1328"/>
    </row>
    <row r="156" spans="1:8">
      <c r="B156" s="162"/>
      <c r="C156" s="1429" t="s">
        <v>5189</v>
      </c>
      <c r="D156" s="1285" t="s">
        <v>5216</v>
      </c>
      <c r="E156" s="1600">
        <v>300000</v>
      </c>
      <c r="F156" s="792" t="s">
        <v>5217</v>
      </c>
      <c r="G156" s="1619">
        <f>E156/$D$10</f>
        <v>0.34262668057504458</v>
      </c>
      <c r="H156" s="1328">
        <v>15000</v>
      </c>
    </row>
    <row r="157" spans="1:8">
      <c r="B157" s="162"/>
      <c r="C157" s="1429" t="s">
        <v>5190</v>
      </c>
      <c r="D157" s="1285" t="s">
        <v>5218</v>
      </c>
      <c r="E157" s="1600">
        <v>27528</v>
      </c>
      <c r="F157" s="792" t="s">
        <v>5219</v>
      </c>
      <c r="G157" s="1619">
        <f>E157/$D$10</f>
        <v>3.1439424209566094E-2</v>
      </c>
      <c r="H157" s="1328">
        <v>0</v>
      </c>
    </row>
    <row r="158" spans="1:8">
      <c r="B158" s="162"/>
      <c r="C158" s="1429" t="s">
        <v>5195</v>
      </c>
      <c r="D158" s="836" t="s">
        <v>5220</v>
      </c>
      <c r="E158" s="1600">
        <v>5000</v>
      </c>
      <c r="F158" s="792" t="s">
        <v>5221</v>
      </c>
      <c r="G158" s="1619">
        <f>E158/$D$10</f>
        <v>5.7104446762507432E-3</v>
      </c>
      <c r="H158" s="1328"/>
    </row>
    <row r="159" spans="1:8">
      <c r="B159" s="162"/>
      <c r="C159" s="794" t="s">
        <v>5191</v>
      </c>
      <c r="D159" s="836" t="s">
        <v>5192</v>
      </c>
      <c r="E159" s="1600">
        <v>2000</v>
      </c>
      <c r="F159" s="792" t="s">
        <v>5221</v>
      </c>
      <c r="G159" s="1619">
        <f>E159/$D$10</f>
        <v>2.2841778705002974E-3</v>
      </c>
      <c r="H159" s="1328"/>
    </row>
    <row r="160" spans="1:8">
      <c r="B160" s="162"/>
      <c r="C160" s="1321" t="s">
        <v>1005</v>
      </c>
      <c r="D160" s="836"/>
      <c r="E160" s="1618">
        <f>SUM(E155:E159)</f>
        <v>869767.9</v>
      </c>
      <c r="F160" s="1328"/>
      <c r="G160" s="1620">
        <f>SUM(G155:G159)</f>
        <v>0.99335229482575771</v>
      </c>
      <c r="H160" s="1329">
        <f>SUM(H155:H159)</f>
        <v>15000</v>
      </c>
    </row>
    <row r="161" spans="1:18">
      <c r="A161" s="811" t="str">
        <f>HYPERLINK("#C1","置顶")</f>
        <v>置顶</v>
      </c>
      <c r="B161" s="162">
        <v>152</v>
      </c>
    </row>
    <row r="162" spans="1:18" s="128" customFormat="1" ht="15" customHeight="1">
      <c r="A162" s="810"/>
      <c r="B162" s="162">
        <v>153</v>
      </c>
      <c r="C162" s="844" t="s">
        <v>2607</v>
      </c>
      <c r="D162" s="797"/>
      <c r="E162" s="797"/>
      <c r="F162" s="797"/>
      <c r="G162" s="797"/>
      <c r="H162" s="797"/>
      <c r="I162" s="797"/>
      <c r="R162" s="1635"/>
    </row>
    <row r="163" spans="1:18" s="128" customFormat="1" ht="15" customHeight="1">
      <c r="A163" s="809" t="s">
        <v>2586</v>
      </c>
      <c r="B163" s="162">
        <v>154</v>
      </c>
      <c r="C163" s="1836" t="s">
        <v>841</v>
      </c>
      <c r="D163" s="1837" t="s">
        <v>2538</v>
      </c>
      <c r="E163" s="1837"/>
      <c r="F163" s="1837"/>
      <c r="G163" s="1837" t="s">
        <v>2539</v>
      </c>
      <c r="H163" s="1837"/>
      <c r="I163" s="1837"/>
      <c r="J163" s="807"/>
      <c r="K163" s="1838" t="s">
        <v>2577</v>
      </c>
      <c r="L163" s="1838"/>
      <c r="R163" s="1635"/>
    </row>
    <row r="164" spans="1:18" s="128" customFormat="1" ht="15" customHeight="1">
      <c r="A164" s="810"/>
      <c r="B164" s="162">
        <v>155</v>
      </c>
      <c r="C164" s="1836"/>
      <c r="D164" s="1837" t="s">
        <v>842</v>
      </c>
      <c r="E164" s="1837"/>
      <c r="F164" s="1839" t="s">
        <v>843</v>
      </c>
      <c r="G164" s="1837" t="s">
        <v>842</v>
      </c>
      <c r="H164" s="1837"/>
      <c r="I164" s="1839" t="s">
        <v>843</v>
      </c>
      <c r="R164" s="1635"/>
    </row>
    <row r="165" spans="1:18" s="128" customFormat="1" ht="15" customHeight="1">
      <c r="A165" s="811" t="str">
        <f>HYPERLINK("#C1","置顶")</f>
        <v>置顶</v>
      </c>
      <c r="B165" s="162">
        <v>156</v>
      </c>
      <c r="C165" s="1836"/>
      <c r="D165" s="845" t="s">
        <v>844</v>
      </c>
      <c r="E165" s="845" t="s">
        <v>845</v>
      </c>
      <c r="F165" s="1839"/>
      <c r="G165" s="845" t="s">
        <v>844</v>
      </c>
      <c r="H165" s="845" t="s">
        <v>845</v>
      </c>
      <c r="I165" s="1839"/>
      <c r="J165" s="846" t="s">
        <v>2578</v>
      </c>
      <c r="K165" s="847" t="s">
        <v>2579</v>
      </c>
      <c r="L165" s="762" t="s">
        <v>2580</v>
      </c>
      <c r="M165" s="762" t="s">
        <v>2581</v>
      </c>
      <c r="R165" s="1635"/>
    </row>
    <row r="166" spans="1:18" s="128" customFormat="1" ht="15" customHeight="1">
      <c r="A166" s="812"/>
      <c r="B166" s="162">
        <v>157</v>
      </c>
      <c r="C166" s="848" t="s">
        <v>846</v>
      </c>
      <c r="D166" s="827">
        <v>28328</v>
      </c>
      <c r="E166" s="406">
        <f>ROUND(IF($D$174&lt;&gt;0,D166/$D$174,0)*100,2)</f>
        <v>3.24</v>
      </c>
      <c r="F166" s="803">
        <v>15000</v>
      </c>
      <c r="G166" s="803">
        <v>875187.9</v>
      </c>
      <c r="H166" s="406">
        <f>ROUND(IF($G$174&lt;&gt;0,G166/$G$174,0)*100,2)</f>
        <v>99.82</v>
      </c>
      <c r="I166" s="827">
        <v>43759.4</v>
      </c>
      <c r="J166" s="849" t="str">
        <f>IF(TYPE(G166)=2,I166,IF(ROUND(G166-D169,2)&gt;=0,"相符","账龄不勾辑"&amp;ROUND(G166-D169,2)))</f>
        <v>相符</v>
      </c>
      <c r="K166" s="818">
        <v>0.05</v>
      </c>
      <c r="L166" s="850" t="str">
        <f t="shared" ref="L166:L173" si="22">IF(TYPE(D166)=2,D166,IF(ROUND(F166-D166*K166,2)=0,"相符","坏账准备计算错误"&amp;ROUND(F166-D166*K166,2)))</f>
        <v>坏账准备计算错误13583.6</v>
      </c>
      <c r="M166" s="850" t="str">
        <f t="shared" ref="M166:M173" si="23">IF(TYPE(G166)=2,G166,IF(ROUND(I166-G166*K166,2)=0,"相符","坏账准备计算错误"&amp;ROUND(I166-G166*K166,2)))</f>
        <v>相符</v>
      </c>
      <c r="R166" s="1635"/>
    </row>
    <row r="167" spans="1:18" s="1480" customFormat="1" ht="15" hidden="1" customHeight="1">
      <c r="A167" s="812"/>
      <c r="B167" s="162"/>
      <c r="C167" s="1549" t="s">
        <v>4951</v>
      </c>
      <c r="D167" s="1545"/>
      <c r="E167" s="406">
        <f t="shared" ref="E167:E173" si="24">ROUND(IF($D$174&lt;&gt;0,D167/$D$174,0)*100,2)</f>
        <v>0</v>
      </c>
      <c r="F167" s="1545"/>
      <c r="G167" s="1545"/>
      <c r="H167" s="406">
        <f t="shared" ref="H167:H173" si="25">ROUND(IF($G$174&lt;&gt;0,G167/$G$174,0)*100,2)</f>
        <v>0</v>
      </c>
      <c r="I167" s="1545">
        <v>80</v>
      </c>
      <c r="J167" s="849" t="str">
        <f t="shared" ref="J167:J171" si="26">IF(TYPE(G167)=2,I167,IF(ROUND(G167-D168,2)&gt;=0,"相符","账龄不勾辑"&amp;ROUND(G167-D168,2)))</f>
        <v>相符</v>
      </c>
      <c r="K167" s="1548"/>
      <c r="L167" s="850" t="str">
        <f t="shared" si="22"/>
        <v>相符</v>
      </c>
      <c r="M167" s="850" t="str">
        <f>IF(TYPE(G167)=2,G167,IF(ROUND(I167-G167*K167,2)=0,"相符","坏账准备计算错误"&amp;ROUND(I167-G167*K167,2)))</f>
        <v>坏账准备计算错误80</v>
      </c>
      <c r="R167" s="1635"/>
    </row>
    <row r="168" spans="1:18" s="1480" customFormat="1" ht="15" hidden="1" customHeight="1">
      <c r="A168" s="812"/>
      <c r="B168" s="162"/>
      <c r="C168" s="1547" t="s">
        <v>4952</v>
      </c>
      <c r="D168" s="1545"/>
      <c r="E168" s="406">
        <f t="shared" si="24"/>
        <v>0</v>
      </c>
      <c r="F168" s="1545"/>
      <c r="G168" s="1545"/>
      <c r="H168" s="406">
        <f t="shared" si="25"/>
        <v>0</v>
      </c>
      <c r="I168" s="1545">
        <v>160</v>
      </c>
      <c r="J168" s="849" t="str">
        <f t="shared" si="26"/>
        <v>账龄不勾辑-846459.9</v>
      </c>
      <c r="K168" s="1548"/>
      <c r="L168" s="850" t="str">
        <f t="shared" si="22"/>
        <v>相符</v>
      </c>
      <c r="M168" s="850" t="str">
        <f t="shared" si="23"/>
        <v>坏账准备计算错误160</v>
      </c>
      <c r="R168" s="1635"/>
    </row>
    <row r="169" spans="1:18" s="128" customFormat="1" ht="15" customHeight="1">
      <c r="A169" s="809" t="s">
        <v>2260</v>
      </c>
      <c r="B169" s="162">
        <v>158</v>
      </c>
      <c r="C169" s="848" t="s">
        <v>2608</v>
      </c>
      <c r="D169" s="827">
        <v>846459.9</v>
      </c>
      <c r="E169" s="406">
        <f t="shared" si="24"/>
        <v>96.67</v>
      </c>
      <c r="F169" s="827">
        <v>80</v>
      </c>
      <c r="G169" s="827">
        <v>800</v>
      </c>
      <c r="H169" s="406">
        <f t="shared" si="25"/>
        <v>0.09</v>
      </c>
      <c r="I169" s="827">
        <v>80</v>
      </c>
      <c r="J169" s="849" t="str">
        <f t="shared" si="26"/>
        <v>相符</v>
      </c>
      <c r="K169" s="818">
        <v>0.1</v>
      </c>
      <c r="L169" s="850" t="str">
        <f t="shared" si="22"/>
        <v>坏账准备计算错误-84565.99</v>
      </c>
      <c r="M169" s="850" t="str">
        <f t="shared" si="23"/>
        <v>相符</v>
      </c>
      <c r="R169" s="1635"/>
    </row>
    <row r="170" spans="1:18" s="128" customFormat="1" ht="15" customHeight="1">
      <c r="A170" s="810"/>
      <c r="B170" s="162">
        <v>159</v>
      </c>
      <c r="C170" s="848" t="s">
        <v>848</v>
      </c>
      <c r="D170" s="1545">
        <v>800</v>
      </c>
      <c r="E170" s="406">
        <f t="shared" si="24"/>
        <v>0.09</v>
      </c>
      <c r="F170" s="1545">
        <v>160</v>
      </c>
      <c r="G170" s="1545">
        <v>800</v>
      </c>
      <c r="H170" s="406">
        <f t="shared" si="25"/>
        <v>0.09</v>
      </c>
      <c r="I170" s="1545"/>
      <c r="J170" s="849" t="str">
        <f t="shared" si="26"/>
        <v>相符</v>
      </c>
      <c r="K170" s="818">
        <v>0.2</v>
      </c>
      <c r="L170" s="850" t="str">
        <f t="shared" si="22"/>
        <v>相符</v>
      </c>
      <c r="M170" s="850" t="str">
        <f t="shared" si="23"/>
        <v>坏账准备计算错误-160</v>
      </c>
      <c r="R170" s="1635"/>
    </row>
    <row r="171" spans="1:18" s="128" customFormat="1" ht="15" customHeight="1">
      <c r="A171" s="811" t="str">
        <f>HYPERLINK("#C1","置顶")</f>
        <v>置顶</v>
      </c>
      <c r="B171" s="162">
        <v>160</v>
      </c>
      <c r="C171" s="848" t="s">
        <v>849</v>
      </c>
      <c r="D171" s="1545"/>
      <c r="E171" s="406">
        <f t="shared" si="24"/>
        <v>0</v>
      </c>
      <c r="F171" s="1545"/>
      <c r="G171" s="1545"/>
      <c r="H171" s="406">
        <f t="shared" si="25"/>
        <v>0</v>
      </c>
      <c r="I171" s="1545"/>
      <c r="J171" s="849" t="str">
        <f t="shared" si="26"/>
        <v>相符</v>
      </c>
      <c r="K171" s="818">
        <v>0.5</v>
      </c>
      <c r="L171" s="850" t="str">
        <f t="shared" si="22"/>
        <v>相符</v>
      </c>
      <c r="M171" s="850" t="str">
        <f t="shared" si="23"/>
        <v>相符</v>
      </c>
      <c r="R171" s="1635"/>
    </row>
    <row r="172" spans="1:18" s="128" customFormat="1" ht="15" customHeight="1">
      <c r="A172" s="810"/>
      <c r="B172" s="162">
        <v>161</v>
      </c>
      <c r="C172" s="848" t="s">
        <v>850</v>
      </c>
      <c r="D172" s="827"/>
      <c r="E172" s="406">
        <f t="shared" si="24"/>
        <v>0</v>
      </c>
      <c r="F172" s="827"/>
      <c r="G172" s="827"/>
      <c r="H172" s="406">
        <f t="shared" si="25"/>
        <v>0</v>
      </c>
      <c r="I172" s="827"/>
      <c r="J172" s="849" t="str">
        <f>IF(TYPE(G172)=2,I172,IF(ROUND(G172+G173-D173,2)&gt;=0,"相符","账龄不勾辑"&amp;ROUND(G172+G173-D173,2)))</f>
        <v>相符</v>
      </c>
      <c r="K172" s="818">
        <v>0.8</v>
      </c>
      <c r="L172" s="850" t="str">
        <f t="shared" si="22"/>
        <v>相符</v>
      </c>
      <c r="M172" s="850" t="str">
        <f t="shared" si="23"/>
        <v>相符</v>
      </c>
      <c r="R172" s="1635"/>
    </row>
    <row r="173" spans="1:18" s="128" customFormat="1" ht="15" customHeight="1">
      <c r="A173" s="809" t="s">
        <v>2586</v>
      </c>
      <c r="B173" s="162">
        <v>162</v>
      </c>
      <c r="C173" s="848" t="s">
        <v>851</v>
      </c>
      <c r="D173" s="1545"/>
      <c r="E173" s="406">
        <f t="shared" si="24"/>
        <v>0</v>
      </c>
      <c r="F173" s="1545"/>
      <c r="G173" s="1545"/>
      <c r="H173" s="406">
        <f t="shared" si="25"/>
        <v>0</v>
      </c>
      <c r="I173" s="1545"/>
      <c r="J173" s="849"/>
      <c r="K173" s="818">
        <v>1</v>
      </c>
      <c r="L173" s="850" t="str">
        <f t="shared" si="22"/>
        <v>相符</v>
      </c>
      <c r="M173" s="850" t="str">
        <f t="shared" si="23"/>
        <v>相符</v>
      </c>
      <c r="R173" s="1635"/>
    </row>
    <row r="174" spans="1:18" s="128" customFormat="1" ht="15.75" customHeight="1">
      <c r="A174" s="810"/>
      <c r="B174" s="162">
        <v>163</v>
      </c>
      <c r="C174" s="851" t="s">
        <v>852</v>
      </c>
      <c r="D174" s="406">
        <f>D166+D169+D170+D171+D172+D173</f>
        <v>875587.9</v>
      </c>
      <c r="E174" s="406">
        <f t="shared" ref="E174:F174" si="27">E166+E169+E170+E171+E172+E173</f>
        <v>100</v>
      </c>
      <c r="F174" s="406">
        <f t="shared" si="27"/>
        <v>15240</v>
      </c>
      <c r="G174" s="406">
        <f>G166+G169+G170+G171+G172+G173</f>
        <v>876787.9</v>
      </c>
      <c r="H174" s="406">
        <f>H166+H169+H170+H171+H172+H173</f>
        <v>100</v>
      </c>
      <c r="I174" s="406">
        <f t="shared" ref="I174" si="28">I166+I169+I170+I171+I172+I173</f>
        <v>43839.4</v>
      </c>
      <c r="R174" s="1635"/>
    </row>
    <row r="175" spans="1:18" s="128" customFormat="1" ht="15.75" customHeight="1">
      <c r="A175" s="812"/>
      <c r="B175" s="162">
        <v>164</v>
      </c>
      <c r="C175" s="128" t="s">
        <v>2584</v>
      </c>
      <c r="D175" s="778">
        <f>D174-D10</f>
        <v>-0.65456468693446368</v>
      </c>
      <c r="E175" s="806">
        <f>IF(D174&lt;&gt;0,100-E174,0)</f>
        <v>0</v>
      </c>
      <c r="F175" s="778">
        <f>F174-F10</f>
        <v>0</v>
      </c>
      <c r="G175" s="778">
        <f>G174-D21</f>
        <v>0</v>
      </c>
      <c r="H175" s="780">
        <f>IF(G174&lt;&gt;0,100-H174,0)</f>
        <v>0</v>
      </c>
      <c r="I175" s="778">
        <f>I174-F21</f>
        <v>0</v>
      </c>
      <c r="R175" s="1635"/>
    </row>
    <row r="176" spans="1:18" ht="15.75" customHeight="1">
      <c r="A176" s="809" t="s">
        <v>2260</v>
      </c>
      <c r="B176" s="162">
        <v>165</v>
      </c>
      <c r="C176" s="128" t="s">
        <v>2583</v>
      </c>
      <c r="D176" s="780">
        <f>D174-F174-审定资产负债表!C19</f>
        <v>0</v>
      </c>
      <c r="G176" s="780">
        <f>G174-I174-审定资产负债表!D19</f>
        <v>0</v>
      </c>
    </row>
    <row r="177" spans="2:9" ht="15.75" customHeight="1">
      <c r="B177" s="162">
        <v>166</v>
      </c>
      <c r="F177" s="345">
        <v>230000</v>
      </c>
    </row>
    <row r="179" spans="2:9">
      <c r="F179" s="345">
        <f>F174+F177</f>
        <v>245240</v>
      </c>
    </row>
    <row r="180" spans="2:9">
      <c r="F180" s="345">
        <v>28599.400000000023</v>
      </c>
    </row>
    <row r="181" spans="2:9">
      <c r="F181" s="345">
        <f>F179-F180</f>
        <v>216640.59999999998</v>
      </c>
    </row>
    <row r="182" spans="2:9">
      <c r="I182" s="345">
        <v>10959.85</v>
      </c>
    </row>
  </sheetData>
  <sheetProtection formatCells="0" formatColumns="0" formatRows="0" autoFilter="0"/>
  <mergeCells count="31">
    <mergeCell ref="P72:P73"/>
    <mergeCell ref="P93:P94"/>
    <mergeCell ref="C163:C165"/>
    <mergeCell ref="D163:F163"/>
    <mergeCell ref="G163:I163"/>
    <mergeCell ref="K163:L163"/>
    <mergeCell ref="D164:E164"/>
    <mergeCell ref="F164:F165"/>
    <mergeCell ref="G164:H164"/>
    <mergeCell ref="I164:I165"/>
    <mergeCell ref="C59:C60"/>
    <mergeCell ref="D59:E59"/>
    <mergeCell ref="F59:G59"/>
    <mergeCell ref="C46:C47"/>
    <mergeCell ref="D46:F46"/>
    <mergeCell ref="G46:I46"/>
    <mergeCell ref="C30:C32"/>
    <mergeCell ref="D30:F30"/>
    <mergeCell ref="G30:I30"/>
    <mergeCell ref="D31:E31"/>
    <mergeCell ref="F31:F32"/>
    <mergeCell ref="G31:H31"/>
    <mergeCell ref="I31:I32"/>
    <mergeCell ref="C2:C4"/>
    <mergeCell ref="D2:G2"/>
    <mergeCell ref="D3:E3"/>
    <mergeCell ref="F3:G3"/>
    <mergeCell ref="C13:C15"/>
    <mergeCell ref="D13:G13"/>
    <mergeCell ref="D14:E14"/>
    <mergeCell ref="F14:G14"/>
  </mergeCells>
  <phoneticPr fontId="5" type="noConversion"/>
  <conditionalFormatting sqref="J166:J173 L166:M173">
    <cfRule type="expression" dxfId="119" priority="2" stopIfTrue="1">
      <formula>OR(J166="相符",J166="不适用")</formula>
    </cfRule>
    <cfRule type="expression" dxfId="118" priority="3" stopIfTrue="1">
      <formula>J166&lt;&gt;"相符"</formula>
    </cfRule>
  </conditionalFormatting>
  <hyperlinks>
    <hyperlink ref="A1" location="附注填写封面!B3" display="返回目录" xr:uid="{00000000-0004-0000-1B00-000000000000}"/>
    <hyperlink ref="A5" location="审定资产减值准备情况表!B5" display="返回减值准备表" xr:uid="{00000000-0004-0000-1B00-000001000000}"/>
    <hyperlink ref="A9" location="附注填写封面!B3" display="返回目录" xr:uid="{00000000-0004-0000-1B00-000002000000}"/>
    <hyperlink ref="A17" location="附注填写封面!B3" display="返回目录" xr:uid="{00000000-0004-0000-1B00-000003000000}"/>
    <hyperlink ref="A26" location="附注填写封面!B3" display="返回目录" xr:uid="{00000000-0004-0000-1B00-000004000000}"/>
    <hyperlink ref="A36" location="附注填写封面!B3" display="返回目录" xr:uid="{00000000-0004-0000-1B00-000005000000}"/>
    <hyperlink ref="A43" location="附注填写封面!B3" display="返回目录" xr:uid="{00000000-0004-0000-1B00-000006000000}"/>
    <hyperlink ref="A55" location="附注填写封面!B3" display="返回目录" xr:uid="{00000000-0004-0000-1B00-000007000000}"/>
    <hyperlink ref="A67" location="附注填写封面!B3" display="返回目录" xr:uid="{00000000-0004-0000-1B00-000008000000}"/>
    <hyperlink ref="A89" location="附注填写封面!B3" display="返回目录" xr:uid="{00000000-0004-0000-1B00-000009000000}"/>
    <hyperlink ref="A110" location="附注填写封面!B3" display="返回目录" xr:uid="{00000000-0004-0000-1B00-00000A000000}"/>
    <hyperlink ref="A131" location="附注填写封面!B3" display="返回目录" xr:uid="{00000000-0004-0000-1B00-00000B000000}"/>
    <hyperlink ref="A135" location="附注填写封面!B3" display="返回目录" xr:uid="{00000000-0004-0000-1B00-00000C000000}"/>
    <hyperlink ref="A151" location="附注填写封面!B3" display="返回目录" xr:uid="{00000000-0004-0000-1B00-00000D000000}"/>
    <hyperlink ref="A169" location="附注填写封面!B3" display="返回目录" xr:uid="{00000000-0004-0000-1B00-00000E000000}"/>
    <hyperlink ref="A176" location="附注填写封面!B3" display="返回目录" xr:uid="{00000000-0004-0000-1B00-00000F000000}"/>
    <hyperlink ref="A13" location="审定资产减值准备情况表!B5" display="返回减值准备表" xr:uid="{00000000-0004-0000-1B00-000010000000}"/>
    <hyperlink ref="A21" location="审定资产减值准备情况表!B5" display="返回减值准备表" xr:uid="{00000000-0004-0000-1B00-000011000000}"/>
    <hyperlink ref="A30" location="审定资产减值准备情况表!B5" display="返回减值准备表" xr:uid="{00000000-0004-0000-1B00-000012000000}"/>
    <hyperlink ref="A40" location="审定资产减值准备情况表!B5" display="返回减值准备表" xr:uid="{00000000-0004-0000-1B00-000013000000}"/>
    <hyperlink ref="A47" location="审定资产减值准备情况表!B5" display="返回减值准备表" xr:uid="{00000000-0004-0000-1B00-000014000000}"/>
    <hyperlink ref="A59" location="审定资产减值准备情况表!B5" display="返回减值准备表" xr:uid="{00000000-0004-0000-1B00-000015000000}"/>
    <hyperlink ref="A71" location="审定资产减值准备情况表!B5" display="返回减值准备表" xr:uid="{00000000-0004-0000-1B00-000016000000}"/>
    <hyperlink ref="A93" location="审定资产减值准备情况表!B5" display="返回减值准备表" xr:uid="{00000000-0004-0000-1B00-000017000000}"/>
    <hyperlink ref="A114" location="审定资产减值准备情况表!B5" display="返回减值准备表" xr:uid="{00000000-0004-0000-1B00-000018000000}"/>
    <hyperlink ref="A133" location="审定资产减值准备情况表!B5" display="返回减值准备表" xr:uid="{00000000-0004-0000-1B00-000019000000}"/>
    <hyperlink ref="A163" location="审定资产减值准备情况表!B5" display="返回减值准备表" xr:uid="{00000000-0004-0000-1B00-00001A000000}"/>
    <hyperlink ref="A173" location="审定资产减值准备情况表!B5" display="返回减值准备表" xr:uid="{00000000-0004-0000-1B00-00001B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ignoredErrors>
    <ignoredError sqref="D131 G160:H160" unlockedFormula="1"/>
  </ignoredErrors>
  <legacyDrawing r:id="rId2"/>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9"/>
  <dimension ref="A1:I85"/>
  <sheetViews>
    <sheetView showGridLines="0" showZeros="0" workbookViewId="0">
      <pane xSplit="3" ySplit="4" topLeftCell="D57" activePane="bottomRight" state="frozen"/>
      <selection activeCell="A5" sqref="A5:A6"/>
      <selection pane="topRight" activeCell="A5" sqref="A5:A6"/>
      <selection pane="bottomLeft" activeCell="A5" sqref="A5:A6"/>
      <selection pane="bottomRight" activeCell="C57" sqref="C57"/>
    </sheetView>
  </sheetViews>
  <sheetFormatPr defaultColWidth="11.625" defaultRowHeight="13.5"/>
  <cols>
    <col min="1" max="1" width="7.875" style="924" customWidth="1"/>
    <col min="2" max="2" width="4" style="150" hidden="1" customWidth="1"/>
    <col min="3" max="3" width="35.875" style="150" customWidth="1"/>
    <col min="4" max="7" width="11.625" style="150"/>
    <col min="8" max="8" width="31.375" style="150" bestFit="1" customWidth="1"/>
    <col min="9" max="9" width="22.125" style="150" customWidth="1"/>
    <col min="10" max="16384" width="11.625" style="150"/>
  </cols>
  <sheetData>
    <row r="1" spans="1:9" ht="27.95" customHeight="1">
      <c r="A1" s="923" t="s">
        <v>2260</v>
      </c>
      <c r="B1" s="901" t="s">
        <v>2787</v>
      </c>
      <c r="C1" s="862" t="s">
        <v>2788</v>
      </c>
    </row>
    <row r="2" spans="1:9">
      <c r="B2" s="863">
        <v>2</v>
      </c>
      <c r="C2" s="925" t="s">
        <v>2789</v>
      </c>
    </row>
    <row r="3" spans="1:9">
      <c r="B3" s="863">
        <v>3</v>
      </c>
      <c r="C3" s="1831" t="s">
        <v>273</v>
      </c>
      <c r="D3" s="1831" t="s">
        <v>2705</v>
      </c>
      <c r="E3" s="1831"/>
      <c r="F3" s="1831"/>
      <c r="G3" s="150" t="s">
        <v>2718</v>
      </c>
    </row>
    <row r="4" spans="1:9">
      <c r="B4" s="863">
        <v>4</v>
      </c>
      <c r="C4" s="1831"/>
      <c r="D4" s="870" t="s">
        <v>2758</v>
      </c>
      <c r="E4" s="870" t="s">
        <v>2759</v>
      </c>
      <c r="F4" s="870" t="s">
        <v>2760</v>
      </c>
    </row>
    <row r="5" spans="1:9">
      <c r="B5" s="863">
        <v>5</v>
      </c>
      <c r="C5" s="868" t="s">
        <v>2761</v>
      </c>
      <c r="D5" s="866"/>
      <c r="E5" s="866"/>
      <c r="F5" s="869">
        <f>D5-E5</f>
        <v>0</v>
      </c>
    </row>
    <row r="6" spans="1:9">
      <c r="B6" s="863">
        <v>6</v>
      </c>
      <c r="C6" s="868" t="s">
        <v>2762</v>
      </c>
      <c r="D6" s="866"/>
      <c r="E6" s="137"/>
      <c r="F6" s="869">
        <f t="shared" ref="F6:F11" si="0">D6-E6</f>
        <v>0</v>
      </c>
    </row>
    <row r="7" spans="1:9">
      <c r="B7" s="863">
        <v>7</v>
      </c>
      <c r="C7" s="868" t="s">
        <v>2763</v>
      </c>
      <c r="D7" s="866"/>
      <c r="E7" s="866"/>
      <c r="F7" s="869">
        <f>D7-E7</f>
        <v>0</v>
      </c>
    </row>
    <row r="8" spans="1:9">
      <c r="A8" s="926" t="s">
        <v>2790</v>
      </c>
      <c r="B8" s="863">
        <v>8</v>
      </c>
      <c r="C8" s="868" t="s">
        <v>2764</v>
      </c>
      <c r="D8" s="866"/>
      <c r="E8" s="866"/>
      <c r="F8" s="869">
        <f t="shared" si="0"/>
        <v>0</v>
      </c>
    </row>
    <row r="9" spans="1:9">
      <c r="B9" s="863">
        <v>9</v>
      </c>
      <c r="C9" s="868" t="s">
        <v>2765</v>
      </c>
      <c r="D9" s="137"/>
      <c r="E9" s="137"/>
      <c r="F9" s="869">
        <f t="shared" si="0"/>
        <v>0</v>
      </c>
    </row>
    <row r="10" spans="1:9">
      <c r="A10" s="927" t="str">
        <f>HYPERLINK("#C1","置顶")</f>
        <v>置顶</v>
      </c>
      <c r="B10" s="863">
        <v>10</v>
      </c>
      <c r="C10" s="868" t="s">
        <v>2783</v>
      </c>
      <c r="D10" s="137"/>
      <c r="E10" s="137"/>
      <c r="F10" s="869">
        <f t="shared" si="0"/>
        <v>0</v>
      </c>
    </row>
    <row r="11" spans="1:9">
      <c r="B11" s="863">
        <v>11</v>
      </c>
      <c r="C11" s="868" t="s">
        <v>272</v>
      </c>
      <c r="D11" s="866"/>
      <c r="E11" s="137"/>
      <c r="F11" s="869">
        <f t="shared" si="0"/>
        <v>0</v>
      </c>
    </row>
    <row r="12" spans="1:9">
      <c r="A12" s="926" t="s">
        <v>2738</v>
      </c>
      <c r="B12" s="863">
        <v>12</v>
      </c>
      <c r="C12" s="870" t="s">
        <v>2784</v>
      </c>
      <c r="D12" s="869">
        <f>SUM(D5:D11)</f>
        <v>0</v>
      </c>
      <c r="E12" s="869">
        <f>SUM(E5:E11)</f>
        <v>0</v>
      </c>
      <c r="F12" s="869">
        <f>SUM(F5:F11)</f>
        <v>0</v>
      </c>
    </row>
    <row r="13" spans="1:9">
      <c r="B13" s="863">
        <v>13</v>
      </c>
      <c r="C13" s="353" t="s">
        <v>2766</v>
      </c>
    </row>
    <row r="14" spans="1:9">
      <c r="B14" s="863">
        <v>14</v>
      </c>
      <c r="C14" s="1831" t="s">
        <v>273</v>
      </c>
      <c r="D14" s="1831" t="s">
        <v>2767</v>
      </c>
      <c r="E14" s="1831"/>
      <c r="F14" s="1831"/>
    </row>
    <row r="15" spans="1:9">
      <c r="B15" s="863">
        <v>15</v>
      </c>
      <c r="C15" s="1831"/>
      <c r="D15" s="870" t="s">
        <v>279</v>
      </c>
      <c r="E15" s="870" t="s">
        <v>280</v>
      </c>
      <c r="F15" s="870" t="s">
        <v>281</v>
      </c>
      <c r="H15" s="94" t="s">
        <v>4784</v>
      </c>
    </row>
    <row r="16" spans="1:9">
      <c r="A16" s="927" t="str">
        <f>HYPERLINK("#C1","置顶")</f>
        <v>置顶</v>
      </c>
      <c r="B16" s="863">
        <v>16</v>
      </c>
      <c r="C16" s="868" t="s">
        <v>2761</v>
      </c>
      <c r="D16" s="866"/>
      <c r="E16" s="866"/>
      <c r="F16" s="869">
        <f>D16-E16</f>
        <v>0</v>
      </c>
      <c r="H16" s="1460" t="s">
        <v>4785</v>
      </c>
      <c r="I16" s="1460" t="s">
        <v>4786</v>
      </c>
    </row>
    <row r="17" spans="1:9">
      <c r="B17" s="863">
        <v>17</v>
      </c>
      <c r="C17" s="868" t="s">
        <v>2762</v>
      </c>
      <c r="D17" s="866"/>
      <c r="E17" s="137"/>
      <c r="F17" s="869">
        <f t="shared" ref="F17:F22" si="1">D17-E17</f>
        <v>0</v>
      </c>
      <c r="H17" s="1459" t="s">
        <v>4787</v>
      </c>
      <c r="I17" s="1458"/>
    </row>
    <row r="18" spans="1:9">
      <c r="A18" s="926" t="s">
        <v>2738</v>
      </c>
      <c r="B18" s="863">
        <v>18</v>
      </c>
      <c r="C18" s="868" t="s">
        <v>2763</v>
      </c>
      <c r="D18" s="866"/>
      <c r="E18" s="866"/>
      <c r="F18" s="869">
        <f t="shared" si="1"/>
        <v>0</v>
      </c>
      <c r="H18" s="1459" t="s">
        <v>4788</v>
      </c>
      <c r="I18" s="1458"/>
    </row>
    <row r="19" spans="1:9">
      <c r="B19" s="863">
        <v>19</v>
      </c>
      <c r="C19" s="868" t="s">
        <v>2764</v>
      </c>
      <c r="D19" s="866"/>
      <c r="E19" s="137"/>
      <c r="F19" s="869">
        <f t="shared" si="1"/>
        <v>0</v>
      </c>
      <c r="H19" s="1459" t="s">
        <v>4789</v>
      </c>
      <c r="I19" s="1458"/>
    </row>
    <row r="20" spans="1:9">
      <c r="B20" s="863">
        <v>20</v>
      </c>
      <c r="C20" s="868" t="s">
        <v>2768</v>
      </c>
      <c r="D20" s="137"/>
      <c r="E20" s="137"/>
      <c r="F20" s="869">
        <f t="shared" si="1"/>
        <v>0</v>
      </c>
      <c r="H20" s="1459" t="s">
        <v>4790</v>
      </c>
      <c r="I20" s="1458"/>
    </row>
    <row r="21" spans="1:9">
      <c r="B21" s="863">
        <v>21</v>
      </c>
      <c r="C21" s="868" t="s">
        <v>2783</v>
      </c>
      <c r="D21" s="137"/>
      <c r="E21" s="137"/>
      <c r="F21" s="869">
        <f t="shared" si="1"/>
        <v>0</v>
      </c>
      <c r="H21" s="1459" t="s">
        <v>4791</v>
      </c>
      <c r="I21" s="1461">
        <f>I17+I18-I19-I20</f>
        <v>0</v>
      </c>
    </row>
    <row r="22" spans="1:9">
      <c r="A22" s="927" t="str">
        <f>HYPERLINK("#C1","置顶")</f>
        <v>置顶</v>
      </c>
      <c r="B22" s="863">
        <v>22</v>
      </c>
      <c r="C22" s="868" t="s">
        <v>272</v>
      </c>
      <c r="D22" s="866"/>
      <c r="E22" s="137"/>
      <c r="F22" s="869">
        <f t="shared" si="1"/>
        <v>0</v>
      </c>
      <c r="H22" s="94" t="s">
        <v>4792</v>
      </c>
      <c r="I22" s="1462">
        <f>I21-F10</f>
        <v>0</v>
      </c>
    </row>
    <row r="23" spans="1:9">
      <c r="B23" s="863">
        <v>23</v>
      </c>
      <c r="C23" s="870" t="s">
        <v>2784</v>
      </c>
      <c r="D23" s="869">
        <f>SUM(D16:D22)</f>
        <v>0</v>
      </c>
      <c r="E23" s="869">
        <f>SUM(E16:E22)</f>
        <v>0</v>
      </c>
      <c r="F23" s="869">
        <f>SUM(F16:F22)</f>
        <v>0</v>
      </c>
    </row>
    <row r="24" spans="1:9">
      <c r="A24" s="926" t="s">
        <v>2738</v>
      </c>
      <c r="B24" s="863">
        <v>24</v>
      </c>
    </row>
    <row r="25" spans="1:9">
      <c r="B25" s="863">
        <v>25</v>
      </c>
      <c r="C25" s="928" t="s">
        <v>2769</v>
      </c>
    </row>
    <row r="26" spans="1:9">
      <c r="B26" s="863">
        <v>26</v>
      </c>
      <c r="C26" s="870" t="s">
        <v>274</v>
      </c>
      <c r="D26" s="870" t="s">
        <v>275</v>
      </c>
      <c r="E26" s="864" t="s">
        <v>2735</v>
      </c>
      <c r="F26" s="864" t="s">
        <v>2770</v>
      </c>
      <c r="G26" s="864" t="s">
        <v>276</v>
      </c>
      <c r="H26" s="150" t="s">
        <v>2771</v>
      </c>
    </row>
    <row r="27" spans="1:9">
      <c r="B27" s="863">
        <v>27</v>
      </c>
      <c r="C27" s="868" t="s">
        <v>2772</v>
      </c>
      <c r="D27" s="869">
        <f>SUM(D28:D32)</f>
        <v>0</v>
      </c>
      <c r="E27" s="869">
        <f>SUM(E28:E32)</f>
        <v>0</v>
      </c>
      <c r="F27" s="869">
        <f>SUM(F28:F32)</f>
        <v>0</v>
      </c>
      <c r="G27" s="869">
        <f>SUM(G28:G32)</f>
        <v>0</v>
      </c>
    </row>
    <row r="28" spans="1:9">
      <c r="A28" s="924">
        <v>1</v>
      </c>
      <c r="B28" s="863">
        <v>28</v>
      </c>
      <c r="C28" s="929"/>
      <c r="D28" s="137"/>
      <c r="E28" s="930"/>
      <c r="F28" s="930"/>
      <c r="G28" s="869">
        <f>D28+E28-F28</f>
        <v>0</v>
      </c>
    </row>
    <row r="29" spans="1:9">
      <c r="A29" s="924">
        <v>2</v>
      </c>
      <c r="B29" s="863">
        <v>29</v>
      </c>
      <c r="C29" s="929"/>
      <c r="D29" s="137"/>
      <c r="E29" s="930"/>
      <c r="F29" s="930"/>
      <c r="G29" s="869">
        <f>D29+E29-F29</f>
        <v>0</v>
      </c>
    </row>
    <row r="30" spans="1:9">
      <c r="A30" s="924">
        <v>3</v>
      </c>
      <c r="B30" s="863">
        <v>30</v>
      </c>
      <c r="C30" s="929"/>
      <c r="D30" s="137"/>
      <c r="E30" s="930"/>
      <c r="F30" s="930"/>
      <c r="G30" s="869">
        <f>D30+E30-F30</f>
        <v>0</v>
      </c>
    </row>
    <row r="31" spans="1:9">
      <c r="A31" s="924">
        <v>4</v>
      </c>
      <c r="B31" s="863">
        <v>31</v>
      </c>
      <c r="C31" s="929"/>
      <c r="D31" s="137"/>
      <c r="E31" s="930"/>
      <c r="F31" s="930"/>
      <c r="G31" s="869">
        <f>D31+E31-F31</f>
        <v>0</v>
      </c>
    </row>
    <row r="32" spans="1:9">
      <c r="A32" s="924">
        <v>5</v>
      </c>
      <c r="B32" s="863">
        <v>32</v>
      </c>
      <c r="C32" s="929"/>
      <c r="D32" s="137"/>
      <c r="E32" s="930"/>
      <c r="F32" s="930"/>
      <c r="G32" s="869">
        <f>D32+E32-F32</f>
        <v>0</v>
      </c>
    </row>
    <row r="33" spans="1:7">
      <c r="B33" s="863">
        <v>33</v>
      </c>
      <c r="C33" s="868" t="s">
        <v>2773</v>
      </c>
      <c r="D33" s="869">
        <f>SUM(D34:D38)</f>
        <v>0</v>
      </c>
      <c r="E33" s="869">
        <f>SUM(E34:E38)</f>
        <v>0</v>
      </c>
      <c r="F33" s="869">
        <f>SUM(F34:F38)</f>
        <v>0</v>
      </c>
      <c r="G33" s="869">
        <f>SUM(G34:G38)</f>
        <v>0</v>
      </c>
    </row>
    <row r="34" spans="1:7">
      <c r="A34" s="924">
        <v>1</v>
      </c>
      <c r="B34" s="863">
        <v>34</v>
      </c>
      <c r="C34" s="929"/>
      <c r="D34" s="137"/>
      <c r="E34" s="930"/>
      <c r="F34" s="930"/>
      <c r="G34" s="869">
        <f t="shared" ref="G34:G50" si="2">D34+E34-F34</f>
        <v>0</v>
      </c>
    </row>
    <row r="35" spans="1:7">
      <c r="A35" s="924">
        <v>2</v>
      </c>
      <c r="B35" s="863">
        <v>35</v>
      </c>
      <c r="C35" s="929"/>
      <c r="D35" s="137"/>
      <c r="E35" s="930"/>
      <c r="F35" s="930"/>
      <c r="G35" s="869">
        <f t="shared" si="2"/>
        <v>0</v>
      </c>
    </row>
    <row r="36" spans="1:7">
      <c r="A36" s="924">
        <v>3</v>
      </c>
      <c r="B36" s="863">
        <v>36</v>
      </c>
      <c r="C36" s="929"/>
      <c r="D36" s="137"/>
      <c r="E36" s="930"/>
      <c r="F36" s="930"/>
      <c r="G36" s="869">
        <f t="shared" si="2"/>
        <v>0</v>
      </c>
    </row>
    <row r="37" spans="1:7">
      <c r="A37" s="924">
        <v>4</v>
      </c>
      <c r="B37" s="863">
        <v>37</v>
      </c>
      <c r="C37" s="929"/>
      <c r="D37" s="137"/>
      <c r="E37" s="930"/>
      <c r="F37" s="930"/>
      <c r="G37" s="869">
        <f t="shared" si="2"/>
        <v>0</v>
      </c>
    </row>
    <row r="38" spans="1:7">
      <c r="A38" s="924">
        <v>5</v>
      </c>
      <c r="B38" s="863">
        <v>38</v>
      </c>
      <c r="C38" s="929"/>
      <c r="D38" s="137"/>
      <c r="E38" s="930"/>
      <c r="F38" s="930"/>
      <c r="G38" s="869">
        <f t="shared" si="2"/>
        <v>0</v>
      </c>
    </row>
    <row r="39" spans="1:7">
      <c r="B39" s="863">
        <v>39</v>
      </c>
      <c r="C39" s="868" t="s">
        <v>2774</v>
      </c>
      <c r="D39" s="869">
        <f>SUM(D40:D44)</f>
        <v>0</v>
      </c>
      <c r="E39" s="869">
        <f>SUM(E40:E44)</f>
        <v>0</v>
      </c>
      <c r="F39" s="869">
        <f>SUM(F40:F44)</f>
        <v>0</v>
      </c>
      <c r="G39" s="869">
        <f>SUM(G40:G44)</f>
        <v>0</v>
      </c>
    </row>
    <row r="40" spans="1:7">
      <c r="A40" s="924">
        <v>1</v>
      </c>
      <c r="B40" s="863">
        <v>40</v>
      </c>
      <c r="C40" s="929"/>
      <c r="D40" s="137"/>
      <c r="E40" s="930"/>
      <c r="F40" s="930"/>
      <c r="G40" s="869">
        <f t="shared" si="2"/>
        <v>0</v>
      </c>
    </row>
    <row r="41" spans="1:7">
      <c r="A41" s="924">
        <v>2</v>
      </c>
      <c r="B41" s="863">
        <v>41</v>
      </c>
      <c r="C41" s="929"/>
      <c r="D41" s="137"/>
      <c r="E41" s="930"/>
      <c r="F41" s="930"/>
      <c r="G41" s="869">
        <f t="shared" si="2"/>
        <v>0</v>
      </c>
    </row>
    <row r="42" spans="1:7">
      <c r="A42" s="924">
        <v>3</v>
      </c>
      <c r="B42" s="863">
        <v>42</v>
      </c>
      <c r="C42" s="929"/>
      <c r="D42" s="137"/>
      <c r="E42" s="930"/>
      <c r="F42" s="930"/>
      <c r="G42" s="869">
        <f t="shared" si="2"/>
        <v>0</v>
      </c>
    </row>
    <row r="43" spans="1:7">
      <c r="A43" s="924">
        <v>4</v>
      </c>
      <c r="B43" s="863">
        <v>43</v>
      </c>
      <c r="C43" s="929"/>
      <c r="D43" s="137"/>
      <c r="E43" s="930"/>
      <c r="F43" s="930"/>
      <c r="G43" s="869">
        <f t="shared" si="2"/>
        <v>0</v>
      </c>
    </row>
    <row r="44" spans="1:7">
      <c r="A44" s="924">
        <v>5</v>
      </c>
      <c r="B44" s="863">
        <v>44</v>
      </c>
      <c r="C44" s="929"/>
      <c r="D44" s="137"/>
      <c r="E44" s="930"/>
      <c r="F44" s="930"/>
      <c r="G44" s="869">
        <f t="shared" si="2"/>
        <v>0</v>
      </c>
    </row>
    <row r="45" spans="1:7">
      <c r="B45" s="863">
        <v>45</v>
      </c>
      <c r="C45" s="868" t="s">
        <v>2775</v>
      </c>
      <c r="D45" s="869">
        <f>SUM(D46:D50)</f>
        <v>0</v>
      </c>
      <c r="E45" s="869">
        <f>SUM(E46:E50)</f>
        <v>0</v>
      </c>
      <c r="F45" s="869">
        <f>SUM(F46:F50)</f>
        <v>0</v>
      </c>
      <c r="G45" s="869">
        <f>SUM(G46:G50)</f>
        <v>0</v>
      </c>
    </row>
    <row r="46" spans="1:7">
      <c r="A46" s="924">
        <v>1</v>
      </c>
      <c r="B46" s="863">
        <v>46</v>
      </c>
      <c r="C46" s="929"/>
      <c r="D46" s="137"/>
      <c r="E46" s="930"/>
      <c r="F46" s="930"/>
      <c r="G46" s="869">
        <f t="shared" si="2"/>
        <v>0</v>
      </c>
    </row>
    <row r="47" spans="1:7">
      <c r="A47" s="924">
        <v>2</v>
      </c>
      <c r="B47" s="863">
        <v>47</v>
      </c>
      <c r="C47" s="929"/>
      <c r="D47" s="137"/>
      <c r="E47" s="930"/>
      <c r="F47" s="930"/>
      <c r="G47" s="869">
        <f t="shared" si="2"/>
        <v>0</v>
      </c>
    </row>
    <row r="48" spans="1:7">
      <c r="A48" s="924">
        <v>3</v>
      </c>
      <c r="B48" s="863">
        <v>48</v>
      </c>
      <c r="C48" s="929"/>
      <c r="D48" s="137"/>
      <c r="E48" s="930"/>
      <c r="F48" s="930"/>
      <c r="G48" s="869">
        <f t="shared" si="2"/>
        <v>0</v>
      </c>
    </row>
    <row r="49" spans="1:7">
      <c r="A49" s="924">
        <v>4</v>
      </c>
      <c r="B49" s="863">
        <v>49</v>
      </c>
      <c r="C49" s="929"/>
      <c r="D49" s="137"/>
      <c r="E49" s="930"/>
      <c r="F49" s="930"/>
      <c r="G49" s="869">
        <f t="shared" si="2"/>
        <v>0</v>
      </c>
    </row>
    <row r="50" spans="1:7">
      <c r="A50" s="924">
        <v>5</v>
      </c>
      <c r="B50" s="863">
        <v>50</v>
      </c>
      <c r="C50" s="929"/>
      <c r="D50" s="137"/>
      <c r="E50" s="930"/>
      <c r="F50" s="930"/>
      <c r="G50" s="869">
        <f t="shared" si="2"/>
        <v>0</v>
      </c>
    </row>
    <row r="51" spans="1:7">
      <c r="B51" s="863">
        <v>51</v>
      </c>
      <c r="C51" s="870" t="s">
        <v>2785</v>
      </c>
      <c r="D51" s="869">
        <f>D45+D39+D33+D27</f>
        <v>0</v>
      </c>
      <c r="E51" s="869">
        <f>E45+E39+E33+E27</f>
        <v>0</v>
      </c>
      <c r="F51" s="869">
        <f>F45+F39+F33+F27</f>
        <v>0</v>
      </c>
      <c r="G51" s="869">
        <f>G45+G39+G33+G27</f>
        <v>0</v>
      </c>
    </row>
    <row r="52" spans="1:7">
      <c r="B52" s="863">
        <v>52</v>
      </c>
      <c r="D52" s="349"/>
      <c r="E52" s="349"/>
      <c r="F52" s="349"/>
      <c r="G52" s="349"/>
    </row>
    <row r="53" spans="1:7">
      <c r="A53" s="927" t="str">
        <f>HYPERLINK("#C1","置顶")</f>
        <v>置顶</v>
      </c>
      <c r="B53" s="863">
        <v>53</v>
      </c>
      <c r="C53" s="870" t="s">
        <v>2780</v>
      </c>
      <c r="D53" s="869">
        <f>D51-D20</f>
        <v>0</v>
      </c>
      <c r="E53" s="866"/>
      <c r="F53" s="866"/>
      <c r="G53" s="869">
        <f>G51-D9</f>
        <v>0</v>
      </c>
    </row>
    <row r="54" spans="1:7">
      <c r="B54" s="863">
        <v>54</v>
      </c>
    </row>
    <row r="55" spans="1:7">
      <c r="A55" s="926" t="s">
        <v>2738</v>
      </c>
      <c r="B55" s="863">
        <v>55</v>
      </c>
      <c r="C55" s="928" t="s">
        <v>2786</v>
      </c>
    </row>
    <row r="56" spans="1:7">
      <c r="B56" s="863">
        <v>56</v>
      </c>
      <c r="C56" s="870" t="s">
        <v>274</v>
      </c>
      <c r="D56" s="870" t="s">
        <v>276</v>
      </c>
      <c r="E56" s="864" t="s">
        <v>2776</v>
      </c>
    </row>
    <row r="57" spans="1:7">
      <c r="A57" s="924">
        <v>1</v>
      </c>
      <c r="B57" s="863">
        <v>57</v>
      </c>
      <c r="C57" s="868"/>
      <c r="D57" s="137"/>
      <c r="E57" s="930"/>
    </row>
    <row r="58" spans="1:7">
      <c r="A58" s="924">
        <v>2</v>
      </c>
      <c r="B58" s="863">
        <v>58</v>
      </c>
      <c r="C58" s="868"/>
      <c r="D58" s="137"/>
      <c r="E58" s="930"/>
    </row>
    <row r="59" spans="1:7">
      <c r="A59" s="924">
        <v>3</v>
      </c>
      <c r="B59" s="863">
        <v>59</v>
      </c>
      <c r="C59" s="868"/>
      <c r="D59" s="137"/>
      <c r="E59" s="930"/>
    </row>
    <row r="60" spans="1:7">
      <c r="A60" s="924">
        <v>4</v>
      </c>
      <c r="B60" s="863">
        <v>60</v>
      </c>
      <c r="C60" s="868"/>
      <c r="D60" s="137"/>
      <c r="E60" s="930"/>
    </row>
    <row r="61" spans="1:7">
      <c r="A61" s="924">
        <v>5</v>
      </c>
      <c r="B61" s="863">
        <v>61</v>
      </c>
      <c r="C61" s="868"/>
      <c r="D61" s="137"/>
      <c r="E61" s="930"/>
    </row>
    <row r="62" spans="1:7">
      <c r="A62" s="924">
        <v>6</v>
      </c>
      <c r="B62" s="863">
        <v>62</v>
      </c>
      <c r="C62" s="868"/>
      <c r="D62" s="137"/>
      <c r="E62" s="930"/>
    </row>
    <row r="63" spans="1:7">
      <c r="A63" s="924">
        <v>7</v>
      </c>
      <c r="B63" s="863">
        <v>63</v>
      </c>
      <c r="C63" s="868"/>
      <c r="D63" s="137"/>
      <c r="E63" s="930"/>
    </row>
    <row r="64" spans="1:7">
      <c r="B64" s="863">
        <v>64</v>
      </c>
      <c r="C64" s="870" t="s">
        <v>2785</v>
      </c>
      <c r="D64" s="869">
        <f>SUM(D57:D63)</f>
        <v>0</v>
      </c>
      <c r="E64" s="869">
        <f>SUM(E57:E63)</f>
        <v>0</v>
      </c>
    </row>
    <row r="65" spans="1:5">
      <c r="B65" s="863">
        <v>65</v>
      </c>
    </row>
    <row r="66" spans="1:5">
      <c r="A66" s="927" t="str">
        <f>HYPERLINK("#C1","置顶")</f>
        <v>置顶</v>
      </c>
      <c r="B66" s="863">
        <v>66</v>
      </c>
    </row>
    <row r="67" spans="1:5">
      <c r="B67" s="863">
        <v>67</v>
      </c>
      <c r="C67" s="868"/>
      <c r="D67" s="870" t="s">
        <v>2711</v>
      </c>
      <c r="E67" s="870" t="s">
        <v>2710</v>
      </c>
    </row>
    <row r="68" spans="1:5">
      <c r="A68" s="926" t="s">
        <v>2738</v>
      </c>
      <c r="B68" s="863">
        <v>68</v>
      </c>
      <c r="C68" s="868" t="s">
        <v>2665</v>
      </c>
      <c r="D68" s="869">
        <f>审定资产负债表!C21</f>
        <v>0</v>
      </c>
      <c r="E68" s="869">
        <f>审定资产负债表!D21</f>
        <v>0</v>
      </c>
    </row>
    <row r="69" spans="1:5">
      <c r="B69" s="863">
        <v>69</v>
      </c>
      <c r="C69" s="868" t="s">
        <v>2666</v>
      </c>
      <c r="D69" s="869">
        <f>F12-D68</f>
        <v>0</v>
      </c>
      <c r="E69" s="869">
        <f>F23-E68</f>
        <v>0</v>
      </c>
    </row>
    <row r="70" spans="1:5">
      <c r="A70" s="926"/>
      <c r="B70" s="863">
        <v>70</v>
      </c>
    </row>
    <row r="71" spans="1:5">
      <c r="B71" s="863">
        <v>71</v>
      </c>
      <c r="C71" s="868" t="s">
        <v>2777</v>
      </c>
      <c r="D71" s="870" t="s">
        <v>2664</v>
      </c>
      <c r="E71" s="870" t="s">
        <v>2791</v>
      </c>
    </row>
    <row r="72" spans="1:5">
      <c r="A72" s="927" t="str">
        <f>HYPERLINK("#C1","置顶")</f>
        <v>置顶</v>
      </c>
      <c r="B72" s="863">
        <v>72</v>
      </c>
      <c r="C72" s="868" t="s">
        <v>2778</v>
      </c>
      <c r="D72" s="869">
        <f>审定资产负债表!C22</f>
        <v>0</v>
      </c>
      <c r="E72" s="869">
        <f>审定资产负债表!D22</f>
        <v>0</v>
      </c>
    </row>
    <row r="73" spans="1:5">
      <c r="B73" s="863">
        <v>73</v>
      </c>
      <c r="C73" s="868" t="s">
        <v>2781</v>
      </c>
      <c r="D73" s="869">
        <f>审定资产负债表!C23</f>
        <v>0</v>
      </c>
      <c r="E73" s="869">
        <f>审定资产负债表!D23</f>
        <v>0</v>
      </c>
    </row>
    <row r="74" spans="1:5">
      <c r="A74" s="926" t="s">
        <v>2738</v>
      </c>
      <c r="B74" s="863">
        <v>74</v>
      </c>
      <c r="C74" s="868"/>
      <c r="D74" s="904"/>
      <c r="E74" s="904"/>
    </row>
    <row r="75" spans="1:5">
      <c r="B75" s="863">
        <v>75</v>
      </c>
      <c r="C75" s="868" t="s">
        <v>2792</v>
      </c>
      <c r="D75" s="869">
        <f>F5-D72</f>
        <v>0</v>
      </c>
      <c r="E75" s="869">
        <f>F16-E72</f>
        <v>0</v>
      </c>
    </row>
    <row r="76" spans="1:5">
      <c r="B76" s="863">
        <v>76</v>
      </c>
      <c r="C76" s="868" t="s">
        <v>2793</v>
      </c>
      <c r="D76" s="869">
        <f>F7-D73</f>
        <v>0</v>
      </c>
      <c r="E76" s="869">
        <f>F18-E73</f>
        <v>0</v>
      </c>
    </row>
    <row r="77" spans="1:5">
      <c r="B77" s="863">
        <v>77</v>
      </c>
      <c r="C77" s="932"/>
    </row>
    <row r="78" spans="1:5">
      <c r="B78" s="863">
        <v>78</v>
      </c>
      <c r="C78" s="868"/>
      <c r="D78" s="870" t="s">
        <v>2794</v>
      </c>
      <c r="E78" s="870" t="s">
        <v>2663</v>
      </c>
    </row>
    <row r="79" spans="1:5">
      <c r="B79" s="863">
        <v>79</v>
      </c>
      <c r="C79" s="868" t="s">
        <v>2779</v>
      </c>
      <c r="D79" s="931">
        <f>审定资产减值准备情况表!L7</f>
        <v>0</v>
      </c>
      <c r="E79" s="931">
        <f>审定资产减值准备情况表!B7</f>
        <v>0</v>
      </c>
    </row>
    <row r="80" spans="1:5">
      <c r="B80" s="863">
        <v>80</v>
      </c>
      <c r="C80" s="868" t="s">
        <v>2795</v>
      </c>
      <c r="D80" s="869">
        <f>D79-E12</f>
        <v>0</v>
      </c>
      <c r="E80" s="869">
        <f>E79-E23</f>
        <v>0</v>
      </c>
    </row>
    <row r="81" spans="2:3">
      <c r="B81" s="863">
        <v>81</v>
      </c>
      <c r="C81" s="932"/>
    </row>
    <row r="82" spans="2:3">
      <c r="B82" s="863"/>
    </row>
    <row r="83" spans="2:3">
      <c r="B83" s="863"/>
    </row>
    <row r="84" spans="2:3">
      <c r="B84" s="863"/>
    </row>
    <row r="85" spans="2:3">
      <c r="B85" s="863"/>
    </row>
  </sheetData>
  <sheetProtection formatCells="0" formatColumns="0" formatRows="0" autoFilter="0"/>
  <mergeCells count="4">
    <mergeCell ref="C3:C4"/>
    <mergeCell ref="D3:F3"/>
    <mergeCell ref="C14:C15"/>
    <mergeCell ref="D14:F14"/>
  </mergeCells>
  <phoneticPr fontId="5" type="noConversion"/>
  <hyperlinks>
    <hyperlink ref="A1" location="附注填写封面!B3" display="返回目录" xr:uid="{00000000-0004-0000-1C00-000000000000}"/>
    <hyperlink ref="A8" location="审定资产减值准备情况表!B5" display="返回减值准备表" xr:uid="{00000000-0004-0000-1C00-000001000000}"/>
    <hyperlink ref="A12" location="附注填写封面!B3" display="返回目录" xr:uid="{00000000-0004-0000-1C00-000002000000}"/>
    <hyperlink ref="A18" location="附注填写封面!B3" display="返回目录" xr:uid="{00000000-0004-0000-1C00-000003000000}"/>
    <hyperlink ref="A24" location="附注填写封面!B3" display="返回目录" xr:uid="{00000000-0004-0000-1C00-000004000000}"/>
    <hyperlink ref="A55" location="附注填写封面!B3" display="返回目录" xr:uid="{00000000-0004-0000-1C00-000005000000}"/>
    <hyperlink ref="A68" location="附注填写封面!B3" display="返回目录" xr:uid="{00000000-0004-0000-1C00-000006000000}"/>
    <hyperlink ref="A74" location="附注填写封面!B3" display="返回目录" xr:uid="{00000000-0004-0000-1C00-000007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ignoredErrors>
    <ignoredError sqref="I21:I22" unlockedFormula="1"/>
  </ignoredErrors>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02"/>
  <dimension ref="A1:I93"/>
  <sheetViews>
    <sheetView showGridLines="0" showZeros="0" topLeftCell="A34" workbookViewId="0">
      <selection activeCell="D70" sqref="D70"/>
    </sheetView>
  </sheetViews>
  <sheetFormatPr defaultColWidth="11.625" defaultRowHeight="12.75"/>
  <cols>
    <col min="1" max="1" width="6" style="29" customWidth="1"/>
    <col min="2" max="2" width="5.875" style="29" hidden="1" customWidth="1"/>
    <col min="3" max="3" width="35.875" style="344" customWidth="1"/>
    <col min="4" max="5" width="11.625" style="344"/>
    <col min="6" max="6" width="11.625" style="29"/>
    <col min="7" max="7" width="13.375" style="29" bestFit="1" customWidth="1"/>
    <col min="8" max="16384" width="11.625" style="29"/>
  </cols>
  <sheetData>
    <row r="1" spans="1:5" ht="27.95" customHeight="1">
      <c r="A1" s="758" t="s">
        <v>243</v>
      </c>
      <c r="B1" s="327" t="s">
        <v>305</v>
      </c>
      <c r="C1" s="759" t="s">
        <v>4681</v>
      </c>
    </row>
    <row r="2" spans="1:5">
      <c r="B2" s="95">
        <v>2</v>
      </c>
      <c r="C2" s="889" t="s">
        <v>2798</v>
      </c>
      <c r="D2" s="889" t="s">
        <v>2799</v>
      </c>
      <c r="E2" s="889" t="s">
        <v>2800</v>
      </c>
    </row>
    <row r="3" spans="1:5">
      <c r="A3" s="95">
        <v>1</v>
      </c>
      <c r="B3" s="95">
        <v>3</v>
      </c>
      <c r="C3" s="1382" t="s">
        <v>4612</v>
      </c>
      <c r="D3" s="400"/>
      <c r="E3" s="400"/>
    </row>
    <row r="4" spans="1:5">
      <c r="A4" s="95">
        <v>2</v>
      </c>
      <c r="B4" s="95">
        <v>4</v>
      </c>
      <c r="C4" s="1382" t="s">
        <v>4613</v>
      </c>
      <c r="D4" s="400"/>
      <c r="E4" s="400"/>
    </row>
    <row r="5" spans="1:5">
      <c r="A5" s="95">
        <v>3</v>
      </c>
      <c r="B5" s="95">
        <v>5</v>
      </c>
      <c r="C5" s="1382" t="s">
        <v>4614</v>
      </c>
      <c r="D5" s="400"/>
      <c r="E5" s="400"/>
    </row>
    <row r="6" spans="1:5">
      <c r="A6" s="95">
        <v>4</v>
      </c>
      <c r="B6" s="95">
        <v>6</v>
      </c>
      <c r="C6" s="1382" t="s">
        <v>4608</v>
      </c>
      <c r="D6" s="400"/>
      <c r="E6" s="400"/>
    </row>
    <row r="7" spans="1:5">
      <c r="A7" s="95">
        <v>5</v>
      </c>
      <c r="B7" s="95">
        <v>7</v>
      </c>
      <c r="C7" s="1386" t="s">
        <v>4610</v>
      </c>
      <c r="D7" s="400"/>
      <c r="E7" s="400"/>
    </row>
    <row r="8" spans="1:5">
      <c r="A8" s="95">
        <v>6</v>
      </c>
      <c r="B8" s="95">
        <v>8</v>
      </c>
      <c r="C8" s="338"/>
      <c r="D8" s="400"/>
      <c r="E8" s="400"/>
    </row>
    <row r="9" spans="1:5">
      <c r="A9" s="95">
        <v>7</v>
      </c>
      <c r="B9" s="95">
        <v>9</v>
      </c>
      <c r="C9" s="338"/>
      <c r="D9" s="400"/>
      <c r="E9" s="400"/>
    </row>
    <row r="10" spans="1:5">
      <c r="A10" s="95">
        <v>8</v>
      </c>
      <c r="B10" s="95">
        <v>10</v>
      </c>
      <c r="C10" s="338"/>
      <c r="D10" s="400"/>
      <c r="E10" s="400"/>
    </row>
    <row r="11" spans="1:5">
      <c r="A11" s="95">
        <v>9</v>
      </c>
      <c r="B11" s="95">
        <v>11</v>
      </c>
      <c r="C11" s="338"/>
      <c r="D11" s="400"/>
      <c r="E11" s="400"/>
    </row>
    <row r="12" spans="1:5">
      <c r="A12" s="95">
        <v>10</v>
      </c>
      <c r="B12" s="95">
        <v>12</v>
      </c>
      <c r="C12" s="338"/>
      <c r="D12" s="400"/>
      <c r="E12" s="400"/>
    </row>
    <row r="13" spans="1:5">
      <c r="A13" s="95">
        <v>11</v>
      </c>
      <c r="B13" s="95">
        <v>13</v>
      </c>
      <c r="C13" s="338"/>
      <c r="D13" s="400"/>
      <c r="E13" s="400"/>
    </row>
    <row r="14" spans="1:5">
      <c r="A14" s="95">
        <v>12</v>
      </c>
      <c r="B14" s="95">
        <v>14</v>
      </c>
      <c r="C14" s="338"/>
      <c r="D14" s="400"/>
      <c r="E14" s="400"/>
    </row>
    <row r="15" spans="1:5">
      <c r="A15" s="95">
        <v>13</v>
      </c>
      <c r="B15" s="95">
        <v>15</v>
      </c>
      <c r="C15" s="338"/>
      <c r="D15" s="400"/>
      <c r="E15" s="400"/>
    </row>
    <row r="16" spans="1:5">
      <c r="A16" s="95">
        <v>14</v>
      </c>
      <c r="B16" s="95">
        <v>16</v>
      </c>
      <c r="C16" s="760"/>
      <c r="D16" s="400"/>
      <c r="E16" s="400"/>
    </row>
    <row r="17" spans="1:9">
      <c r="A17" s="95">
        <v>15</v>
      </c>
      <c r="B17" s="95">
        <v>17</v>
      </c>
      <c r="C17" s="338"/>
      <c r="D17" s="400"/>
      <c r="E17" s="400"/>
    </row>
    <row r="18" spans="1:9">
      <c r="B18" s="95">
        <v>18</v>
      </c>
      <c r="C18" s="401" t="s">
        <v>2801</v>
      </c>
      <c r="D18" s="406">
        <f>SUM(D3:D17)</f>
        <v>0</v>
      </c>
      <c r="E18" s="406">
        <f>SUM(E3:E17)</f>
        <v>0</v>
      </c>
    </row>
    <row r="19" spans="1:9">
      <c r="B19" s="95">
        <v>19</v>
      </c>
      <c r="C19" s="344" t="s">
        <v>2802</v>
      </c>
    </row>
    <row r="20" spans="1:9" ht="24">
      <c r="A20" s="758" t="s">
        <v>243</v>
      </c>
      <c r="B20" s="95">
        <v>20</v>
      </c>
      <c r="C20" s="881"/>
      <c r="D20" s="881" t="s">
        <v>2591</v>
      </c>
      <c r="E20" s="881" t="s">
        <v>2733</v>
      </c>
    </row>
    <row r="21" spans="1:9">
      <c r="B21" s="95">
        <v>21</v>
      </c>
      <c r="C21" s="881" t="s">
        <v>2734</v>
      </c>
      <c r="D21" s="406">
        <f>审定资产负债表!C24</f>
        <v>0</v>
      </c>
      <c r="E21" s="406">
        <f>审定资产负债表!D24</f>
        <v>0</v>
      </c>
    </row>
    <row r="22" spans="1:9">
      <c r="B22" s="95">
        <v>22</v>
      </c>
      <c r="C22" s="881" t="s">
        <v>1320</v>
      </c>
      <c r="D22" s="406">
        <f>D18-D21</f>
        <v>0</v>
      </c>
      <c r="E22" s="406">
        <f>E18-E21</f>
        <v>0</v>
      </c>
    </row>
    <row r="23" spans="1:9">
      <c r="B23" s="95">
        <v>23</v>
      </c>
    </row>
    <row r="25" spans="1:9">
      <c r="C25" s="1334" t="s">
        <v>4542</v>
      </c>
    </row>
    <row r="26" spans="1:9" ht="15" customHeight="1">
      <c r="C26" s="154" t="s">
        <v>4553</v>
      </c>
      <c r="D26" s="154" t="s">
        <v>4546</v>
      </c>
      <c r="E26" s="154" t="s">
        <v>4547</v>
      </c>
      <c r="F26" s="154" t="s">
        <v>4551</v>
      </c>
      <c r="G26" s="154" t="s">
        <v>4548</v>
      </c>
      <c r="H26" s="154" t="s">
        <v>4554</v>
      </c>
      <c r="I26" s="154" t="s">
        <v>4552</v>
      </c>
    </row>
    <row r="27" spans="1:9">
      <c r="C27" s="1336" t="s">
        <v>4549</v>
      </c>
      <c r="D27" s="1324"/>
      <c r="E27" s="1324"/>
      <c r="F27" s="1324"/>
      <c r="G27" s="1324"/>
      <c r="H27" s="1324"/>
      <c r="I27" s="1324"/>
    </row>
    <row r="28" spans="1:9">
      <c r="C28" s="1382" t="s">
        <v>4600</v>
      </c>
      <c r="D28" s="941"/>
      <c r="E28" s="794"/>
      <c r="F28" s="795"/>
      <c r="G28" s="795"/>
      <c r="H28" s="795"/>
      <c r="I28" s="795"/>
    </row>
    <row r="29" spans="1:9">
      <c r="C29" s="1382" t="s">
        <v>4603</v>
      </c>
      <c r="D29" s="941"/>
      <c r="E29" s="794"/>
      <c r="F29" s="795"/>
      <c r="G29" s="795"/>
      <c r="H29" s="795"/>
      <c r="I29" s="795"/>
    </row>
    <row r="30" spans="1:9">
      <c r="C30" s="1382" t="s">
        <v>4605</v>
      </c>
      <c r="D30" s="941"/>
      <c r="E30" s="794"/>
      <c r="F30" s="795"/>
      <c r="G30" s="795"/>
      <c r="H30" s="795"/>
      <c r="I30" s="795"/>
    </row>
    <row r="31" spans="1:9">
      <c r="C31" s="1381" t="s">
        <v>4609</v>
      </c>
      <c r="D31" s="941"/>
      <c r="E31" s="794"/>
      <c r="F31" s="795"/>
      <c r="G31" s="795"/>
      <c r="H31" s="795"/>
      <c r="I31" s="795"/>
    </row>
    <row r="32" spans="1:9">
      <c r="C32" s="1337" t="s">
        <v>4615</v>
      </c>
      <c r="D32" s="941"/>
      <c r="E32" s="794"/>
      <c r="F32" s="795"/>
      <c r="G32" s="795"/>
      <c r="H32" s="795"/>
      <c r="I32" s="795"/>
    </row>
    <row r="33" spans="3:9">
      <c r="C33" s="1337" t="s">
        <v>4617</v>
      </c>
      <c r="D33" s="941"/>
      <c r="E33" s="794"/>
      <c r="F33" s="795"/>
      <c r="G33" s="795"/>
      <c r="H33" s="795"/>
      <c r="I33" s="795"/>
    </row>
    <row r="34" spans="3:9">
      <c r="C34" s="1337" t="s">
        <v>4619</v>
      </c>
      <c r="D34" s="941"/>
      <c r="E34" s="794"/>
      <c r="F34" s="795"/>
      <c r="G34" s="795"/>
      <c r="H34" s="795"/>
      <c r="I34" s="795"/>
    </row>
    <row r="35" spans="3:9">
      <c r="C35" s="1337" t="s">
        <v>4621</v>
      </c>
      <c r="D35" s="941"/>
      <c r="E35" s="794"/>
      <c r="F35" s="795"/>
      <c r="G35" s="795"/>
      <c r="H35" s="795"/>
      <c r="I35" s="795"/>
    </row>
    <row r="36" spans="3:9">
      <c r="C36" s="1337" t="s">
        <v>4623</v>
      </c>
      <c r="D36" s="941"/>
      <c r="E36" s="794"/>
      <c r="F36" s="795"/>
      <c r="G36" s="795"/>
      <c r="H36" s="795"/>
      <c r="I36" s="795"/>
    </row>
    <row r="37" spans="3:9">
      <c r="C37" s="1337" t="s">
        <v>4624</v>
      </c>
      <c r="D37" s="941"/>
      <c r="E37" s="794"/>
      <c r="F37" s="795"/>
      <c r="G37" s="795"/>
      <c r="H37" s="795"/>
      <c r="I37" s="795"/>
    </row>
    <row r="38" spans="3:9" ht="13.5">
      <c r="C38" s="1335" t="s">
        <v>4543</v>
      </c>
      <c r="D38" s="406">
        <f>SUM(D28:D37)</f>
        <v>0</v>
      </c>
      <c r="E38" s="406">
        <f t="shared" ref="E38:F38" si="0">SUM(E28:E37)</f>
        <v>0</v>
      </c>
      <c r="F38" s="406">
        <f t="shared" si="0"/>
        <v>0</v>
      </c>
      <c r="G38" s="1324"/>
      <c r="H38" s="1324"/>
      <c r="I38" s="1324"/>
    </row>
    <row r="39" spans="3:9" ht="13.5">
      <c r="C39" s="1336" t="s">
        <v>4550</v>
      </c>
      <c r="D39" s="941"/>
      <c r="E39" s="794"/>
      <c r="F39" s="795"/>
      <c r="G39" s="795"/>
      <c r="H39" s="795"/>
      <c r="I39" s="795"/>
    </row>
    <row r="40" spans="3:9">
      <c r="C40" s="1382" t="s">
        <v>4600</v>
      </c>
      <c r="D40" s="941"/>
      <c r="E40" s="1324"/>
      <c r="F40" s="1324"/>
      <c r="G40" s="1324"/>
      <c r="H40" s="1324"/>
      <c r="I40" s="1324"/>
    </row>
    <row r="41" spans="3:9">
      <c r="C41" s="1382" t="s">
        <v>4603</v>
      </c>
      <c r="D41" s="941"/>
      <c r="E41" s="1324"/>
      <c r="F41" s="1324"/>
      <c r="G41" s="1324"/>
      <c r="H41" s="1324"/>
      <c r="I41" s="1324"/>
    </row>
    <row r="42" spans="3:9">
      <c r="C42" s="1382" t="s">
        <v>4605</v>
      </c>
      <c r="D42" s="941"/>
      <c r="E42" s="1324"/>
      <c r="F42" s="1324"/>
      <c r="G42" s="1324"/>
      <c r="H42" s="1324"/>
      <c r="I42" s="1324"/>
    </row>
    <row r="43" spans="3:9">
      <c r="C43" s="1381" t="s">
        <v>4609</v>
      </c>
      <c r="D43" s="941"/>
      <c r="E43" s="1324"/>
      <c r="F43" s="1324"/>
      <c r="G43" s="1324"/>
      <c r="H43" s="1324"/>
      <c r="I43" s="1324"/>
    </row>
    <row r="44" spans="3:9">
      <c r="C44" s="1337" t="s">
        <v>4555</v>
      </c>
      <c r="D44" s="941"/>
      <c r="E44" s="1324"/>
      <c r="F44" s="1324"/>
      <c r="G44" s="1324"/>
      <c r="H44" s="1324"/>
      <c r="I44" s="1324"/>
    </row>
    <row r="45" spans="3:9">
      <c r="C45" s="1337" t="s">
        <v>4615</v>
      </c>
      <c r="D45" s="941"/>
      <c r="E45" s="1324"/>
      <c r="F45" s="1324"/>
      <c r="G45" s="1324"/>
      <c r="H45" s="1324"/>
      <c r="I45" s="1324"/>
    </row>
    <row r="46" spans="3:9">
      <c r="C46" s="1337" t="s">
        <v>4617</v>
      </c>
      <c r="D46" s="941"/>
      <c r="E46" s="1324"/>
      <c r="F46" s="1324"/>
      <c r="G46" s="1324"/>
      <c r="H46" s="1324"/>
      <c r="I46" s="1324"/>
    </row>
    <row r="47" spans="3:9">
      <c r="C47" s="1337" t="s">
        <v>4619</v>
      </c>
      <c r="D47" s="941"/>
      <c r="E47" s="1324"/>
      <c r="F47" s="1324"/>
      <c r="G47" s="1324"/>
      <c r="H47" s="1324"/>
      <c r="I47" s="1324"/>
    </row>
    <row r="48" spans="3:9">
      <c r="C48" s="1337" t="s">
        <v>4621</v>
      </c>
      <c r="D48" s="941"/>
      <c r="E48" s="1324"/>
      <c r="F48" s="1324"/>
      <c r="G48" s="1324"/>
      <c r="H48" s="1324"/>
      <c r="I48" s="1324"/>
    </row>
    <row r="49" spans="3:9">
      <c r="C49" s="1337" t="s">
        <v>4623</v>
      </c>
      <c r="D49" s="941"/>
      <c r="E49" s="1324"/>
      <c r="F49" s="1324"/>
      <c r="G49" s="1324"/>
      <c r="H49" s="1324"/>
      <c r="I49" s="1324"/>
    </row>
    <row r="50" spans="3:9">
      <c r="C50" s="1335" t="s">
        <v>4544</v>
      </c>
      <c r="D50" s="406">
        <f>SUM(D40:D49)</f>
        <v>0</v>
      </c>
      <c r="E50" s="406">
        <f t="shared" ref="E50:F50" si="1">SUM(E40:E49)</f>
        <v>0</v>
      </c>
      <c r="F50" s="406">
        <f t="shared" si="1"/>
        <v>0</v>
      </c>
      <c r="G50" s="1324"/>
      <c r="H50" s="1324"/>
      <c r="I50" s="1324"/>
    </row>
    <row r="51" spans="3:9">
      <c r="C51" s="1337" t="s">
        <v>4615</v>
      </c>
      <c r="D51" s="941"/>
      <c r="E51" s="1324"/>
      <c r="F51" s="1324"/>
      <c r="G51" s="1324"/>
      <c r="H51" s="1324"/>
      <c r="I51" s="1324"/>
    </row>
    <row r="52" spans="3:9">
      <c r="C52" s="1337" t="s">
        <v>4617</v>
      </c>
      <c r="D52" s="941"/>
      <c r="E52" s="1324"/>
      <c r="F52" s="1324"/>
      <c r="G52" s="1324"/>
      <c r="H52" s="1324"/>
      <c r="I52" s="1324"/>
    </row>
    <row r="53" spans="3:9">
      <c r="C53" s="1337" t="s">
        <v>4619</v>
      </c>
      <c r="D53" s="941"/>
      <c r="E53" s="1324"/>
      <c r="F53" s="1324"/>
      <c r="G53" s="1324"/>
      <c r="H53" s="1324"/>
      <c r="I53" s="1324"/>
    </row>
    <row r="54" spans="3:9">
      <c r="C54" s="1337" t="s">
        <v>4621</v>
      </c>
      <c r="D54" s="941"/>
      <c r="E54" s="1324"/>
      <c r="F54" s="1324"/>
      <c r="G54" s="1324"/>
      <c r="H54" s="1324"/>
      <c r="I54" s="1324"/>
    </row>
    <row r="55" spans="3:9">
      <c r="C55" s="1337" t="s">
        <v>4623</v>
      </c>
      <c r="D55" s="941"/>
      <c r="E55" s="1324"/>
      <c r="F55" s="1324"/>
      <c r="G55" s="1324"/>
      <c r="H55" s="1324"/>
      <c r="I55" s="1324"/>
    </row>
    <row r="56" spans="3:9">
      <c r="C56" s="1337" t="s">
        <v>4624</v>
      </c>
      <c r="D56" s="941"/>
      <c r="E56" s="1324"/>
      <c r="F56" s="1324"/>
      <c r="G56" s="1324"/>
      <c r="H56" s="1324"/>
      <c r="I56" s="1324"/>
    </row>
    <row r="57" spans="3:9">
      <c r="C57" s="1337" t="s">
        <v>4625</v>
      </c>
      <c r="D57" s="941"/>
      <c r="E57" s="1324"/>
      <c r="F57" s="1324"/>
      <c r="G57" s="1324"/>
      <c r="H57" s="1324"/>
      <c r="I57" s="1324"/>
    </row>
    <row r="58" spans="3:9">
      <c r="C58" s="1337" t="s">
        <v>4626</v>
      </c>
      <c r="D58" s="941"/>
      <c r="E58" s="1324"/>
      <c r="F58" s="1324"/>
      <c r="G58" s="1324"/>
      <c r="H58" s="1324"/>
      <c r="I58" s="1324"/>
    </row>
    <row r="59" spans="3:9">
      <c r="C59" s="1337" t="s">
        <v>4627</v>
      </c>
      <c r="D59" s="941"/>
      <c r="E59" s="1324"/>
      <c r="F59" s="1324"/>
      <c r="G59" s="1324"/>
      <c r="H59" s="1324"/>
      <c r="I59" s="1324"/>
    </row>
    <row r="60" spans="3:9">
      <c r="C60" s="1337" t="s">
        <v>4628</v>
      </c>
      <c r="D60" s="941"/>
      <c r="E60" s="1324"/>
      <c r="F60" s="1324"/>
      <c r="G60" s="1324"/>
      <c r="H60" s="1324"/>
      <c r="I60" s="1324"/>
    </row>
    <row r="61" spans="3:9">
      <c r="C61" s="1335" t="s">
        <v>4545</v>
      </c>
      <c r="D61" s="406">
        <f>SUM(D51:D60)</f>
        <v>0</v>
      </c>
      <c r="E61" s="406">
        <f t="shared" ref="E61:F61" si="2">SUM(E51:E60)</f>
        <v>0</v>
      </c>
      <c r="F61" s="406">
        <f t="shared" si="2"/>
        <v>0</v>
      </c>
      <c r="G61" s="1324"/>
      <c r="H61" s="1324"/>
      <c r="I61" s="1324"/>
    </row>
    <row r="63" spans="3:9">
      <c r="C63" s="154" t="s">
        <v>30</v>
      </c>
      <c r="D63" s="406">
        <f>审定资产负债表!C24</f>
        <v>0</v>
      </c>
      <c r="E63" s="406">
        <f>审定资产负债表!C84</f>
        <v>0</v>
      </c>
    </row>
    <row r="64" spans="3:9">
      <c r="C64" s="154" t="s">
        <v>27</v>
      </c>
      <c r="D64" s="406">
        <f>D38+D50-D63</f>
        <v>0</v>
      </c>
      <c r="E64" s="406">
        <f>D61-E63</f>
        <v>0</v>
      </c>
    </row>
    <row r="66" spans="3:8">
      <c r="C66" s="1334" t="s">
        <v>4556</v>
      </c>
    </row>
    <row r="67" spans="3:8">
      <c r="C67" s="1840" t="s">
        <v>811</v>
      </c>
      <c r="D67" s="1840" t="s">
        <v>2807</v>
      </c>
      <c r="E67" s="1840" t="s">
        <v>4558</v>
      </c>
      <c r="F67" s="1840" t="s">
        <v>4559</v>
      </c>
      <c r="G67" s="1840"/>
      <c r="H67" s="1840" t="s">
        <v>4560</v>
      </c>
    </row>
    <row r="68" spans="3:8" ht="12">
      <c r="C68" s="1840"/>
      <c r="D68" s="1840"/>
      <c r="E68" s="1840"/>
      <c r="F68" s="1324" t="s">
        <v>4561</v>
      </c>
      <c r="G68" s="1324" t="s">
        <v>4562</v>
      </c>
      <c r="H68" s="1840"/>
    </row>
    <row r="69" spans="3:8">
      <c r="C69" s="1338" t="s">
        <v>4563</v>
      </c>
      <c r="D69" s="941"/>
      <c r="E69" s="794"/>
      <c r="F69" s="795"/>
      <c r="G69" s="795"/>
      <c r="H69" s="795"/>
    </row>
    <row r="70" spans="3:8">
      <c r="C70" s="1382" t="s">
        <v>4600</v>
      </c>
      <c r="D70" s="941"/>
      <c r="E70" s="794"/>
      <c r="F70" s="795"/>
      <c r="G70" s="795"/>
      <c r="H70" s="795"/>
    </row>
    <row r="71" spans="3:8">
      <c r="C71" s="1382" t="s">
        <v>4603</v>
      </c>
      <c r="D71" s="941"/>
      <c r="E71" s="794"/>
      <c r="F71" s="795"/>
      <c r="G71" s="795"/>
      <c r="H71" s="795"/>
    </row>
    <row r="72" spans="3:8">
      <c r="C72" s="1382" t="s">
        <v>4605</v>
      </c>
      <c r="D72" s="941"/>
      <c r="E72" s="794"/>
      <c r="F72" s="795"/>
      <c r="G72" s="795"/>
      <c r="H72" s="795"/>
    </row>
    <row r="73" spans="3:8">
      <c r="C73" s="1381" t="s">
        <v>4609</v>
      </c>
      <c r="D73" s="941"/>
      <c r="E73" s="794"/>
      <c r="F73" s="795"/>
      <c r="G73" s="795"/>
      <c r="H73" s="795"/>
    </row>
    <row r="74" spans="3:8">
      <c r="C74" s="1387" t="s">
        <v>4615</v>
      </c>
      <c r="D74" s="941"/>
      <c r="E74" s="794"/>
      <c r="F74" s="795"/>
      <c r="G74" s="795"/>
      <c r="H74" s="795"/>
    </row>
    <row r="75" spans="3:8">
      <c r="C75" s="1387" t="s">
        <v>4616</v>
      </c>
      <c r="D75" s="941"/>
      <c r="E75" s="794"/>
      <c r="F75" s="795"/>
      <c r="G75" s="795"/>
      <c r="H75" s="795"/>
    </row>
    <row r="76" spans="3:8">
      <c r="C76" s="1387" t="s">
        <v>4618</v>
      </c>
      <c r="D76" s="941"/>
      <c r="E76" s="794"/>
      <c r="F76" s="795"/>
      <c r="G76" s="795"/>
      <c r="H76" s="795"/>
    </row>
    <row r="77" spans="3:8">
      <c r="C77" s="1387" t="s">
        <v>4620</v>
      </c>
      <c r="D77" s="941"/>
      <c r="E77" s="794"/>
      <c r="F77" s="795"/>
      <c r="G77" s="795"/>
      <c r="H77" s="795"/>
    </row>
    <row r="78" spans="3:8">
      <c r="C78" s="1387" t="s">
        <v>4622</v>
      </c>
      <c r="D78" s="941"/>
      <c r="E78" s="794"/>
      <c r="F78" s="795"/>
      <c r="G78" s="795"/>
      <c r="H78" s="795"/>
    </row>
    <row r="79" spans="3:8">
      <c r="C79" s="1338" t="s">
        <v>4564</v>
      </c>
      <c r="D79" s="941"/>
      <c r="E79" s="794"/>
      <c r="F79" s="795"/>
      <c r="G79" s="795"/>
      <c r="H79" s="795"/>
    </row>
    <row r="80" spans="3:8">
      <c r="C80" s="1382" t="s">
        <v>4600</v>
      </c>
      <c r="D80" s="941"/>
      <c r="E80" s="794"/>
      <c r="F80" s="795"/>
      <c r="G80" s="795"/>
      <c r="H80" s="795"/>
    </row>
    <row r="81" spans="3:8">
      <c r="C81" s="1382" t="s">
        <v>4603</v>
      </c>
      <c r="D81" s="941"/>
      <c r="E81" s="794"/>
      <c r="F81" s="795"/>
      <c r="G81" s="795"/>
      <c r="H81" s="795"/>
    </row>
    <row r="82" spans="3:8">
      <c r="C82" s="1382" t="s">
        <v>4605</v>
      </c>
      <c r="D82" s="941"/>
      <c r="E82" s="794"/>
      <c r="F82" s="795"/>
      <c r="G82" s="795"/>
      <c r="H82" s="795"/>
    </row>
    <row r="83" spans="3:8">
      <c r="C83" s="1381" t="s">
        <v>4609</v>
      </c>
      <c r="D83" s="941"/>
      <c r="E83" s="794"/>
      <c r="F83" s="795"/>
      <c r="G83" s="795"/>
      <c r="H83" s="795"/>
    </row>
    <row r="84" spans="3:8">
      <c r="C84" s="1337" t="s">
        <v>4555</v>
      </c>
      <c r="D84" s="941"/>
      <c r="E84" s="794"/>
      <c r="F84" s="795"/>
      <c r="G84" s="795"/>
      <c r="H84" s="795"/>
    </row>
    <row r="85" spans="3:8">
      <c r="C85" s="1387" t="s">
        <v>4615</v>
      </c>
      <c r="D85" s="941"/>
      <c r="E85" s="794"/>
      <c r="F85" s="795"/>
      <c r="G85" s="795"/>
      <c r="H85" s="795"/>
    </row>
    <row r="86" spans="3:8">
      <c r="C86" s="1387" t="s">
        <v>4616</v>
      </c>
      <c r="D86" s="941"/>
      <c r="E86" s="794"/>
      <c r="F86" s="795"/>
      <c r="G86" s="795"/>
      <c r="H86" s="795"/>
    </row>
    <row r="87" spans="3:8">
      <c r="C87" s="1387" t="s">
        <v>4618</v>
      </c>
      <c r="D87" s="941"/>
      <c r="E87" s="794"/>
      <c r="F87" s="795"/>
      <c r="G87" s="795"/>
      <c r="H87" s="795"/>
    </row>
    <row r="88" spans="3:8">
      <c r="C88" s="1387" t="s">
        <v>4620</v>
      </c>
      <c r="D88" s="941"/>
      <c r="E88" s="794"/>
      <c r="F88" s="795"/>
      <c r="G88" s="795"/>
      <c r="H88" s="795"/>
    </row>
    <row r="89" spans="3:8">
      <c r="C89" s="1387" t="s">
        <v>4622</v>
      </c>
      <c r="D89" s="941"/>
      <c r="E89" s="794"/>
      <c r="F89" s="795"/>
      <c r="G89" s="795"/>
      <c r="H89" s="795"/>
    </row>
    <row r="90" spans="3:8">
      <c r="C90" s="1324" t="s">
        <v>823</v>
      </c>
      <c r="D90" s="406">
        <f>SUM(D70:D78,D80:D89)</f>
        <v>0</v>
      </c>
      <c r="E90" s="406">
        <f t="shared" ref="E90:H90" si="3">SUM(E70:E78,E80:E89)</f>
        <v>0</v>
      </c>
      <c r="F90" s="406">
        <f t="shared" si="3"/>
        <v>0</v>
      </c>
      <c r="G90" s="406">
        <f t="shared" si="3"/>
        <v>0</v>
      </c>
      <c r="H90" s="406">
        <f t="shared" si="3"/>
        <v>0</v>
      </c>
    </row>
    <row r="92" spans="3:8" ht="14.25">
      <c r="C92"/>
      <c r="D92"/>
    </row>
    <row r="93" spans="3:8" ht="14.25">
      <c r="C93"/>
      <c r="D93"/>
    </row>
  </sheetData>
  <sheetProtection formatCells="0" formatColumns="0" formatRows="0" autoFilter="0"/>
  <mergeCells count="5">
    <mergeCell ref="C67:C68"/>
    <mergeCell ref="D67:D68"/>
    <mergeCell ref="E67:E68"/>
    <mergeCell ref="F67:G67"/>
    <mergeCell ref="H67:H68"/>
  </mergeCells>
  <phoneticPr fontId="5" type="noConversion"/>
  <hyperlinks>
    <hyperlink ref="A1" location="附注填写封面!B3" display="返回目录" xr:uid="{00000000-0004-0000-1D00-000000000000}"/>
    <hyperlink ref="A20" location="附注填写封面!B3" display="返回目录" xr:uid="{00000000-0004-0000-1D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ignoredErrors>
    <ignoredError sqref="D63:E63" unlockedFormula="1"/>
  </ignoredErrors>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90"/>
  <dimension ref="A1:E23"/>
  <sheetViews>
    <sheetView showGridLines="0" showZeros="0" workbookViewId="0">
      <selection activeCell="C18" sqref="C18"/>
    </sheetView>
  </sheetViews>
  <sheetFormatPr defaultColWidth="11.625" defaultRowHeight="12.75"/>
  <cols>
    <col min="1" max="1" width="6" style="94" customWidth="1"/>
    <col min="2" max="2" width="5.875" style="29" hidden="1" customWidth="1"/>
    <col min="3" max="3" width="35.875" style="344" customWidth="1"/>
    <col min="4" max="5" width="11.625" style="344"/>
    <col min="6" max="16384" width="11.625" style="29"/>
  </cols>
  <sheetData>
    <row r="1" spans="1:5" ht="27.95" customHeight="1">
      <c r="A1" s="758" t="s">
        <v>243</v>
      </c>
      <c r="B1" s="327" t="s">
        <v>305</v>
      </c>
      <c r="C1" s="759" t="s">
        <v>2805</v>
      </c>
    </row>
    <row r="2" spans="1:5">
      <c r="B2" s="95">
        <v>2</v>
      </c>
      <c r="C2" s="889" t="s">
        <v>2798</v>
      </c>
      <c r="D2" s="889" t="s">
        <v>2806</v>
      </c>
      <c r="E2" s="889" t="s">
        <v>2807</v>
      </c>
    </row>
    <row r="3" spans="1:5">
      <c r="A3" s="147">
        <v>1</v>
      </c>
      <c r="B3" s="95">
        <v>3</v>
      </c>
      <c r="C3" s="338"/>
      <c r="D3" s="400"/>
      <c r="E3" s="400"/>
    </row>
    <row r="4" spans="1:5">
      <c r="A4" s="147">
        <v>2</v>
      </c>
      <c r="B4" s="95">
        <v>4</v>
      </c>
      <c r="C4" s="338"/>
      <c r="D4" s="400"/>
      <c r="E4" s="400"/>
    </row>
    <row r="5" spans="1:5">
      <c r="A5" s="147">
        <v>3</v>
      </c>
      <c r="B5" s="95">
        <v>5</v>
      </c>
      <c r="C5" s="338"/>
      <c r="D5" s="400"/>
      <c r="E5" s="400"/>
    </row>
    <row r="6" spans="1:5">
      <c r="A6" s="147">
        <v>4</v>
      </c>
      <c r="B6" s="95">
        <v>6</v>
      </c>
      <c r="C6" s="338"/>
      <c r="D6" s="400"/>
      <c r="E6" s="400"/>
    </row>
    <row r="7" spans="1:5">
      <c r="A7" s="147">
        <v>5</v>
      </c>
      <c r="B7" s="95">
        <v>7</v>
      </c>
      <c r="C7" s="338"/>
      <c r="D7" s="400"/>
      <c r="E7" s="400"/>
    </row>
    <row r="8" spans="1:5">
      <c r="A8" s="147">
        <v>6</v>
      </c>
      <c r="B8" s="95">
        <v>8</v>
      </c>
      <c r="C8" s="338"/>
      <c r="D8" s="400"/>
      <c r="E8" s="400"/>
    </row>
    <row r="9" spans="1:5">
      <c r="A9" s="147">
        <v>7</v>
      </c>
      <c r="B9" s="95">
        <v>9</v>
      </c>
      <c r="C9" s="338"/>
      <c r="D9" s="400"/>
      <c r="E9" s="400"/>
    </row>
    <row r="10" spans="1:5">
      <c r="A10" s="147">
        <v>8</v>
      </c>
      <c r="B10" s="95">
        <v>10</v>
      </c>
      <c r="C10" s="338"/>
      <c r="D10" s="400"/>
      <c r="E10" s="400"/>
    </row>
    <row r="11" spans="1:5">
      <c r="A11" s="147">
        <v>9</v>
      </c>
      <c r="B11" s="95">
        <v>11</v>
      </c>
      <c r="C11" s="338"/>
      <c r="D11" s="400"/>
      <c r="E11" s="400"/>
    </row>
    <row r="12" spans="1:5">
      <c r="A12" s="147">
        <v>10</v>
      </c>
      <c r="B12" s="95">
        <v>12</v>
      </c>
      <c r="C12" s="338"/>
      <c r="D12" s="400"/>
      <c r="E12" s="400"/>
    </row>
    <row r="13" spans="1:5">
      <c r="A13" s="147">
        <v>11</v>
      </c>
      <c r="B13" s="95">
        <v>13</v>
      </c>
      <c r="C13" s="338"/>
      <c r="D13" s="400"/>
      <c r="E13" s="400"/>
    </row>
    <row r="14" spans="1:5">
      <c r="A14" s="147">
        <v>12</v>
      </c>
      <c r="B14" s="95">
        <v>14</v>
      </c>
      <c r="C14" s="338"/>
      <c r="D14" s="400"/>
      <c r="E14" s="400"/>
    </row>
    <row r="15" spans="1:5">
      <c r="A15" s="147">
        <v>13</v>
      </c>
      <c r="B15" s="95">
        <v>15</v>
      </c>
      <c r="C15" s="338"/>
      <c r="D15" s="400"/>
      <c r="E15" s="400"/>
    </row>
    <row r="16" spans="1:5">
      <c r="A16" s="147">
        <v>14</v>
      </c>
      <c r="B16" s="95">
        <v>16</v>
      </c>
      <c r="C16" s="760"/>
      <c r="D16" s="400"/>
      <c r="E16" s="400"/>
    </row>
    <row r="17" spans="1:5">
      <c r="A17" s="147">
        <v>15</v>
      </c>
      <c r="B17" s="95">
        <v>17</v>
      </c>
      <c r="C17" s="338"/>
      <c r="D17" s="400"/>
      <c r="E17" s="400"/>
    </row>
    <row r="18" spans="1:5">
      <c r="B18" s="95">
        <v>18</v>
      </c>
      <c r="C18" s="401" t="s">
        <v>2801</v>
      </c>
      <c r="D18" s="406">
        <f>SUM(D3:D17)</f>
        <v>0</v>
      </c>
      <c r="E18" s="406">
        <f>SUM(E3:E17)</f>
        <v>0</v>
      </c>
    </row>
    <row r="19" spans="1:5">
      <c r="B19" s="95">
        <v>19</v>
      </c>
    </row>
    <row r="20" spans="1:5" ht="24">
      <c r="A20" s="758" t="s">
        <v>243</v>
      </c>
      <c r="B20" s="95">
        <v>20</v>
      </c>
      <c r="C20" s="881"/>
      <c r="D20" s="881" t="s">
        <v>2591</v>
      </c>
      <c r="E20" s="881" t="s">
        <v>2592</v>
      </c>
    </row>
    <row r="21" spans="1:5">
      <c r="B21" s="95">
        <v>21</v>
      </c>
      <c r="C21" s="881" t="s">
        <v>1319</v>
      </c>
      <c r="D21" s="406">
        <f>审定资产负债表!C25</f>
        <v>0</v>
      </c>
      <c r="E21" s="406">
        <f>审定资产负债表!D25</f>
        <v>0</v>
      </c>
    </row>
    <row r="22" spans="1:5">
      <c r="B22" s="95">
        <v>22</v>
      </c>
      <c r="C22" s="881" t="s">
        <v>1320</v>
      </c>
      <c r="D22" s="406">
        <f>D18-D21</f>
        <v>0</v>
      </c>
      <c r="E22" s="406">
        <f>E18-E21</f>
        <v>0</v>
      </c>
    </row>
    <row r="23" spans="1:5">
      <c r="B23" s="95">
        <v>23</v>
      </c>
    </row>
  </sheetData>
  <sheetProtection formatCells="0" formatColumns="0" formatRows="0" autoFilter="0"/>
  <phoneticPr fontId="5" type="noConversion"/>
  <hyperlinks>
    <hyperlink ref="A1" location="附注填写封面!B3" display="返回目录" xr:uid="{00000000-0004-0000-1E00-000000000000}"/>
    <hyperlink ref="A20" location="附注填写封面!B3" display="返回目录" xr:uid="{00000000-0004-0000-1E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0">
    <tabColor rgb="FFFFC000"/>
  </sheetPr>
  <dimension ref="A1:G28"/>
  <sheetViews>
    <sheetView showGridLines="0" showZeros="0" workbookViewId="0"/>
  </sheetViews>
  <sheetFormatPr defaultColWidth="11.625" defaultRowHeight="13.5"/>
  <cols>
    <col min="1" max="1" width="10.625" style="29" customWidth="1"/>
    <col min="2" max="2" width="4.625" style="29" hidden="1" customWidth="1"/>
    <col min="3" max="3" width="35.875" style="150" customWidth="1"/>
    <col min="4" max="5" width="11.625" style="150"/>
    <col min="6" max="16384" width="11.625" style="29"/>
  </cols>
  <sheetData>
    <row r="1" spans="1:7" ht="27.95" customHeight="1">
      <c r="A1" s="758" t="s">
        <v>243</v>
      </c>
      <c r="B1" s="327" t="s">
        <v>305</v>
      </c>
      <c r="C1" s="862" t="s">
        <v>2808</v>
      </c>
    </row>
    <row r="2" spans="1:7">
      <c r="B2" s="95">
        <v>2</v>
      </c>
      <c r="C2" s="864" t="s">
        <v>2796</v>
      </c>
      <c r="D2" s="864" t="s">
        <v>2803</v>
      </c>
      <c r="E2" s="864" t="s">
        <v>2804</v>
      </c>
      <c r="G2" s="1498" t="s">
        <v>4853</v>
      </c>
    </row>
    <row r="3" spans="1:7">
      <c r="A3" s="95">
        <v>1</v>
      </c>
      <c r="B3" s="95">
        <v>3</v>
      </c>
      <c r="C3" s="914" t="s">
        <v>4476</v>
      </c>
      <c r="D3" s="866">
        <v>138580.96</v>
      </c>
      <c r="E3" s="866">
        <v>86363.63</v>
      </c>
    </row>
    <row r="4" spans="1:7">
      <c r="A4" s="95">
        <v>2</v>
      </c>
      <c r="B4" s="95">
        <v>4</v>
      </c>
      <c r="C4" s="914" t="s">
        <v>4477</v>
      </c>
      <c r="D4" s="866"/>
      <c r="E4" s="866"/>
    </row>
    <row r="5" spans="1:7">
      <c r="A5" s="95">
        <v>3</v>
      </c>
      <c r="B5" s="95">
        <v>5</v>
      </c>
      <c r="C5" s="914" t="s">
        <v>4478</v>
      </c>
      <c r="D5" s="866"/>
      <c r="E5" s="866"/>
    </row>
    <row r="6" spans="1:7">
      <c r="A6" s="95">
        <v>4</v>
      </c>
      <c r="B6" s="95">
        <v>6</v>
      </c>
      <c r="C6" s="914" t="s">
        <v>4479</v>
      </c>
      <c r="D6" s="866"/>
      <c r="E6" s="866"/>
    </row>
    <row r="7" spans="1:7">
      <c r="A7" s="95">
        <v>5</v>
      </c>
      <c r="B7" s="95">
        <v>7</v>
      </c>
      <c r="C7" s="914" t="s">
        <v>4480</v>
      </c>
      <c r="D7" s="866"/>
      <c r="E7" s="866"/>
    </row>
    <row r="8" spans="1:7">
      <c r="A8" s="95">
        <v>6</v>
      </c>
      <c r="B8" s="95">
        <v>8</v>
      </c>
      <c r="C8" s="914" t="s">
        <v>4447</v>
      </c>
      <c r="D8" s="866"/>
      <c r="E8" s="866"/>
    </row>
    <row r="9" spans="1:7">
      <c r="A9" s="95">
        <v>7</v>
      </c>
      <c r="B9" s="95">
        <v>9</v>
      </c>
      <c r="C9" s="914"/>
      <c r="D9" s="866"/>
      <c r="E9" s="866"/>
    </row>
    <row r="10" spans="1:7">
      <c r="A10" s="95">
        <v>8</v>
      </c>
      <c r="B10" s="95">
        <v>10</v>
      </c>
      <c r="C10" s="914"/>
      <c r="D10" s="866"/>
      <c r="E10" s="866"/>
    </row>
    <row r="11" spans="1:7">
      <c r="A11" s="95">
        <v>9</v>
      </c>
      <c r="B11" s="95">
        <v>11</v>
      </c>
      <c r="C11" s="914"/>
      <c r="D11" s="866"/>
      <c r="E11" s="866"/>
    </row>
    <row r="12" spans="1:7">
      <c r="A12" s="95">
        <v>10</v>
      </c>
      <c r="B12" s="95">
        <v>12</v>
      </c>
      <c r="C12" s="914"/>
      <c r="D12" s="866"/>
      <c r="E12" s="866"/>
    </row>
    <row r="13" spans="1:7">
      <c r="A13" s="95">
        <v>11</v>
      </c>
      <c r="B13" s="95">
        <v>13</v>
      </c>
      <c r="C13" s="914"/>
      <c r="D13" s="866"/>
      <c r="E13" s="866"/>
    </row>
    <row r="14" spans="1:7">
      <c r="A14" s="95">
        <v>12</v>
      </c>
      <c r="B14" s="95">
        <v>14</v>
      </c>
      <c r="C14" s="914"/>
      <c r="D14" s="866"/>
      <c r="E14" s="866"/>
    </row>
    <row r="15" spans="1:7">
      <c r="A15" s="95">
        <v>13</v>
      </c>
      <c r="B15" s="95">
        <v>15</v>
      </c>
      <c r="C15" s="914"/>
      <c r="D15" s="866"/>
      <c r="E15" s="866"/>
    </row>
    <row r="16" spans="1:7">
      <c r="A16" s="95">
        <v>14</v>
      </c>
      <c r="B16" s="95">
        <v>16</v>
      </c>
      <c r="C16" s="868"/>
      <c r="D16" s="866"/>
      <c r="E16" s="866"/>
    </row>
    <row r="17" spans="1:5">
      <c r="A17" s="95">
        <v>15</v>
      </c>
      <c r="B17" s="95">
        <v>17</v>
      </c>
      <c r="C17" s="914"/>
      <c r="D17" s="866"/>
      <c r="E17" s="866"/>
    </row>
    <row r="18" spans="1:5">
      <c r="B18" s="95">
        <v>18</v>
      </c>
      <c r="C18" s="933" t="s">
        <v>2797</v>
      </c>
      <c r="D18" s="869">
        <f>SUM(D3:D17)</f>
        <v>138580.96</v>
      </c>
      <c r="E18" s="869">
        <f>SUM(E3:E17)</f>
        <v>86363.63</v>
      </c>
    </row>
    <row r="19" spans="1:5">
      <c r="B19" s="95">
        <v>19</v>
      </c>
    </row>
    <row r="20" spans="1:5">
      <c r="A20" s="758" t="s">
        <v>243</v>
      </c>
      <c r="B20" s="95">
        <v>20</v>
      </c>
      <c r="C20" s="870"/>
      <c r="D20" s="870" t="s">
        <v>2711</v>
      </c>
      <c r="E20" s="870" t="s">
        <v>2710</v>
      </c>
    </row>
    <row r="21" spans="1:5">
      <c r="B21" s="95">
        <v>21</v>
      </c>
      <c r="C21" s="870" t="s">
        <v>2665</v>
      </c>
      <c r="D21" s="869">
        <f>审定资产负债表!C26</f>
        <v>138580.96</v>
      </c>
      <c r="E21" s="869">
        <f>审定资产负债表!D26</f>
        <v>86363.63</v>
      </c>
    </row>
    <row r="22" spans="1:5">
      <c r="B22" s="95">
        <v>22</v>
      </c>
      <c r="C22" s="870" t="s">
        <v>2666</v>
      </c>
      <c r="D22" s="869">
        <f>D18-D21</f>
        <v>0</v>
      </c>
      <c r="E22" s="869">
        <f>E18-E21</f>
        <v>0</v>
      </c>
    </row>
    <row r="23" spans="1:5">
      <c r="B23" s="95">
        <v>23</v>
      </c>
    </row>
    <row r="24" spans="1:5">
      <c r="B24" s="95">
        <v>24</v>
      </c>
    </row>
    <row r="25" spans="1:5">
      <c r="B25" s="95">
        <v>25</v>
      </c>
    </row>
    <row r="26" spans="1:5">
      <c r="B26" s="95">
        <v>26</v>
      </c>
    </row>
    <row r="27" spans="1:5">
      <c r="B27" s="95">
        <v>27</v>
      </c>
    </row>
    <row r="28" spans="1:5">
      <c r="B28" s="95">
        <v>28</v>
      </c>
    </row>
  </sheetData>
  <sheetProtection formatCells="0" formatColumns="0" formatRows="0" autoFilter="0"/>
  <phoneticPr fontId="5" type="noConversion"/>
  <hyperlinks>
    <hyperlink ref="A1" location="附注填写封面!B3" display="返回目录" xr:uid="{00000000-0004-0000-1F00-000000000000}"/>
    <hyperlink ref="A20" location="附注填写封面!B3" display="返回目录" xr:uid="{00000000-0004-0000-1F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1">
    <tabColor rgb="FFFFC000"/>
  </sheetPr>
  <dimension ref="A1:N41"/>
  <sheetViews>
    <sheetView showGridLines="0" showZeros="0" workbookViewId="0">
      <selection activeCell="J15" sqref="J15"/>
    </sheetView>
  </sheetViews>
  <sheetFormatPr defaultColWidth="11.625" defaultRowHeight="12.75"/>
  <cols>
    <col min="1" max="1" width="9.375" style="344" customWidth="1"/>
    <col min="2" max="2" width="6.875" style="344" hidden="1" customWidth="1"/>
    <col min="3" max="3" width="35.875" style="344" customWidth="1"/>
    <col min="4" max="5" width="13" style="344" customWidth="1"/>
    <col min="6" max="9" width="11.625" style="344"/>
    <col min="10" max="10" width="38.375" style="344" bestFit="1" customWidth="1"/>
    <col min="11" max="11" width="19" style="344" bestFit="1" customWidth="1"/>
    <col min="12" max="13" width="11.625" style="344"/>
    <col min="14" max="14" width="15" style="344" bestFit="1" customWidth="1"/>
    <col min="15" max="16384" width="11.625" style="344"/>
  </cols>
  <sheetData>
    <row r="1" spans="1:14" ht="26.45" customHeight="1">
      <c r="A1" s="764" t="s">
        <v>2260</v>
      </c>
      <c r="B1" s="765" t="s">
        <v>1446</v>
      </c>
      <c r="C1" s="759" t="s">
        <v>2809</v>
      </c>
    </row>
    <row r="2" spans="1:14">
      <c r="B2" s="162">
        <v>2</v>
      </c>
      <c r="C2" s="1841" t="s">
        <v>1013</v>
      </c>
      <c r="D2" s="1841" t="s">
        <v>2810</v>
      </c>
      <c r="E2" s="1841"/>
      <c r="F2" s="1841"/>
      <c r="G2" s="1841" t="s">
        <v>526</v>
      </c>
      <c r="H2" s="1841"/>
      <c r="I2" s="1841"/>
    </row>
    <row r="3" spans="1:14">
      <c r="B3" s="162">
        <v>3</v>
      </c>
      <c r="C3" s="1841"/>
      <c r="D3" s="890" t="s">
        <v>826</v>
      </c>
      <c r="E3" s="891" t="s">
        <v>2610</v>
      </c>
      <c r="F3" s="891" t="s">
        <v>2611</v>
      </c>
      <c r="G3" s="890" t="s">
        <v>826</v>
      </c>
      <c r="H3" s="891" t="s">
        <v>2610</v>
      </c>
      <c r="I3" s="891" t="s">
        <v>2611</v>
      </c>
    </row>
    <row r="4" spans="1:14">
      <c r="B4" s="162">
        <v>4</v>
      </c>
      <c r="C4" s="815" t="s">
        <v>2647</v>
      </c>
      <c r="D4" s="852"/>
      <c r="E4" s="1600"/>
      <c r="F4" s="1600"/>
      <c r="G4" s="852"/>
      <c r="H4" s="1600"/>
      <c r="I4" s="1600"/>
    </row>
    <row r="5" spans="1:14">
      <c r="B5" s="162">
        <v>5</v>
      </c>
      <c r="C5" s="815" t="s">
        <v>2648</v>
      </c>
      <c r="D5" s="852">
        <f t="shared" ref="D5:I5" si="0">D6+D7</f>
        <v>705294</v>
      </c>
      <c r="E5" s="852">
        <f t="shared" si="0"/>
        <v>0</v>
      </c>
      <c r="F5" s="852">
        <f t="shared" si="0"/>
        <v>0</v>
      </c>
      <c r="G5" s="852">
        <f t="shared" si="0"/>
        <v>675294</v>
      </c>
      <c r="H5" s="852">
        <f t="shared" si="0"/>
        <v>0</v>
      </c>
      <c r="I5" s="852">
        <f t="shared" si="0"/>
        <v>0</v>
      </c>
    </row>
    <row r="6" spans="1:14">
      <c r="B6" s="162">
        <v>6</v>
      </c>
      <c r="C6" s="1289" t="s">
        <v>4472</v>
      </c>
      <c r="D6" s="852">
        <f>可供出售权益附表!C4</f>
        <v>0</v>
      </c>
      <c r="E6" s="852">
        <f>可供出售权益附表!D4</f>
        <v>0</v>
      </c>
      <c r="F6" s="852">
        <f>可供出售权益附表!E4</f>
        <v>0</v>
      </c>
      <c r="G6" s="852">
        <f>可供出售权益附表!F4</f>
        <v>0</v>
      </c>
      <c r="H6" s="852">
        <f>可供出售权益附表!G4</f>
        <v>0</v>
      </c>
      <c r="I6" s="852">
        <f>可供出售权益附表!H4</f>
        <v>0</v>
      </c>
      <c r="J6" s="934" t="s">
        <v>2811</v>
      </c>
    </row>
    <row r="7" spans="1:14">
      <c r="B7" s="162">
        <v>7</v>
      </c>
      <c r="C7" s="815" t="s">
        <v>4473</v>
      </c>
      <c r="D7" s="852">
        <f>可供出售权益附表!C16</f>
        <v>705294</v>
      </c>
      <c r="E7" s="852">
        <f>可供出售权益附表!D16</f>
        <v>0</v>
      </c>
      <c r="F7" s="852">
        <f>可供出售权益附表!E16</f>
        <v>0</v>
      </c>
      <c r="G7" s="852">
        <f>可供出售权益附表!F16</f>
        <v>675294</v>
      </c>
      <c r="H7" s="852">
        <f>可供出售权益附表!G16</f>
        <v>0</v>
      </c>
      <c r="I7" s="852">
        <f>可供出售权益附表!H16</f>
        <v>0</v>
      </c>
    </row>
    <row r="8" spans="1:14">
      <c r="B8" s="162"/>
      <c r="C8" s="815" t="s">
        <v>391</v>
      </c>
      <c r="D8" s="852">
        <f>可供出售权益附表!K4</f>
        <v>0</v>
      </c>
      <c r="E8" s="852">
        <f>可供出售权益附表!L4</f>
        <v>0</v>
      </c>
      <c r="F8" s="852">
        <f>可供出售权益附表!M4</f>
        <v>0</v>
      </c>
      <c r="G8" s="852">
        <f>可供出售权益附表!N4</f>
        <v>0</v>
      </c>
      <c r="H8" s="852">
        <f>可供出售权益附表!O4</f>
        <v>0</v>
      </c>
      <c r="I8" s="852">
        <f>可供出售权益附表!P4</f>
        <v>0</v>
      </c>
    </row>
    <row r="9" spans="1:14">
      <c r="B9" s="162"/>
      <c r="C9" s="890" t="s">
        <v>823</v>
      </c>
      <c r="D9" s="406">
        <f>D4+D5+D8</f>
        <v>705294</v>
      </c>
      <c r="E9" s="406">
        <f>E4+E5+E8</f>
        <v>0</v>
      </c>
      <c r="F9" s="406">
        <f>D9-E9</f>
        <v>705294</v>
      </c>
      <c r="G9" s="406">
        <f>G4+G5+G8</f>
        <v>675294</v>
      </c>
      <c r="H9" s="406">
        <f>H4+H5+H8</f>
        <v>0</v>
      </c>
      <c r="I9" s="406">
        <f>G9-H9</f>
        <v>675294</v>
      </c>
    </row>
    <row r="10" spans="1:14">
      <c r="B10" s="162"/>
    </row>
    <row r="11" spans="1:14">
      <c r="B11" s="162"/>
      <c r="C11" s="781" t="s">
        <v>2812</v>
      </c>
    </row>
    <row r="12" spans="1:14" ht="22.5" customHeight="1">
      <c r="B12" s="162"/>
      <c r="C12" s="891" t="s">
        <v>890</v>
      </c>
      <c r="D12" s="857" t="s">
        <v>2649</v>
      </c>
      <c r="E12" s="857" t="s">
        <v>2657</v>
      </c>
      <c r="F12" s="891" t="s">
        <v>391</v>
      </c>
      <c r="G12" s="891" t="s">
        <v>1005</v>
      </c>
    </row>
    <row r="13" spans="1:14">
      <c r="B13" s="162"/>
      <c r="C13" s="794" t="s">
        <v>2650</v>
      </c>
      <c r="D13" s="795"/>
      <c r="E13" s="795"/>
      <c r="F13" s="795"/>
      <c r="G13" s="406">
        <f>SUM(D13:F13)</f>
        <v>0</v>
      </c>
    </row>
    <row r="14" spans="1:14">
      <c r="B14" s="162"/>
      <c r="C14" s="794" t="s">
        <v>2651</v>
      </c>
      <c r="D14" s="795"/>
      <c r="E14" s="795"/>
      <c r="F14" s="795"/>
      <c r="G14" s="406">
        <f>SUM(D14:F14)</f>
        <v>0</v>
      </c>
      <c r="J14" s="1601" t="s">
        <v>5064</v>
      </c>
      <c r="K14" s="1601" t="s">
        <v>5065</v>
      </c>
      <c r="L14" s="1601" t="s">
        <v>5066</v>
      </c>
      <c r="M14" s="1601" t="s">
        <v>5067</v>
      </c>
      <c r="N14" s="1601" t="s">
        <v>5068</v>
      </c>
    </row>
    <row r="15" spans="1:14">
      <c r="B15" s="162"/>
      <c r="C15" s="794" t="s">
        <v>2652</v>
      </c>
      <c r="D15" s="795"/>
      <c r="E15" s="795"/>
      <c r="F15" s="795"/>
      <c r="G15" s="406">
        <f>SUM(D15:F15)</f>
        <v>0</v>
      </c>
      <c r="J15" s="1430" t="s">
        <v>5059</v>
      </c>
      <c r="K15" s="1597">
        <v>30000</v>
      </c>
      <c r="L15" s="1597"/>
      <c r="M15" s="1597">
        <v>30000</v>
      </c>
      <c r="N15" s="1597">
        <v>100000</v>
      </c>
    </row>
    <row r="16" spans="1:14">
      <c r="B16" s="162"/>
      <c r="C16" s="794" t="s">
        <v>2653</v>
      </c>
      <c r="D16" s="795"/>
      <c r="E16" s="795"/>
      <c r="F16" s="795"/>
      <c r="G16" s="406">
        <f>SUM(D16:F16)</f>
        <v>0</v>
      </c>
      <c r="J16" s="1430" t="s">
        <v>5060</v>
      </c>
      <c r="K16" s="1597">
        <v>437794</v>
      </c>
      <c r="L16" s="1597">
        <v>30000</v>
      </c>
      <c r="M16" s="1597">
        <v>437794</v>
      </c>
      <c r="N16" s="1597">
        <v>2000000</v>
      </c>
    </row>
    <row r="17" spans="2:14">
      <c r="B17" s="162"/>
      <c r="J17" s="1430" t="s">
        <v>5062</v>
      </c>
      <c r="K17" s="1597">
        <v>237500</v>
      </c>
      <c r="L17" s="1597"/>
      <c r="M17" s="1597">
        <v>237500</v>
      </c>
      <c r="N17" s="1597">
        <v>1000000</v>
      </c>
    </row>
    <row r="18" spans="2:14">
      <c r="B18" s="162"/>
      <c r="C18" s="781" t="s">
        <v>2658</v>
      </c>
    </row>
    <row r="19" spans="2:14" ht="21.75" customHeight="1">
      <c r="B19" s="162"/>
      <c r="C19" s="1842" t="s">
        <v>4682</v>
      </c>
      <c r="D19" s="1840" t="s">
        <v>2813</v>
      </c>
      <c r="E19" s="1840" t="s">
        <v>2814</v>
      </c>
      <c r="F19" s="1840" t="s">
        <v>2654</v>
      </c>
      <c r="G19" s="1840" t="s">
        <v>2655</v>
      </c>
      <c r="H19" s="1841" t="s">
        <v>2815</v>
      </c>
      <c r="I19" s="1841" t="s">
        <v>2656</v>
      </c>
    </row>
    <row r="20" spans="2:14">
      <c r="B20" s="162"/>
      <c r="C20" s="1843"/>
      <c r="D20" s="1840"/>
      <c r="E20" s="1840"/>
      <c r="F20" s="1840"/>
      <c r="G20" s="1840"/>
      <c r="H20" s="1841"/>
      <c r="I20" s="1841"/>
    </row>
    <row r="21" spans="2:14">
      <c r="B21" s="162"/>
      <c r="C21" s="890"/>
      <c r="D21" s="891"/>
      <c r="E21" s="891"/>
      <c r="F21" s="891"/>
      <c r="G21" s="891"/>
      <c r="H21" s="890"/>
      <c r="I21" s="890"/>
    </row>
    <row r="22" spans="2:14">
      <c r="B22" s="162"/>
      <c r="C22" s="890"/>
      <c r="D22" s="891"/>
      <c r="E22" s="891"/>
      <c r="F22" s="891"/>
      <c r="G22" s="891"/>
      <c r="H22" s="890"/>
      <c r="I22" s="890"/>
    </row>
    <row r="23" spans="2:14">
      <c r="B23" s="162"/>
      <c r="C23" s="890"/>
      <c r="D23" s="891"/>
      <c r="E23" s="891"/>
      <c r="F23" s="891"/>
      <c r="G23" s="891"/>
      <c r="H23" s="890"/>
      <c r="I23" s="890"/>
    </row>
    <row r="24" spans="2:14">
      <c r="B24" s="162"/>
      <c r="C24" s="815"/>
      <c r="D24" s="795"/>
      <c r="E24" s="795"/>
      <c r="F24" s="795"/>
      <c r="G24" s="891"/>
      <c r="H24" s="816"/>
      <c r="I24" s="816"/>
    </row>
    <row r="25" spans="2:14">
      <c r="B25" s="162"/>
      <c r="C25" s="815"/>
      <c r="D25" s="795"/>
      <c r="E25" s="795"/>
      <c r="F25" s="795"/>
      <c r="G25" s="891"/>
      <c r="H25" s="816"/>
      <c r="I25" s="816"/>
    </row>
    <row r="26" spans="2:14">
      <c r="B26" s="162"/>
      <c r="C26" s="890" t="s">
        <v>823</v>
      </c>
      <c r="D26" s="795"/>
      <c r="E26" s="795">
        <f>SUM(E21:E25)</f>
        <v>0</v>
      </c>
      <c r="F26" s="795"/>
      <c r="G26" s="891" t="s">
        <v>217</v>
      </c>
      <c r="H26" s="816">
        <f>SUM(H21:H25)</f>
        <v>0</v>
      </c>
      <c r="I26" s="890" t="s">
        <v>217</v>
      </c>
    </row>
    <row r="27" spans="2:14">
      <c r="B27" s="162"/>
    </row>
    <row r="28" spans="2:14">
      <c r="B28" s="162"/>
    </row>
    <row r="29" spans="2:14">
      <c r="B29" s="162">
        <v>8</v>
      </c>
      <c r="C29" s="881"/>
      <c r="D29" s="881" t="s">
        <v>2591</v>
      </c>
      <c r="E29" s="881" t="s">
        <v>2592</v>
      </c>
    </row>
    <row r="30" spans="2:14">
      <c r="B30" s="162">
        <v>9</v>
      </c>
      <c r="C30" s="881" t="s">
        <v>1319</v>
      </c>
      <c r="D30" s="406">
        <f>审定资产负债表!C30</f>
        <v>705294</v>
      </c>
      <c r="E30" s="406">
        <f>审定资产负债表!D30</f>
        <v>675294</v>
      </c>
    </row>
    <row r="31" spans="2:14">
      <c r="B31" s="162">
        <v>10</v>
      </c>
      <c r="C31" s="881" t="s">
        <v>1320</v>
      </c>
      <c r="D31" s="406">
        <f>F9-D30</f>
        <v>0</v>
      </c>
      <c r="E31" s="406">
        <f>I9-E30</f>
        <v>0</v>
      </c>
    </row>
    <row r="32" spans="2:14">
      <c r="B32" s="162">
        <v>11</v>
      </c>
    </row>
    <row r="33" spans="2:2">
      <c r="B33" s="162">
        <v>12</v>
      </c>
    </row>
    <row r="34" spans="2:2">
      <c r="B34" s="162">
        <v>13</v>
      </c>
    </row>
    <row r="35" spans="2:2">
      <c r="B35" s="162">
        <v>14</v>
      </c>
    </row>
    <row r="36" spans="2:2">
      <c r="B36" s="162">
        <v>15</v>
      </c>
    </row>
    <row r="37" spans="2:2">
      <c r="B37" s="162">
        <v>16</v>
      </c>
    </row>
    <row r="38" spans="2:2">
      <c r="B38" s="162">
        <v>17</v>
      </c>
    </row>
    <row r="39" spans="2:2">
      <c r="B39" s="162">
        <v>18</v>
      </c>
    </row>
    <row r="40" spans="2:2">
      <c r="B40" s="162">
        <v>19</v>
      </c>
    </row>
    <row r="41" spans="2:2">
      <c r="B41" s="162">
        <v>20</v>
      </c>
    </row>
  </sheetData>
  <sheetProtection formatCells="0" formatColumns="0" formatRows="0" autoFilter="0"/>
  <mergeCells count="10">
    <mergeCell ref="I19:I20"/>
    <mergeCell ref="C2:C3"/>
    <mergeCell ref="D2:F2"/>
    <mergeCell ref="G2:I2"/>
    <mergeCell ref="D19:D20"/>
    <mergeCell ref="E19:E20"/>
    <mergeCell ref="F19:F20"/>
    <mergeCell ref="G19:G20"/>
    <mergeCell ref="H19:H20"/>
    <mergeCell ref="C19:C20"/>
  </mergeCells>
  <phoneticPr fontId="5" type="noConversion"/>
  <hyperlinks>
    <hyperlink ref="A1" location="附注填写封面!B3" display="返回目录" xr:uid="{00000000-0004-0000-2000-000000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01">
    <tabColor rgb="FFFFC000"/>
  </sheetPr>
  <dimension ref="B2:P26"/>
  <sheetViews>
    <sheetView workbookViewId="0">
      <selection activeCell="C18" sqref="C18"/>
    </sheetView>
  </sheetViews>
  <sheetFormatPr defaultColWidth="9" defaultRowHeight="12.75"/>
  <cols>
    <col min="1" max="1" width="9" style="853"/>
    <col min="2" max="2" width="36.625" style="853" bestFit="1" customWidth="1"/>
    <col min="3" max="3" width="10.5" style="853" bestFit="1" customWidth="1"/>
    <col min="4" max="4" width="10.5" style="853" customWidth="1"/>
    <col min="5" max="5" width="10.5" style="853" bestFit="1" customWidth="1"/>
    <col min="6" max="9" width="9" style="853"/>
    <col min="10" max="10" width="18" style="853" bestFit="1" customWidth="1"/>
    <col min="11" max="16384" width="9" style="853"/>
  </cols>
  <sheetData>
    <row r="2" spans="2:16">
      <c r="B2" s="858" t="s">
        <v>2609</v>
      </c>
      <c r="C2" s="1844" t="s">
        <v>527</v>
      </c>
      <c r="D2" s="1845"/>
      <c r="E2" s="1846"/>
      <c r="F2" s="1844" t="s">
        <v>526</v>
      </c>
      <c r="G2" s="1845"/>
      <c r="H2" s="1846"/>
      <c r="J2" s="814" t="s">
        <v>2609</v>
      </c>
      <c r="K2" s="1844" t="s">
        <v>527</v>
      </c>
      <c r="L2" s="1845"/>
      <c r="M2" s="1846"/>
      <c r="N2" s="1844" t="s">
        <v>526</v>
      </c>
      <c r="O2" s="1845"/>
      <c r="P2" s="1846"/>
    </row>
    <row r="3" spans="2:16">
      <c r="B3" s="859"/>
      <c r="C3" s="814" t="s">
        <v>826</v>
      </c>
      <c r="D3" s="793" t="s">
        <v>2610</v>
      </c>
      <c r="E3" s="793" t="s">
        <v>2611</v>
      </c>
      <c r="F3" s="814" t="s">
        <v>826</v>
      </c>
      <c r="G3" s="793" t="s">
        <v>2610</v>
      </c>
      <c r="H3" s="793" t="s">
        <v>2611</v>
      </c>
      <c r="J3" s="814"/>
      <c r="K3" s="814" t="s">
        <v>826</v>
      </c>
      <c r="L3" s="793" t="s">
        <v>2610</v>
      </c>
      <c r="M3" s="793" t="s">
        <v>2611</v>
      </c>
      <c r="N3" s="814" t="s">
        <v>826</v>
      </c>
      <c r="O3" s="793" t="s">
        <v>2610</v>
      </c>
      <c r="P3" s="793" t="s">
        <v>2611</v>
      </c>
    </row>
    <row r="4" spans="2:16">
      <c r="B4" s="854" t="s">
        <v>2612</v>
      </c>
      <c r="C4" s="852">
        <f t="shared" ref="C4:H4" si="0">SUM(C5:C15)</f>
        <v>0</v>
      </c>
      <c r="D4" s="852">
        <f t="shared" si="0"/>
        <v>0</v>
      </c>
      <c r="E4" s="852">
        <f t="shared" si="0"/>
        <v>0</v>
      </c>
      <c r="F4" s="852">
        <f t="shared" si="0"/>
        <v>0</v>
      </c>
      <c r="G4" s="852">
        <f t="shared" si="0"/>
        <v>0</v>
      </c>
      <c r="H4" s="852">
        <f t="shared" si="0"/>
        <v>0</v>
      </c>
      <c r="J4" s="854" t="s">
        <v>2613</v>
      </c>
      <c r="K4" s="855">
        <f t="shared" ref="K4:P4" si="1">SUM(K5:K26)</f>
        <v>0</v>
      </c>
      <c r="L4" s="855">
        <f t="shared" si="1"/>
        <v>0</v>
      </c>
      <c r="M4" s="855">
        <f t="shared" si="1"/>
        <v>0</v>
      </c>
      <c r="N4" s="855">
        <f t="shared" si="1"/>
        <v>0</v>
      </c>
      <c r="O4" s="855">
        <f t="shared" si="1"/>
        <v>0</v>
      </c>
      <c r="P4" s="855">
        <f t="shared" si="1"/>
        <v>0</v>
      </c>
    </row>
    <row r="5" spans="2:16">
      <c r="B5" s="854" t="s">
        <v>2614</v>
      </c>
      <c r="C5" s="856"/>
      <c r="D5" s="856"/>
      <c r="E5" s="856"/>
      <c r="F5" s="856"/>
      <c r="G5" s="856"/>
      <c r="H5" s="856"/>
      <c r="J5" s="856" t="s">
        <v>2615</v>
      </c>
      <c r="K5" s="856"/>
      <c r="L5" s="856"/>
      <c r="M5" s="856"/>
      <c r="N5" s="856"/>
      <c r="O5" s="856"/>
      <c r="P5" s="856"/>
    </row>
    <row r="6" spans="2:16">
      <c r="B6" s="854" t="s">
        <v>2616</v>
      </c>
      <c r="C6" s="856"/>
      <c r="D6" s="856"/>
      <c r="E6" s="856"/>
      <c r="F6" s="856"/>
      <c r="G6" s="856"/>
      <c r="H6" s="856"/>
      <c r="J6" s="856" t="s">
        <v>2617</v>
      </c>
      <c r="K6" s="856"/>
      <c r="L6" s="856"/>
      <c r="M6" s="856"/>
      <c r="N6" s="856"/>
      <c r="O6" s="856"/>
      <c r="P6" s="856"/>
    </row>
    <row r="7" spans="2:16">
      <c r="B7" s="854" t="s">
        <v>2618</v>
      </c>
      <c r="C7" s="856"/>
      <c r="D7" s="856"/>
      <c r="E7" s="856"/>
      <c r="F7" s="856"/>
      <c r="G7" s="856"/>
      <c r="H7" s="856"/>
      <c r="J7" s="856" t="s">
        <v>2619</v>
      </c>
      <c r="K7" s="856"/>
      <c r="L7" s="856"/>
      <c r="M7" s="856"/>
      <c r="N7" s="856"/>
      <c r="O7" s="856"/>
      <c r="P7" s="856"/>
    </row>
    <row r="8" spans="2:16">
      <c r="B8" s="854" t="s">
        <v>2620</v>
      </c>
      <c r="C8" s="856"/>
      <c r="D8" s="856"/>
      <c r="E8" s="856"/>
      <c r="F8" s="856"/>
      <c r="G8" s="856"/>
      <c r="H8" s="856"/>
      <c r="J8" s="856" t="s">
        <v>2621</v>
      </c>
      <c r="K8" s="856"/>
      <c r="L8" s="856"/>
      <c r="M8" s="856"/>
      <c r="N8" s="856"/>
      <c r="O8" s="856"/>
      <c r="P8" s="856"/>
    </row>
    <row r="9" spans="2:16">
      <c r="B9" s="854" t="s">
        <v>2622</v>
      </c>
      <c r="C9" s="856"/>
      <c r="D9" s="856"/>
      <c r="E9" s="856"/>
      <c r="F9" s="856"/>
      <c r="G9" s="856"/>
      <c r="H9" s="856"/>
      <c r="J9" s="856" t="s">
        <v>2623</v>
      </c>
      <c r="K9" s="856"/>
      <c r="L9" s="856"/>
      <c r="M9" s="856"/>
      <c r="N9" s="856"/>
      <c r="O9" s="856"/>
      <c r="P9" s="856"/>
    </row>
    <row r="10" spans="2:16">
      <c r="B10" s="854" t="s">
        <v>2624</v>
      </c>
      <c r="C10" s="856"/>
      <c r="D10" s="856"/>
      <c r="E10" s="856"/>
      <c r="F10" s="856"/>
      <c r="G10" s="856"/>
      <c r="H10" s="856"/>
      <c r="J10" s="856" t="s">
        <v>2625</v>
      </c>
      <c r="K10" s="856"/>
      <c r="L10" s="856"/>
      <c r="M10" s="856"/>
      <c r="N10" s="856"/>
      <c r="O10" s="856"/>
      <c r="P10" s="856"/>
    </row>
    <row r="11" spans="2:16">
      <c r="B11" s="854" t="s">
        <v>2626</v>
      </c>
      <c r="C11" s="856"/>
      <c r="D11" s="856"/>
      <c r="E11" s="856"/>
      <c r="F11" s="856"/>
      <c r="G11" s="856"/>
      <c r="H11" s="856"/>
      <c r="J11" s="856" t="s">
        <v>2627</v>
      </c>
      <c r="K11" s="856"/>
      <c r="L11" s="856"/>
      <c r="M11" s="856"/>
      <c r="N11" s="856"/>
      <c r="O11" s="856"/>
      <c r="P11" s="856"/>
    </row>
    <row r="12" spans="2:16">
      <c r="B12" s="854" t="s">
        <v>2628</v>
      </c>
      <c r="C12" s="856"/>
      <c r="D12" s="856"/>
      <c r="E12" s="856"/>
      <c r="F12" s="856"/>
      <c r="G12" s="856"/>
      <c r="H12" s="856"/>
      <c r="J12" s="856" t="s">
        <v>2629</v>
      </c>
      <c r="K12" s="856"/>
      <c r="L12" s="856"/>
      <c r="M12" s="856"/>
      <c r="N12" s="856"/>
      <c r="O12" s="856"/>
      <c r="P12" s="856"/>
    </row>
    <row r="13" spans="2:16">
      <c r="B13" s="854" t="s">
        <v>2630</v>
      </c>
      <c r="C13" s="856"/>
      <c r="D13" s="856"/>
      <c r="E13" s="856"/>
      <c r="F13" s="856"/>
      <c r="G13" s="856"/>
      <c r="H13" s="856"/>
      <c r="J13" s="856" t="s">
        <v>2631</v>
      </c>
      <c r="K13" s="856"/>
      <c r="L13" s="856"/>
      <c r="M13" s="856"/>
      <c r="N13" s="856"/>
      <c r="O13" s="856"/>
      <c r="P13" s="856"/>
    </row>
    <row r="14" spans="2:16">
      <c r="B14" s="854" t="s">
        <v>2632</v>
      </c>
      <c r="C14" s="856"/>
      <c r="D14" s="856"/>
      <c r="E14" s="856"/>
      <c r="F14" s="856"/>
      <c r="G14" s="856"/>
      <c r="H14" s="856"/>
      <c r="J14" s="856" t="s">
        <v>2633</v>
      </c>
      <c r="K14" s="856"/>
      <c r="L14" s="856"/>
      <c r="M14" s="856"/>
      <c r="N14" s="856"/>
      <c r="O14" s="856"/>
      <c r="P14" s="856"/>
    </row>
    <row r="15" spans="2:16">
      <c r="B15" s="856"/>
      <c r="C15" s="856"/>
      <c r="D15" s="856"/>
      <c r="E15" s="856"/>
      <c r="F15" s="856"/>
      <c r="G15" s="856"/>
      <c r="H15" s="856"/>
      <c r="J15" s="856" t="s">
        <v>2634</v>
      </c>
      <c r="K15" s="856"/>
      <c r="L15" s="856"/>
      <c r="M15" s="856"/>
      <c r="N15" s="856"/>
      <c r="O15" s="856"/>
      <c r="P15" s="856"/>
    </row>
    <row r="16" spans="2:16">
      <c r="B16" s="854" t="s">
        <v>2635</v>
      </c>
      <c r="C16" s="855">
        <f t="shared" ref="C16:H16" si="2">SUM(C17:C26)</f>
        <v>705294</v>
      </c>
      <c r="D16" s="855">
        <f t="shared" si="2"/>
        <v>0</v>
      </c>
      <c r="E16" s="855">
        <f t="shared" si="2"/>
        <v>0</v>
      </c>
      <c r="F16" s="855">
        <f t="shared" si="2"/>
        <v>675294</v>
      </c>
      <c r="G16" s="855">
        <f t="shared" si="2"/>
        <v>0</v>
      </c>
      <c r="H16" s="855">
        <f t="shared" si="2"/>
        <v>0</v>
      </c>
      <c r="J16" s="856" t="s">
        <v>2636</v>
      </c>
      <c r="K16" s="856"/>
      <c r="L16" s="856"/>
      <c r="M16" s="856"/>
      <c r="N16" s="856"/>
      <c r="O16" s="856"/>
      <c r="P16" s="856"/>
    </row>
    <row r="17" spans="2:16">
      <c r="B17" s="1290" t="s">
        <v>5059</v>
      </c>
      <c r="C17" s="855">
        <v>30000</v>
      </c>
      <c r="D17" s="855"/>
      <c r="E17" s="855"/>
      <c r="F17" s="855">
        <v>30000</v>
      </c>
      <c r="G17" s="855"/>
      <c r="H17" s="855"/>
      <c r="J17" s="856" t="s">
        <v>2637</v>
      </c>
      <c r="K17" s="856"/>
      <c r="L17" s="856"/>
      <c r="M17" s="856"/>
      <c r="N17" s="856"/>
      <c r="O17" s="856"/>
      <c r="P17" s="856"/>
    </row>
    <row r="18" spans="2:16">
      <c r="B18" s="1290" t="s">
        <v>5061</v>
      </c>
      <c r="C18" s="855">
        <v>437794</v>
      </c>
      <c r="D18" s="855"/>
      <c r="E18" s="855"/>
      <c r="F18" s="855">
        <v>407794</v>
      </c>
      <c r="G18" s="855"/>
      <c r="H18" s="855"/>
      <c r="J18" s="856" t="s">
        <v>2638</v>
      </c>
      <c r="K18" s="856"/>
      <c r="L18" s="856"/>
      <c r="M18" s="856"/>
      <c r="N18" s="856"/>
      <c r="O18" s="856"/>
      <c r="P18" s="856"/>
    </row>
    <row r="19" spans="2:16">
      <c r="B19" s="1290" t="s">
        <v>5063</v>
      </c>
      <c r="C19" s="855">
        <v>237500</v>
      </c>
      <c r="D19" s="855"/>
      <c r="E19" s="855"/>
      <c r="F19" s="855">
        <v>237500</v>
      </c>
      <c r="G19" s="855"/>
      <c r="H19" s="855"/>
      <c r="J19" s="856" t="s">
        <v>2639</v>
      </c>
      <c r="K19" s="856"/>
      <c r="L19" s="856"/>
      <c r="M19" s="856"/>
      <c r="N19" s="856"/>
      <c r="O19" s="856"/>
      <c r="P19" s="856"/>
    </row>
    <row r="20" spans="2:16">
      <c r="B20" s="854" t="s">
        <v>2620</v>
      </c>
      <c r="C20" s="855"/>
      <c r="D20" s="855"/>
      <c r="E20" s="855"/>
      <c r="F20" s="855"/>
      <c r="G20" s="855"/>
      <c r="H20" s="855"/>
      <c r="J20" s="856" t="s">
        <v>2640</v>
      </c>
      <c r="K20" s="856"/>
      <c r="L20" s="856"/>
      <c r="M20" s="856"/>
      <c r="N20" s="856"/>
      <c r="O20" s="856"/>
      <c r="P20" s="856"/>
    </row>
    <row r="21" spans="2:16">
      <c r="B21" s="854" t="s">
        <v>2622</v>
      </c>
      <c r="C21" s="855"/>
      <c r="D21" s="855"/>
      <c r="E21" s="855"/>
      <c r="F21" s="855"/>
      <c r="G21" s="855"/>
      <c r="H21" s="855"/>
      <c r="J21" s="856" t="s">
        <v>2641</v>
      </c>
      <c r="K21" s="856"/>
      <c r="L21" s="856"/>
      <c r="M21" s="856"/>
      <c r="N21" s="856"/>
      <c r="O21" s="856"/>
      <c r="P21" s="856"/>
    </row>
    <row r="22" spans="2:16">
      <c r="B22" s="854" t="s">
        <v>2624</v>
      </c>
      <c r="C22" s="855"/>
      <c r="D22" s="855"/>
      <c r="E22" s="855"/>
      <c r="F22" s="855"/>
      <c r="G22" s="855"/>
      <c r="H22" s="855"/>
      <c r="J22" s="856" t="s">
        <v>2642</v>
      </c>
      <c r="K22" s="856"/>
      <c r="L22" s="856"/>
      <c r="M22" s="856"/>
      <c r="N22" s="856"/>
      <c r="O22" s="856"/>
      <c r="P22" s="856"/>
    </row>
    <row r="23" spans="2:16">
      <c r="B23" s="854" t="s">
        <v>2626</v>
      </c>
      <c r="C23" s="855"/>
      <c r="D23" s="855"/>
      <c r="E23" s="855"/>
      <c r="F23" s="855"/>
      <c r="G23" s="855"/>
      <c r="H23" s="855"/>
      <c r="J23" s="856" t="s">
        <v>2643</v>
      </c>
      <c r="K23" s="856"/>
      <c r="L23" s="856"/>
      <c r="M23" s="856"/>
      <c r="N23" s="856"/>
      <c r="O23" s="856"/>
      <c r="P23" s="856"/>
    </row>
    <row r="24" spans="2:16">
      <c r="B24" s="854" t="s">
        <v>2628</v>
      </c>
      <c r="C24" s="855"/>
      <c r="D24" s="855"/>
      <c r="E24" s="855"/>
      <c r="F24" s="855"/>
      <c r="G24" s="855"/>
      <c r="H24" s="855"/>
      <c r="J24" s="856" t="s">
        <v>2644</v>
      </c>
      <c r="K24" s="856"/>
      <c r="L24" s="856"/>
      <c r="M24" s="856"/>
      <c r="N24" s="856"/>
      <c r="O24" s="856"/>
      <c r="P24" s="856"/>
    </row>
    <row r="25" spans="2:16">
      <c r="B25" s="854" t="s">
        <v>2630</v>
      </c>
      <c r="C25" s="855"/>
      <c r="D25" s="855"/>
      <c r="E25" s="855"/>
      <c r="F25" s="855"/>
      <c r="G25" s="855"/>
      <c r="H25" s="855"/>
      <c r="J25" s="856" t="s">
        <v>2645</v>
      </c>
      <c r="K25" s="856"/>
      <c r="L25" s="856"/>
      <c r="M25" s="856"/>
      <c r="N25" s="856"/>
      <c r="O25" s="856"/>
      <c r="P25" s="856"/>
    </row>
    <row r="26" spans="2:16">
      <c r="B26" s="854" t="s">
        <v>2632</v>
      </c>
      <c r="C26" s="855"/>
      <c r="D26" s="855"/>
      <c r="E26" s="855"/>
      <c r="F26" s="855"/>
      <c r="G26" s="855"/>
      <c r="H26" s="855"/>
      <c r="J26" s="856" t="s">
        <v>2646</v>
      </c>
      <c r="K26" s="856"/>
      <c r="L26" s="856"/>
      <c r="M26" s="856"/>
      <c r="N26" s="856"/>
      <c r="O26" s="856"/>
      <c r="P26" s="856"/>
    </row>
  </sheetData>
  <sheetProtection formatCells="0" formatColumns="0" formatRows="0" autoFilter="0"/>
  <mergeCells count="4">
    <mergeCell ref="C2:E2"/>
    <mergeCell ref="F2:H2"/>
    <mergeCell ref="K2:M2"/>
    <mergeCell ref="N2:P2"/>
  </mergeCells>
  <phoneticPr fontId="5" type="noConversion"/>
  <pageMargins left="0.7" right="0.7" top="0.75" bottom="0.75" header="0.3" footer="0.3"/>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2"/>
  <dimension ref="A1:I34"/>
  <sheetViews>
    <sheetView showGridLines="0" showZeros="0" workbookViewId="0">
      <selection activeCell="F19" sqref="F19"/>
    </sheetView>
  </sheetViews>
  <sheetFormatPr defaultColWidth="11.625" defaultRowHeight="13.5"/>
  <cols>
    <col min="1" max="1" width="7.375" style="863" customWidth="1"/>
    <col min="2" max="2" width="6" style="863" hidden="1" customWidth="1"/>
    <col min="3" max="3" width="35.875" style="150" customWidth="1"/>
    <col min="4" max="16384" width="11.625" style="150"/>
  </cols>
  <sheetData>
    <row r="1" spans="1:9" ht="24" customHeight="1">
      <c r="A1" s="860" t="s">
        <v>2260</v>
      </c>
      <c r="B1" s="861" t="s">
        <v>2668</v>
      </c>
      <c r="C1" s="862" t="s">
        <v>2816</v>
      </c>
    </row>
    <row r="2" spans="1:9">
      <c r="B2" s="863">
        <v>2</v>
      </c>
      <c r="C2" s="1847" t="s">
        <v>274</v>
      </c>
      <c r="D2" s="1847" t="s">
        <v>276</v>
      </c>
      <c r="E2" s="1847"/>
      <c r="F2" s="1847"/>
      <c r="G2" s="1847" t="s">
        <v>275</v>
      </c>
      <c r="H2" s="1847"/>
      <c r="I2" s="1847"/>
    </row>
    <row r="3" spans="1:9">
      <c r="B3" s="863">
        <v>3</v>
      </c>
      <c r="C3" s="1847"/>
      <c r="D3" s="872" t="s">
        <v>279</v>
      </c>
      <c r="E3" s="935" t="s">
        <v>277</v>
      </c>
      <c r="F3" s="935" t="s">
        <v>281</v>
      </c>
      <c r="G3" s="872" t="s">
        <v>279</v>
      </c>
      <c r="H3" s="935" t="s">
        <v>277</v>
      </c>
      <c r="I3" s="935" t="s">
        <v>281</v>
      </c>
    </row>
    <row r="4" spans="1:9">
      <c r="A4" s="863">
        <v>1</v>
      </c>
      <c r="B4" s="863">
        <v>4</v>
      </c>
      <c r="C4" s="936" t="s">
        <v>2817</v>
      </c>
      <c r="D4" s="816"/>
      <c r="E4" s="795"/>
      <c r="F4" s="795"/>
      <c r="G4" s="816"/>
      <c r="H4" s="795"/>
      <c r="I4" s="795"/>
    </row>
    <row r="5" spans="1:9">
      <c r="A5" s="863">
        <v>2</v>
      </c>
      <c r="B5" s="863">
        <v>5</v>
      </c>
      <c r="C5" s="936" t="s">
        <v>2818</v>
      </c>
      <c r="D5" s="816"/>
      <c r="E5" s="795"/>
      <c r="F5" s="795"/>
      <c r="G5" s="816"/>
      <c r="H5" s="795"/>
      <c r="I5" s="795"/>
    </row>
    <row r="6" spans="1:9">
      <c r="A6" s="863">
        <v>3</v>
      </c>
      <c r="B6" s="863">
        <v>6</v>
      </c>
      <c r="C6" s="936" t="s">
        <v>2825</v>
      </c>
      <c r="D6" s="816"/>
      <c r="E6" s="795"/>
      <c r="F6" s="795"/>
      <c r="G6" s="816"/>
      <c r="H6" s="795"/>
      <c r="I6" s="795"/>
    </row>
    <row r="7" spans="1:9">
      <c r="A7" s="863">
        <v>4</v>
      </c>
      <c r="B7" s="863">
        <v>7</v>
      </c>
      <c r="C7" s="936" t="s">
        <v>2826</v>
      </c>
      <c r="D7" s="816"/>
      <c r="E7" s="795"/>
      <c r="F7" s="795"/>
      <c r="G7" s="816"/>
      <c r="H7" s="795"/>
      <c r="I7" s="795"/>
    </row>
    <row r="8" spans="1:9">
      <c r="A8" s="863">
        <v>5</v>
      </c>
      <c r="B8" s="863">
        <v>7</v>
      </c>
      <c r="C8" s="936" t="s">
        <v>2827</v>
      </c>
      <c r="D8" s="816"/>
      <c r="E8" s="795"/>
      <c r="F8" s="795"/>
      <c r="G8" s="816"/>
      <c r="H8" s="795"/>
      <c r="I8" s="795"/>
    </row>
    <row r="9" spans="1:9">
      <c r="A9" s="863">
        <v>6</v>
      </c>
      <c r="B9" s="863">
        <v>7</v>
      </c>
      <c r="C9" s="936" t="s">
        <v>2828</v>
      </c>
      <c r="D9" s="816"/>
      <c r="E9" s="795"/>
      <c r="F9" s="795"/>
      <c r="G9" s="816"/>
      <c r="H9" s="795"/>
      <c r="I9" s="795"/>
    </row>
    <row r="10" spans="1:9">
      <c r="A10" s="863">
        <v>7</v>
      </c>
      <c r="B10" s="863">
        <v>7</v>
      </c>
      <c r="C10" s="936" t="s">
        <v>2829</v>
      </c>
      <c r="D10" s="816"/>
      <c r="E10" s="795"/>
      <c r="F10" s="795"/>
      <c r="G10" s="816"/>
      <c r="H10" s="795"/>
      <c r="I10" s="795"/>
    </row>
    <row r="11" spans="1:9">
      <c r="A11" s="863">
        <v>8</v>
      </c>
      <c r="B11" s="863">
        <v>7</v>
      </c>
      <c r="C11" s="936" t="s">
        <v>2830</v>
      </c>
      <c r="D11" s="816"/>
      <c r="E11" s="795"/>
      <c r="F11" s="795"/>
      <c r="G11" s="816"/>
      <c r="H11" s="795"/>
      <c r="I11" s="795"/>
    </row>
    <row r="12" spans="1:9">
      <c r="A12" s="863">
        <v>9</v>
      </c>
      <c r="B12" s="863">
        <v>7</v>
      </c>
      <c r="C12" s="936" t="s">
        <v>2831</v>
      </c>
      <c r="D12" s="816"/>
      <c r="E12" s="795"/>
      <c r="F12" s="795"/>
      <c r="G12" s="816"/>
      <c r="H12" s="795"/>
      <c r="I12" s="795"/>
    </row>
    <row r="13" spans="1:9">
      <c r="A13" s="863">
        <v>10</v>
      </c>
      <c r="B13" s="863">
        <v>7</v>
      </c>
      <c r="C13" s="936" t="s">
        <v>2832</v>
      </c>
      <c r="D13" s="816"/>
      <c r="E13" s="795"/>
      <c r="F13" s="795"/>
      <c r="G13" s="816"/>
      <c r="H13" s="795"/>
      <c r="I13" s="795"/>
    </row>
    <row r="14" spans="1:9">
      <c r="A14" s="863">
        <v>11</v>
      </c>
      <c r="B14" s="863">
        <v>7</v>
      </c>
      <c r="C14" s="936" t="s">
        <v>2833</v>
      </c>
      <c r="D14" s="816"/>
      <c r="E14" s="795"/>
      <c r="F14" s="795"/>
      <c r="G14" s="816"/>
      <c r="H14" s="795"/>
      <c r="I14" s="795"/>
    </row>
    <row r="15" spans="1:9">
      <c r="A15" s="863">
        <v>12</v>
      </c>
      <c r="B15" s="863">
        <v>7</v>
      </c>
      <c r="C15" s="936" t="s">
        <v>2834</v>
      </c>
      <c r="D15" s="816"/>
      <c r="E15" s="795"/>
      <c r="F15" s="795"/>
      <c r="G15" s="816"/>
      <c r="H15" s="795"/>
      <c r="I15" s="795"/>
    </row>
    <row r="16" spans="1:9">
      <c r="A16" s="863">
        <v>13</v>
      </c>
      <c r="C16" s="936" t="s">
        <v>2835</v>
      </c>
      <c r="D16" s="816"/>
      <c r="E16" s="795"/>
      <c r="F16" s="795"/>
      <c r="G16" s="816"/>
      <c r="H16" s="795"/>
      <c r="I16" s="795"/>
    </row>
    <row r="17" spans="1:9">
      <c r="A17" s="863">
        <v>14</v>
      </c>
      <c r="C17" s="936" t="s">
        <v>2836</v>
      </c>
      <c r="D17" s="816"/>
      <c r="E17" s="795"/>
      <c r="F17" s="795"/>
      <c r="G17" s="816"/>
      <c r="H17" s="795"/>
      <c r="I17" s="795"/>
    </row>
    <row r="18" spans="1:9">
      <c r="A18" s="863">
        <v>15</v>
      </c>
      <c r="B18" s="863">
        <v>8</v>
      </c>
      <c r="C18" s="936" t="s">
        <v>2837</v>
      </c>
      <c r="D18" s="816"/>
      <c r="E18" s="795"/>
      <c r="F18" s="795"/>
      <c r="G18" s="816"/>
      <c r="H18" s="795"/>
      <c r="I18" s="795"/>
    </row>
    <row r="19" spans="1:9">
      <c r="B19" s="863">
        <v>9</v>
      </c>
      <c r="C19" s="872" t="s">
        <v>278</v>
      </c>
      <c r="D19" s="869">
        <f t="shared" ref="D19:I19" si="0">SUM(D4:D18)</f>
        <v>0</v>
      </c>
      <c r="E19" s="869">
        <f t="shared" si="0"/>
        <v>0</v>
      </c>
      <c r="F19" s="869">
        <f t="shared" si="0"/>
        <v>0</v>
      </c>
      <c r="G19" s="869">
        <f t="shared" si="0"/>
        <v>0</v>
      </c>
      <c r="H19" s="869">
        <f t="shared" si="0"/>
        <v>0</v>
      </c>
      <c r="I19" s="869">
        <f t="shared" si="0"/>
        <v>0</v>
      </c>
    </row>
    <row r="20" spans="1:9">
      <c r="C20" s="937"/>
      <c r="D20" s="938"/>
      <c r="E20" s="938"/>
      <c r="F20" s="938"/>
      <c r="G20" s="938"/>
      <c r="H20" s="938"/>
      <c r="I20" s="938"/>
    </row>
    <row r="21" spans="1:9">
      <c r="C21" s="939" t="s">
        <v>2819</v>
      </c>
      <c r="D21" s="938"/>
      <c r="E21" s="938"/>
      <c r="F21" s="938"/>
      <c r="G21" s="938"/>
      <c r="H21" s="938"/>
      <c r="I21" s="938"/>
    </row>
    <row r="22" spans="1:9">
      <c r="C22" s="935" t="s">
        <v>2820</v>
      </c>
      <c r="D22" s="940" t="s">
        <v>2821</v>
      </c>
      <c r="E22" s="940" t="s">
        <v>2822</v>
      </c>
      <c r="F22" s="940" t="s">
        <v>2823</v>
      </c>
      <c r="G22" s="940" t="s">
        <v>2824</v>
      </c>
      <c r="H22" s="938"/>
      <c r="I22" s="938"/>
    </row>
    <row r="23" spans="1:9">
      <c r="C23" s="941" t="s">
        <v>2614</v>
      </c>
      <c r="D23" s="942"/>
      <c r="E23" s="942"/>
      <c r="F23" s="942"/>
      <c r="G23" s="942"/>
      <c r="H23" s="938"/>
      <c r="I23" s="938"/>
    </row>
    <row r="24" spans="1:9">
      <c r="C24" s="941" t="s">
        <v>2838</v>
      </c>
      <c r="D24" s="942"/>
      <c r="E24" s="942"/>
      <c r="F24" s="942"/>
      <c r="G24" s="942"/>
      <c r="H24" s="938"/>
      <c r="I24" s="938"/>
    </row>
    <row r="25" spans="1:9">
      <c r="C25" s="941" t="s">
        <v>2618</v>
      </c>
      <c r="D25" s="942"/>
      <c r="E25" s="942"/>
      <c r="F25" s="942"/>
      <c r="G25" s="942"/>
      <c r="H25" s="938"/>
      <c r="I25" s="938"/>
    </row>
    <row r="26" spans="1:9">
      <c r="C26" s="941" t="s">
        <v>2620</v>
      </c>
      <c r="D26" s="942"/>
      <c r="E26" s="942"/>
      <c r="F26" s="942"/>
      <c r="G26" s="942"/>
      <c r="H26" s="938"/>
      <c r="I26" s="938"/>
    </row>
    <row r="27" spans="1:9">
      <c r="C27" s="941" t="s">
        <v>2622</v>
      </c>
      <c r="D27" s="942"/>
      <c r="E27" s="942"/>
      <c r="F27" s="942"/>
      <c r="G27" s="942"/>
      <c r="H27" s="938"/>
      <c r="I27" s="938"/>
    </row>
    <row r="28" spans="1:9">
      <c r="C28" s="937"/>
      <c r="D28" s="938"/>
      <c r="E28" s="938"/>
      <c r="F28" s="938"/>
      <c r="G28" s="938"/>
      <c r="H28" s="938"/>
      <c r="I28" s="938"/>
    </row>
    <row r="29" spans="1:9">
      <c r="A29" s="860" t="s">
        <v>2260</v>
      </c>
      <c r="B29" s="863">
        <v>16</v>
      </c>
    </row>
    <row r="30" spans="1:9">
      <c r="B30" s="863">
        <v>17</v>
      </c>
    </row>
    <row r="31" spans="1:9">
      <c r="B31" s="863">
        <v>18</v>
      </c>
    </row>
    <row r="32" spans="1:9">
      <c r="B32" s="863">
        <v>19</v>
      </c>
      <c r="C32" s="870"/>
      <c r="D32" s="870" t="s">
        <v>2711</v>
      </c>
      <c r="E32" s="870" t="s">
        <v>2710</v>
      </c>
    </row>
    <row r="33" spans="2:5">
      <c r="B33" s="863">
        <v>20</v>
      </c>
      <c r="C33" s="870" t="s">
        <v>2665</v>
      </c>
      <c r="D33" s="869">
        <f>审定资产负债表!C31</f>
        <v>0</v>
      </c>
      <c r="E33" s="869">
        <f>审定资产负债表!D31</f>
        <v>0</v>
      </c>
    </row>
    <row r="34" spans="2:5">
      <c r="C34" s="870" t="s">
        <v>2666</v>
      </c>
      <c r="D34" s="869">
        <f>F19-D33</f>
        <v>0</v>
      </c>
      <c r="E34" s="869">
        <f>I19-E33</f>
        <v>0</v>
      </c>
    </row>
  </sheetData>
  <sheetProtection formatCells="0" formatColumns="0" formatRows="0" autoFilter="0"/>
  <mergeCells count="3">
    <mergeCell ref="C2:C3"/>
    <mergeCell ref="D2:F2"/>
    <mergeCell ref="G2:I2"/>
  </mergeCells>
  <phoneticPr fontId="5" type="noConversion"/>
  <hyperlinks>
    <hyperlink ref="A1" location="附注填写封面!B3" display="返回目录" xr:uid="{00000000-0004-0000-2200-000000000000}"/>
    <hyperlink ref="A29" location="附注填写封面!B3" display="返回目录" xr:uid="{00000000-0004-0000-22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3"/>
  <dimension ref="A1:J20"/>
  <sheetViews>
    <sheetView showGridLines="0" showZeros="0" workbookViewId="0"/>
  </sheetViews>
  <sheetFormatPr defaultColWidth="11.625" defaultRowHeight="13.5"/>
  <cols>
    <col min="1" max="1" width="9.625" style="863" customWidth="1"/>
    <col min="2" max="2" width="5.375" style="863" hidden="1" customWidth="1"/>
    <col min="3" max="3" width="35.875" style="150" customWidth="1"/>
    <col min="4" max="6" width="11.625" style="150"/>
    <col min="7" max="7" width="18.5" style="150" customWidth="1"/>
    <col min="8" max="16384" width="11.625" style="150"/>
  </cols>
  <sheetData>
    <row r="1" spans="1:10" ht="25.7" customHeight="1">
      <c r="A1" s="860" t="s">
        <v>2260</v>
      </c>
      <c r="B1" s="861" t="s">
        <v>2737</v>
      </c>
      <c r="C1" s="862" t="s">
        <v>2839</v>
      </c>
    </row>
    <row r="2" spans="1:10">
      <c r="B2" s="863">
        <v>2</v>
      </c>
      <c r="C2" s="1848" t="s">
        <v>282</v>
      </c>
      <c r="D2" s="1850" t="s">
        <v>4683</v>
      </c>
      <c r="E2" s="1851"/>
      <c r="F2" s="1851"/>
      <c r="G2" s="1852" t="s">
        <v>4684</v>
      </c>
      <c r="H2" s="1853"/>
      <c r="I2" s="1854"/>
      <c r="J2" s="1855" t="s">
        <v>4685</v>
      </c>
    </row>
    <row r="3" spans="1:10">
      <c r="B3" s="863">
        <v>3</v>
      </c>
      <c r="C3" s="1849"/>
      <c r="D3" s="1422" t="s">
        <v>4686</v>
      </c>
      <c r="E3" s="1422" t="s">
        <v>4687</v>
      </c>
      <c r="F3" s="1422" t="s">
        <v>4688</v>
      </c>
      <c r="G3" s="1422" t="s">
        <v>4686</v>
      </c>
      <c r="H3" s="1422" t="s">
        <v>4687</v>
      </c>
      <c r="I3" s="1422" t="s">
        <v>4688</v>
      </c>
      <c r="J3" s="1856"/>
    </row>
    <row r="4" spans="1:10">
      <c r="B4" s="863">
        <v>4</v>
      </c>
      <c r="C4" s="865" t="s">
        <v>2659</v>
      </c>
      <c r="D4" s="1420"/>
      <c r="E4" s="1420"/>
      <c r="F4" s="1420"/>
      <c r="G4" s="1420"/>
      <c r="H4" s="1420"/>
      <c r="I4" s="1420"/>
      <c r="J4" s="866"/>
    </row>
    <row r="5" spans="1:10">
      <c r="B5" s="863">
        <v>5</v>
      </c>
      <c r="C5" s="867" t="s">
        <v>2660</v>
      </c>
      <c r="D5" s="1420"/>
      <c r="E5" s="1420"/>
      <c r="F5" s="1420"/>
      <c r="G5" s="1420"/>
      <c r="H5" s="1420"/>
      <c r="I5" s="1420"/>
      <c r="J5" s="866"/>
    </row>
    <row r="6" spans="1:10">
      <c r="B6" s="863">
        <v>6</v>
      </c>
      <c r="C6" s="868" t="s">
        <v>2661</v>
      </c>
      <c r="D6" s="1420"/>
      <c r="E6" s="1420"/>
      <c r="F6" s="1420"/>
      <c r="G6" s="1420"/>
      <c r="H6" s="1420"/>
      <c r="I6" s="1420"/>
      <c r="J6" s="866"/>
    </row>
    <row r="7" spans="1:10">
      <c r="B7" s="863">
        <v>7</v>
      </c>
      <c r="C7" s="868" t="s">
        <v>2662</v>
      </c>
      <c r="D7" s="1420"/>
      <c r="E7" s="1420"/>
      <c r="F7" s="1420"/>
      <c r="G7" s="1420"/>
      <c r="H7" s="1420"/>
      <c r="I7" s="1420"/>
      <c r="J7" s="866"/>
    </row>
    <row r="8" spans="1:10">
      <c r="B8" s="863">
        <v>8</v>
      </c>
      <c r="C8" s="868" t="s">
        <v>272</v>
      </c>
      <c r="D8" s="1420"/>
      <c r="E8" s="1420"/>
      <c r="F8" s="1420"/>
      <c r="G8" s="1420"/>
      <c r="H8" s="1420"/>
      <c r="I8" s="1420"/>
      <c r="J8" s="866"/>
    </row>
    <row r="9" spans="1:10">
      <c r="B9" s="863">
        <v>9</v>
      </c>
      <c r="C9" s="864" t="s">
        <v>2667</v>
      </c>
      <c r="D9" s="1421">
        <f>D4+SUM(D6:D8)</f>
        <v>0</v>
      </c>
      <c r="E9" s="1421">
        <f t="shared" ref="E9:I9" si="0">E4+SUM(E6:E8)</f>
        <v>0</v>
      </c>
      <c r="F9" s="1421">
        <f t="shared" si="0"/>
        <v>0</v>
      </c>
      <c r="G9" s="1421">
        <f t="shared" si="0"/>
        <v>0</v>
      </c>
      <c r="H9" s="1421">
        <f t="shared" si="0"/>
        <v>0</v>
      </c>
      <c r="I9" s="1421">
        <f t="shared" si="0"/>
        <v>0</v>
      </c>
      <c r="J9" s="869"/>
    </row>
    <row r="10" spans="1:10">
      <c r="A10" s="860" t="s">
        <v>2260</v>
      </c>
      <c r="B10" s="863">
        <v>10</v>
      </c>
    </row>
    <row r="11" spans="1:10">
      <c r="B11" s="863">
        <v>11</v>
      </c>
      <c r="C11" s="870"/>
      <c r="D11" s="870" t="s">
        <v>2663</v>
      </c>
      <c r="E11" s="870" t="s">
        <v>2782</v>
      </c>
    </row>
    <row r="12" spans="1:10">
      <c r="B12" s="863">
        <v>12</v>
      </c>
      <c r="C12" s="870" t="s">
        <v>2665</v>
      </c>
      <c r="D12" s="869">
        <f>审定资产负债表!D32</f>
        <v>0</v>
      </c>
      <c r="E12" s="869">
        <f>审定资产负债表!C32</f>
        <v>0</v>
      </c>
    </row>
    <row r="13" spans="1:10">
      <c r="B13" s="863">
        <v>13</v>
      </c>
      <c r="C13" s="870" t="s">
        <v>2666</v>
      </c>
      <c r="D13" s="869">
        <f>D12-I9</f>
        <v>0</v>
      </c>
      <c r="E13" s="869">
        <f>E12-F9</f>
        <v>0</v>
      </c>
    </row>
    <row r="14" spans="1:10">
      <c r="B14" s="863">
        <v>14</v>
      </c>
    </row>
    <row r="15" spans="1:10">
      <c r="B15" s="863">
        <v>15</v>
      </c>
    </row>
    <row r="16" spans="1:10">
      <c r="B16" s="863">
        <v>16</v>
      </c>
    </row>
    <row r="17" spans="2:2">
      <c r="B17" s="863">
        <v>17</v>
      </c>
    </row>
    <row r="18" spans="2:2">
      <c r="B18" s="863">
        <v>18</v>
      </c>
    </row>
    <row r="19" spans="2:2">
      <c r="B19" s="863">
        <v>19</v>
      </c>
    </row>
    <row r="20" spans="2:2">
      <c r="B20" s="863">
        <v>20</v>
      </c>
    </row>
  </sheetData>
  <sheetProtection formatCells="0" formatColumns="0" formatRows="0" autoFilter="0"/>
  <mergeCells count="4">
    <mergeCell ref="C2:C3"/>
    <mergeCell ref="D2:F2"/>
    <mergeCell ref="G2:I2"/>
    <mergeCell ref="J2:J3"/>
  </mergeCells>
  <phoneticPr fontId="5" type="noConversion"/>
  <hyperlinks>
    <hyperlink ref="A1" location="附注填写封面!B3" display="返回目录" xr:uid="{00000000-0004-0000-2300-000000000000}"/>
    <hyperlink ref="A10" location="附注填写封面!B3" display="返回目录" xr:uid="{00000000-0004-0000-23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0"/>
  <dimension ref="A1:Q266"/>
  <sheetViews>
    <sheetView showGridLines="0" showZeros="0" workbookViewId="0">
      <pane xSplit="3" ySplit="3" topLeftCell="D240" activePane="bottomRight" state="frozen"/>
      <selection activeCell="A5" sqref="A5:A6"/>
      <selection pane="topRight" activeCell="A5" sqref="A5:A6"/>
      <selection pane="bottomLeft" activeCell="A5" sqref="A5:A6"/>
      <selection pane="bottomRight"/>
    </sheetView>
  </sheetViews>
  <sheetFormatPr defaultColWidth="11.625" defaultRowHeight="12.75"/>
  <cols>
    <col min="1" max="1" width="10.875" style="810" customWidth="1"/>
    <col min="2" max="2" width="5.875" style="162" hidden="1" customWidth="1"/>
    <col min="3" max="3" width="35.875" style="344" customWidth="1"/>
    <col min="4" max="9" width="11.625" style="344"/>
    <col min="10" max="10" width="2.125" style="344" customWidth="1"/>
    <col min="11" max="11" width="0.625" style="344" customWidth="1"/>
    <col min="12" max="12" width="3.875" style="344" customWidth="1"/>
    <col min="13" max="16384" width="11.625" style="344"/>
  </cols>
  <sheetData>
    <row r="1" spans="1:12" ht="23.25" customHeight="1">
      <c r="A1" s="957" t="s">
        <v>2260</v>
      </c>
      <c r="B1" s="343" t="s">
        <v>1446</v>
      </c>
      <c r="C1" s="759" t="s">
        <v>2842</v>
      </c>
    </row>
    <row r="2" spans="1:12" ht="17.25" customHeight="1">
      <c r="B2" s="162">
        <v>2</v>
      </c>
      <c r="C2" s="944" t="s">
        <v>896</v>
      </c>
    </row>
    <row r="3" spans="1:12">
      <c r="B3" s="162">
        <v>3</v>
      </c>
      <c r="C3" s="881" t="s">
        <v>897</v>
      </c>
      <c r="D3" s="881" t="s">
        <v>2843</v>
      </c>
      <c r="E3" s="881" t="s">
        <v>2844</v>
      </c>
      <c r="F3" s="881" t="s">
        <v>2845</v>
      </c>
      <c r="G3" s="881" t="s">
        <v>2846</v>
      </c>
    </row>
    <row r="4" spans="1:12">
      <c r="B4" s="162">
        <v>4</v>
      </c>
      <c r="C4" s="760" t="s">
        <v>898</v>
      </c>
      <c r="D4" s="761"/>
      <c r="E4" s="761"/>
      <c r="F4" s="761"/>
      <c r="G4" s="406">
        <f>D4+E4-F4</f>
        <v>0</v>
      </c>
    </row>
    <row r="5" spans="1:12">
      <c r="B5" s="162">
        <v>5</v>
      </c>
      <c r="C5" s="760" t="s">
        <v>899</v>
      </c>
      <c r="D5" s="761"/>
      <c r="E5" s="761"/>
      <c r="F5" s="761"/>
      <c r="G5" s="406">
        <f>D5+E5-F5</f>
        <v>0</v>
      </c>
    </row>
    <row r="6" spans="1:12">
      <c r="B6" s="162">
        <v>6</v>
      </c>
      <c r="C6" s="760" t="s">
        <v>900</v>
      </c>
      <c r="D6" s="400"/>
      <c r="E6" s="400"/>
      <c r="F6" s="400"/>
      <c r="G6" s="406">
        <f>D6+E6-F6</f>
        <v>0</v>
      </c>
    </row>
    <row r="7" spans="1:12">
      <c r="B7" s="162">
        <v>8</v>
      </c>
      <c r="C7" s="889" t="s">
        <v>902</v>
      </c>
      <c r="D7" s="406">
        <f>SUM(D4:D6)</f>
        <v>0</v>
      </c>
      <c r="E7" s="406">
        <f>SUM(E4:E6)</f>
        <v>0</v>
      </c>
      <c r="F7" s="406">
        <f>SUM(F4:F6)</f>
        <v>0</v>
      </c>
      <c r="G7" s="406">
        <f>SUM(G4:G6)</f>
        <v>0</v>
      </c>
    </row>
    <row r="8" spans="1:12">
      <c r="A8" s="809" t="s">
        <v>2923</v>
      </c>
      <c r="B8" s="162">
        <v>9</v>
      </c>
      <c r="C8" s="338" t="s">
        <v>903</v>
      </c>
      <c r="D8" s="400"/>
      <c r="E8" s="761"/>
      <c r="F8" s="400"/>
      <c r="G8" s="406">
        <f>D8+E8-F8</f>
        <v>0</v>
      </c>
    </row>
    <row r="9" spans="1:12">
      <c r="B9" s="162">
        <v>10</v>
      </c>
      <c r="C9" s="881" t="s">
        <v>904</v>
      </c>
      <c r="D9" s="406">
        <f>D7-D8</f>
        <v>0</v>
      </c>
      <c r="E9" s="406">
        <f>E7-E8</f>
        <v>0</v>
      </c>
      <c r="F9" s="406">
        <f>F7-F8</f>
        <v>0</v>
      </c>
      <c r="G9" s="406">
        <f>G7-G8</f>
        <v>0</v>
      </c>
    </row>
    <row r="10" spans="1:12">
      <c r="A10" s="811" t="str">
        <f>HYPERLINK("#C1","置顶")</f>
        <v>置顶</v>
      </c>
      <c r="B10" s="162">
        <v>11</v>
      </c>
    </row>
    <row r="11" spans="1:12">
      <c r="A11" s="957"/>
      <c r="C11" s="888"/>
      <c r="D11" s="881" t="s">
        <v>2733</v>
      </c>
      <c r="E11" s="881"/>
      <c r="F11" s="881"/>
      <c r="G11" s="881" t="s">
        <v>2847</v>
      </c>
    </row>
    <row r="12" spans="1:12">
      <c r="B12" s="162">
        <v>12</v>
      </c>
      <c r="C12" s="881" t="s">
        <v>2734</v>
      </c>
      <c r="D12" s="406">
        <f>审定资产负债表!D33</f>
        <v>0</v>
      </c>
      <c r="E12" s="400"/>
      <c r="F12" s="400"/>
      <c r="G12" s="406">
        <f>审定资产负债表!C33</f>
        <v>0</v>
      </c>
    </row>
    <row r="13" spans="1:12">
      <c r="A13" s="809" t="s">
        <v>2260</v>
      </c>
      <c r="B13" s="162">
        <v>13</v>
      </c>
      <c r="C13" s="881" t="s">
        <v>1320</v>
      </c>
      <c r="D13" s="406">
        <f>D9-D12</f>
        <v>0</v>
      </c>
      <c r="E13" s="400"/>
      <c r="F13" s="400"/>
      <c r="G13" s="406">
        <f>G9-G12</f>
        <v>0</v>
      </c>
    </row>
    <row r="14" spans="1:12">
      <c r="B14" s="162">
        <v>14</v>
      </c>
      <c r="C14" s="834"/>
      <c r="D14" s="945"/>
      <c r="E14" s="945"/>
      <c r="F14" s="945"/>
      <c r="G14" s="945"/>
    </row>
    <row r="15" spans="1:12" ht="14.25" customHeight="1">
      <c r="B15" s="162">
        <v>15</v>
      </c>
      <c r="C15" s="944" t="s">
        <v>2848</v>
      </c>
    </row>
    <row r="16" spans="1:12" ht="24">
      <c r="A16" s="957" t="s">
        <v>2260</v>
      </c>
      <c r="B16" s="162">
        <v>16</v>
      </c>
      <c r="C16" s="881" t="s">
        <v>2849</v>
      </c>
      <c r="D16" s="889" t="s">
        <v>2850</v>
      </c>
      <c r="E16" s="889" t="s">
        <v>526</v>
      </c>
      <c r="F16" s="889" t="s">
        <v>2851</v>
      </c>
      <c r="G16" s="889" t="s">
        <v>2852</v>
      </c>
      <c r="H16" s="889" t="s">
        <v>2853</v>
      </c>
      <c r="I16" s="889" t="s">
        <v>2854</v>
      </c>
      <c r="J16" s="395"/>
      <c r="K16" s="395"/>
      <c r="L16" s="395"/>
    </row>
    <row r="17" spans="1:17">
      <c r="B17" s="162">
        <v>17</v>
      </c>
      <c r="C17" s="881" t="s">
        <v>823</v>
      </c>
      <c r="D17" s="889"/>
      <c r="E17" s="406">
        <f>E18+E49+E58</f>
        <v>0</v>
      </c>
      <c r="F17" s="406">
        <f>F18+F49+F58</f>
        <v>0</v>
      </c>
      <c r="G17" s="406">
        <f>G18+G49+G58</f>
        <v>0</v>
      </c>
      <c r="H17" s="406">
        <f>H18+H49+H58</f>
        <v>0</v>
      </c>
      <c r="I17" s="406">
        <f>I18+I49+I58</f>
        <v>0</v>
      </c>
      <c r="J17" s="769"/>
      <c r="K17" s="769"/>
      <c r="L17" s="769"/>
      <c r="N17" s="888" t="s">
        <v>2551</v>
      </c>
      <c r="O17" s="406"/>
      <c r="P17" s="406"/>
      <c r="Q17" s="406"/>
    </row>
    <row r="18" spans="1:17">
      <c r="A18" s="810">
        <v>1</v>
      </c>
      <c r="B18" s="162">
        <v>18</v>
      </c>
      <c r="C18" s="760" t="s">
        <v>2855</v>
      </c>
      <c r="D18" s="760"/>
      <c r="E18" s="406">
        <f>SUM(E19:E48)</f>
        <v>0</v>
      </c>
      <c r="F18" s="406">
        <f>SUM(F19:F48)</f>
        <v>0</v>
      </c>
      <c r="G18" s="406">
        <f>SUM(G19:G48)</f>
        <v>0</v>
      </c>
      <c r="H18" s="406">
        <f>SUM(H19:H48)</f>
        <v>0</v>
      </c>
      <c r="I18" s="406">
        <f>SUM(I19:I48)</f>
        <v>0</v>
      </c>
      <c r="J18" s="769"/>
      <c r="K18" s="769"/>
      <c r="L18" s="769"/>
      <c r="N18" s="888" t="s">
        <v>2551</v>
      </c>
      <c r="O18" s="406">
        <f>F18-E4</f>
        <v>0</v>
      </c>
      <c r="P18" s="406">
        <f>G18-F4</f>
        <v>0</v>
      </c>
      <c r="Q18" s="406">
        <f>H71-G4</f>
        <v>0</v>
      </c>
    </row>
    <row r="19" spans="1:17">
      <c r="A19" s="810">
        <v>2</v>
      </c>
      <c r="B19" s="162">
        <v>19</v>
      </c>
      <c r="C19" s="760"/>
      <c r="D19" s="760"/>
      <c r="E19" s="400"/>
      <c r="F19" s="400"/>
      <c r="G19" s="400"/>
      <c r="H19" s="770"/>
      <c r="I19" s="770"/>
      <c r="J19" s="769"/>
      <c r="K19" s="769"/>
      <c r="L19" s="769"/>
    </row>
    <row r="20" spans="1:17">
      <c r="A20" s="810">
        <v>3</v>
      </c>
      <c r="B20" s="162">
        <v>20</v>
      </c>
      <c r="C20" s="760"/>
      <c r="D20" s="760"/>
      <c r="E20" s="400"/>
      <c r="F20" s="400"/>
      <c r="G20" s="400"/>
      <c r="H20" s="770"/>
      <c r="I20" s="770"/>
      <c r="J20" s="769"/>
      <c r="K20" s="769"/>
      <c r="L20" s="769"/>
    </row>
    <row r="21" spans="1:17">
      <c r="A21" s="810">
        <v>4</v>
      </c>
      <c r="B21" s="162">
        <v>21</v>
      </c>
      <c r="C21" s="760"/>
      <c r="D21" s="760"/>
      <c r="E21" s="400"/>
      <c r="F21" s="400"/>
      <c r="G21" s="400"/>
      <c r="H21" s="770"/>
      <c r="I21" s="770"/>
      <c r="J21" s="769"/>
      <c r="K21" s="769"/>
      <c r="L21" s="769"/>
    </row>
    <row r="22" spans="1:17">
      <c r="A22" s="810">
        <v>5</v>
      </c>
      <c r="B22" s="162">
        <v>22</v>
      </c>
      <c r="C22" s="760"/>
      <c r="D22" s="760"/>
      <c r="E22" s="400"/>
      <c r="F22" s="400"/>
      <c r="G22" s="400"/>
      <c r="H22" s="770"/>
      <c r="I22" s="770"/>
      <c r="J22" s="769"/>
      <c r="K22" s="769"/>
      <c r="L22" s="769"/>
    </row>
    <row r="23" spans="1:17">
      <c r="A23" s="810">
        <v>6</v>
      </c>
      <c r="B23" s="162">
        <v>23</v>
      </c>
      <c r="C23" s="760"/>
      <c r="D23" s="760"/>
      <c r="E23" s="400"/>
      <c r="F23" s="400"/>
      <c r="G23" s="400"/>
      <c r="H23" s="770"/>
      <c r="I23" s="770"/>
      <c r="J23" s="769"/>
      <c r="K23" s="769"/>
      <c r="L23" s="769"/>
    </row>
    <row r="24" spans="1:17">
      <c r="A24" s="810">
        <v>7</v>
      </c>
      <c r="B24" s="162">
        <v>24</v>
      </c>
      <c r="C24" s="760"/>
      <c r="D24" s="760"/>
      <c r="E24" s="400"/>
      <c r="F24" s="400"/>
      <c r="G24" s="400"/>
      <c r="H24" s="770"/>
      <c r="I24" s="770"/>
      <c r="J24" s="769"/>
      <c r="K24" s="769"/>
      <c r="L24" s="769"/>
    </row>
    <row r="25" spans="1:17">
      <c r="A25" s="810">
        <v>8</v>
      </c>
      <c r="B25" s="162">
        <v>25</v>
      </c>
      <c r="C25" s="760"/>
      <c r="D25" s="760"/>
      <c r="E25" s="400"/>
      <c r="F25" s="400"/>
      <c r="G25" s="400"/>
      <c r="H25" s="770"/>
      <c r="I25" s="770"/>
      <c r="J25" s="769"/>
      <c r="K25" s="769"/>
      <c r="L25" s="769"/>
    </row>
    <row r="26" spans="1:17">
      <c r="A26" s="810">
        <v>9</v>
      </c>
      <c r="B26" s="162">
        <v>26</v>
      </c>
      <c r="C26" s="760"/>
      <c r="D26" s="760"/>
      <c r="E26" s="400"/>
      <c r="F26" s="400"/>
      <c r="G26" s="400"/>
      <c r="H26" s="770"/>
      <c r="I26" s="770"/>
      <c r="J26" s="769"/>
      <c r="K26" s="769"/>
      <c r="L26" s="769"/>
    </row>
    <row r="27" spans="1:17">
      <c r="A27" s="810">
        <v>10</v>
      </c>
      <c r="B27" s="162">
        <v>27</v>
      </c>
      <c r="C27" s="760"/>
      <c r="D27" s="760"/>
      <c r="E27" s="400"/>
      <c r="F27" s="400"/>
      <c r="G27" s="400"/>
      <c r="H27" s="770"/>
      <c r="I27" s="770"/>
      <c r="J27" s="769"/>
      <c r="K27" s="769"/>
      <c r="L27" s="769"/>
    </row>
    <row r="28" spans="1:17">
      <c r="A28" s="810">
        <v>11</v>
      </c>
      <c r="B28" s="162">
        <v>28</v>
      </c>
      <c r="C28" s="760"/>
      <c r="D28" s="760"/>
      <c r="E28" s="400"/>
      <c r="F28" s="400"/>
      <c r="G28" s="400"/>
      <c r="H28" s="770"/>
      <c r="I28" s="770"/>
      <c r="J28" s="769"/>
      <c r="K28" s="769"/>
      <c r="L28" s="769"/>
    </row>
    <row r="29" spans="1:17">
      <c r="A29" s="810">
        <v>12</v>
      </c>
      <c r="B29" s="162">
        <v>29</v>
      </c>
      <c r="C29" s="760"/>
      <c r="D29" s="760"/>
      <c r="E29" s="400"/>
      <c r="F29" s="400"/>
      <c r="G29" s="400"/>
      <c r="H29" s="770"/>
      <c r="I29" s="770"/>
      <c r="J29" s="769"/>
      <c r="K29" s="769"/>
      <c r="L29" s="769"/>
    </row>
    <row r="30" spans="1:17">
      <c r="A30" s="810">
        <v>13</v>
      </c>
      <c r="B30" s="162">
        <v>30</v>
      </c>
      <c r="C30" s="760"/>
      <c r="D30" s="760"/>
      <c r="E30" s="400"/>
      <c r="F30" s="400"/>
      <c r="G30" s="400"/>
      <c r="H30" s="770"/>
      <c r="I30" s="770"/>
      <c r="J30" s="769"/>
      <c r="K30" s="769"/>
      <c r="L30" s="769"/>
    </row>
    <row r="31" spans="1:17">
      <c r="A31" s="810">
        <v>14</v>
      </c>
      <c r="B31" s="162">
        <v>31</v>
      </c>
      <c r="C31" s="760"/>
      <c r="D31" s="760"/>
      <c r="E31" s="400"/>
      <c r="F31" s="400"/>
      <c r="G31" s="400"/>
      <c r="H31" s="770"/>
      <c r="I31" s="770"/>
      <c r="J31" s="769"/>
      <c r="K31" s="769"/>
      <c r="L31" s="769"/>
    </row>
    <row r="32" spans="1:17">
      <c r="A32" s="810">
        <v>15</v>
      </c>
      <c r="B32" s="162">
        <v>32</v>
      </c>
      <c r="C32" s="760"/>
      <c r="D32" s="760"/>
      <c r="E32" s="400"/>
      <c r="F32" s="400"/>
      <c r="G32" s="400"/>
      <c r="H32" s="770"/>
      <c r="I32" s="770"/>
      <c r="J32" s="769"/>
      <c r="K32" s="769"/>
      <c r="L32" s="769"/>
    </row>
    <row r="33" spans="1:12">
      <c r="A33" s="810">
        <v>16</v>
      </c>
      <c r="B33" s="162">
        <v>33</v>
      </c>
      <c r="C33" s="760"/>
      <c r="D33" s="760"/>
      <c r="E33" s="400"/>
      <c r="F33" s="400"/>
      <c r="G33" s="400"/>
      <c r="H33" s="770"/>
      <c r="I33" s="770"/>
      <c r="J33" s="769"/>
      <c r="K33" s="769"/>
      <c r="L33" s="769"/>
    </row>
    <row r="34" spans="1:12">
      <c r="A34" s="810">
        <v>17</v>
      </c>
      <c r="B34" s="162">
        <v>34</v>
      </c>
      <c r="C34" s="760"/>
      <c r="D34" s="760"/>
      <c r="E34" s="400"/>
      <c r="F34" s="400"/>
      <c r="G34" s="400"/>
      <c r="H34" s="770"/>
      <c r="I34" s="770"/>
      <c r="J34" s="769"/>
      <c r="K34" s="769"/>
      <c r="L34" s="769"/>
    </row>
    <row r="35" spans="1:12">
      <c r="A35" s="810">
        <v>18</v>
      </c>
      <c r="B35" s="162">
        <v>35</v>
      </c>
      <c r="C35" s="760"/>
      <c r="D35" s="760"/>
      <c r="E35" s="400"/>
      <c r="F35" s="400"/>
      <c r="G35" s="400"/>
      <c r="H35" s="770"/>
      <c r="I35" s="770"/>
      <c r="J35" s="769"/>
      <c r="K35" s="769"/>
      <c r="L35" s="769"/>
    </row>
    <row r="36" spans="1:12">
      <c r="A36" s="810">
        <v>19</v>
      </c>
      <c r="B36" s="162">
        <v>36</v>
      </c>
      <c r="C36" s="760"/>
      <c r="D36" s="760"/>
      <c r="E36" s="400"/>
      <c r="F36" s="400"/>
      <c r="G36" s="400"/>
      <c r="H36" s="770"/>
      <c r="I36" s="770"/>
      <c r="J36" s="769"/>
      <c r="K36" s="769"/>
      <c r="L36" s="769"/>
    </row>
    <row r="37" spans="1:12">
      <c r="A37" s="810">
        <v>20</v>
      </c>
      <c r="B37" s="162">
        <v>37</v>
      </c>
      <c r="C37" s="760"/>
      <c r="D37" s="760"/>
      <c r="E37" s="400"/>
      <c r="F37" s="400"/>
      <c r="G37" s="400"/>
      <c r="H37" s="770"/>
      <c r="I37" s="770"/>
      <c r="J37" s="769"/>
      <c r="K37" s="769"/>
      <c r="L37" s="769"/>
    </row>
    <row r="38" spans="1:12">
      <c r="A38" s="810">
        <v>21</v>
      </c>
      <c r="B38" s="162">
        <v>38</v>
      </c>
      <c r="C38" s="760"/>
      <c r="D38" s="760"/>
      <c r="E38" s="400"/>
      <c r="F38" s="400"/>
      <c r="G38" s="400"/>
      <c r="H38" s="770"/>
      <c r="I38" s="770"/>
      <c r="J38" s="769"/>
      <c r="K38" s="769"/>
      <c r="L38" s="769"/>
    </row>
    <row r="39" spans="1:12">
      <c r="A39" s="810">
        <v>22</v>
      </c>
      <c r="B39" s="162">
        <v>39</v>
      </c>
      <c r="C39" s="760"/>
      <c r="D39" s="760"/>
      <c r="E39" s="400"/>
      <c r="F39" s="400"/>
      <c r="G39" s="400"/>
      <c r="H39" s="770"/>
      <c r="I39" s="770"/>
      <c r="J39" s="769"/>
      <c r="K39" s="769"/>
      <c r="L39" s="769"/>
    </row>
    <row r="40" spans="1:12">
      <c r="A40" s="810">
        <v>23</v>
      </c>
      <c r="B40" s="162">
        <v>40</v>
      </c>
      <c r="C40" s="760"/>
      <c r="D40" s="760"/>
      <c r="E40" s="400"/>
      <c r="F40" s="400"/>
      <c r="G40" s="400"/>
      <c r="H40" s="770"/>
      <c r="I40" s="770"/>
      <c r="J40" s="769"/>
      <c r="K40" s="769"/>
      <c r="L40" s="769"/>
    </row>
    <row r="41" spans="1:12">
      <c r="A41" s="810">
        <v>24</v>
      </c>
      <c r="B41" s="162">
        <v>41</v>
      </c>
      <c r="C41" s="760"/>
      <c r="D41" s="760"/>
      <c r="E41" s="400"/>
      <c r="F41" s="400"/>
      <c r="G41" s="400"/>
      <c r="H41" s="770"/>
      <c r="I41" s="770"/>
      <c r="J41" s="769"/>
      <c r="K41" s="769"/>
      <c r="L41" s="769"/>
    </row>
    <row r="42" spans="1:12">
      <c r="A42" s="810">
        <v>25</v>
      </c>
      <c r="B42" s="162">
        <v>42</v>
      </c>
      <c r="C42" s="760"/>
      <c r="D42" s="760"/>
      <c r="E42" s="400"/>
      <c r="F42" s="400"/>
      <c r="G42" s="400"/>
      <c r="H42" s="770"/>
      <c r="I42" s="770"/>
      <c r="J42" s="769"/>
      <c r="K42" s="769"/>
      <c r="L42" s="769"/>
    </row>
    <row r="43" spans="1:12">
      <c r="A43" s="810">
        <v>26</v>
      </c>
      <c r="B43" s="162">
        <v>43</v>
      </c>
      <c r="C43" s="760"/>
      <c r="D43" s="760"/>
      <c r="E43" s="400"/>
      <c r="F43" s="400"/>
      <c r="G43" s="400"/>
      <c r="H43" s="770"/>
      <c r="I43" s="770"/>
      <c r="J43" s="769"/>
      <c r="K43" s="769"/>
      <c r="L43" s="769"/>
    </row>
    <row r="44" spans="1:12">
      <c r="A44" s="810">
        <v>27</v>
      </c>
      <c r="B44" s="162">
        <v>44</v>
      </c>
      <c r="C44" s="760"/>
      <c r="D44" s="760"/>
      <c r="E44" s="400"/>
      <c r="F44" s="400"/>
      <c r="G44" s="400"/>
      <c r="H44" s="770"/>
      <c r="I44" s="770"/>
      <c r="J44" s="769"/>
      <c r="K44" s="769"/>
      <c r="L44" s="769"/>
    </row>
    <row r="45" spans="1:12">
      <c r="A45" s="810">
        <v>28</v>
      </c>
      <c r="B45" s="162">
        <v>45</v>
      </c>
      <c r="C45" s="760"/>
      <c r="D45" s="760"/>
      <c r="E45" s="400"/>
      <c r="F45" s="400"/>
      <c r="G45" s="400"/>
      <c r="H45" s="770"/>
      <c r="I45" s="770"/>
      <c r="J45" s="769"/>
      <c r="K45" s="769"/>
      <c r="L45" s="769"/>
    </row>
    <row r="46" spans="1:12">
      <c r="A46" s="810">
        <v>29</v>
      </c>
      <c r="B46" s="162">
        <v>46</v>
      </c>
      <c r="C46" s="760"/>
      <c r="D46" s="760"/>
      <c r="E46" s="400"/>
      <c r="F46" s="400"/>
      <c r="G46" s="400"/>
      <c r="H46" s="770"/>
      <c r="I46" s="770"/>
      <c r="J46" s="769"/>
      <c r="K46" s="769"/>
      <c r="L46" s="769"/>
    </row>
    <row r="47" spans="1:12">
      <c r="A47" s="810">
        <v>30</v>
      </c>
      <c r="B47" s="162">
        <v>47</v>
      </c>
      <c r="C47" s="760"/>
      <c r="D47" s="760"/>
      <c r="E47" s="400"/>
      <c r="F47" s="400"/>
      <c r="G47" s="400"/>
      <c r="H47" s="770"/>
      <c r="I47" s="770"/>
      <c r="J47" s="769"/>
      <c r="K47" s="769"/>
      <c r="L47" s="769"/>
    </row>
    <row r="48" spans="1:12">
      <c r="A48" s="810">
        <v>31</v>
      </c>
      <c r="B48" s="162">
        <v>48</v>
      </c>
      <c r="C48" s="760"/>
      <c r="D48" s="760"/>
      <c r="E48" s="400"/>
      <c r="F48" s="400"/>
      <c r="G48" s="400"/>
      <c r="H48" s="770"/>
      <c r="I48" s="770"/>
      <c r="J48" s="769"/>
      <c r="K48" s="769"/>
      <c r="L48" s="769"/>
    </row>
    <row r="49" spans="1:17">
      <c r="A49" s="810">
        <v>32</v>
      </c>
      <c r="B49" s="162">
        <v>49</v>
      </c>
      <c r="C49" s="760" t="s">
        <v>2856</v>
      </c>
      <c r="D49" s="760"/>
      <c r="E49" s="406">
        <f>SUM(E50:E57)</f>
        <v>0</v>
      </c>
      <c r="F49" s="406">
        <f>SUM(F50:F57)</f>
        <v>0</v>
      </c>
      <c r="G49" s="406">
        <f>SUM(G50:G57)</f>
        <v>0</v>
      </c>
      <c r="H49" s="406">
        <f>SUM(H50:H57)</f>
        <v>0</v>
      </c>
      <c r="I49" s="406">
        <f>SUM(I50:I57)</f>
        <v>0</v>
      </c>
      <c r="J49" s="769"/>
      <c r="K49" s="769"/>
      <c r="L49" s="769"/>
      <c r="N49" s="888" t="s">
        <v>2551</v>
      </c>
      <c r="O49" s="406">
        <f>E49-D5</f>
        <v>0</v>
      </c>
      <c r="P49" s="406"/>
      <c r="Q49" s="406">
        <f>H102-G5</f>
        <v>0</v>
      </c>
    </row>
    <row r="50" spans="1:17">
      <c r="A50" s="810">
        <v>33</v>
      </c>
      <c r="B50" s="162">
        <v>50</v>
      </c>
      <c r="C50" s="760"/>
      <c r="D50" s="760"/>
      <c r="E50" s="400"/>
      <c r="F50" s="400"/>
      <c r="G50" s="400"/>
      <c r="H50" s="770"/>
      <c r="I50" s="770"/>
      <c r="J50" s="769"/>
      <c r="K50" s="769"/>
      <c r="L50" s="769"/>
    </row>
    <row r="51" spans="1:17">
      <c r="A51" s="810">
        <v>34</v>
      </c>
      <c r="B51" s="162">
        <v>51</v>
      </c>
      <c r="C51" s="760"/>
      <c r="D51" s="760"/>
      <c r="E51" s="400"/>
      <c r="F51" s="400"/>
      <c r="G51" s="400"/>
      <c r="H51" s="770"/>
      <c r="I51" s="770"/>
      <c r="J51" s="769"/>
      <c r="K51" s="769"/>
      <c r="L51" s="769"/>
    </row>
    <row r="52" spans="1:17">
      <c r="A52" s="810">
        <v>35</v>
      </c>
      <c r="B52" s="162">
        <v>52</v>
      </c>
      <c r="C52" s="760"/>
      <c r="D52" s="760"/>
      <c r="E52" s="400"/>
      <c r="F52" s="400"/>
      <c r="G52" s="400"/>
      <c r="H52" s="770"/>
      <c r="I52" s="770"/>
      <c r="J52" s="769"/>
      <c r="K52" s="769"/>
      <c r="L52" s="769"/>
    </row>
    <row r="53" spans="1:17">
      <c r="A53" s="810">
        <v>36</v>
      </c>
      <c r="B53" s="162">
        <v>53</v>
      </c>
      <c r="C53" s="760"/>
      <c r="D53" s="760"/>
      <c r="E53" s="400"/>
      <c r="F53" s="400"/>
      <c r="G53" s="400"/>
      <c r="H53" s="770"/>
      <c r="I53" s="770"/>
      <c r="J53" s="769"/>
      <c r="K53" s="769"/>
      <c r="L53" s="769"/>
    </row>
    <row r="54" spans="1:17">
      <c r="A54" s="810">
        <v>37</v>
      </c>
      <c r="B54" s="162">
        <v>54</v>
      </c>
      <c r="C54" s="760"/>
      <c r="D54" s="760"/>
      <c r="E54" s="400"/>
      <c r="F54" s="400"/>
      <c r="G54" s="400"/>
      <c r="H54" s="770"/>
      <c r="I54" s="770"/>
      <c r="J54" s="769"/>
      <c r="K54" s="769"/>
      <c r="L54" s="769"/>
    </row>
    <row r="55" spans="1:17">
      <c r="A55" s="810">
        <v>38</v>
      </c>
      <c r="B55" s="162">
        <v>55</v>
      </c>
      <c r="C55" s="760"/>
      <c r="D55" s="760"/>
      <c r="E55" s="400"/>
      <c r="F55" s="400"/>
      <c r="G55" s="400"/>
      <c r="H55" s="770"/>
      <c r="I55" s="770"/>
      <c r="J55" s="769"/>
      <c r="K55" s="769"/>
      <c r="L55" s="769"/>
    </row>
    <row r="56" spans="1:17">
      <c r="A56" s="810">
        <v>39</v>
      </c>
      <c r="B56" s="162">
        <v>56</v>
      </c>
      <c r="C56" s="760"/>
      <c r="D56" s="760"/>
      <c r="E56" s="400"/>
      <c r="F56" s="400"/>
      <c r="G56" s="400"/>
      <c r="H56" s="770"/>
      <c r="I56" s="770"/>
      <c r="J56" s="769"/>
      <c r="K56" s="769"/>
      <c r="L56" s="769"/>
    </row>
    <row r="57" spans="1:17">
      <c r="A57" s="810">
        <v>40</v>
      </c>
      <c r="B57" s="162">
        <v>57</v>
      </c>
      <c r="C57" s="760"/>
      <c r="D57" s="760"/>
      <c r="E57" s="400"/>
      <c r="F57" s="400"/>
      <c r="G57" s="400"/>
      <c r="H57" s="770"/>
      <c r="I57" s="770"/>
      <c r="J57" s="769"/>
      <c r="K57" s="769"/>
      <c r="L57" s="769"/>
    </row>
    <row r="58" spans="1:17">
      <c r="A58" s="810">
        <v>41</v>
      </c>
      <c r="B58" s="162">
        <v>58</v>
      </c>
      <c r="C58" s="760" t="s">
        <v>2857</v>
      </c>
      <c r="D58" s="760"/>
      <c r="E58" s="406">
        <f>SUM(E59:E67)</f>
        <v>0</v>
      </c>
      <c r="F58" s="406">
        <f>SUM(F59:F67)</f>
        <v>0</v>
      </c>
      <c r="G58" s="406">
        <f>SUM(G59:G67)</f>
        <v>0</v>
      </c>
      <c r="H58" s="406">
        <f>SUM(H59:H67)</f>
        <v>0</v>
      </c>
      <c r="I58" s="406">
        <f>SUM(I59:I67)</f>
        <v>0</v>
      </c>
      <c r="J58" s="769"/>
      <c r="K58" s="769"/>
      <c r="L58" s="769"/>
      <c r="N58" s="888" t="s">
        <v>2551</v>
      </c>
      <c r="O58" s="406">
        <f>E58-D6</f>
        <v>0</v>
      </c>
      <c r="P58" s="406"/>
      <c r="Q58" s="406">
        <f>H111-G6</f>
        <v>0</v>
      </c>
    </row>
    <row r="59" spans="1:17">
      <c r="A59" s="810">
        <v>42</v>
      </c>
      <c r="B59" s="162">
        <v>59</v>
      </c>
      <c r="C59" s="760"/>
      <c r="D59" s="760"/>
      <c r="E59" s="400"/>
      <c r="F59" s="400"/>
      <c r="G59" s="400"/>
      <c r="H59" s="770"/>
      <c r="I59" s="770"/>
      <c r="J59" s="769"/>
      <c r="K59" s="769"/>
      <c r="L59" s="769"/>
    </row>
    <row r="60" spans="1:17">
      <c r="A60" s="810">
        <v>43</v>
      </c>
      <c r="B60" s="162">
        <v>60</v>
      </c>
      <c r="C60" s="760"/>
      <c r="D60" s="760"/>
      <c r="E60" s="400"/>
      <c r="F60" s="400"/>
      <c r="G60" s="400"/>
      <c r="H60" s="770"/>
      <c r="I60" s="770"/>
      <c r="J60" s="769"/>
      <c r="K60" s="769"/>
      <c r="L60" s="769"/>
    </row>
    <row r="61" spans="1:17">
      <c r="A61" s="810">
        <v>44</v>
      </c>
      <c r="B61" s="162">
        <v>61</v>
      </c>
      <c r="C61" s="760"/>
      <c r="D61" s="760"/>
      <c r="E61" s="400"/>
      <c r="F61" s="400"/>
      <c r="G61" s="400"/>
      <c r="H61" s="770"/>
      <c r="I61" s="770"/>
      <c r="J61" s="769"/>
      <c r="K61" s="769"/>
      <c r="L61" s="769"/>
    </row>
    <row r="62" spans="1:17">
      <c r="A62" s="810">
        <v>45</v>
      </c>
      <c r="B62" s="162">
        <v>62</v>
      </c>
      <c r="C62" s="760"/>
      <c r="D62" s="760"/>
      <c r="E62" s="400"/>
      <c r="F62" s="400"/>
      <c r="G62" s="400"/>
      <c r="H62" s="770"/>
      <c r="I62" s="770"/>
      <c r="J62" s="769"/>
      <c r="K62" s="769"/>
      <c r="L62" s="769"/>
    </row>
    <row r="63" spans="1:17">
      <c r="A63" s="810">
        <v>46</v>
      </c>
      <c r="B63" s="162">
        <v>63</v>
      </c>
      <c r="C63" s="760"/>
      <c r="D63" s="760"/>
      <c r="E63" s="400"/>
      <c r="F63" s="400"/>
      <c r="G63" s="400"/>
      <c r="H63" s="770"/>
      <c r="I63" s="770"/>
      <c r="J63" s="769"/>
      <c r="K63" s="769"/>
      <c r="L63" s="769"/>
    </row>
    <row r="64" spans="1:17">
      <c r="A64" s="810">
        <v>47</v>
      </c>
      <c r="B64" s="162">
        <v>64</v>
      </c>
      <c r="C64" s="760"/>
      <c r="D64" s="760"/>
      <c r="E64" s="400"/>
      <c r="F64" s="400"/>
      <c r="G64" s="400"/>
      <c r="H64" s="770"/>
      <c r="I64" s="770"/>
      <c r="J64" s="769"/>
      <c r="K64" s="769"/>
      <c r="L64" s="769"/>
    </row>
    <row r="65" spans="1:15">
      <c r="A65" s="810">
        <v>48</v>
      </c>
      <c r="B65" s="162">
        <v>65</v>
      </c>
      <c r="C65" s="760"/>
      <c r="D65" s="760"/>
      <c r="E65" s="400"/>
      <c r="F65" s="400"/>
      <c r="G65" s="400"/>
      <c r="H65" s="770"/>
      <c r="I65" s="770"/>
      <c r="J65" s="769"/>
      <c r="K65" s="769"/>
      <c r="L65" s="769"/>
    </row>
    <row r="66" spans="1:15">
      <c r="A66" s="810">
        <v>49</v>
      </c>
      <c r="B66" s="162">
        <v>66</v>
      </c>
      <c r="C66" s="760"/>
      <c r="D66" s="760"/>
      <c r="E66" s="400"/>
      <c r="F66" s="400"/>
      <c r="G66" s="400"/>
      <c r="H66" s="770"/>
      <c r="I66" s="770"/>
      <c r="J66" s="769"/>
      <c r="K66" s="769"/>
      <c r="L66" s="769"/>
    </row>
    <row r="67" spans="1:15">
      <c r="A67" s="810">
        <v>50</v>
      </c>
      <c r="B67" s="162">
        <v>67</v>
      </c>
      <c r="C67" s="760"/>
      <c r="D67" s="760"/>
      <c r="E67" s="400"/>
      <c r="F67" s="400"/>
      <c r="G67" s="400"/>
      <c r="H67" s="770"/>
      <c r="I67" s="770"/>
      <c r="J67" s="769"/>
      <c r="K67" s="769"/>
      <c r="L67" s="769"/>
    </row>
    <row r="68" spans="1:15">
      <c r="A68" s="811" t="str">
        <f>HYPERLINK("#C1","置顶")</f>
        <v>置顶</v>
      </c>
      <c r="B68" s="162">
        <v>68</v>
      </c>
      <c r="C68" s="347" t="s">
        <v>2858</v>
      </c>
    </row>
    <row r="69" spans="1:15" ht="24">
      <c r="B69" s="162">
        <v>69</v>
      </c>
      <c r="C69" s="881" t="s">
        <v>2849</v>
      </c>
      <c r="D69" s="889" t="s">
        <v>2859</v>
      </c>
      <c r="E69" s="889" t="s">
        <v>2860</v>
      </c>
      <c r="F69" s="889" t="s">
        <v>2861</v>
      </c>
      <c r="G69" s="889" t="s">
        <v>391</v>
      </c>
      <c r="H69" s="889" t="s">
        <v>2810</v>
      </c>
      <c r="I69" s="889" t="s">
        <v>2862</v>
      </c>
      <c r="J69" s="395"/>
      <c r="K69" s="395"/>
      <c r="L69" s="395"/>
    </row>
    <row r="70" spans="1:15">
      <c r="A70" s="809" t="s">
        <v>2260</v>
      </c>
      <c r="B70" s="162">
        <v>70</v>
      </c>
      <c r="C70" s="946" t="str">
        <f>C17</f>
        <v>合  计</v>
      </c>
      <c r="D70" s="406">
        <f t="shared" ref="D70:I70" si="0">D71+D102+D111</f>
        <v>0</v>
      </c>
      <c r="E70" s="406">
        <f t="shared" si="0"/>
        <v>0</v>
      </c>
      <c r="F70" s="406">
        <f t="shared" si="0"/>
        <v>0</v>
      </c>
      <c r="G70" s="406">
        <f t="shared" si="0"/>
        <v>0</v>
      </c>
      <c r="H70" s="406">
        <f t="shared" si="0"/>
        <v>0</v>
      </c>
      <c r="I70" s="406">
        <f t="shared" si="0"/>
        <v>0</v>
      </c>
      <c r="J70" s="769"/>
      <c r="K70" s="769"/>
      <c r="L70" s="769"/>
      <c r="N70" s="888" t="s">
        <v>2551</v>
      </c>
      <c r="O70" s="406">
        <f>F70-G8</f>
        <v>0</v>
      </c>
    </row>
    <row r="71" spans="1:15">
      <c r="A71" s="810">
        <v>1</v>
      </c>
      <c r="B71" s="162">
        <v>71</v>
      </c>
      <c r="C71" s="947" t="str">
        <f>C18</f>
        <v>1.子企业</v>
      </c>
      <c r="D71" s="406">
        <f t="shared" ref="D71:I71" si="1">SUM(D72:D101)</f>
        <v>0</v>
      </c>
      <c r="E71" s="406">
        <f t="shared" si="1"/>
        <v>0</v>
      </c>
      <c r="F71" s="406">
        <f t="shared" si="1"/>
        <v>0</v>
      </c>
      <c r="G71" s="406">
        <f t="shared" si="1"/>
        <v>0</v>
      </c>
      <c r="H71" s="406">
        <f t="shared" si="1"/>
        <v>0</v>
      </c>
      <c r="I71" s="406">
        <f t="shared" si="1"/>
        <v>0</v>
      </c>
      <c r="J71" s="769"/>
      <c r="K71" s="769"/>
      <c r="L71" s="769"/>
    </row>
    <row r="72" spans="1:15">
      <c r="A72" s="810">
        <v>2</v>
      </c>
      <c r="B72" s="162">
        <v>72</v>
      </c>
      <c r="C72" s="947">
        <f t="shared" ref="C72:C120" si="2">C19</f>
        <v>0</v>
      </c>
      <c r="D72" s="1449"/>
      <c r="E72" s="1449"/>
      <c r="F72" s="1455"/>
      <c r="G72" s="1455"/>
      <c r="H72" s="406">
        <f>E19+F19-G19</f>
        <v>0</v>
      </c>
      <c r="I72" s="400"/>
      <c r="J72" s="945"/>
      <c r="K72" s="945"/>
      <c r="L72" s="945"/>
    </row>
    <row r="73" spans="1:15">
      <c r="A73" s="810">
        <v>3</v>
      </c>
      <c r="B73" s="162">
        <v>73</v>
      </c>
      <c r="C73" s="947">
        <f t="shared" si="2"/>
        <v>0</v>
      </c>
      <c r="D73" s="1449"/>
      <c r="E73" s="1449"/>
      <c r="F73" s="1455"/>
      <c r="G73" s="1455"/>
      <c r="H73" s="406">
        <f t="shared" ref="H73:H101" si="3">E20+F20-G20</f>
        <v>0</v>
      </c>
      <c r="I73" s="400"/>
      <c r="J73" s="945"/>
      <c r="K73" s="945"/>
      <c r="L73" s="945"/>
    </row>
    <row r="74" spans="1:15">
      <c r="A74" s="810">
        <v>4</v>
      </c>
      <c r="B74" s="162">
        <v>74</v>
      </c>
      <c r="C74" s="947">
        <f t="shared" si="2"/>
        <v>0</v>
      </c>
      <c r="D74" s="1449"/>
      <c r="E74" s="1449"/>
      <c r="F74" s="1455"/>
      <c r="G74" s="1455"/>
      <c r="H74" s="406">
        <f t="shared" si="3"/>
        <v>0</v>
      </c>
      <c r="I74" s="400"/>
      <c r="J74" s="945"/>
      <c r="K74" s="945"/>
      <c r="L74" s="945"/>
    </row>
    <row r="75" spans="1:15">
      <c r="A75" s="810">
        <v>5</v>
      </c>
      <c r="B75" s="162">
        <v>75</v>
      </c>
      <c r="C75" s="947">
        <f t="shared" si="2"/>
        <v>0</v>
      </c>
      <c r="D75" s="1449"/>
      <c r="E75" s="1449"/>
      <c r="F75" s="1455"/>
      <c r="G75" s="1455"/>
      <c r="H75" s="406">
        <f t="shared" si="3"/>
        <v>0</v>
      </c>
      <c r="I75" s="400"/>
      <c r="J75" s="945"/>
      <c r="K75" s="945"/>
      <c r="L75" s="945"/>
    </row>
    <row r="76" spans="1:15">
      <c r="A76" s="810">
        <v>6</v>
      </c>
      <c r="B76" s="162">
        <v>76</v>
      </c>
      <c r="C76" s="947">
        <f t="shared" si="2"/>
        <v>0</v>
      </c>
      <c r="D76" s="1449"/>
      <c r="E76" s="1449"/>
      <c r="F76" s="1455"/>
      <c r="G76" s="1455"/>
      <c r="H76" s="406">
        <f t="shared" si="3"/>
        <v>0</v>
      </c>
      <c r="I76" s="400"/>
      <c r="J76" s="945"/>
      <c r="K76" s="945"/>
      <c r="L76" s="945"/>
    </row>
    <row r="77" spans="1:15">
      <c r="A77" s="810">
        <v>7</v>
      </c>
      <c r="B77" s="162">
        <v>77</v>
      </c>
      <c r="C77" s="947">
        <f t="shared" si="2"/>
        <v>0</v>
      </c>
      <c r="D77" s="1449"/>
      <c r="E77" s="1449"/>
      <c r="F77" s="1455"/>
      <c r="G77" s="1455"/>
      <c r="H77" s="406">
        <f t="shared" si="3"/>
        <v>0</v>
      </c>
      <c r="I77" s="400"/>
      <c r="J77" s="945"/>
      <c r="K77" s="945"/>
      <c r="L77" s="945"/>
    </row>
    <row r="78" spans="1:15">
      <c r="A78" s="810">
        <v>8</v>
      </c>
      <c r="B78" s="162">
        <v>78</v>
      </c>
      <c r="C78" s="947">
        <f t="shared" si="2"/>
        <v>0</v>
      </c>
      <c r="D78" s="1449"/>
      <c r="E78" s="1449"/>
      <c r="F78" s="1455"/>
      <c r="G78" s="1455"/>
      <c r="H78" s="406">
        <f t="shared" si="3"/>
        <v>0</v>
      </c>
      <c r="I78" s="400"/>
      <c r="J78" s="945"/>
      <c r="K78" s="945"/>
      <c r="L78" s="945"/>
    </row>
    <row r="79" spans="1:15">
      <c r="A79" s="810">
        <v>9</v>
      </c>
      <c r="B79" s="162">
        <v>79</v>
      </c>
      <c r="C79" s="947">
        <f t="shared" si="2"/>
        <v>0</v>
      </c>
      <c r="D79" s="1449"/>
      <c r="E79" s="1449"/>
      <c r="F79" s="1455"/>
      <c r="G79" s="1455"/>
      <c r="H79" s="406">
        <f t="shared" si="3"/>
        <v>0</v>
      </c>
      <c r="I79" s="400"/>
      <c r="J79" s="945"/>
      <c r="K79" s="945"/>
      <c r="L79" s="945"/>
    </row>
    <row r="80" spans="1:15">
      <c r="A80" s="810">
        <v>10</v>
      </c>
      <c r="B80" s="162">
        <v>80</v>
      </c>
      <c r="C80" s="947">
        <f t="shared" si="2"/>
        <v>0</v>
      </c>
      <c r="D80" s="1449"/>
      <c r="E80" s="1449"/>
      <c r="F80" s="1455"/>
      <c r="G80" s="1455"/>
      <c r="H80" s="406">
        <f t="shared" si="3"/>
        <v>0</v>
      </c>
      <c r="I80" s="400"/>
      <c r="J80" s="945"/>
      <c r="K80" s="945"/>
      <c r="L80" s="945"/>
    </row>
    <row r="81" spans="1:12">
      <c r="A81" s="810">
        <v>11</v>
      </c>
      <c r="B81" s="162">
        <v>81</v>
      </c>
      <c r="C81" s="947">
        <f t="shared" si="2"/>
        <v>0</v>
      </c>
      <c r="D81" s="1449"/>
      <c r="E81" s="1449"/>
      <c r="F81" s="1455"/>
      <c r="G81" s="1455"/>
      <c r="H81" s="406">
        <f t="shared" si="3"/>
        <v>0</v>
      </c>
      <c r="I81" s="400"/>
      <c r="J81" s="945"/>
      <c r="K81" s="945"/>
      <c r="L81" s="945"/>
    </row>
    <row r="82" spans="1:12">
      <c r="A82" s="810">
        <v>12</v>
      </c>
      <c r="B82" s="162">
        <v>82</v>
      </c>
      <c r="C82" s="947">
        <f t="shared" si="2"/>
        <v>0</v>
      </c>
      <c r="D82" s="1449"/>
      <c r="E82" s="1449"/>
      <c r="F82" s="1455"/>
      <c r="G82" s="1455"/>
      <c r="H82" s="406">
        <f t="shared" si="3"/>
        <v>0</v>
      </c>
      <c r="I82" s="400"/>
      <c r="J82" s="945"/>
      <c r="K82" s="945"/>
      <c r="L82" s="945"/>
    </row>
    <row r="83" spans="1:12">
      <c r="A83" s="810">
        <v>13</v>
      </c>
      <c r="B83" s="162">
        <v>83</v>
      </c>
      <c r="C83" s="947">
        <f t="shared" si="2"/>
        <v>0</v>
      </c>
      <c r="D83" s="1449"/>
      <c r="E83" s="1449"/>
      <c r="F83" s="1455"/>
      <c r="G83" s="1455"/>
      <c r="H83" s="406">
        <f t="shared" si="3"/>
        <v>0</v>
      </c>
      <c r="I83" s="400"/>
      <c r="J83" s="945"/>
      <c r="K83" s="945"/>
      <c r="L83" s="945"/>
    </row>
    <row r="84" spans="1:12">
      <c r="A84" s="810">
        <v>14</v>
      </c>
      <c r="B84" s="162">
        <v>84</v>
      </c>
      <c r="C84" s="947">
        <f t="shared" si="2"/>
        <v>0</v>
      </c>
      <c r="D84" s="1449"/>
      <c r="E84" s="1449"/>
      <c r="F84" s="1455"/>
      <c r="G84" s="1455"/>
      <c r="H84" s="406">
        <f t="shared" si="3"/>
        <v>0</v>
      </c>
      <c r="I84" s="400"/>
      <c r="J84" s="945"/>
      <c r="K84" s="945"/>
      <c r="L84" s="945"/>
    </row>
    <row r="85" spans="1:12">
      <c r="A85" s="810">
        <v>15</v>
      </c>
      <c r="B85" s="162">
        <v>85</v>
      </c>
      <c r="C85" s="947">
        <f t="shared" si="2"/>
        <v>0</v>
      </c>
      <c r="D85" s="1449"/>
      <c r="E85" s="1449"/>
      <c r="F85" s="1455"/>
      <c r="G85" s="1455"/>
      <c r="H85" s="406">
        <f t="shared" si="3"/>
        <v>0</v>
      </c>
      <c r="I85" s="400"/>
      <c r="J85" s="945"/>
      <c r="K85" s="945"/>
      <c r="L85" s="945"/>
    </row>
    <row r="86" spans="1:12">
      <c r="A86" s="810">
        <v>16</v>
      </c>
      <c r="B86" s="162">
        <v>86</v>
      </c>
      <c r="C86" s="947">
        <f t="shared" si="2"/>
        <v>0</v>
      </c>
      <c r="D86" s="1449"/>
      <c r="E86" s="1449"/>
      <c r="F86" s="1455"/>
      <c r="G86" s="1455"/>
      <c r="H86" s="406">
        <f t="shared" si="3"/>
        <v>0</v>
      </c>
      <c r="I86" s="400"/>
      <c r="J86" s="945"/>
      <c r="K86" s="945"/>
      <c r="L86" s="945"/>
    </row>
    <row r="87" spans="1:12">
      <c r="A87" s="810">
        <v>17</v>
      </c>
      <c r="B87" s="162">
        <v>87</v>
      </c>
      <c r="C87" s="947">
        <f t="shared" si="2"/>
        <v>0</v>
      </c>
      <c r="D87" s="1449"/>
      <c r="E87" s="1449"/>
      <c r="F87" s="1455"/>
      <c r="G87" s="1455"/>
      <c r="H87" s="406">
        <f t="shared" si="3"/>
        <v>0</v>
      </c>
      <c r="I87" s="400"/>
      <c r="J87" s="945"/>
      <c r="K87" s="945"/>
      <c r="L87" s="945"/>
    </row>
    <row r="88" spans="1:12">
      <c r="A88" s="810">
        <v>18</v>
      </c>
      <c r="B88" s="162">
        <v>88</v>
      </c>
      <c r="C88" s="947">
        <f t="shared" si="2"/>
        <v>0</v>
      </c>
      <c r="D88" s="1449"/>
      <c r="E88" s="1449"/>
      <c r="F88" s="1455"/>
      <c r="G88" s="1455"/>
      <c r="H88" s="406">
        <f t="shared" si="3"/>
        <v>0</v>
      </c>
      <c r="I88" s="400"/>
      <c r="J88" s="945"/>
      <c r="K88" s="945"/>
      <c r="L88" s="945"/>
    </row>
    <row r="89" spans="1:12">
      <c r="A89" s="810">
        <v>19</v>
      </c>
      <c r="B89" s="162">
        <v>89</v>
      </c>
      <c r="C89" s="947">
        <f t="shared" si="2"/>
        <v>0</v>
      </c>
      <c r="D89" s="1449"/>
      <c r="E89" s="1449"/>
      <c r="F89" s="1455"/>
      <c r="G89" s="1455"/>
      <c r="H89" s="406">
        <f t="shared" si="3"/>
        <v>0</v>
      </c>
      <c r="I89" s="400"/>
      <c r="J89" s="945"/>
      <c r="K89" s="945"/>
      <c r="L89" s="945"/>
    </row>
    <row r="90" spans="1:12">
      <c r="A90" s="810">
        <v>20</v>
      </c>
      <c r="B90" s="162">
        <v>90</v>
      </c>
      <c r="C90" s="947">
        <f t="shared" si="2"/>
        <v>0</v>
      </c>
      <c r="D90" s="1449"/>
      <c r="E90" s="1449"/>
      <c r="F90" s="1455"/>
      <c r="G90" s="1455"/>
      <c r="H90" s="406">
        <f t="shared" si="3"/>
        <v>0</v>
      </c>
      <c r="I90" s="400"/>
      <c r="J90" s="945"/>
      <c r="K90" s="945"/>
      <c r="L90" s="945"/>
    </row>
    <row r="91" spans="1:12">
      <c r="A91" s="810">
        <v>21</v>
      </c>
      <c r="B91" s="162">
        <v>91</v>
      </c>
      <c r="C91" s="947">
        <f t="shared" si="2"/>
        <v>0</v>
      </c>
      <c r="D91" s="1449"/>
      <c r="E91" s="1449"/>
      <c r="F91" s="1455"/>
      <c r="G91" s="1455"/>
      <c r="H91" s="406">
        <f t="shared" si="3"/>
        <v>0</v>
      </c>
      <c r="I91" s="400"/>
      <c r="J91" s="945"/>
      <c r="K91" s="945"/>
      <c r="L91" s="945"/>
    </row>
    <row r="92" spans="1:12">
      <c r="A92" s="810">
        <v>22</v>
      </c>
      <c r="B92" s="162">
        <v>92</v>
      </c>
      <c r="C92" s="947">
        <f t="shared" si="2"/>
        <v>0</v>
      </c>
      <c r="D92" s="1449"/>
      <c r="E92" s="1449"/>
      <c r="F92" s="1455"/>
      <c r="G92" s="1455"/>
      <c r="H92" s="406">
        <f t="shared" si="3"/>
        <v>0</v>
      </c>
      <c r="I92" s="400"/>
      <c r="J92" s="945"/>
      <c r="K92" s="945"/>
      <c r="L92" s="945"/>
    </row>
    <row r="93" spans="1:12">
      <c r="A93" s="810">
        <v>23</v>
      </c>
      <c r="B93" s="162">
        <v>93</v>
      </c>
      <c r="C93" s="947">
        <f t="shared" si="2"/>
        <v>0</v>
      </c>
      <c r="D93" s="1449"/>
      <c r="E93" s="1449"/>
      <c r="F93" s="1455"/>
      <c r="G93" s="1455"/>
      <c r="H93" s="406">
        <f t="shared" si="3"/>
        <v>0</v>
      </c>
      <c r="I93" s="400"/>
      <c r="J93" s="945"/>
      <c r="K93" s="945"/>
      <c r="L93" s="945"/>
    </row>
    <row r="94" spans="1:12">
      <c r="A94" s="810">
        <v>24</v>
      </c>
      <c r="B94" s="162">
        <v>94</v>
      </c>
      <c r="C94" s="947">
        <f t="shared" si="2"/>
        <v>0</v>
      </c>
      <c r="D94" s="1449"/>
      <c r="E94" s="1449"/>
      <c r="F94" s="1455"/>
      <c r="G94" s="1455"/>
      <c r="H94" s="406">
        <f t="shared" si="3"/>
        <v>0</v>
      </c>
      <c r="I94" s="400"/>
      <c r="J94" s="945"/>
      <c r="K94" s="945"/>
      <c r="L94" s="945"/>
    </row>
    <row r="95" spans="1:12">
      <c r="A95" s="810">
        <v>25</v>
      </c>
      <c r="B95" s="162">
        <v>95</v>
      </c>
      <c r="C95" s="947">
        <f t="shared" si="2"/>
        <v>0</v>
      </c>
      <c r="D95" s="1449"/>
      <c r="E95" s="1449"/>
      <c r="F95" s="1455"/>
      <c r="G95" s="1455"/>
      <c r="H95" s="406">
        <f t="shared" si="3"/>
        <v>0</v>
      </c>
      <c r="I95" s="400"/>
      <c r="J95" s="945"/>
      <c r="K95" s="945"/>
      <c r="L95" s="945"/>
    </row>
    <row r="96" spans="1:12">
      <c r="A96" s="810">
        <v>26</v>
      </c>
      <c r="B96" s="162">
        <v>96</v>
      </c>
      <c r="C96" s="947">
        <f t="shared" si="2"/>
        <v>0</v>
      </c>
      <c r="D96" s="1449"/>
      <c r="E96" s="1449"/>
      <c r="F96" s="1455"/>
      <c r="G96" s="1455"/>
      <c r="H96" s="406">
        <f t="shared" si="3"/>
        <v>0</v>
      </c>
      <c r="I96" s="400"/>
      <c r="J96" s="945"/>
      <c r="K96" s="945"/>
      <c r="L96" s="945"/>
    </row>
    <row r="97" spans="1:12">
      <c r="A97" s="810">
        <v>27</v>
      </c>
      <c r="B97" s="162">
        <v>97</v>
      </c>
      <c r="C97" s="947">
        <f t="shared" si="2"/>
        <v>0</v>
      </c>
      <c r="D97" s="1449"/>
      <c r="E97" s="1449"/>
      <c r="F97" s="1455"/>
      <c r="G97" s="1455"/>
      <c r="H97" s="406">
        <f t="shared" si="3"/>
        <v>0</v>
      </c>
      <c r="I97" s="400"/>
      <c r="J97" s="945"/>
      <c r="K97" s="945"/>
      <c r="L97" s="945"/>
    </row>
    <row r="98" spans="1:12">
      <c r="A98" s="810">
        <v>28</v>
      </c>
      <c r="B98" s="162">
        <v>98</v>
      </c>
      <c r="C98" s="947">
        <f t="shared" si="2"/>
        <v>0</v>
      </c>
      <c r="D98" s="1449"/>
      <c r="E98" s="1449"/>
      <c r="F98" s="1455"/>
      <c r="G98" s="1455"/>
      <c r="H98" s="406">
        <f t="shared" si="3"/>
        <v>0</v>
      </c>
      <c r="I98" s="400"/>
      <c r="J98" s="945"/>
      <c r="K98" s="945"/>
      <c r="L98" s="945"/>
    </row>
    <row r="99" spans="1:12">
      <c r="A99" s="810">
        <v>29</v>
      </c>
      <c r="B99" s="162">
        <v>99</v>
      </c>
      <c r="C99" s="947">
        <f t="shared" si="2"/>
        <v>0</v>
      </c>
      <c r="D99" s="1449"/>
      <c r="E99" s="1449"/>
      <c r="F99" s="1455"/>
      <c r="G99" s="1455"/>
      <c r="H99" s="406">
        <f t="shared" si="3"/>
        <v>0</v>
      </c>
      <c r="I99" s="400"/>
      <c r="J99" s="945"/>
      <c r="K99" s="945"/>
      <c r="L99" s="945"/>
    </row>
    <row r="100" spans="1:12">
      <c r="A100" s="810">
        <v>30</v>
      </c>
      <c r="B100" s="162">
        <v>100</v>
      </c>
      <c r="C100" s="947">
        <f t="shared" si="2"/>
        <v>0</v>
      </c>
      <c r="D100" s="1449"/>
      <c r="E100" s="1449"/>
      <c r="F100" s="1455"/>
      <c r="G100" s="1455"/>
      <c r="H100" s="406">
        <f t="shared" si="3"/>
        <v>0</v>
      </c>
      <c r="I100" s="400"/>
      <c r="J100" s="945"/>
      <c r="K100" s="945"/>
      <c r="L100" s="945"/>
    </row>
    <row r="101" spans="1:12">
      <c r="A101" s="810">
        <v>31</v>
      </c>
      <c r="B101" s="162">
        <v>101</v>
      </c>
      <c r="C101" s="947">
        <f t="shared" si="2"/>
        <v>0</v>
      </c>
      <c r="D101" s="1449"/>
      <c r="E101" s="1449"/>
      <c r="F101" s="1455"/>
      <c r="G101" s="1455"/>
      <c r="H101" s="406">
        <f t="shared" si="3"/>
        <v>0</v>
      </c>
      <c r="I101" s="400"/>
      <c r="J101" s="945"/>
      <c r="K101" s="945"/>
      <c r="L101" s="945"/>
    </row>
    <row r="102" spans="1:12">
      <c r="A102" s="810">
        <v>32</v>
      </c>
      <c r="B102" s="162">
        <v>102</v>
      </c>
      <c r="C102" s="947" t="str">
        <f t="shared" si="2"/>
        <v>2.合营企业</v>
      </c>
      <c r="D102" s="406">
        <f t="shared" ref="D102:I102" si="4">SUM(D103:D110)</f>
        <v>0</v>
      </c>
      <c r="E102" s="406">
        <f t="shared" si="4"/>
        <v>0</v>
      </c>
      <c r="F102" s="406">
        <f t="shared" si="4"/>
        <v>0</v>
      </c>
      <c r="G102" s="406">
        <f t="shared" si="4"/>
        <v>0</v>
      </c>
      <c r="H102" s="406">
        <f>SUM(H103:H110)</f>
        <v>0</v>
      </c>
      <c r="I102" s="406">
        <f t="shared" si="4"/>
        <v>0</v>
      </c>
      <c r="J102" s="769"/>
      <c r="K102" s="769"/>
      <c r="L102" s="769"/>
    </row>
    <row r="103" spans="1:12">
      <c r="A103" s="810">
        <v>33</v>
      </c>
      <c r="B103" s="162">
        <v>103</v>
      </c>
      <c r="C103" s="947">
        <f t="shared" si="2"/>
        <v>0</v>
      </c>
      <c r="D103" s="1449"/>
      <c r="E103" s="1449"/>
      <c r="F103" s="1455"/>
      <c r="G103" s="1455"/>
      <c r="H103" s="406">
        <f>E50+F50-G50+H50+I50+D103-E103+G103</f>
        <v>0</v>
      </c>
      <c r="I103" s="400"/>
      <c r="J103" s="945"/>
      <c r="K103" s="945"/>
      <c r="L103" s="945"/>
    </row>
    <row r="104" spans="1:12">
      <c r="A104" s="810">
        <v>34</v>
      </c>
      <c r="B104" s="162">
        <v>104</v>
      </c>
      <c r="C104" s="947">
        <f t="shared" si="2"/>
        <v>0</v>
      </c>
      <c r="D104" s="1449"/>
      <c r="E104" s="1449"/>
      <c r="F104" s="1455"/>
      <c r="G104" s="1455"/>
      <c r="H104" s="406">
        <f t="shared" ref="H104:H110" si="5">E51+F51-G51+H51+I51+D104-E104+G104</f>
        <v>0</v>
      </c>
      <c r="I104" s="400"/>
      <c r="J104" s="945"/>
      <c r="K104" s="945"/>
      <c r="L104" s="945"/>
    </row>
    <row r="105" spans="1:12">
      <c r="A105" s="810">
        <v>35</v>
      </c>
      <c r="B105" s="162">
        <v>105</v>
      </c>
      <c r="C105" s="947">
        <f t="shared" si="2"/>
        <v>0</v>
      </c>
      <c r="D105" s="1449"/>
      <c r="E105" s="1449"/>
      <c r="F105" s="1455"/>
      <c r="G105" s="1455"/>
      <c r="H105" s="406">
        <f t="shared" si="5"/>
        <v>0</v>
      </c>
      <c r="I105" s="400"/>
      <c r="J105" s="945"/>
      <c r="K105" s="945"/>
      <c r="L105" s="945"/>
    </row>
    <row r="106" spans="1:12">
      <c r="A106" s="810">
        <v>36</v>
      </c>
      <c r="B106" s="162">
        <v>106</v>
      </c>
      <c r="C106" s="947">
        <f t="shared" si="2"/>
        <v>0</v>
      </c>
      <c r="D106" s="1449"/>
      <c r="E106" s="1449"/>
      <c r="F106" s="1455"/>
      <c r="G106" s="1455"/>
      <c r="H106" s="406">
        <f t="shared" si="5"/>
        <v>0</v>
      </c>
      <c r="I106" s="400"/>
      <c r="J106" s="945"/>
      <c r="K106" s="945"/>
      <c r="L106" s="945"/>
    </row>
    <row r="107" spans="1:12">
      <c r="A107" s="810">
        <v>37</v>
      </c>
      <c r="B107" s="162">
        <v>107</v>
      </c>
      <c r="C107" s="947">
        <f t="shared" si="2"/>
        <v>0</v>
      </c>
      <c r="D107" s="1449"/>
      <c r="E107" s="1449"/>
      <c r="F107" s="1455"/>
      <c r="G107" s="1455"/>
      <c r="H107" s="406">
        <f t="shared" si="5"/>
        <v>0</v>
      </c>
      <c r="I107" s="400"/>
      <c r="J107" s="945"/>
      <c r="K107" s="945"/>
      <c r="L107" s="945"/>
    </row>
    <row r="108" spans="1:12">
      <c r="A108" s="810">
        <v>38</v>
      </c>
      <c r="B108" s="162">
        <v>108</v>
      </c>
      <c r="C108" s="947">
        <f t="shared" si="2"/>
        <v>0</v>
      </c>
      <c r="D108" s="1449"/>
      <c r="E108" s="1449"/>
      <c r="F108" s="1455"/>
      <c r="G108" s="1455"/>
      <c r="H108" s="406">
        <f t="shared" si="5"/>
        <v>0</v>
      </c>
      <c r="I108" s="400"/>
      <c r="J108" s="945"/>
      <c r="K108" s="945"/>
      <c r="L108" s="945"/>
    </row>
    <row r="109" spans="1:12">
      <c r="A109" s="810">
        <v>39</v>
      </c>
      <c r="B109" s="162">
        <v>109</v>
      </c>
      <c r="C109" s="947">
        <f t="shared" si="2"/>
        <v>0</v>
      </c>
      <c r="D109" s="1449"/>
      <c r="E109" s="1449"/>
      <c r="F109" s="1455"/>
      <c r="G109" s="1455"/>
      <c r="H109" s="406">
        <f t="shared" si="5"/>
        <v>0</v>
      </c>
      <c r="I109" s="400"/>
      <c r="J109" s="945"/>
      <c r="K109" s="945"/>
      <c r="L109" s="945"/>
    </row>
    <row r="110" spans="1:12">
      <c r="A110" s="810">
        <v>40</v>
      </c>
      <c r="B110" s="162">
        <v>110</v>
      </c>
      <c r="C110" s="947">
        <f t="shared" si="2"/>
        <v>0</v>
      </c>
      <c r="D110" s="1449"/>
      <c r="E110" s="1449"/>
      <c r="F110" s="1455"/>
      <c r="G110" s="1455"/>
      <c r="H110" s="406">
        <f t="shared" si="5"/>
        <v>0</v>
      </c>
      <c r="I110" s="400"/>
      <c r="J110" s="945"/>
      <c r="K110" s="945"/>
      <c r="L110" s="945"/>
    </row>
    <row r="111" spans="1:12">
      <c r="A111" s="810">
        <v>41</v>
      </c>
      <c r="B111" s="162">
        <v>111</v>
      </c>
      <c r="C111" s="947" t="str">
        <f t="shared" si="2"/>
        <v>3.联营企业</v>
      </c>
      <c r="D111" s="406">
        <f t="shared" ref="D111:I111" si="6">SUM(D112:D120)</f>
        <v>0</v>
      </c>
      <c r="E111" s="406">
        <f t="shared" si="6"/>
        <v>0</v>
      </c>
      <c r="F111" s="406">
        <f t="shared" si="6"/>
        <v>0</v>
      </c>
      <c r="G111" s="406">
        <f t="shared" si="6"/>
        <v>0</v>
      </c>
      <c r="H111" s="406">
        <f>SUM(H112:H120)</f>
        <v>0</v>
      </c>
      <c r="I111" s="406">
        <f t="shared" si="6"/>
        <v>0</v>
      </c>
      <c r="J111" s="769"/>
      <c r="K111" s="769"/>
      <c r="L111" s="769"/>
    </row>
    <row r="112" spans="1:12">
      <c r="A112" s="810">
        <v>42</v>
      </c>
      <c r="B112" s="162">
        <v>112</v>
      </c>
      <c r="C112" s="947">
        <f t="shared" si="2"/>
        <v>0</v>
      </c>
      <c r="D112" s="1449"/>
      <c r="E112" s="1449"/>
      <c r="F112" s="1455"/>
      <c r="G112" s="1455"/>
      <c r="H112" s="406">
        <f>E59+F59-G59+H59+I59+D112-E112+G112</f>
        <v>0</v>
      </c>
      <c r="I112" s="1455"/>
      <c r="J112" s="945"/>
      <c r="K112" s="945"/>
      <c r="L112" s="945"/>
    </row>
    <row r="113" spans="1:12">
      <c r="A113" s="810">
        <v>43</v>
      </c>
      <c r="B113" s="162">
        <v>113</v>
      </c>
      <c r="C113" s="947">
        <f t="shared" si="2"/>
        <v>0</v>
      </c>
      <c r="D113" s="1449"/>
      <c r="E113" s="1449"/>
      <c r="F113" s="1455"/>
      <c r="G113" s="1455"/>
      <c r="H113" s="406">
        <f t="shared" ref="H113:H120" si="7">E60+F60-G60+H60+I60+D113-E113+G113</f>
        <v>0</v>
      </c>
      <c r="I113" s="1455"/>
      <c r="J113" s="945"/>
      <c r="K113" s="945"/>
      <c r="L113" s="945"/>
    </row>
    <row r="114" spans="1:12">
      <c r="A114" s="810">
        <v>44</v>
      </c>
      <c r="B114" s="162">
        <v>114</v>
      </c>
      <c r="C114" s="947">
        <f t="shared" si="2"/>
        <v>0</v>
      </c>
      <c r="D114" s="1449"/>
      <c r="E114" s="1449"/>
      <c r="F114" s="1455"/>
      <c r="G114" s="1455"/>
      <c r="H114" s="406">
        <f t="shared" si="7"/>
        <v>0</v>
      </c>
      <c r="I114" s="1455"/>
      <c r="J114" s="945"/>
      <c r="K114" s="945"/>
      <c r="L114" s="945"/>
    </row>
    <row r="115" spans="1:12">
      <c r="A115" s="810">
        <v>45</v>
      </c>
      <c r="B115" s="162">
        <v>115</v>
      </c>
      <c r="C115" s="947">
        <f t="shared" si="2"/>
        <v>0</v>
      </c>
      <c r="D115" s="1449"/>
      <c r="E115" s="1449"/>
      <c r="F115" s="1455"/>
      <c r="G115" s="1455"/>
      <c r="H115" s="406">
        <f t="shared" si="7"/>
        <v>0</v>
      </c>
      <c r="I115" s="1455"/>
      <c r="J115" s="945"/>
      <c r="K115" s="945"/>
      <c r="L115" s="945"/>
    </row>
    <row r="116" spans="1:12">
      <c r="A116" s="810">
        <v>46</v>
      </c>
      <c r="B116" s="162">
        <v>116</v>
      </c>
      <c r="C116" s="947">
        <f t="shared" si="2"/>
        <v>0</v>
      </c>
      <c r="D116" s="1449"/>
      <c r="E116" s="1449"/>
      <c r="F116" s="1455"/>
      <c r="G116" s="1455"/>
      <c r="H116" s="406">
        <f t="shared" si="7"/>
        <v>0</v>
      </c>
      <c r="I116" s="1455"/>
      <c r="J116" s="945"/>
      <c r="K116" s="945"/>
      <c r="L116" s="945"/>
    </row>
    <row r="117" spans="1:12">
      <c r="A117" s="810">
        <v>47</v>
      </c>
      <c r="B117" s="162">
        <v>117</v>
      </c>
      <c r="C117" s="947">
        <f t="shared" si="2"/>
        <v>0</v>
      </c>
      <c r="D117" s="1449"/>
      <c r="E117" s="1449"/>
      <c r="F117" s="1455"/>
      <c r="G117" s="1455"/>
      <c r="H117" s="406">
        <f t="shared" si="7"/>
        <v>0</v>
      </c>
      <c r="I117" s="1455"/>
      <c r="J117" s="945"/>
      <c r="K117" s="945"/>
      <c r="L117" s="945"/>
    </row>
    <row r="118" spans="1:12">
      <c r="A118" s="810">
        <v>48</v>
      </c>
      <c r="B118" s="162">
        <v>118</v>
      </c>
      <c r="C118" s="947">
        <f t="shared" si="2"/>
        <v>0</v>
      </c>
      <c r="D118" s="1449"/>
      <c r="E118" s="1449"/>
      <c r="F118" s="1455"/>
      <c r="G118" s="1455"/>
      <c r="H118" s="406">
        <f t="shared" si="7"/>
        <v>0</v>
      </c>
      <c r="I118" s="1455"/>
      <c r="J118" s="945"/>
      <c r="K118" s="945"/>
      <c r="L118" s="945"/>
    </row>
    <row r="119" spans="1:12">
      <c r="A119" s="810">
        <v>49</v>
      </c>
      <c r="B119" s="162">
        <v>119</v>
      </c>
      <c r="C119" s="947">
        <f t="shared" si="2"/>
        <v>0</v>
      </c>
      <c r="D119" s="1449"/>
      <c r="E119" s="1449"/>
      <c r="F119" s="1455"/>
      <c r="G119" s="1455"/>
      <c r="H119" s="406">
        <f t="shared" si="7"/>
        <v>0</v>
      </c>
      <c r="I119" s="1455"/>
      <c r="J119" s="945"/>
      <c r="K119" s="945"/>
      <c r="L119" s="945"/>
    </row>
    <row r="120" spans="1:12">
      <c r="A120" s="810">
        <v>50</v>
      </c>
      <c r="B120" s="162">
        <v>120</v>
      </c>
      <c r="C120" s="947">
        <f t="shared" si="2"/>
        <v>0</v>
      </c>
      <c r="D120" s="1449"/>
      <c r="E120" s="1449"/>
      <c r="F120" s="1455"/>
      <c r="G120" s="1455"/>
      <c r="H120" s="406">
        <f t="shared" si="7"/>
        <v>0</v>
      </c>
      <c r="I120" s="1455"/>
      <c r="J120" s="945"/>
      <c r="K120" s="945"/>
      <c r="L120" s="945"/>
    </row>
    <row r="121" spans="1:12">
      <c r="B121" s="162">
        <v>121</v>
      </c>
    </row>
    <row r="122" spans="1:12">
      <c r="A122" s="811" t="str">
        <f>HYPERLINK("#C1","置顶")</f>
        <v>置顶</v>
      </c>
      <c r="B122" s="162">
        <v>122</v>
      </c>
      <c r="C122" s="944" t="s">
        <v>2863</v>
      </c>
    </row>
    <row r="123" spans="1:12">
      <c r="B123" s="162">
        <v>123</v>
      </c>
      <c r="C123" s="1814" t="s">
        <v>2864</v>
      </c>
      <c r="D123" s="1857" t="s">
        <v>2865</v>
      </c>
      <c r="E123" s="1858"/>
      <c r="F123" s="1858"/>
      <c r="G123" s="1858"/>
      <c r="H123" s="1858"/>
      <c r="I123" s="1859"/>
    </row>
    <row r="124" spans="1:12">
      <c r="A124" s="809" t="s">
        <v>2260</v>
      </c>
      <c r="C124" s="1816"/>
      <c r="D124" s="889" t="s">
        <v>2866</v>
      </c>
      <c r="E124" s="889" t="s">
        <v>2867</v>
      </c>
      <c r="F124" s="889" t="s">
        <v>2868</v>
      </c>
      <c r="G124" s="889" t="s">
        <v>2869</v>
      </c>
      <c r="H124" s="889" t="s">
        <v>2870</v>
      </c>
      <c r="I124" s="889" t="s">
        <v>1426</v>
      </c>
    </row>
    <row r="125" spans="1:12">
      <c r="A125" s="810">
        <v>1</v>
      </c>
      <c r="B125" s="162">
        <v>124</v>
      </c>
      <c r="C125" s="760" t="s">
        <v>1650</v>
      </c>
      <c r="D125" s="1455"/>
      <c r="E125" s="1455"/>
      <c r="F125" s="1455"/>
      <c r="G125" s="1455"/>
      <c r="H125" s="1455"/>
      <c r="I125" s="1455"/>
    </row>
    <row r="126" spans="1:12">
      <c r="A126" s="810">
        <v>2</v>
      </c>
      <c r="B126" s="162">
        <v>125</v>
      </c>
      <c r="C126" s="760" t="s">
        <v>1652</v>
      </c>
      <c r="D126" s="1455"/>
      <c r="E126" s="1455"/>
      <c r="F126" s="1455"/>
      <c r="G126" s="1455"/>
      <c r="H126" s="1455"/>
      <c r="I126" s="1455"/>
    </row>
    <row r="127" spans="1:12">
      <c r="A127" s="810">
        <v>3</v>
      </c>
      <c r="B127" s="162">
        <v>126</v>
      </c>
      <c r="C127" s="760" t="s">
        <v>2871</v>
      </c>
      <c r="D127" s="1453">
        <f t="shared" ref="D127:I127" si="8">D125+D126</f>
        <v>0</v>
      </c>
      <c r="E127" s="1450">
        <f t="shared" si="8"/>
        <v>0</v>
      </c>
      <c r="F127" s="1450">
        <f t="shared" si="8"/>
        <v>0</v>
      </c>
      <c r="G127" s="1450">
        <f t="shared" si="8"/>
        <v>0</v>
      </c>
      <c r="H127" s="1450">
        <f t="shared" si="8"/>
        <v>0</v>
      </c>
      <c r="I127" s="1450">
        <f t="shared" si="8"/>
        <v>0</v>
      </c>
    </row>
    <row r="128" spans="1:12">
      <c r="A128" s="810">
        <v>4</v>
      </c>
      <c r="B128" s="162">
        <v>127</v>
      </c>
      <c r="C128" s="760" t="s">
        <v>1656</v>
      </c>
      <c r="D128" s="1452"/>
      <c r="E128" s="1455"/>
      <c r="F128" s="1455"/>
      <c r="G128" s="1455"/>
      <c r="H128" s="1455"/>
      <c r="I128" s="1455"/>
    </row>
    <row r="129" spans="1:10">
      <c r="A129" s="810">
        <v>5</v>
      </c>
      <c r="B129" s="162">
        <v>128</v>
      </c>
      <c r="C129" s="760" t="s">
        <v>1659</v>
      </c>
      <c r="D129" s="1452"/>
      <c r="E129" s="1455"/>
      <c r="F129" s="1455"/>
      <c r="G129" s="1455"/>
      <c r="H129" s="1455"/>
      <c r="I129" s="1455"/>
    </row>
    <row r="130" spans="1:10">
      <c r="A130" s="810">
        <v>6</v>
      </c>
      <c r="B130" s="162">
        <v>129</v>
      </c>
      <c r="C130" s="760" t="s">
        <v>1661</v>
      </c>
      <c r="D130" s="1453">
        <f t="shared" ref="D130:I130" si="9">D128+D129</f>
        <v>0</v>
      </c>
      <c r="E130" s="1450">
        <f t="shared" si="9"/>
        <v>0</v>
      </c>
      <c r="F130" s="1450">
        <f t="shared" si="9"/>
        <v>0</v>
      </c>
      <c r="G130" s="1450">
        <f t="shared" si="9"/>
        <v>0</v>
      </c>
      <c r="H130" s="1450">
        <f t="shared" si="9"/>
        <v>0</v>
      </c>
      <c r="I130" s="1450">
        <f t="shared" si="9"/>
        <v>0</v>
      </c>
    </row>
    <row r="131" spans="1:10">
      <c r="A131" s="810">
        <v>7</v>
      </c>
      <c r="B131" s="162">
        <v>130</v>
      </c>
      <c r="C131" s="760" t="s">
        <v>2872</v>
      </c>
      <c r="D131" s="1453">
        <f t="shared" ref="D131:I131" si="10">D127-D130</f>
        <v>0</v>
      </c>
      <c r="E131" s="1450">
        <f t="shared" si="10"/>
        <v>0</v>
      </c>
      <c r="F131" s="1450">
        <f t="shared" si="10"/>
        <v>0</v>
      </c>
      <c r="G131" s="1450">
        <f t="shared" si="10"/>
        <v>0</v>
      </c>
      <c r="H131" s="1450">
        <f t="shared" si="10"/>
        <v>0</v>
      </c>
      <c r="I131" s="1450">
        <f t="shared" si="10"/>
        <v>0</v>
      </c>
    </row>
    <row r="132" spans="1:10">
      <c r="A132" s="810">
        <v>8</v>
      </c>
      <c r="B132" s="162">
        <v>131</v>
      </c>
      <c r="C132" s="760" t="s">
        <v>2873</v>
      </c>
      <c r="D132" s="1452"/>
      <c r="E132" s="1455"/>
      <c r="F132" s="1455"/>
      <c r="G132" s="1455"/>
      <c r="H132" s="1455"/>
      <c r="I132" s="1455"/>
      <c r="J132" s="344" t="s">
        <v>2874</v>
      </c>
    </row>
    <row r="133" spans="1:10">
      <c r="A133" s="810">
        <v>9</v>
      </c>
      <c r="B133" s="162">
        <v>132</v>
      </c>
      <c r="C133" s="760" t="s">
        <v>2875</v>
      </c>
      <c r="D133" s="1452"/>
      <c r="E133" s="1455"/>
      <c r="F133" s="1455"/>
      <c r="G133" s="1455"/>
      <c r="H133" s="1455"/>
      <c r="I133" s="1455"/>
    </row>
    <row r="134" spans="1:10">
      <c r="A134" s="810">
        <v>10</v>
      </c>
      <c r="B134" s="162">
        <v>133</v>
      </c>
      <c r="C134" s="760" t="s">
        <v>2876</v>
      </c>
      <c r="D134" s="1452"/>
      <c r="E134" s="1455"/>
      <c r="F134" s="1455"/>
      <c r="G134" s="1455"/>
      <c r="H134" s="1455"/>
      <c r="I134" s="1455"/>
      <c r="J134" s="344" t="s">
        <v>2877</v>
      </c>
    </row>
    <row r="135" spans="1:10">
      <c r="A135" s="810">
        <v>11</v>
      </c>
      <c r="B135" s="162">
        <v>134</v>
      </c>
      <c r="C135" s="760" t="s">
        <v>2878</v>
      </c>
      <c r="D135" s="1452"/>
      <c r="E135" s="1455"/>
      <c r="F135" s="1455"/>
      <c r="G135" s="1455"/>
      <c r="H135" s="1455"/>
      <c r="I135" s="1455"/>
    </row>
    <row r="136" spans="1:10">
      <c r="A136" s="810">
        <v>12</v>
      </c>
      <c r="B136" s="162">
        <v>135</v>
      </c>
      <c r="C136" s="760" t="s">
        <v>2089</v>
      </c>
      <c r="D136" s="1452"/>
      <c r="E136" s="1455"/>
      <c r="F136" s="1455"/>
      <c r="G136" s="1455"/>
      <c r="H136" s="1455"/>
      <c r="I136" s="1455"/>
    </row>
    <row r="137" spans="1:10">
      <c r="A137" s="810">
        <v>13</v>
      </c>
      <c r="B137" s="162">
        <v>136</v>
      </c>
      <c r="C137" s="760" t="s">
        <v>2093</v>
      </c>
      <c r="D137" s="1454"/>
      <c r="E137" s="1455"/>
      <c r="F137" s="1455"/>
      <c r="G137" s="1455"/>
      <c r="H137" s="1455"/>
      <c r="I137" s="1455"/>
    </row>
    <row r="138" spans="1:10">
      <c r="A138" s="810">
        <v>14</v>
      </c>
      <c r="B138" s="162">
        <v>137</v>
      </c>
      <c r="C138" s="760" t="s">
        <v>2879</v>
      </c>
      <c r="D138" s="1454"/>
      <c r="E138" s="1455"/>
      <c r="F138" s="1455"/>
      <c r="G138" s="1455"/>
      <c r="H138" s="1455"/>
      <c r="I138" s="1455"/>
    </row>
    <row r="139" spans="1:10">
      <c r="A139" s="810">
        <v>15</v>
      </c>
      <c r="B139" s="162">
        <v>138</v>
      </c>
      <c r="C139" s="760" t="s">
        <v>2098</v>
      </c>
      <c r="D139" s="1454"/>
      <c r="E139" s="1455"/>
      <c r="F139" s="1455"/>
      <c r="G139" s="1455"/>
      <c r="H139" s="1455"/>
      <c r="I139" s="1455"/>
    </row>
    <row r="140" spans="1:10">
      <c r="A140" s="810">
        <v>16</v>
      </c>
      <c r="B140" s="162">
        <v>139</v>
      </c>
      <c r="C140" s="760" t="s">
        <v>1667</v>
      </c>
      <c r="D140" s="1454"/>
      <c r="E140" s="1455"/>
      <c r="F140" s="1455"/>
      <c r="G140" s="1455"/>
      <c r="H140" s="1455"/>
      <c r="I140" s="1455"/>
    </row>
    <row r="141" spans="1:10">
      <c r="A141" s="810">
        <v>17</v>
      </c>
      <c r="B141" s="162">
        <v>140</v>
      </c>
      <c r="C141" s="760" t="s">
        <v>2880</v>
      </c>
      <c r="D141" s="1453">
        <f t="shared" ref="D141:I141" si="11">D139+D140</f>
        <v>0</v>
      </c>
      <c r="E141" s="1450">
        <f t="shared" si="11"/>
        <v>0</v>
      </c>
      <c r="F141" s="1450">
        <f t="shared" si="11"/>
        <v>0</v>
      </c>
      <c r="G141" s="1450">
        <f t="shared" si="11"/>
        <v>0</v>
      </c>
      <c r="H141" s="1450">
        <f t="shared" si="11"/>
        <v>0</v>
      </c>
      <c r="I141" s="1450">
        <f t="shared" si="11"/>
        <v>0</v>
      </c>
    </row>
    <row r="142" spans="1:10">
      <c r="A142" s="810">
        <v>18</v>
      </c>
      <c r="B142" s="162">
        <v>141</v>
      </c>
      <c r="C142" s="760" t="s">
        <v>2881</v>
      </c>
      <c r="D142" s="1452"/>
      <c r="E142" s="1455"/>
      <c r="F142" s="1455"/>
      <c r="G142" s="1455"/>
      <c r="H142" s="1455"/>
      <c r="I142" s="1455"/>
    </row>
    <row r="143" spans="1:10">
      <c r="B143" s="162">
        <v>142</v>
      </c>
      <c r="C143" s="949" t="s">
        <v>2882</v>
      </c>
      <c r="D143" s="950"/>
      <c r="E143" s="945"/>
      <c r="F143" s="945"/>
      <c r="G143" s="945"/>
      <c r="H143" s="945"/>
      <c r="I143" s="945"/>
    </row>
    <row r="144" spans="1:10">
      <c r="B144" s="162">
        <v>143</v>
      </c>
      <c r="C144" s="949" t="s">
        <v>2883</v>
      </c>
      <c r="D144" s="950"/>
      <c r="E144" s="945"/>
      <c r="F144" s="945"/>
      <c r="G144" s="945"/>
      <c r="H144" s="945"/>
      <c r="I144" s="945"/>
    </row>
    <row r="145" spans="1:10">
      <c r="B145" s="162">
        <v>123</v>
      </c>
      <c r="C145" s="1814" t="s">
        <v>2884</v>
      </c>
      <c r="D145" s="1857" t="s">
        <v>2885</v>
      </c>
      <c r="E145" s="1858"/>
      <c r="F145" s="1858"/>
      <c r="G145" s="1858"/>
      <c r="H145" s="1858"/>
      <c r="I145" s="1859"/>
    </row>
    <row r="146" spans="1:10">
      <c r="A146" s="809" t="s">
        <v>2260</v>
      </c>
      <c r="C146" s="1816"/>
      <c r="D146" s="889" t="s">
        <v>2866</v>
      </c>
      <c r="E146" s="889" t="s">
        <v>2867</v>
      </c>
      <c r="F146" s="889" t="s">
        <v>2868</v>
      </c>
      <c r="G146" s="889" t="s">
        <v>2869</v>
      </c>
      <c r="H146" s="889" t="s">
        <v>2870</v>
      </c>
      <c r="I146" s="889" t="s">
        <v>1426</v>
      </c>
    </row>
    <row r="147" spans="1:10">
      <c r="A147" s="810">
        <v>1</v>
      </c>
      <c r="B147" s="162">
        <v>124</v>
      </c>
      <c r="C147" s="760" t="s">
        <v>1650</v>
      </c>
      <c r="D147" s="1449"/>
      <c r="E147" s="1455"/>
      <c r="F147" s="1455"/>
      <c r="G147" s="1455"/>
      <c r="H147" s="1455"/>
      <c r="I147" s="1455"/>
    </row>
    <row r="148" spans="1:10">
      <c r="A148" s="810">
        <v>2</v>
      </c>
      <c r="B148" s="162">
        <v>125</v>
      </c>
      <c r="C148" s="760" t="s">
        <v>2886</v>
      </c>
      <c r="D148" s="1449"/>
      <c r="E148" s="1455"/>
      <c r="F148" s="1455"/>
      <c r="G148" s="1455"/>
      <c r="H148" s="1455"/>
      <c r="I148" s="1455"/>
    </row>
    <row r="149" spans="1:10">
      <c r="A149" s="810">
        <v>3</v>
      </c>
      <c r="B149" s="162">
        <v>126</v>
      </c>
      <c r="C149" s="760" t="s">
        <v>2871</v>
      </c>
      <c r="D149" s="1450">
        <f t="shared" ref="D149:I149" si="12">D147+D148</f>
        <v>0</v>
      </c>
      <c r="E149" s="1450">
        <f t="shared" si="12"/>
        <v>0</v>
      </c>
      <c r="F149" s="1450">
        <f t="shared" si="12"/>
        <v>0</v>
      </c>
      <c r="G149" s="1450">
        <f t="shared" si="12"/>
        <v>0</v>
      </c>
      <c r="H149" s="1450">
        <f t="shared" si="12"/>
        <v>0</v>
      </c>
      <c r="I149" s="1450">
        <f t="shared" si="12"/>
        <v>0</v>
      </c>
    </row>
    <row r="150" spans="1:10">
      <c r="A150" s="810">
        <v>4</v>
      </c>
      <c r="B150" s="162">
        <v>127</v>
      </c>
      <c r="C150" s="760" t="s">
        <v>1656</v>
      </c>
      <c r="D150" s="1449"/>
      <c r="E150" s="1455"/>
      <c r="F150" s="1455"/>
      <c r="G150" s="1455"/>
      <c r="H150" s="1455"/>
      <c r="I150" s="1455"/>
    </row>
    <row r="151" spans="1:10">
      <c r="A151" s="810">
        <v>5</v>
      </c>
      <c r="B151" s="162">
        <v>128</v>
      </c>
      <c r="C151" s="760" t="s">
        <v>1659</v>
      </c>
      <c r="D151" s="1449"/>
      <c r="E151" s="1455"/>
      <c r="F151" s="1455"/>
      <c r="G151" s="1455"/>
      <c r="H151" s="1455"/>
      <c r="I151" s="1455"/>
    </row>
    <row r="152" spans="1:10">
      <c r="A152" s="810">
        <v>6</v>
      </c>
      <c r="B152" s="162">
        <v>129</v>
      </c>
      <c r="C152" s="760" t="s">
        <v>1661</v>
      </c>
      <c r="D152" s="1450">
        <f t="shared" ref="D152:I152" si="13">D150+D151</f>
        <v>0</v>
      </c>
      <c r="E152" s="1450">
        <f t="shared" si="13"/>
        <v>0</v>
      </c>
      <c r="F152" s="1450">
        <f t="shared" si="13"/>
        <v>0</v>
      </c>
      <c r="G152" s="1450">
        <f t="shared" si="13"/>
        <v>0</v>
      </c>
      <c r="H152" s="1450">
        <f t="shared" si="13"/>
        <v>0</v>
      </c>
      <c r="I152" s="1450">
        <f t="shared" si="13"/>
        <v>0</v>
      </c>
    </row>
    <row r="153" spans="1:10">
      <c r="A153" s="810">
        <v>7</v>
      </c>
      <c r="B153" s="162">
        <v>130</v>
      </c>
      <c r="C153" s="760" t="s">
        <v>2872</v>
      </c>
      <c r="D153" s="1450">
        <f t="shared" ref="D153:I153" si="14">D149-D152</f>
        <v>0</v>
      </c>
      <c r="E153" s="1450">
        <f t="shared" si="14"/>
        <v>0</v>
      </c>
      <c r="F153" s="1450">
        <f t="shared" si="14"/>
        <v>0</v>
      </c>
      <c r="G153" s="1450">
        <f t="shared" si="14"/>
        <v>0</v>
      </c>
      <c r="H153" s="1450">
        <f t="shared" si="14"/>
        <v>0</v>
      </c>
      <c r="I153" s="1450">
        <f t="shared" si="14"/>
        <v>0</v>
      </c>
    </row>
    <row r="154" spans="1:10">
      <c r="A154" s="810">
        <v>8</v>
      </c>
      <c r="B154" s="162">
        <v>131</v>
      </c>
      <c r="C154" s="760" t="s">
        <v>2873</v>
      </c>
      <c r="D154" s="1449"/>
      <c r="E154" s="1455"/>
      <c r="F154" s="1455"/>
      <c r="G154" s="1455"/>
      <c r="H154" s="1455"/>
      <c r="I154" s="1455"/>
      <c r="J154" s="344" t="s">
        <v>2874</v>
      </c>
    </row>
    <row r="155" spans="1:10">
      <c r="A155" s="810">
        <v>9</v>
      </c>
      <c r="B155" s="162">
        <v>132</v>
      </c>
      <c r="C155" s="760" t="s">
        <v>2887</v>
      </c>
      <c r="D155" s="1449"/>
      <c r="E155" s="1455"/>
      <c r="F155" s="1455"/>
      <c r="G155" s="1455"/>
      <c r="H155" s="1455"/>
      <c r="I155" s="1455"/>
    </row>
    <row r="156" spans="1:10">
      <c r="A156" s="810">
        <v>10</v>
      </c>
      <c r="B156" s="162">
        <v>133</v>
      </c>
      <c r="C156" s="760" t="s">
        <v>2876</v>
      </c>
      <c r="D156" s="1449"/>
      <c r="E156" s="1455"/>
      <c r="F156" s="1455"/>
      <c r="G156" s="1455"/>
      <c r="H156" s="1455"/>
      <c r="I156" s="1455"/>
      <c r="J156" s="344" t="s">
        <v>2888</v>
      </c>
    </row>
    <row r="157" spans="1:10">
      <c r="A157" s="810">
        <v>11</v>
      </c>
      <c r="B157" s="162">
        <v>134</v>
      </c>
      <c r="C157" s="760" t="s">
        <v>2878</v>
      </c>
      <c r="D157" s="1449"/>
      <c r="E157" s="1455"/>
      <c r="F157" s="1455"/>
      <c r="G157" s="1455"/>
      <c r="H157" s="1455"/>
      <c r="I157" s="1455"/>
    </row>
    <row r="158" spans="1:10">
      <c r="A158" s="810">
        <v>12</v>
      </c>
      <c r="B158" s="162">
        <v>135</v>
      </c>
      <c r="C158" s="760" t="s">
        <v>2089</v>
      </c>
      <c r="D158" s="1449"/>
      <c r="E158" s="1455"/>
      <c r="F158" s="1455"/>
      <c r="G158" s="1455"/>
      <c r="H158" s="1455"/>
      <c r="I158" s="1455"/>
    </row>
    <row r="159" spans="1:10">
      <c r="A159" s="810">
        <v>13</v>
      </c>
      <c r="B159" s="162">
        <v>136</v>
      </c>
      <c r="C159" s="760" t="s">
        <v>2093</v>
      </c>
      <c r="D159" s="1451"/>
      <c r="E159" s="1455"/>
      <c r="F159" s="1455"/>
      <c r="G159" s="1455"/>
      <c r="H159" s="1455"/>
      <c r="I159" s="1455"/>
    </row>
    <row r="160" spans="1:10">
      <c r="A160" s="810">
        <v>14</v>
      </c>
      <c r="B160" s="162">
        <v>137</v>
      </c>
      <c r="C160" s="760" t="s">
        <v>2879</v>
      </c>
      <c r="D160" s="1451"/>
      <c r="E160" s="1455"/>
      <c r="F160" s="1455"/>
      <c r="G160" s="1455"/>
      <c r="H160" s="1455"/>
      <c r="I160" s="1455"/>
    </row>
    <row r="161" spans="1:10">
      <c r="A161" s="810">
        <v>15</v>
      </c>
      <c r="B161" s="162">
        <v>138</v>
      </c>
      <c r="C161" s="760" t="s">
        <v>2889</v>
      </c>
      <c r="D161" s="1451"/>
      <c r="E161" s="1455"/>
      <c r="F161" s="1455"/>
      <c r="G161" s="1455"/>
      <c r="H161" s="1455"/>
      <c r="I161" s="1455"/>
    </row>
    <row r="162" spans="1:10">
      <c r="A162" s="810">
        <v>16</v>
      </c>
      <c r="B162" s="162">
        <v>139</v>
      </c>
      <c r="C162" s="760" t="s">
        <v>2890</v>
      </c>
      <c r="D162" s="1451"/>
      <c r="E162" s="1455"/>
      <c r="F162" s="1455"/>
      <c r="G162" s="1455"/>
      <c r="H162" s="1455"/>
      <c r="I162" s="1455"/>
    </row>
    <row r="163" spans="1:10">
      <c r="A163" s="810">
        <v>17</v>
      </c>
      <c r="B163" s="162">
        <v>140</v>
      </c>
      <c r="C163" s="760" t="s">
        <v>2880</v>
      </c>
      <c r="D163" s="1450">
        <f t="shared" ref="D163:I163" si="15">D161+D162</f>
        <v>0</v>
      </c>
      <c r="E163" s="1450">
        <f t="shared" si="15"/>
        <v>0</v>
      </c>
      <c r="F163" s="1450">
        <f t="shared" si="15"/>
        <v>0</v>
      </c>
      <c r="G163" s="1450">
        <f t="shared" si="15"/>
        <v>0</v>
      </c>
      <c r="H163" s="1450">
        <f t="shared" si="15"/>
        <v>0</v>
      </c>
      <c r="I163" s="1450">
        <f t="shared" si="15"/>
        <v>0</v>
      </c>
    </row>
    <row r="164" spans="1:10">
      <c r="A164" s="810">
        <v>18</v>
      </c>
      <c r="B164" s="162">
        <v>141</v>
      </c>
      <c r="C164" s="760" t="s">
        <v>2891</v>
      </c>
      <c r="D164" s="1449"/>
      <c r="E164" s="1455"/>
      <c r="F164" s="1455"/>
      <c r="G164" s="1455"/>
      <c r="H164" s="1455"/>
      <c r="I164" s="1455"/>
    </row>
    <row r="165" spans="1:10">
      <c r="C165" s="949" t="s">
        <v>2882</v>
      </c>
      <c r="D165" s="950"/>
      <c r="E165" s="945"/>
      <c r="F165" s="945"/>
      <c r="G165" s="945"/>
      <c r="H165" s="945"/>
      <c r="I165" s="945"/>
    </row>
    <row r="166" spans="1:10">
      <c r="A166" s="811" t="str">
        <f>HYPERLINK("#C1","置顶")</f>
        <v>置顶</v>
      </c>
      <c r="B166" s="162">
        <v>122</v>
      </c>
      <c r="C166" s="944" t="s">
        <v>2892</v>
      </c>
    </row>
    <row r="167" spans="1:10">
      <c r="B167" s="162">
        <v>123</v>
      </c>
      <c r="C167" s="1814" t="s">
        <v>2884</v>
      </c>
      <c r="D167" s="1857" t="s">
        <v>2893</v>
      </c>
      <c r="E167" s="1858"/>
      <c r="F167" s="1858"/>
      <c r="G167" s="1858"/>
      <c r="H167" s="1858"/>
      <c r="I167" s="1859"/>
    </row>
    <row r="168" spans="1:10">
      <c r="A168" s="809" t="s">
        <v>2260</v>
      </c>
      <c r="C168" s="1816"/>
      <c r="D168" s="889" t="s">
        <v>2866</v>
      </c>
      <c r="E168" s="889" t="s">
        <v>2867</v>
      </c>
      <c r="F168" s="889" t="s">
        <v>2868</v>
      </c>
      <c r="G168" s="889" t="s">
        <v>2869</v>
      </c>
      <c r="H168" s="889" t="s">
        <v>2870</v>
      </c>
      <c r="I168" s="889" t="s">
        <v>1426</v>
      </c>
    </row>
    <row r="169" spans="1:10">
      <c r="A169" s="810">
        <v>1</v>
      </c>
      <c r="B169" s="162">
        <v>124</v>
      </c>
      <c r="C169" s="760" t="s">
        <v>1650</v>
      </c>
      <c r="D169" s="1449"/>
      <c r="E169" s="1455"/>
      <c r="F169" s="1455"/>
      <c r="G169" s="1455"/>
      <c r="H169" s="1455"/>
      <c r="I169" s="1455"/>
    </row>
    <row r="170" spans="1:10">
      <c r="A170" s="810">
        <v>2</v>
      </c>
      <c r="B170" s="162">
        <v>125</v>
      </c>
      <c r="C170" s="760" t="s">
        <v>1652</v>
      </c>
      <c r="D170" s="1449"/>
      <c r="E170" s="1455"/>
      <c r="F170" s="1455"/>
      <c r="G170" s="1455"/>
      <c r="H170" s="1455"/>
      <c r="I170" s="1455"/>
    </row>
    <row r="171" spans="1:10">
      <c r="A171" s="810">
        <v>3</v>
      </c>
      <c r="B171" s="162">
        <v>126</v>
      </c>
      <c r="C171" s="760" t="s">
        <v>2871</v>
      </c>
      <c r="D171" s="1450">
        <f t="shared" ref="D171:I171" si="16">D169+D170</f>
        <v>0</v>
      </c>
      <c r="E171" s="1450">
        <f t="shared" si="16"/>
        <v>0</v>
      </c>
      <c r="F171" s="1450">
        <f t="shared" si="16"/>
        <v>0</v>
      </c>
      <c r="G171" s="1450">
        <f t="shared" si="16"/>
        <v>0</v>
      </c>
      <c r="H171" s="1450">
        <f t="shared" si="16"/>
        <v>0</v>
      </c>
      <c r="I171" s="1450">
        <f t="shared" si="16"/>
        <v>0</v>
      </c>
    </row>
    <row r="172" spans="1:10">
      <c r="A172" s="810">
        <v>4</v>
      </c>
      <c r="B172" s="162">
        <v>127</v>
      </c>
      <c r="C172" s="760" t="s">
        <v>2894</v>
      </c>
      <c r="D172" s="1449"/>
      <c r="E172" s="1455"/>
      <c r="F172" s="1455"/>
      <c r="G172" s="1455"/>
      <c r="H172" s="1455"/>
      <c r="I172" s="1455"/>
    </row>
    <row r="173" spans="1:10">
      <c r="A173" s="810">
        <v>5</v>
      </c>
      <c r="B173" s="162">
        <v>128</v>
      </c>
      <c r="C173" s="760" t="s">
        <v>1659</v>
      </c>
      <c r="D173" s="1449"/>
      <c r="E173" s="1455"/>
      <c r="F173" s="1455"/>
      <c r="G173" s="1455"/>
      <c r="H173" s="1455"/>
      <c r="I173" s="1455"/>
    </row>
    <row r="174" spans="1:10">
      <c r="A174" s="810">
        <v>6</v>
      </c>
      <c r="B174" s="162">
        <v>129</v>
      </c>
      <c r="C174" s="760" t="s">
        <v>1661</v>
      </c>
      <c r="D174" s="1450">
        <f t="shared" ref="D174:I174" si="17">D172+D173</f>
        <v>0</v>
      </c>
      <c r="E174" s="1450">
        <f t="shared" si="17"/>
        <v>0</v>
      </c>
      <c r="F174" s="1450">
        <f t="shared" si="17"/>
        <v>0</v>
      </c>
      <c r="G174" s="1450">
        <f t="shared" si="17"/>
        <v>0</v>
      </c>
      <c r="H174" s="1450">
        <f t="shared" si="17"/>
        <v>0</v>
      </c>
      <c r="I174" s="1450">
        <f t="shared" si="17"/>
        <v>0</v>
      </c>
    </row>
    <row r="175" spans="1:10">
      <c r="A175" s="810">
        <v>7</v>
      </c>
      <c r="B175" s="162">
        <v>130</v>
      </c>
      <c r="C175" s="760" t="s">
        <v>2872</v>
      </c>
      <c r="D175" s="1450">
        <f t="shared" ref="D175:I175" si="18">D171-D174</f>
        <v>0</v>
      </c>
      <c r="E175" s="1450">
        <f t="shared" si="18"/>
        <v>0</v>
      </c>
      <c r="F175" s="1450">
        <f t="shared" si="18"/>
        <v>0</v>
      </c>
      <c r="G175" s="1450">
        <f t="shared" si="18"/>
        <v>0</v>
      </c>
      <c r="H175" s="1450">
        <f t="shared" si="18"/>
        <v>0</v>
      </c>
      <c r="I175" s="1450">
        <f t="shared" si="18"/>
        <v>0</v>
      </c>
    </row>
    <row r="176" spans="1:10">
      <c r="A176" s="810">
        <v>8</v>
      </c>
      <c r="B176" s="162">
        <v>131</v>
      </c>
      <c r="C176" s="760" t="s">
        <v>2873</v>
      </c>
      <c r="D176" s="1449"/>
      <c r="E176" s="1455"/>
      <c r="F176" s="1455"/>
      <c r="G176" s="1455"/>
      <c r="H176" s="1455"/>
      <c r="I176" s="1455"/>
      <c r="J176" s="344" t="s">
        <v>2874</v>
      </c>
    </row>
    <row r="177" spans="1:10">
      <c r="A177" s="810">
        <v>9</v>
      </c>
      <c r="B177" s="162">
        <v>132</v>
      </c>
      <c r="C177" s="760" t="s">
        <v>2875</v>
      </c>
      <c r="D177" s="1449"/>
      <c r="E177" s="1455"/>
      <c r="F177" s="1455"/>
      <c r="G177" s="1455"/>
      <c r="H177" s="1455"/>
      <c r="I177" s="1455"/>
    </row>
    <row r="178" spans="1:10">
      <c r="A178" s="810">
        <v>10</v>
      </c>
      <c r="B178" s="162">
        <v>133</v>
      </c>
      <c r="C178" s="760" t="s">
        <v>2895</v>
      </c>
      <c r="D178" s="1449"/>
      <c r="E178" s="1455"/>
      <c r="F178" s="1455"/>
      <c r="G178" s="1455"/>
      <c r="H178" s="1455"/>
      <c r="I178" s="1455"/>
      <c r="J178" s="344" t="s">
        <v>2877</v>
      </c>
    </row>
    <row r="179" spans="1:10">
      <c r="A179" s="810">
        <v>11</v>
      </c>
      <c r="B179" s="162">
        <v>134</v>
      </c>
      <c r="C179" s="760" t="s">
        <v>2878</v>
      </c>
      <c r="D179" s="1449"/>
      <c r="E179" s="1455"/>
      <c r="F179" s="1455"/>
      <c r="G179" s="1455"/>
      <c r="H179" s="1455"/>
      <c r="I179" s="1455"/>
    </row>
    <row r="180" spans="1:10">
      <c r="A180" s="810">
        <v>12</v>
      </c>
      <c r="B180" s="162">
        <v>135</v>
      </c>
      <c r="C180" s="760" t="s">
        <v>2089</v>
      </c>
      <c r="D180" s="1449"/>
      <c r="E180" s="1455"/>
      <c r="F180" s="1455"/>
      <c r="G180" s="1455"/>
      <c r="H180" s="1455"/>
      <c r="I180" s="1455"/>
    </row>
    <row r="181" spans="1:10">
      <c r="A181" s="810">
        <v>13</v>
      </c>
      <c r="B181" s="162">
        <v>136</v>
      </c>
      <c r="C181" s="760" t="s">
        <v>2093</v>
      </c>
      <c r="D181" s="1451"/>
      <c r="E181" s="1455"/>
      <c r="F181" s="1455"/>
      <c r="G181" s="1455"/>
      <c r="H181" s="1455"/>
      <c r="I181" s="1455"/>
    </row>
    <row r="182" spans="1:10">
      <c r="A182" s="810">
        <v>14</v>
      </c>
      <c r="B182" s="162">
        <v>137</v>
      </c>
      <c r="C182" s="760" t="s">
        <v>2896</v>
      </c>
      <c r="D182" s="1451"/>
      <c r="E182" s="1455"/>
      <c r="F182" s="1455"/>
      <c r="G182" s="1455"/>
      <c r="H182" s="1455"/>
      <c r="I182" s="1455"/>
    </row>
    <row r="183" spans="1:10">
      <c r="A183" s="810">
        <v>15</v>
      </c>
      <c r="B183" s="162">
        <v>138</v>
      </c>
      <c r="C183" s="760" t="s">
        <v>2098</v>
      </c>
      <c r="D183" s="1451"/>
      <c r="E183" s="1455"/>
      <c r="F183" s="1455"/>
      <c r="G183" s="1455"/>
      <c r="H183" s="1455"/>
      <c r="I183" s="1455"/>
    </row>
    <row r="184" spans="1:10">
      <c r="A184" s="810">
        <v>16</v>
      </c>
      <c r="B184" s="162">
        <v>139</v>
      </c>
      <c r="C184" s="760" t="s">
        <v>1667</v>
      </c>
      <c r="D184" s="1451"/>
      <c r="E184" s="1455"/>
      <c r="F184" s="1455"/>
      <c r="G184" s="1455"/>
      <c r="H184" s="1455"/>
      <c r="I184" s="1455"/>
    </row>
    <row r="185" spans="1:10">
      <c r="A185" s="810">
        <v>17</v>
      </c>
      <c r="B185" s="162">
        <v>140</v>
      </c>
      <c r="C185" s="760" t="s">
        <v>2897</v>
      </c>
      <c r="D185" s="1450">
        <f t="shared" ref="D185:I185" si="19">D183+D184</f>
        <v>0</v>
      </c>
      <c r="E185" s="1450">
        <f t="shared" si="19"/>
        <v>0</v>
      </c>
      <c r="F185" s="1450">
        <f t="shared" si="19"/>
        <v>0</v>
      </c>
      <c r="G185" s="1450">
        <f t="shared" si="19"/>
        <v>0</v>
      </c>
      <c r="H185" s="1450">
        <f t="shared" si="19"/>
        <v>0</v>
      </c>
      <c r="I185" s="1450">
        <f t="shared" si="19"/>
        <v>0</v>
      </c>
    </row>
    <row r="186" spans="1:10">
      <c r="A186" s="810">
        <v>18</v>
      </c>
      <c r="B186" s="162">
        <v>141</v>
      </c>
      <c r="C186" s="760" t="s">
        <v>2898</v>
      </c>
      <c r="D186" s="1449"/>
      <c r="E186" s="1455"/>
      <c r="F186" s="1455"/>
      <c r="G186" s="1455"/>
      <c r="H186" s="1455"/>
      <c r="I186" s="1455"/>
    </row>
    <row r="187" spans="1:10">
      <c r="B187" s="162">
        <v>142</v>
      </c>
      <c r="C187" s="949" t="s">
        <v>2882</v>
      </c>
      <c r="D187" s="950"/>
      <c r="E187" s="945"/>
      <c r="F187" s="945"/>
      <c r="G187" s="945"/>
      <c r="H187" s="945"/>
      <c r="I187" s="945"/>
    </row>
    <row r="188" spans="1:10">
      <c r="B188" s="162">
        <v>143</v>
      </c>
      <c r="C188" s="949" t="s">
        <v>2899</v>
      </c>
      <c r="D188" s="950"/>
      <c r="E188" s="945"/>
      <c r="F188" s="945"/>
      <c r="G188" s="945"/>
      <c r="H188" s="945"/>
      <c r="I188" s="945"/>
    </row>
    <row r="189" spans="1:10">
      <c r="B189" s="162">
        <v>123</v>
      </c>
      <c r="C189" s="1814" t="s">
        <v>2900</v>
      </c>
      <c r="D189" s="1857" t="s">
        <v>2885</v>
      </c>
      <c r="E189" s="1858"/>
      <c r="F189" s="1858"/>
      <c r="G189" s="1858"/>
      <c r="H189" s="1858"/>
      <c r="I189" s="1859"/>
    </row>
    <row r="190" spans="1:10">
      <c r="A190" s="809" t="s">
        <v>2260</v>
      </c>
      <c r="C190" s="1816"/>
      <c r="D190" s="889" t="s">
        <v>2866</v>
      </c>
      <c r="E190" s="889" t="s">
        <v>2867</v>
      </c>
      <c r="F190" s="889" t="s">
        <v>2868</v>
      </c>
      <c r="G190" s="889" t="s">
        <v>2869</v>
      </c>
      <c r="H190" s="889" t="s">
        <v>2870</v>
      </c>
      <c r="I190" s="889" t="s">
        <v>1426</v>
      </c>
    </row>
    <row r="191" spans="1:10">
      <c r="A191" s="810">
        <v>1</v>
      </c>
      <c r="B191" s="162">
        <v>124</v>
      </c>
      <c r="C191" s="760" t="s">
        <v>1650</v>
      </c>
      <c r="D191" s="1449"/>
      <c r="E191" s="1455"/>
      <c r="F191" s="1455"/>
      <c r="G191" s="1455"/>
      <c r="H191" s="1455"/>
      <c r="I191" s="1455"/>
    </row>
    <row r="192" spans="1:10">
      <c r="A192" s="810">
        <v>2</v>
      </c>
      <c r="B192" s="162">
        <v>125</v>
      </c>
      <c r="C192" s="760" t="s">
        <v>1652</v>
      </c>
      <c r="D192" s="1449"/>
      <c r="E192" s="1455"/>
      <c r="F192" s="1455"/>
      <c r="G192" s="1455"/>
      <c r="H192" s="1455"/>
      <c r="I192" s="1455"/>
    </row>
    <row r="193" spans="1:10">
      <c r="A193" s="810">
        <v>3</v>
      </c>
      <c r="B193" s="162">
        <v>126</v>
      </c>
      <c r="C193" s="760" t="s">
        <v>2871</v>
      </c>
      <c r="D193" s="1450">
        <f t="shared" ref="D193:I193" si="20">D191+D192</f>
        <v>0</v>
      </c>
      <c r="E193" s="1450">
        <f t="shared" si="20"/>
        <v>0</v>
      </c>
      <c r="F193" s="1450">
        <f t="shared" si="20"/>
        <v>0</v>
      </c>
      <c r="G193" s="1450">
        <f t="shared" si="20"/>
        <v>0</v>
      </c>
      <c r="H193" s="1450">
        <f t="shared" si="20"/>
        <v>0</v>
      </c>
      <c r="I193" s="1450">
        <f t="shared" si="20"/>
        <v>0</v>
      </c>
    </row>
    <row r="194" spans="1:10">
      <c r="A194" s="810">
        <v>4</v>
      </c>
      <c r="B194" s="162">
        <v>127</v>
      </c>
      <c r="C194" s="760" t="s">
        <v>1656</v>
      </c>
      <c r="D194" s="1449"/>
      <c r="E194" s="1455"/>
      <c r="F194" s="1455"/>
      <c r="G194" s="1455"/>
      <c r="H194" s="1455"/>
      <c r="I194" s="1455"/>
    </row>
    <row r="195" spans="1:10">
      <c r="A195" s="810">
        <v>5</v>
      </c>
      <c r="B195" s="162">
        <v>128</v>
      </c>
      <c r="C195" s="760" t="s">
        <v>1659</v>
      </c>
      <c r="D195" s="1449"/>
      <c r="E195" s="1455"/>
      <c r="F195" s="1455"/>
      <c r="G195" s="1455"/>
      <c r="H195" s="1455"/>
      <c r="I195" s="1455"/>
    </row>
    <row r="196" spans="1:10">
      <c r="A196" s="810">
        <v>6</v>
      </c>
      <c r="B196" s="162">
        <v>129</v>
      </c>
      <c r="C196" s="760" t="s">
        <v>1661</v>
      </c>
      <c r="D196" s="1450">
        <f t="shared" ref="D196:I196" si="21">D194+D195</f>
        <v>0</v>
      </c>
      <c r="E196" s="1450">
        <f t="shared" si="21"/>
        <v>0</v>
      </c>
      <c r="F196" s="1450">
        <f t="shared" si="21"/>
        <v>0</v>
      </c>
      <c r="G196" s="1450">
        <f t="shared" si="21"/>
        <v>0</v>
      </c>
      <c r="H196" s="1450">
        <f t="shared" si="21"/>
        <v>0</v>
      </c>
      <c r="I196" s="1450">
        <f t="shared" si="21"/>
        <v>0</v>
      </c>
    </row>
    <row r="197" spans="1:10">
      <c r="A197" s="810">
        <v>7</v>
      </c>
      <c r="B197" s="162">
        <v>130</v>
      </c>
      <c r="C197" s="760" t="s">
        <v>2901</v>
      </c>
      <c r="D197" s="1450">
        <f t="shared" ref="D197:I197" si="22">D193-D196</f>
        <v>0</v>
      </c>
      <c r="E197" s="1450">
        <f t="shared" si="22"/>
        <v>0</v>
      </c>
      <c r="F197" s="1450">
        <f t="shared" si="22"/>
        <v>0</v>
      </c>
      <c r="G197" s="1450">
        <f t="shared" si="22"/>
        <v>0</v>
      </c>
      <c r="H197" s="1450">
        <f t="shared" si="22"/>
        <v>0</v>
      </c>
      <c r="I197" s="1450">
        <f t="shared" si="22"/>
        <v>0</v>
      </c>
    </row>
    <row r="198" spans="1:10">
      <c r="A198" s="810">
        <v>8</v>
      </c>
      <c r="B198" s="162">
        <v>131</v>
      </c>
      <c r="C198" s="760" t="s">
        <v>2873</v>
      </c>
      <c r="D198" s="1449"/>
      <c r="E198" s="1455"/>
      <c r="F198" s="1455"/>
      <c r="G198" s="1455"/>
      <c r="H198" s="1455"/>
      <c r="I198" s="1455"/>
      <c r="J198" s="344" t="s">
        <v>2874</v>
      </c>
    </row>
    <row r="199" spans="1:10">
      <c r="A199" s="810">
        <v>9</v>
      </c>
      <c r="B199" s="162">
        <v>132</v>
      </c>
      <c r="C199" s="760" t="s">
        <v>2875</v>
      </c>
      <c r="D199" s="1449"/>
      <c r="E199" s="1455"/>
      <c r="F199" s="1455"/>
      <c r="G199" s="1455"/>
      <c r="H199" s="1455"/>
      <c r="I199" s="1455"/>
    </row>
    <row r="200" spans="1:10">
      <c r="A200" s="810">
        <v>10</v>
      </c>
      <c r="B200" s="162">
        <v>133</v>
      </c>
      <c r="C200" s="760" t="s">
        <v>2895</v>
      </c>
      <c r="D200" s="1449"/>
      <c r="E200" s="1455"/>
      <c r="F200" s="1455"/>
      <c r="G200" s="1455"/>
      <c r="H200" s="1455"/>
      <c r="I200" s="1455"/>
      <c r="J200" s="344" t="s">
        <v>2877</v>
      </c>
    </row>
    <row r="201" spans="1:10">
      <c r="A201" s="810">
        <v>11</v>
      </c>
      <c r="B201" s="162">
        <v>134</v>
      </c>
      <c r="C201" s="760" t="s">
        <v>2878</v>
      </c>
      <c r="D201" s="1449"/>
      <c r="E201" s="1455"/>
      <c r="F201" s="1455"/>
      <c r="G201" s="1455"/>
      <c r="H201" s="1455"/>
      <c r="I201" s="1455"/>
    </row>
    <row r="202" spans="1:10">
      <c r="A202" s="810">
        <v>12</v>
      </c>
      <c r="B202" s="162">
        <v>135</v>
      </c>
      <c r="C202" s="760" t="s">
        <v>2089</v>
      </c>
      <c r="D202" s="1449"/>
      <c r="E202" s="1455"/>
      <c r="F202" s="1455"/>
      <c r="G202" s="1455"/>
      <c r="H202" s="1455"/>
      <c r="I202" s="1455"/>
    </row>
    <row r="203" spans="1:10">
      <c r="A203" s="810">
        <v>13</v>
      </c>
      <c r="B203" s="162">
        <v>136</v>
      </c>
      <c r="C203" s="760" t="s">
        <v>2902</v>
      </c>
      <c r="D203" s="1451"/>
      <c r="E203" s="1455"/>
      <c r="F203" s="1455"/>
      <c r="G203" s="1455"/>
      <c r="H203" s="1455"/>
      <c r="I203" s="1455"/>
    </row>
    <row r="204" spans="1:10">
      <c r="A204" s="810">
        <v>14</v>
      </c>
      <c r="B204" s="162">
        <v>137</v>
      </c>
      <c r="C204" s="760" t="s">
        <v>2879</v>
      </c>
      <c r="D204" s="1451"/>
      <c r="E204" s="1455"/>
      <c r="F204" s="1455"/>
      <c r="G204" s="1455"/>
      <c r="H204" s="1455"/>
      <c r="I204" s="1455"/>
    </row>
    <row r="205" spans="1:10">
      <c r="A205" s="810">
        <v>15</v>
      </c>
      <c r="B205" s="162">
        <v>138</v>
      </c>
      <c r="C205" s="760" t="s">
        <v>2889</v>
      </c>
      <c r="D205" s="1451"/>
      <c r="E205" s="1455"/>
      <c r="F205" s="1455"/>
      <c r="G205" s="1455"/>
      <c r="H205" s="1455"/>
      <c r="I205" s="1455"/>
    </row>
    <row r="206" spans="1:10">
      <c r="A206" s="810">
        <v>16</v>
      </c>
      <c r="B206" s="162">
        <v>139</v>
      </c>
      <c r="C206" s="760" t="s">
        <v>1667</v>
      </c>
      <c r="D206" s="1451"/>
      <c r="E206" s="1455"/>
      <c r="F206" s="1455"/>
      <c r="G206" s="1455"/>
      <c r="H206" s="1455"/>
      <c r="I206" s="1455"/>
    </row>
    <row r="207" spans="1:10">
      <c r="A207" s="810">
        <v>17</v>
      </c>
      <c r="B207" s="162">
        <v>140</v>
      </c>
      <c r="C207" s="760" t="s">
        <v>2880</v>
      </c>
      <c r="D207" s="1450">
        <f t="shared" ref="D207:I207" si="23">D205+D206</f>
        <v>0</v>
      </c>
      <c r="E207" s="1450">
        <f t="shared" si="23"/>
        <v>0</v>
      </c>
      <c r="F207" s="1450">
        <f t="shared" si="23"/>
        <v>0</v>
      </c>
      <c r="G207" s="1450">
        <f t="shared" si="23"/>
        <v>0</v>
      </c>
      <c r="H207" s="1450">
        <f t="shared" si="23"/>
        <v>0</v>
      </c>
      <c r="I207" s="1450">
        <f t="shared" si="23"/>
        <v>0</v>
      </c>
    </row>
    <row r="208" spans="1:10">
      <c r="A208" s="810">
        <v>18</v>
      </c>
      <c r="B208" s="162">
        <v>141</v>
      </c>
      <c r="C208" s="760" t="s">
        <v>2898</v>
      </c>
      <c r="D208" s="1449"/>
      <c r="E208" s="1455"/>
      <c r="F208" s="1455"/>
      <c r="G208" s="1455"/>
      <c r="H208" s="1455"/>
      <c r="I208" s="1455"/>
    </row>
    <row r="209" spans="3:9">
      <c r="C209" s="949" t="s">
        <v>2882</v>
      </c>
      <c r="D209" s="950"/>
      <c r="E209" s="945"/>
      <c r="F209" s="945"/>
      <c r="G209" s="945"/>
      <c r="H209" s="945"/>
      <c r="I209" s="945"/>
    </row>
    <row r="210" spans="3:9">
      <c r="C210" s="949"/>
      <c r="D210" s="950"/>
      <c r="E210" s="945"/>
      <c r="F210" s="945"/>
      <c r="G210" s="945"/>
      <c r="H210" s="945"/>
      <c r="I210" s="945"/>
    </row>
    <row r="211" spans="3:9">
      <c r="C211" s="944" t="s">
        <v>2903</v>
      </c>
    </row>
    <row r="212" spans="3:9">
      <c r="C212" s="881" t="s">
        <v>2884</v>
      </c>
      <c r="D212" s="881" t="s">
        <v>2893</v>
      </c>
      <c r="E212" s="881" t="s">
        <v>2885</v>
      </c>
      <c r="F212" s="945"/>
      <c r="G212" s="945"/>
      <c r="H212" s="945"/>
      <c r="I212" s="945"/>
    </row>
    <row r="213" spans="3:9">
      <c r="C213" s="951" t="s">
        <v>2904</v>
      </c>
      <c r="D213" s="1449"/>
      <c r="E213" s="1455"/>
      <c r="F213" s="945"/>
      <c r="G213" s="945"/>
      <c r="H213" s="945"/>
      <c r="I213" s="945"/>
    </row>
    <row r="214" spans="3:9">
      <c r="C214" s="760" t="s">
        <v>2905</v>
      </c>
      <c r="D214" s="1449"/>
      <c r="E214" s="1455"/>
      <c r="F214" s="945"/>
      <c r="G214" s="888" t="s">
        <v>2551</v>
      </c>
      <c r="H214" s="406">
        <f>D214+SUM(D134:I134)-G5</f>
        <v>0</v>
      </c>
      <c r="I214" s="406">
        <f>E214+SUM(D156:I156)-D5</f>
        <v>0</v>
      </c>
    </row>
    <row r="215" spans="3:9">
      <c r="C215" s="760" t="s">
        <v>2906</v>
      </c>
      <c r="D215" s="1449"/>
      <c r="E215" s="1455"/>
      <c r="F215" s="945"/>
      <c r="G215" s="945"/>
      <c r="H215" s="945"/>
      <c r="I215" s="945"/>
    </row>
    <row r="216" spans="3:9">
      <c r="C216" s="760" t="s">
        <v>2907</v>
      </c>
      <c r="D216" s="1449"/>
      <c r="E216" s="1455"/>
      <c r="F216" s="945"/>
      <c r="G216" s="945"/>
      <c r="H216" s="945"/>
      <c r="I216" s="945"/>
    </row>
    <row r="217" spans="3:9">
      <c r="C217" s="760" t="s">
        <v>1667</v>
      </c>
      <c r="D217" s="1449"/>
      <c r="E217" s="1455"/>
      <c r="F217" s="945"/>
      <c r="G217" s="945"/>
      <c r="H217" s="945"/>
      <c r="I217" s="945"/>
    </row>
    <row r="218" spans="3:9">
      <c r="C218" s="760" t="s">
        <v>2880</v>
      </c>
      <c r="D218" s="1450">
        <f>D216+D217</f>
        <v>0</v>
      </c>
      <c r="E218" s="1450">
        <f>E216+E217</f>
        <v>0</v>
      </c>
      <c r="F218" s="945"/>
      <c r="G218" s="945"/>
      <c r="H218" s="945"/>
      <c r="I218" s="945"/>
    </row>
    <row r="219" spans="3:9">
      <c r="C219" s="951" t="s">
        <v>2908</v>
      </c>
      <c r="D219" s="1449"/>
      <c r="E219" s="1455"/>
      <c r="F219" s="945"/>
      <c r="G219" s="945"/>
      <c r="H219" s="945"/>
      <c r="I219" s="945"/>
    </row>
    <row r="220" spans="3:9">
      <c r="C220" s="760" t="s">
        <v>2909</v>
      </c>
      <c r="D220" s="1449"/>
      <c r="E220" s="1455"/>
      <c r="F220" s="945"/>
      <c r="G220" s="888" t="s">
        <v>2551</v>
      </c>
      <c r="H220" s="406">
        <f>D220+SUM(D178:I178)-G6</f>
        <v>0</v>
      </c>
      <c r="I220" s="406">
        <f>E220+SUM(D200:I200)-D6</f>
        <v>0</v>
      </c>
    </row>
    <row r="221" spans="3:9">
      <c r="C221" s="760" t="s">
        <v>2906</v>
      </c>
      <c r="D221" s="1449"/>
      <c r="E221" s="1455"/>
      <c r="F221" s="945"/>
      <c r="G221" s="945"/>
      <c r="H221" s="945"/>
      <c r="I221" s="945"/>
    </row>
    <row r="222" spans="3:9">
      <c r="C222" s="760" t="s">
        <v>2098</v>
      </c>
      <c r="D222" s="1449"/>
      <c r="E222" s="1455"/>
      <c r="F222" s="945"/>
      <c r="G222" s="945"/>
      <c r="H222" s="945"/>
      <c r="I222" s="945"/>
    </row>
    <row r="223" spans="3:9">
      <c r="C223" s="760" t="s">
        <v>1667</v>
      </c>
      <c r="D223" s="1449"/>
      <c r="E223" s="1455"/>
      <c r="F223" s="945"/>
      <c r="G223" s="945"/>
      <c r="H223" s="945"/>
      <c r="I223" s="945"/>
    </row>
    <row r="224" spans="3:9">
      <c r="C224" s="760" t="s">
        <v>2880</v>
      </c>
      <c r="D224" s="1450">
        <f>D222+D223</f>
        <v>0</v>
      </c>
      <c r="E224" s="1450">
        <f>E222+E223</f>
        <v>0</v>
      </c>
      <c r="F224" s="945"/>
      <c r="G224" s="945"/>
      <c r="H224" s="945"/>
      <c r="I224" s="945"/>
    </row>
    <row r="225" spans="1:5">
      <c r="A225" s="811" t="str">
        <f>HYPERLINK("#C1","置顶")</f>
        <v>置顶</v>
      </c>
      <c r="B225" s="162">
        <v>146</v>
      </c>
    </row>
    <row r="226" spans="1:5">
      <c r="B226" s="162">
        <v>147</v>
      </c>
      <c r="C226" s="944" t="s">
        <v>2910</v>
      </c>
    </row>
    <row r="227" spans="1:5">
      <c r="A227" s="809"/>
      <c r="B227" s="162">
        <v>148</v>
      </c>
      <c r="C227" s="395"/>
      <c r="D227" s="395"/>
      <c r="E227" s="395"/>
    </row>
    <row r="228" spans="1:5" ht="24">
      <c r="B228" s="162">
        <v>149</v>
      </c>
      <c r="C228" s="952" t="s">
        <v>2911</v>
      </c>
      <c r="D228" s="952"/>
      <c r="E228" s="835"/>
    </row>
    <row r="229" spans="1:5">
      <c r="B229" s="162">
        <v>150</v>
      </c>
      <c r="C229" s="952"/>
      <c r="D229" s="952"/>
      <c r="E229" s="835"/>
    </row>
    <row r="230" spans="1:5">
      <c r="B230" s="162">
        <v>157</v>
      </c>
    </row>
    <row r="231" spans="1:5">
      <c r="A231" s="813"/>
      <c r="B231" s="162">
        <v>158</v>
      </c>
      <c r="C231" s="881"/>
      <c r="D231" s="881" t="s">
        <v>2912</v>
      </c>
      <c r="E231" s="881" t="s">
        <v>2592</v>
      </c>
    </row>
    <row r="232" spans="1:5">
      <c r="B232" s="162">
        <v>159</v>
      </c>
      <c r="C232" s="881" t="s">
        <v>1319</v>
      </c>
      <c r="D232" s="406">
        <f>审定资产负债表!C33</f>
        <v>0</v>
      </c>
      <c r="E232" s="406">
        <f>审定资产负债表!D33</f>
        <v>0</v>
      </c>
    </row>
    <row r="233" spans="1:5">
      <c r="A233" s="957"/>
      <c r="B233" s="162">
        <v>160</v>
      </c>
      <c r="C233" s="881" t="s">
        <v>1320</v>
      </c>
      <c r="D233" s="406">
        <f>G9-D232</f>
        <v>0</v>
      </c>
      <c r="E233" s="406">
        <f>D9-E232</f>
        <v>0</v>
      </c>
    </row>
    <row r="234" spans="1:5">
      <c r="B234" s="162">
        <v>161</v>
      </c>
    </row>
    <row r="235" spans="1:5">
      <c r="A235" s="811" t="str">
        <f>HYPERLINK("#C1","置顶")</f>
        <v>置顶</v>
      </c>
      <c r="B235" s="162">
        <v>162</v>
      </c>
      <c r="C235" s="881"/>
      <c r="D235" s="881" t="s">
        <v>2591</v>
      </c>
      <c r="E235" s="881" t="s">
        <v>2913</v>
      </c>
    </row>
    <row r="236" spans="1:5">
      <c r="A236" s="809" t="s">
        <v>2586</v>
      </c>
      <c r="B236" s="162">
        <v>163</v>
      </c>
      <c r="C236" s="953" t="s">
        <v>2914</v>
      </c>
      <c r="D236" s="406">
        <f>审定资产减值准备情况表!L11</f>
        <v>0</v>
      </c>
      <c r="E236" s="406">
        <f>审定资产减值准备情况表!B11</f>
        <v>0</v>
      </c>
    </row>
    <row r="237" spans="1:5">
      <c r="B237" s="162">
        <v>164</v>
      </c>
      <c r="C237" s="953" t="s">
        <v>2915</v>
      </c>
      <c r="D237" s="406">
        <f>D236-G8</f>
        <v>0</v>
      </c>
      <c r="E237" s="406">
        <f>E236-D8</f>
        <v>0</v>
      </c>
    </row>
    <row r="238" spans="1:5">
      <c r="B238" s="162">
        <v>165</v>
      </c>
    </row>
    <row r="239" spans="1:5">
      <c r="A239" s="809" t="s">
        <v>2260</v>
      </c>
      <c r="B239" s="162">
        <v>166</v>
      </c>
    </row>
    <row r="240" spans="1:5" ht="18" customHeight="1">
      <c r="B240" s="162">
        <v>167</v>
      </c>
      <c r="C240" s="944" t="s">
        <v>2841</v>
      </c>
    </row>
    <row r="241" spans="1:8">
      <c r="B241" s="162">
        <v>168</v>
      </c>
      <c r="C241" s="1824" t="s">
        <v>2916</v>
      </c>
      <c r="D241" s="1824" t="s">
        <v>978</v>
      </c>
      <c r="E241" s="1824" t="s">
        <v>2917</v>
      </c>
      <c r="F241" s="1824" t="s">
        <v>2918</v>
      </c>
      <c r="G241" s="1824"/>
      <c r="H241" s="1824" t="s">
        <v>2810</v>
      </c>
    </row>
    <row r="242" spans="1:8">
      <c r="B242" s="162">
        <v>169</v>
      </c>
      <c r="C242" s="1824"/>
      <c r="D242" s="1824"/>
      <c r="E242" s="1824"/>
      <c r="F242" s="881" t="s">
        <v>2919</v>
      </c>
      <c r="G242" s="889" t="s">
        <v>2920</v>
      </c>
      <c r="H242" s="1824"/>
    </row>
    <row r="243" spans="1:8">
      <c r="A243" s="810">
        <v>1</v>
      </c>
      <c r="B243" s="162">
        <v>170</v>
      </c>
      <c r="C243" s="821"/>
      <c r="D243" s="1470"/>
      <c r="E243" s="1470"/>
      <c r="F243" s="1470"/>
      <c r="G243" s="1471"/>
      <c r="H243" s="406">
        <f>D243+E243-F243</f>
        <v>0</v>
      </c>
    </row>
    <row r="244" spans="1:8">
      <c r="A244" s="810">
        <v>2</v>
      </c>
      <c r="B244" s="162">
        <v>171</v>
      </c>
      <c r="C244" s="821"/>
      <c r="D244" s="1470"/>
      <c r="E244" s="1470"/>
      <c r="F244" s="1470"/>
      <c r="G244" s="1471"/>
      <c r="H244" s="406">
        <f t="shared" ref="H244:H258" si="24">D244+E244-F244</f>
        <v>0</v>
      </c>
    </row>
    <row r="245" spans="1:8">
      <c r="A245" s="810">
        <v>3</v>
      </c>
      <c r="B245" s="162">
        <v>172</v>
      </c>
      <c r="C245" s="821"/>
      <c r="D245" s="1470"/>
      <c r="E245" s="1470"/>
      <c r="F245" s="1470"/>
      <c r="G245" s="1471"/>
      <c r="H245" s="406">
        <f t="shared" si="24"/>
        <v>0</v>
      </c>
    </row>
    <row r="246" spans="1:8">
      <c r="A246" s="810">
        <v>4</v>
      </c>
      <c r="B246" s="162">
        <v>173</v>
      </c>
      <c r="C246" s="821"/>
      <c r="D246" s="1470"/>
      <c r="E246" s="1470"/>
      <c r="F246" s="1470"/>
      <c r="G246" s="1471"/>
      <c r="H246" s="406">
        <f t="shared" si="24"/>
        <v>0</v>
      </c>
    </row>
    <row r="247" spans="1:8">
      <c r="A247" s="810">
        <v>5</v>
      </c>
      <c r="B247" s="162">
        <v>174</v>
      </c>
      <c r="C247" s="821"/>
      <c r="D247" s="1470"/>
      <c r="E247" s="1470"/>
      <c r="F247" s="1470"/>
      <c r="G247" s="1471"/>
      <c r="H247" s="406">
        <f t="shared" si="24"/>
        <v>0</v>
      </c>
    </row>
    <row r="248" spans="1:8">
      <c r="A248" s="810">
        <v>6</v>
      </c>
      <c r="B248" s="162">
        <v>175</v>
      </c>
      <c r="C248" s="821"/>
      <c r="D248" s="1470"/>
      <c r="E248" s="1470"/>
      <c r="F248" s="1470"/>
      <c r="G248" s="1471"/>
      <c r="H248" s="406">
        <f t="shared" si="24"/>
        <v>0</v>
      </c>
    </row>
    <row r="249" spans="1:8">
      <c r="A249" s="810">
        <v>7</v>
      </c>
      <c r="B249" s="162">
        <v>176</v>
      </c>
      <c r="C249" s="821"/>
      <c r="D249" s="1470"/>
      <c r="E249" s="1470"/>
      <c r="F249" s="1470"/>
      <c r="G249" s="1471"/>
      <c r="H249" s="406">
        <f t="shared" si="24"/>
        <v>0</v>
      </c>
    </row>
    <row r="250" spans="1:8">
      <c r="A250" s="810">
        <v>8</v>
      </c>
      <c r="B250" s="162">
        <v>177</v>
      </c>
      <c r="C250" s="821"/>
      <c r="D250" s="1470"/>
      <c r="E250" s="1470"/>
      <c r="F250" s="1470"/>
      <c r="G250" s="1471"/>
      <c r="H250" s="406">
        <f t="shared" si="24"/>
        <v>0</v>
      </c>
    </row>
    <row r="251" spans="1:8">
      <c r="A251" s="810">
        <v>9</v>
      </c>
      <c r="B251" s="162">
        <v>178</v>
      </c>
      <c r="C251" s="821"/>
      <c r="D251" s="1470"/>
      <c r="E251" s="1470"/>
      <c r="F251" s="1470"/>
      <c r="G251" s="1471"/>
      <c r="H251" s="406">
        <f t="shared" si="24"/>
        <v>0</v>
      </c>
    </row>
    <row r="252" spans="1:8">
      <c r="A252" s="810">
        <v>10</v>
      </c>
      <c r="B252" s="162">
        <v>179</v>
      </c>
      <c r="C252" s="821"/>
      <c r="D252" s="1470"/>
      <c r="E252" s="1470"/>
      <c r="F252" s="1470"/>
      <c r="G252" s="1471"/>
      <c r="H252" s="406">
        <f t="shared" si="24"/>
        <v>0</v>
      </c>
    </row>
    <row r="253" spans="1:8">
      <c r="A253" s="810">
        <v>11</v>
      </c>
      <c r="B253" s="162">
        <v>180</v>
      </c>
      <c r="C253" s="821"/>
      <c r="D253" s="1470"/>
      <c r="E253" s="1470"/>
      <c r="F253" s="1470"/>
      <c r="G253" s="1471"/>
      <c r="H253" s="406">
        <f t="shared" si="24"/>
        <v>0</v>
      </c>
    </row>
    <row r="254" spans="1:8" ht="16.5" customHeight="1">
      <c r="A254" s="810">
        <v>12</v>
      </c>
      <c r="B254" s="162">
        <v>181</v>
      </c>
      <c r="C254" s="821"/>
      <c r="D254" s="1470"/>
      <c r="E254" s="1470"/>
      <c r="F254" s="1470"/>
      <c r="G254" s="1471"/>
      <c r="H254" s="406">
        <f t="shared" si="24"/>
        <v>0</v>
      </c>
    </row>
    <row r="255" spans="1:8">
      <c r="A255" s="810">
        <v>13</v>
      </c>
      <c r="B255" s="162">
        <v>182</v>
      </c>
      <c r="C255" s="821"/>
      <c r="D255" s="1470"/>
      <c r="E255" s="1470"/>
      <c r="F255" s="1470"/>
      <c r="G255" s="1471"/>
      <c r="H255" s="406">
        <f t="shared" si="24"/>
        <v>0</v>
      </c>
    </row>
    <row r="256" spans="1:8">
      <c r="A256" s="810">
        <v>14</v>
      </c>
      <c r="B256" s="162">
        <v>183</v>
      </c>
      <c r="C256" s="821"/>
      <c r="D256" s="1470"/>
      <c r="E256" s="1470"/>
      <c r="F256" s="1470"/>
      <c r="G256" s="1471"/>
      <c r="H256" s="406">
        <f t="shared" si="24"/>
        <v>0</v>
      </c>
    </row>
    <row r="257" spans="1:8">
      <c r="A257" s="810">
        <v>15</v>
      </c>
      <c r="B257" s="162">
        <v>184</v>
      </c>
      <c r="C257" s="821"/>
      <c r="D257" s="1470"/>
      <c r="E257" s="1470"/>
      <c r="F257" s="1470"/>
      <c r="G257" s="1471"/>
      <c r="H257" s="406">
        <f t="shared" si="24"/>
        <v>0</v>
      </c>
    </row>
    <row r="258" spans="1:8">
      <c r="B258" s="162">
        <v>185</v>
      </c>
      <c r="C258" s="881" t="s">
        <v>823</v>
      </c>
      <c r="D258" s="406">
        <f>SUM(D243:D257)</f>
        <v>0</v>
      </c>
      <c r="E258" s="406">
        <f>SUM(E243:E257)</f>
        <v>0</v>
      </c>
      <c r="F258" s="406">
        <f>SUM(F243:F257)</f>
        <v>0</v>
      </c>
      <c r="G258" s="400"/>
      <c r="H258" s="406">
        <f t="shared" si="24"/>
        <v>0</v>
      </c>
    </row>
    <row r="259" spans="1:8">
      <c r="B259" s="162">
        <v>186</v>
      </c>
    </row>
    <row r="260" spans="1:8">
      <c r="A260" s="811" t="str">
        <f>HYPERLINK("#C1","置顶")</f>
        <v>置顶</v>
      </c>
      <c r="B260" s="162">
        <v>187</v>
      </c>
    </row>
    <row r="261" spans="1:8">
      <c r="A261" s="957"/>
      <c r="B261" s="162">
        <v>188</v>
      </c>
      <c r="C261" s="955" t="s">
        <v>2921</v>
      </c>
      <c r="D261" s="956">
        <f>D258-D8</f>
        <v>0</v>
      </c>
      <c r="E261" s="956">
        <f>E258-E8</f>
        <v>0</v>
      </c>
      <c r="F261" s="956">
        <f>F258-F8</f>
        <v>0</v>
      </c>
      <c r="G261" s="955"/>
      <c r="H261" s="956">
        <f>H258-G8</f>
        <v>0</v>
      </c>
    </row>
    <row r="262" spans="1:8">
      <c r="B262" s="162">
        <v>189</v>
      </c>
      <c r="C262" s="955" t="s">
        <v>2922</v>
      </c>
      <c r="D262" s="956">
        <f>H258-F70</f>
        <v>0</v>
      </c>
    </row>
    <row r="263" spans="1:8">
      <c r="B263" s="162">
        <v>190</v>
      </c>
      <c r="C263" s="1286" t="s">
        <v>4456</v>
      </c>
      <c r="D263" s="956">
        <f>D4-E18</f>
        <v>0</v>
      </c>
      <c r="E263" s="956">
        <f>G4-H71</f>
        <v>0</v>
      </c>
      <c r="F263" s="345"/>
    </row>
    <row r="264" spans="1:8">
      <c r="A264" s="809" t="s">
        <v>2260</v>
      </c>
      <c r="B264" s="162">
        <v>191</v>
      </c>
      <c r="C264" s="1286" t="s">
        <v>4457</v>
      </c>
      <c r="D264" s="956">
        <f>D5-E49</f>
        <v>0</v>
      </c>
      <c r="E264" s="956">
        <f>G5-H102</f>
        <v>0</v>
      </c>
    </row>
    <row r="265" spans="1:8">
      <c r="B265" s="162">
        <v>192</v>
      </c>
      <c r="C265" s="1286" t="s">
        <v>4458</v>
      </c>
      <c r="D265" s="956">
        <f>D6-E58</f>
        <v>0</v>
      </c>
      <c r="E265" s="956">
        <f>G6-H111</f>
        <v>0</v>
      </c>
    </row>
    <row r="266" spans="1:8">
      <c r="A266" s="809"/>
    </row>
  </sheetData>
  <sheetProtection formatCells="0" formatColumns="0" formatRows="0" autoFilter="0"/>
  <mergeCells count="13">
    <mergeCell ref="C241:C242"/>
    <mergeCell ref="D241:D242"/>
    <mergeCell ref="E241:E242"/>
    <mergeCell ref="F241:G241"/>
    <mergeCell ref="H241:H242"/>
    <mergeCell ref="C189:C190"/>
    <mergeCell ref="D189:I189"/>
    <mergeCell ref="C167:C168"/>
    <mergeCell ref="D167:I167"/>
    <mergeCell ref="D123:I123"/>
    <mergeCell ref="C123:C124"/>
    <mergeCell ref="C145:C146"/>
    <mergeCell ref="D145:I145"/>
  </mergeCells>
  <phoneticPr fontId="5" type="noConversion"/>
  <hyperlinks>
    <hyperlink ref="A1" location="附注填写封面!B3" display="返回目录" xr:uid="{00000000-0004-0000-2400-000000000000}"/>
    <hyperlink ref="A16" location="附注填写封面!B3" display="返回目录" xr:uid="{00000000-0004-0000-2400-000001000000}"/>
    <hyperlink ref="A8" location="审定资产减值准备情况表!B5" display="返回减值准备表" xr:uid="{00000000-0004-0000-2400-000002000000}"/>
    <hyperlink ref="A13" location="附注填写封面!B3" display="返回目录" xr:uid="{00000000-0004-0000-2400-000003000000}"/>
    <hyperlink ref="A236" location="审定资产减值准备情况表!B5" display="返回减值准备表" xr:uid="{00000000-0004-0000-2400-000004000000}"/>
    <hyperlink ref="A239" location="附注填写封面!B3" display="返回目录" xr:uid="{00000000-0004-0000-2400-000005000000}"/>
    <hyperlink ref="A264" location="附注填写封面!B3" display="返回目录" xr:uid="{00000000-0004-0000-2400-000006000000}"/>
    <hyperlink ref="A124" location="附注填写封面!B3" display="返回目录" xr:uid="{00000000-0004-0000-2400-000007000000}"/>
    <hyperlink ref="A70" location="附注填写封面!B3" display="返回目录" xr:uid="{00000000-0004-0000-2400-000008000000}"/>
    <hyperlink ref="A146" location="附注填写封面!B3" display="返回目录" xr:uid="{00000000-0004-0000-2400-000009000000}"/>
    <hyperlink ref="A168" location="附注填写封面!B3" display="返回目录" xr:uid="{00000000-0004-0000-2400-00000A000000}"/>
    <hyperlink ref="A190" location="附注填写封面!B3" display="返回目录" xr:uid="{00000000-0004-0000-2400-00000B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4"/>
  <dimension ref="A1:J44"/>
  <sheetViews>
    <sheetView showGridLines="0" showZeros="0" workbookViewId="0"/>
  </sheetViews>
  <sheetFormatPr defaultColWidth="11.625" defaultRowHeight="12.75"/>
  <cols>
    <col min="1" max="1" width="10.125" style="810" customWidth="1"/>
    <col min="2" max="2" width="5.375" style="162" hidden="1" customWidth="1"/>
    <col min="3" max="3" width="35.875" style="344" customWidth="1"/>
    <col min="4" max="16384" width="11.625" style="344"/>
  </cols>
  <sheetData>
    <row r="1" spans="1:7" ht="29.25" customHeight="1">
      <c r="A1" s="957" t="s">
        <v>2260</v>
      </c>
      <c r="B1" s="343" t="s">
        <v>1446</v>
      </c>
      <c r="C1" s="759" t="s">
        <v>2942</v>
      </c>
    </row>
    <row r="2" spans="1:7" ht="21" customHeight="1">
      <c r="B2" s="162">
        <v>2</v>
      </c>
      <c r="C2" s="781" t="s">
        <v>2943</v>
      </c>
    </row>
    <row r="3" spans="1:7">
      <c r="B3" s="162">
        <v>3</v>
      </c>
      <c r="C3" s="881" t="s">
        <v>890</v>
      </c>
      <c r="D3" s="881" t="s">
        <v>774</v>
      </c>
      <c r="E3" s="881" t="s">
        <v>2740</v>
      </c>
      <c r="F3" s="881" t="s">
        <v>2741</v>
      </c>
      <c r="G3" s="881" t="s">
        <v>2535</v>
      </c>
    </row>
    <row r="4" spans="1:7">
      <c r="B4" s="162">
        <v>4</v>
      </c>
      <c r="C4" s="821" t="s">
        <v>907</v>
      </c>
      <c r="D4" s="961">
        <f>SUM(D5:D6)</f>
        <v>0</v>
      </c>
      <c r="E4" s="961">
        <f>SUM(E5:E6)</f>
        <v>0</v>
      </c>
      <c r="F4" s="961">
        <f>SUM(F5:F6)</f>
        <v>0</v>
      </c>
      <c r="G4" s="961">
        <f>SUM(G5:G6)</f>
        <v>0</v>
      </c>
    </row>
    <row r="5" spans="1:7">
      <c r="B5" s="162">
        <v>5</v>
      </c>
      <c r="C5" s="760" t="s">
        <v>908</v>
      </c>
      <c r="D5" s="761"/>
      <c r="E5" s="761"/>
      <c r="F5" s="761"/>
      <c r="G5" s="961">
        <f>D5+E5-F5</f>
        <v>0</v>
      </c>
    </row>
    <row r="6" spans="1:7">
      <c r="B6" s="162">
        <v>6</v>
      </c>
      <c r="C6" s="760" t="s">
        <v>909</v>
      </c>
      <c r="D6" s="761"/>
      <c r="E6" s="761"/>
      <c r="F6" s="761"/>
      <c r="G6" s="961">
        <f>D6+E6-F6</f>
        <v>0</v>
      </c>
    </row>
    <row r="7" spans="1:7">
      <c r="B7" s="162">
        <v>7</v>
      </c>
      <c r="C7" s="821" t="s">
        <v>2928</v>
      </c>
      <c r="D7" s="961">
        <f>SUM(D8:D9)</f>
        <v>0</v>
      </c>
      <c r="E7" s="961">
        <f>SUM(E8:E9)</f>
        <v>0</v>
      </c>
      <c r="F7" s="961">
        <f>SUM(F8:F9)</f>
        <v>0</v>
      </c>
      <c r="G7" s="961">
        <f>SUM(G8:G9)</f>
        <v>0</v>
      </c>
    </row>
    <row r="8" spans="1:7">
      <c r="B8" s="162">
        <v>8</v>
      </c>
      <c r="C8" s="760" t="s">
        <v>2944</v>
      </c>
      <c r="D8" s="761"/>
      <c r="E8" s="761"/>
      <c r="F8" s="761"/>
      <c r="G8" s="961">
        <f>D8+E8-F8</f>
        <v>0</v>
      </c>
    </row>
    <row r="9" spans="1:7">
      <c r="A9" s="809" t="s">
        <v>2945</v>
      </c>
      <c r="B9" s="162">
        <v>9</v>
      </c>
      <c r="C9" s="760" t="s">
        <v>909</v>
      </c>
      <c r="D9" s="761"/>
      <c r="E9" s="761"/>
      <c r="F9" s="761"/>
      <c r="G9" s="961">
        <f>D9+E9-F9</f>
        <v>0</v>
      </c>
    </row>
    <row r="10" spans="1:7">
      <c r="B10" s="162">
        <v>10</v>
      </c>
      <c r="C10" s="821" t="s">
        <v>911</v>
      </c>
      <c r="D10" s="961">
        <f>SUM(D11:D12)</f>
        <v>0</v>
      </c>
      <c r="E10" s="761"/>
      <c r="F10" s="761"/>
      <c r="G10" s="961">
        <f>SUM(G11:G12)</f>
        <v>0</v>
      </c>
    </row>
    <row r="11" spans="1:7">
      <c r="A11" s="957"/>
      <c r="B11" s="162">
        <v>11</v>
      </c>
      <c r="C11" s="760" t="s">
        <v>2929</v>
      </c>
      <c r="D11" s="961">
        <f>D5-D8</f>
        <v>0</v>
      </c>
      <c r="E11" s="761"/>
      <c r="F11" s="761"/>
      <c r="G11" s="961">
        <f>G5-G8</f>
        <v>0</v>
      </c>
    </row>
    <row r="12" spans="1:7">
      <c r="B12" s="162">
        <v>12</v>
      </c>
      <c r="C12" s="760" t="s">
        <v>2946</v>
      </c>
      <c r="D12" s="961">
        <f>D6-D9</f>
        <v>0</v>
      </c>
      <c r="E12" s="761"/>
      <c r="F12" s="761"/>
      <c r="G12" s="961">
        <f>G6-G9</f>
        <v>0</v>
      </c>
    </row>
    <row r="13" spans="1:7">
      <c r="A13" s="811" t="str">
        <f>HYPERLINK("#C1","置顶")</f>
        <v>置顶</v>
      </c>
      <c r="B13" s="162">
        <v>13</v>
      </c>
      <c r="C13" s="821" t="s">
        <v>912</v>
      </c>
      <c r="D13" s="961">
        <f>SUM(D14:D15)</f>
        <v>0</v>
      </c>
      <c r="E13" s="961">
        <f>SUM(E14:E15)</f>
        <v>0</v>
      </c>
      <c r="F13" s="961">
        <f>SUM(F14:F15)</f>
        <v>0</v>
      </c>
      <c r="G13" s="961">
        <f>SUM(G14:G15)</f>
        <v>0</v>
      </c>
    </row>
    <row r="14" spans="1:7">
      <c r="B14" s="162">
        <v>14</v>
      </c>
      <c r="C14" s="760" t="s">
        <v>908</v>
      </c>
      <c r="D14" s="761"/>
      <c r="E14" s="761"/>
      <c r="F14" s="761"/>
      <c r="G14" s="961">
        <f>D14+E14-F14</f>
        <v>0</v>
      </c>
    </row>
    <row r="15" spans="1:7">
      <c r="B15" s="162">
        <v>15</v>
      </c>
      <c r="C15" s="760" t="s">
        <v>909</v>
      </c>
      <c r="D15" s="761"/>
      <c r="E15" s="761"/>
      <c r="F15" s="761"/>
      <c r="G15" s="961">
        <f>D15+E15-F15</f>
        <v>0</v>
      </c>
    </row>
    <row r="16" spans="1:7">
      <c r="A16" s="809" t="s">
        <v>2260</v>
      </c>
      <c r="B16" s="162">
        <v>16</v>
      </c>
      <c r="C16" s="821" t="s">
        <v>913</v>
      </c>
      <c r="D16" s="961">
        <f>SUM(D17:D18)</f>
        <v>0</v>
      </c>
      <c r="E16" s="761"/>
      <c r="F16" s="761"/>
      <c r="G16" s="961">
        <f>SUM(G17:G18)</f>
        <v>0</v>
      </c>
    </row>
    <row r="17" spans="1:10">
      <c r="B17" s="162">
        <v>17</v>
      </c>
      <c r="C17" s="760" t="s">
        <v>2929</v>
      </c>
      <c r="D17" s="961">
        <f>D11-D14</f>
        <v>0</v>
      </c>
      <c r="E17" s="761"/>
      <c r="F17" s="761"/>
      <c r="G17" s="961">
        <f>G11-G14</f>
        <v>0</v>
      </c>
    </row>
    <row r="18" spans="1:10">
      <c r="B18" s="162">
        <v>18</v>
      </c>
      <c r="C18" s="760" t="s">
        <v>909</v>
      </c>
      <c r="D18" s="961">
        <f>D12-D15</f>
        <v>0</v>
      </c>
      <c r="E18" s="761"/>
      <c r="F18" s="761"/>
      <c r="G18" s="961">
        <f>G12-G15</f>
        <v>0</v>
      </c>
    </row>
    <row r="19" spans="1:10">
      <c r="B19" s="162">
        <v>19</v>
      </c>
    </row>
    <row r="20" spans="1:10">
      <c r="B20" s="162">
        <v>20</v>
      </c>
      <c r="C20" s="781" t="s">
        <v>2941</v>
      </c>
    </row>
    <row r="21" spans="1:10">
      <c r="B21" s="162">
        <v>21</v>
      </c>
      <c r="C21" s="1833" t="s">
        <v>2930</v>
      </c>
      <c r="D21" s="1833" t="s">
        <v>2947</v>
      </c>
      <c r="E21" s="1833" t="s">
        <v>2931</v>
      </c>
      <c r="F21" s="1833"/>
      <c r="G21" s="1833"/>
      <c r="H21" s="1833" t="s">
        <v>2932</v>
      </c>
      <c r="I21" s="1833"/>
      <c r="J21" s="1833" t="s">
        <v>2948</v>
      </c>
    </row>
    <row r="22" spans="1:10" ht="24">
      <c r="A22" s="809" t="s">
        <v>2586</v>
      </c>
      <c r="B22" s="162">
        <v>22</v>
      </c>
      <c r="C22" s="1833"/>
      <c r="D22" s="1833"/>
      <c r="E22" s="889" t="s">
        <v>2933</v>
      </c>
      <c r="F22" s="889" t="s">
        <v>2949</v>
      </c>
      <c r="G22" s="889" t="s">
        <v>2934</v>
      </c>
      <c r="H22" s="889" t="s">
        <v>2950</v>
      </c>
      <c r="I22" s="889" t="s">
        <v>2951</v>
      </c>
      <c r="J22" s="1833"/>
    </row>
    <row r="23" spans="1:10">
      <c r="B23" s="162">
        <v>23</v>
      </c>
      <c r="C23" s="821" t="s">
        <v>2935</v>
      </c>
      <c r="D23" s="406">
        <f>SUM(D24:D25)</f>
        <v>0</v>
      </c>
      <c r="E23" s="406">
        <f t="shared" ref="E23:J23" si="0">SUM(E24:E25)</f>
        <v>0</v>
      </c>
      <c r="F23" s="406">
        <f t="shared" si="0"/>
        <v>0</v>
      </c>
      <c r="G23" s="406">
        <f t="shared" si="0"/>
        <v>0</v>
      </c>
      <c r="H23" s="406">
        <f t="shared" si="0"/>
        <v>0</v>
      </c>
      <c r="I23" s="406">
        <f t="shared" si="0"/>
        <v>0</v>
      </c>
      <c r="J23" s="406">
        <f t="shared" si="0"/>
        <v>0</v>
      </c>
    </row>
    <row r="24" spans="1:10">
      <c r="A24" s="957"/>
      <c r="B24" s="162">
        <v>24</v>
      </c>
      <c r="C24" s="760" t="s">
        <v>908</v>
      </c>
      <c r="D24" s="761"/>
      <c r="E24" s="761"/>
      <c r="F24" s="761"/>
      <c r="G24" s="761"/>
      <c r="H24" s="761"/>
      <c r="I24" s="761"/>
      <c r="J24" s="406">
        <f>D24+E24+F24+G24-H24-I24</f>
        <v>0</v>
      </c>
    </row>
    <row r="25" spans="1:10">
      <c r="B25" s="162">
        <v>25</v>
      </c>
      <c r="C25" s="760" t="s">
        <v>909</v>
      </c>
      <c r="D25" s="761"/>
      <c r="E25" s="761"/>
      <c r="F25" s="761"/>
      <c r="G25" s="761"/>
      <c r="H25" s="761"/>
      <c r="I25" s="761"/>
      <c r="J25" s="406">
        <f>D25+E25+F25+G25-H25-I25</f>
        <v>0</v>
      </c>
    </row>
    <row r="26" spans="1:10">
      <c r="A26" s="811" t="str">
        <f>HYPERLINK("#C1","置顶")</f>
        <v>置顶</v>
      </c>
      <c r="B26" s="162">
        <v>26</v>
      </c>
      <c r="C26" s="821" t="s">
        <v>2936</v>
      </c>
      <c r="D26" s="406">
        <f>SUM(D27:D28)</f>
        <v>0</v>
      </c>
      <c r="E26" s="406">
        <f t="shared" ref="E26:J26" si="1">SUM(E27:E28)</f>
        <v>0</v>
      </c>
      <c r="F26" s="406">
        <f t="shared" si="1"/>
        <v>0</v>
      </c>
      <c r="G26" s="406">
        <f t="shared" si="1"/>
        <v>0</v>
      </c>
      <c r="H26" s="406">
        <f t="shared" si="1"/>
        <v>0</v>
      </c>
      <c r="I26" s="406">
        <f t="shared" si="1"/>
        <v>0</v>
      </c>
      <c r="J26" s="406">
        <f t="shared" si="1"/>
        <v>0</v>
      </c>
    </row>
    <row r="27" spans="1:10">
      <c r="B27" s="162">
        <v>27</v>
      </c>
      <c r="C27" s="760" t="s">
        <v>908</v>
      </c>
      <c r="D27" s="761"/>
      <c r="E27" s="761"/>
      <c r="F27" s="761"/>
      <c r="G27" s="761"/>
      <c r="H27" s="761"/>
      <c r="I27" s="761"/>
      <c r="J27" s="406">
        <f>D27+E27+F27+G27-H27-I27</f>
        <v>0</v>
      </c>
    </row>
    <row r="28" spans="1:10">
      <c r="B28" s="162">
        <v>28</v>
      </c>
      <c r="C28" s="760" t="s">
        <v>909</v>
      </c>
      <c r="D28" s="761"/>
      <c r="E28" s="761"/>
      <c r="F28" s="761"/>
      <c r="G28" s="761"/>
      <c r="H28" s="761"/>
      <c r="I28" s="761"/>
      <c r="J28" s="406">
        <f>D28+E28+F28+G28-H28-I28</f>
        <v>0</v>
      </c>
    </row>
    <row r="29" spans="1:10">
      <c r="A29" s="809" t="s">
        <v>2260</v>
      </c>
      <c r="B29" s="162">
        <v>29</v>
      </c>
      <c r="C29" s="821" t="s">
        <v>2937</v>
      </c>
      <c r="D29" s="406">
        <f>SUM(D30:D31)</f>
        <v>0</v>
      </c>
      <c r="E29" s="406">
        <f t="shared" ref="E29:J29" si="2">SUM(E30:E31)</f>
        <v>0</v>
      </c>
      <c r="F29" s="406">
        <f t="shared" si="2"/>
        <v>0</v>
      </c>
      <c r="G29" s="406">
        <f t="shared" si="2"/>
        <v>0</v>
      </c>
      <c r="H29" s="406">
        <f t="shared" si="2"/>
        <v>0</v>
      </c>
      <c r="I29" s="406">
        <f t="shared" si="2"/>
        <v>0</v>
      </c>
      <c r="J29" s="406">
        <f t="shared" si="2"/>
        <v>0</v>
      </c>
    </row>
    <row r="30" spans="1:10">
      <c r="B30" s="162">
        <v>30</v>
      </c>
      <c r="C30" s="760" t="s">
        <v>908</v>
      </c>
      <c r="D30" s="761"/>
      <c r="E30" s="761"/>
      <c r="F30" s="761"/>
      <c r="G30" s="761"/>
      <c r="H30" s="761"/>
      <c r="I30" s="761"/>
      <c r="J30" s="406">
        <f>D30+E30+F30+G30-H30-I30</f>
        <v>0</v>
      </c>
    </row>
    <row r="31" spans="1:10">
      <c r="B31" s="162">
        <v>31</v>
      </c>
      <c r="C31" s="760" t="s">
        <v>909</v>
      </c>
      <c r="D31" s="761"/>
      <c r="E31" s="761"/>
      <c r="F31" s="761"/>
      <c r="G31" s="761"/>
      <c r="H31" s="761"/>
      <c r="I31" s="761"/>
      <c r="J31" s="406">
        <f>D31+E31+F31+G31-H31-I31</f>
        <v>0</v>
      </c>
    </row>
    <row r="32" spans="1:10">
      <c r="B32" s="162">
        <v>32</v>
      </c>
    </row>
    <row r="33" spans="1:5">
      <c r="B33" s="162">
        <v>33</v>
      </c>
      <c r="C33" s="781" t="s">
        <v>914</v>
      </c>
    </row>
    <row r="34" spans="1:5">
      <c r="A34" s="957" t="s">
        <v>2925</v>
      </c>
      <c r="B34" s="162">
        <v>34</v>
      </c>
      <c r="C34" s="888"/>
      <c r="D34" s="881" t="s">
        <v>2938</v>
      </c>
      <c r="E34" s="881" t="s">
        <v>2952</v>
      </c>
    </row>
    <row r="35" spans="1:5">
      <c r="A35" s="809"/>
      <c r="B35" s="162">
        <v>35</v>
      </c>
      <c r="C35" s="962" t="s">
        <v>2953</v>
      </c>
      <c r="D35" s="406">
        <f>SUM(D36:D37)</f>
        <v>0</v>
      </c>
      <c r="E35" s="406">
        <f>SUM(E36:E37)</f>
        <v>0</v>
      </c>
    </row>
    <row r="36" spans="1:5">
      <c r="A36" s="809"/>
      <c r="C36" s="760" t="s">
        <v>908</v>
      </c>
      <c r="D36" s="888"/>
      <c r="E36" s="888"/>
    </row>
    <row r="37" spans="1:5">
      <c r="A37" s="809"/>
      <c r="C37" s="760" t="s">
        <v>909</v>
      </c>
      <c r="D37" s="888"/>
      <c r="E37" s="888"/>
    </row>
    <row r="38" spans="1:5">
      <c r="B38" s="162">
        <v>36</v>
      </c>
    </row>
    <row r="39" spans="1:5">
      <c r="A39" s="809" t="s">
        <v>2586</v>
      </c>
      <c r="B39" s="162">
        <v>37</v>
      </c>
    </row>
    <row r="40" spans="1:5">
      <c r="B40" s="162">
        <v>38</v>
      </c>
      <c r="C40" s="881"/>
      <c r="D40" s="881" t="s">
        <v>2504</v>
      </c>
      <c r="E40" s="881" t="s">
        <v>2505</v>
      </c>
    </row>
    <row r="41" spans="1:5">
      <c r="A41" s="811" t="str">
        <f>HYPERLINK("#C1","置顶")</f>
        <v>置顶</v>
      </c>
      <c r="B41" s="162">
        <v>39</v>
      </c>
      <c r="C41" s="881" t="s">
        <v>2954</v>
      </c>
      <c r="D41" s="406">
        <f>审定资产负债表!D34</f>
        <v>0</v>
      </c>
      <c r="E41" s="406">
        <f>审定资产负债表!C34</f>
        <v>0</v>
      </c>
    </row>
    <row r="42" spans="1:5">
      <c r="B42" s="162">
        <v>40</v>
      </c>
      <c r="C42" s="881" t="s">
        <v>1320</v>
      </c>
      <c r="D42" s="406">
        <f>D16+D29-D41</f>
        <v>0</v>
      </c>
      <c r="E42" s="406">
        <f>G16+J29-E41</f>
        <v>0</v>
      </c>
    </row>
    <row r="43" spans="1:5">
      <c r="B43" s="162">
        <v>41</v>
      </c>
      <c r="C43" s="834"/>
      <c r="D43" s="162"/>
      <c r="E43" s="162"/>
    </row>
    <row r="44" spans="1:5">
      <c r="A44" s="809" t="s">
        <v>2260</v>
      </c>
    </row>
  </sheetData>
  <sheetProtection formatCells="0" formatColumns="0" formatRows="0" autoFilter="0"/>
  <mergeCells count="5">
    <mergeCell ref="H21:I21"/>
    <mergeCell ref="J21:J22"/>
    <mergeCell ref="C21:C22"/>
    <mergeCell ref="D21:D22"/>
    <mergeCell ref="E21:G21"/>
  </mergeCells>
  <phoneticPr fontId="5" type="noConversion"/>
  <hyperlinks>
    <hyperlink ref="A1" location="附注填写封面!B3" display="返回目录" xr:uid="{00000000-0004-0000-2500-000000000000}"/>
    <hyperlink ref="A9" location="审定资产减值准备情况表!B5" display="返回减值准备表" xr:uid="{00000000-0004-0000-2500-000001000000}"/>
    <hyperlink ref="A16" location="附注填写封面!B3" display="返回目录" xr:uid="{00000000-0004-0000-2500-000002000000}"/>
    <hyperlink ref="A22" location="审定资产减值准备情况表!B5" display="返回减值准备表" xr:uid="{00000000-0004-0000-2500-000003000000}"/>
    <hyperlink ref="A29" location="附注填写封面!B3" display="返回目录" xr:uid="{00000000-0004-0000-2500-000004000000}"/>
    <hyperlink ref="A44" location="附注填写封面!B3" display="返回目录" xr:uid="{00000000-0004-0000-2500-000005000000}"/>
    <hyperlink ref="A39" location="审定资产减值准备情况表!B5" display="返回减值准备表" xr:uid="{00000000-0004-0000-2500-000006000000}"/>
    <hyperlink ref="A34" location="现金流量表补充资料!C11" display="到间接法" xr:uid="{00000000-0004-0000-2500-000007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5">
    <tabColor rgb="FFFFC000"/>
  </sheetPr>
  <dimension ref="A1:O86"/>
  <sheetViews>
    <sheetView showGridLines="0" showZeros="0" workbookViewId="0">
      <selection activeCell="H78" sqref="H78"/>
    </sheetView>
  </sheetViews>
  <sheetFormatPr defaultColWidth="11.625" defaultRowHeight="12.75"/>
  <cols>
    <col min="1" max="1" width="13.5" style="813" customWidth="1"/>
    <col min="2" max="2" width="5.625" style="344" hidden="1" customWidth="1"/>
    <col min="3" max="3" width="35.875" style="344" customWidth="1"/>
    <col min="4" max="8" width="11.625" style="344"/>
    <col min="9" max="9" width="18.625" style="344" customWidth="1"/>
    <col min="10" max="16384" width="11.625" style="344"/>
  </cols>
  <sheetData>
    <row r="1" spans="1:15" ht="30" customHeight="1">
      <c r="A1" s="963" t="s">
        <v>2260</v>
      </c>
      <c r="B1" s="765" t="s">
        <v>1446</v>
      </c>
      <c r="C1" s="759" t="s">
        <v>2969</v>
      </c>
    </row>
    <row r="2" spans="1:15" ht="14.25" customHeight="1">
      <c r="B2" s="162">
        <v>2</v>
      </c>
      <c r="C2" s="825" t="s">
        <v>917</v>
      </c>
    </row>
    <row r="3" spans="1:15">
      <c r="B3" s="162">
        <v>3</v>
      </c>
      <c r="C3" s="881" t="s">
        <v>890</v>
      </c>
      <c r="D3" s="881" t="s">
        <v>774</v>
      </c>
      <c r="E3" s="881" t="s">
        <v>2740</v>
      </c>
      <c r="F3" s="881" t="s">
        <v>2741</v>
      </c>
      <c r="G3" s="881" t="s">
        <v>2535</v>
      </c>
      <c r="I3" s="1605" t="s">
        <v>5118</v>
      </c>
      <c r="J3" s="1605" t="s">
        <v>5071</v>
      </c>
      <c r="K3" s="1605" t="s">
        <v>5119</v>
      </c>
      <c r="L3" s="1605" t="s">
        <v>5120</v>
      </c>
      <c r="M3" s="1605" t="s">
        <v>5121</v>
      </c>
      <c r="N3" s="328" t="s">
        <v>5123</v>
      </c>
    </row>
    <row r="4" spans="1:15" ht="13.5">
      <c r="B4" s="162">
        <v>4</v>
      </c>
      <c r="C4" s="821" t="s">
        <v>918</v>
      </c>
      <c r="D4" s="406">
        <f>SUM(D5:D12)</f>
        <v>429334.24</v>
      </c>
      <c r="E4" s="406">
        <f>SUM(E5:E12)</f>
        <v>0</v>
      </c>
      <c r="F4" s="406">
        <f>SUM(F5:F12)</f>
        <v>10287</v>
      </c>
      <c r="G4" s="406">
        <f>SUM(G5:G12)</f>
        <v>419047.24</v>
      </c>
      <c r="I4" s="1602" t="s">
        <v>5072</v>
      </c>
      <c r="J4" s="1602" t="s">
        <v>5069</v>
      </c>
      <c r="K4" s="1603" t="s">
        <v>5073</v>
      </c>
      <c r="L4" s="1604">
        <v>3600</v>
      </c>
      <c r="M4" s="1585">
        <v>3420</v>
      </c>
      <c r="N4" s="1585"/>
    </row>
    <row r="5" spans="1:15" ht="13.5">
      <c r="B5" s="162">
        <v>5</v>
      </c>
      <c r="C5" s="760" t="s">
        <v>919</v>
      </c>
      <c r="D5" s="400"/>
      <c r="E5" s="400"/>
      <c r="F5" s="400"/>
      <c r="G5" s="406">
        <f>D5+E5-F5</f>
        <v>0</v>
      </c>
      <c r="I5" s="1602" t="s">
        <v>5074</v>
      </c>
      <c r="J5" s="1602" t="s">
        <v>5069</v>
      </c>
      <c r="K5" s="1603" t="s">
        <v>5073</v>
      </c>
      <c r="L5" s="1604">
        <v>3620</v>
      </c>
      <c r="M5" s="1585">
        <v>3439.08</v>
      </c>
      <c r="N5" s="1585"/>
    </row>
    <row r="6" spans="1:15" ht="13.5">
      <c r="A6" s="810"/>
      <c r="B6" s="162">
        <v>6</v>
      </c>
      <c r="C6" s="964" t="s">
        <v>2967</v>
      </c>
      <c r="D6" s="400"/>
      <c r="E6" s="400"/>
      <c r="F6" s="400"/>
      <c r="G6" s="406">
        <f t="shared" ref="G6:G12" si="0">D6+E6-F6</f>
        <v>0</v>
      </c>
      <c r="I6" s="1602" t="s">
        <v>5075</v>
      </c>
      <c r="J6" s="1602" t="s">
        <v>5069</v>
      </c>
      <c r="K6" s="1603" t="s">
        <v>5073</v>
      </c>
      <c r="L6" s="1604">
        <v>3570</v>
      </c>
      <c r="M6" s="1585">
        <v>3391.56</v>
      </c>
      <c r="N6" s="1585"/>
    </row>
    <row r="7" spans="1:15" ht="13.5">
      <c r="A7" s="809" t="s">
        <v>2923</v>
      </c>
      <c r="B7" s="162">
        <v>7</v>
      </c>
      <c r="C7" s="964" t="s">
        <v>921</v>
      </c>
      <c r="D7" s="400"/>
      <c r="E7" s="400"/>
      <c r="F7" s="400"/>
      <c r="G7" s="406">
        <f t="shared" si="0"/>
        <v>0</v>
      </c>
      <c r="I7" s="1602" t="s">
        <v>5076</v>
      </c>
      <c r="J7" s="1602" t="s">
        <v>5077</v>
      </c>
      <c r="K7" s="1603" t="s">
        <v>5073</v>
      </c>
      <c r="L7" s="1604">
        <v>2556</v>
      </c>
      <c r="M7" s="1585">
        <v>1942.56</v>
      </c>
      <c r="N7" s="1585">
        <v>202.35</v>
      </c>
    </row>
    <row r="8" spans="1:15" ht="13.5">
      <c r="A8" s="810"/>
      <c r="B8" s="162">
        <v>8</v>
      </c>
      <c r="C8" s="964" t="s">
        <v>922</v>
      </c>
      <c r="D8" s="400"/>
      <c r="E8" s="400"/>
      <c r="F8" s="400"/>
      <c r="G8" s="406">
        <f t="shared" si="0"/>
        <v>0</v>
      </c>
      <c r="I8" s="1622" t="s">
        <v>5078</v>
      </c>
      <c r="J8" s="1622" t="s">
        <v>5069</v>
      </c>
      <c r="K8" s="1623" t="s">
        <v>5073</v>
      </c>
      <c r="L8" s="1624">
        <v>6599</v>
      </c>
      <c r="M8" s="1625">
        <v>6271.07</v>
      </c>
      <c r="N8" s="1625"/>
      <c r="O8" s="1636" t="s">
        <v>5229</v>
      </c>
    </row>
    <row r="9" spans="1:15" ht="13.5">
      <c r="A9" s="957"/>
      <c r="B9" s="162">
        <v>9</v>
      </c>
      <c r="C9" s="964" t="s">
        <v>923</v>
      </c>
      <c r="D9" s="761"/>
      <c r="E9" s="761"/>
      <c r="F9" s="761"/>
      <c r="G9" s="406">
        <f t="shared" si="0"/>
        <v>0</v>
      </c>
      <c r="I9" s="1602" t="s">
        <v>5079</v>
      </c>
      <c r="J9" s="1602" t="s">
        <v>5069</v>
      </c>
      <c r="K9" s="1603" t="s">
        <v>5073</v>
      </c>
      <c r="L9" s="1604">
        <v>5300</v>
      </c>
      <c r="M9" s="1585">
        <v>5036.6400000000003</v>
      </c>
      <c r="N9" s="1585"/>
    </row>
    <row r="10" spans="1:15" ht="13.5">
      <c r="A10" s="810"/>
      <c r="B10" s="162">
        <v>10</v>
      </c>
      <c r="C10" s="1575" t="s">
        <v>5014</v>
      </c>
      <c r="D10" s="761">
        <v>250389.13</v>
      </c>
      <c r="E10" s="761"/>
      <c r="F10" s="761"/>
      <c r="G10" s="406">
        <f t="shared" si="0"/>
        <v>250389.13</v>
      </c>
      <c r="I10" s="1602" t="s">
        <v>5080</v>
      </c>
      <c r="J10" s="1602" t="s">
        <v>5069</v>
      </c>
      <c r="K10" s="1603" t="s">
        <v>5073</v>
      </c>
      <c r="L10" s="1604">
        <v>44020</v>
      </c>
      <c r="M10" s="1585">
        <v>41832.269999999997</v>
      </c>
      <c r="N10" s="1585"/>
    </row>
    <row r="11" spans="1:15" ht="13.5">
      <c r="A11" s="811" t="str">
        <f>HYPERLINK("#C1","置顶")</f>
        <v>置顶</v>
      </c>
      <c r="B11" s="162">
        <v>11</v>
      </c>
      <c r="C11" s="1575" t="s">
        <v>5070</v>
      </c>
      <c r="D11" s="761">
        <v>178945.11</v>
      </c>
      <c r="E11" s="761"/>
      <c r="F11" s="761">
        <f>调整分录!I53+调整分录!I54</f>
        <v>10287</v>
      </c>
      <c r="G11" s="406">
        <f t="shared" si="0"/>
        <v>168658.11</v>
      </c>
      <c r="I11" s="1602" t="s">
        <v>5081</v>
      </c>
      <c r="J11" s="1602" t="s">
        <v>5069</v>
      </c>
      <c r="K11" s="1603" t="s">
        <v>5073</v>
      </c>
      <c r="L11" s="1604">
        <v>2205</v>
      </c>
      <c r="M11" s="1585">
        <v>2095.38</v>
      </c>
      <c r="N11" s="1585"/>
    </row>
    <row r="12" spans="1:15" ht="13.5">
      <c r="A12" s="810"/>
      <c r="B12" s="162">
        <v>12</v>
      </c>
      <c r="C12" s="1574" t="s">
        <v>5015</v>
      </c>
      <c r="D12" s="400"/>
      <c r="E12" s="400"/>
      <c r="F12" s="400"/>
      <c r="G12" s="406">
        <f t="shared" si="0"/>
        <v>0</v>
      </c>
      <c r="I12" s="1602" t="s">
        <v>5082</v>
      </c>
      <c r="J12" s="1602" t="s">
        <v>5077</v>
      </c>
      <c r="K12" s="1603" t="s">
        <v>5073</v>
      </c>
      <c r="L12" s="1604">
        <v>169800</v>
      </c>
      <c r="M12" s="1585">
        <v>104851.5</v>
      </c>
      <c r="N12" s="1585">
        <v>13442.5</v>
      </c>
    </row>
    <row r="13" spans="1:15" ht="13.5">
      <c r="A13" s="810"/>
      <c r="B13" s="162">
        <v>13</v>
      </c>
      <c r="C13" s="821" t="s">
        <v>927</v>
      </c>
      <c r="D13" s="406">
        <f>SUM(D14:D21)</f>
        <v>277800.52</v>
      </c>
      <c r="E13" s="406">
        <f>SUM(E14:E21)</f>
        <v>36832.35</v>
      </c>
      <c r="F13" s="406">
        <f>SUM(F14:F21)</f>
        <v>8412.11</v>
      </c>
      <c r="G13" s="406">
        <f>SUM(G14:G21)</f>
        <v>306220.76</v>
      </c>
      <c r="I13" s="1602" t="s">
        <v>5083</v>
      </c>
      <c r="J13" s="1602" t="s">
        <v>5069</v>
      </c>
      <c r="K13" s="1603" t="s">
        <v>5073</v>
      </c>
      <c r="L13" s="1604">
        <v>3200</v>
      </c>
      <c r="M13" s="1585">
        <v>3039.84</v>
      </c>
      <c r="N13" s="1585"/>
    </row>
    <row r="14" spans="1:15" ht="13.5">
      <c r="A14" s="809"/>
      <c r="B14" s="162">
        <v>14</v>
      </c>
      <c r="C14" s="760" t="s">
        <v>919</v>
      </c>
      <c r="D14" s="400"/>
      <c r="E14" s="400"/>
      <c r="F14" s="400"/>
      <c r="G14" s="406">
        <f>D14+E14-F14</f>
        <v>0</v>
      </c>
      <c r="I14" s="1602" t="s">
        <v>5084</v>
      </c>
      <c r="J14" s="1602" t="s">
        <v>5069</v>
      </c>
      <c r="K14" s="1603" t="s">
        <v>5073</v>
      </c>
      <c r="L14" s="1604">
        <v>3999</v>
      </c>
      <c r="M14" s="1585">
        <v>3799.08</v>
      </c>
      <c r="N14" s="1585"/>
    </row>
    <row r="15" spans="1:15" ht="13.5">
      <c r="A15" s="810"/>
      <c r="B15" s="162">
        <v>15</v>
      </c>
      <c r="C15" s="964" t="s">
        <v>2962</v>
      </c>
      <c r="D15" s="400"/>
      <c r="E15" s="400"/>
      <c r="F15" s="400"/>
      <c r="G15" s="406">
        <f t="shared" ref="G15:G21" si="1">D15+E15-F15</f>
        <v>0</v>
      </c>
      <c r="I15" s="1602" t="s">
        <v>5085</v>
      </c>
      <c r="J15" s="1602" t="s">
        <v>5077</v>
      </c>
      <c r="K15" s="1603" t="s">
        <v>5073</v>
      </c>
      <c r="L15" s="1604">
        <v>4850</v>
      </c>
      <c r="M15" s="1585">
        <v>2687.65</v>
      </c>
      <c r="N15" s="1585">
        <v>383.95</v>
      </c>
    </row>
    <row r="16" spans="1:15" ht="13.5">
      <c r="A16" s="810"/>
      <c r="B16" s="162">
        <v>16</v>
      </c>
      <c r="C16" s="964" t="s">
        <v>921</v>
      </c>
      <c r="D16" s="400"/>
      <c r="E16" s="400"/>
      <c r="F16" s="400"/>
      <c r="G16" s="406">
        <f t="shared" si="1"/>
        <v>0</v>
      </c>
      <c r="I16" s="1602" t="s">
        <v>5086</v>
      </c>
      <c r="J16" s="1602" t="s">
        <v>5077</v>
      </c>
      <c r="K16" s="1603" t="s">
        <v>5073</v>
      </c>
      <c r="L16" s="1604">
        <v>40600</v>
      </c>
      <c r="M16" s="1585">
        <v>19487.55</v>
      </c>
      <c r="N16" s="1585">
        <v>3214.15</v>
      </c>
    </row>
    <row r="17" spans="1:15" ht="13.5">
      <c r="A17" s="809" t="s">
        <v>2260</v>
      </c>
      <c r="B17" s="162">
        <v>17</v>
      </c>
      <c r="C17" s="964" t="s">
        <v>2964</v>
      </c>
      <c r="D17" s="761"/>
      <c r="E17" s="761"/>
      <c r="F17" s="761"/>
      <c r="G17" s="406">
        <f t="shared" si="1"/>
        <v>0</v>
      </c>
      <c r="I17" s="1602" t="s">
        <v>5087</v>
      </c>
      <c r="J17" s="1602" t="s">
        <v>5069</v>
      </c>
      <c r="K17" s="1603" t="s">
        <v>5073</v>
      </c>
      <c r="L17" s="1604">
        <v>3600</v>
      </c>
      <c r="M17" s="1585">
        <v>3040</v>
      </c>
      <c r="N17" s="1585">
        <v>380</v>
      </c>
    </row>
    <row r="18" spans="1:15" ht="13.5">
      <c r="A18" s="810"/>
      <c r="B18" s="162">
        <v>18</v>
      </c>
      <c r="C18" s="964" t="s">
        <v>923</v>
      </c>
      <c r="D18" s="761"/>
      <c r="E18" s="761"/>
      <c r="F18" s="761"/>
      <c r="G18" s="406">
        <f t="shared" si="1"/>
        <v>0</v>
      </c>
      <c r="I18" s="1602" t="s">
        <v>5088</v>
      </c>
      <c r="J18" s="1602" t="s">
        <v>5069</v>
      </c>
      <c r="K18" s="1603" t="s">
        <v>5073</v>
      </c>
      <c r="L18" s="1604">
        <v>3200</v>
      </c>
      <c r="M18" s="1585">
        <v>2702.08</v>
      </c>
      <c r="N18" s="1585">
        <v>337.76</v>
      </c>
    </row>
    <row r="19" spans="1:15" ht="13.5">
      <c r="A19" s="810"/>
      <c r="B19" s="162">
        <v>19</v>
      </c>
      <c r="C19" s="1575" t="s">
        <v>5014</v>
      </c>
      <c r="D19" s="761">
        <v>132134.94</v>
      </c>
      <c r="E19" s="761">
        <v>20954.5</v>
      </c>
      <c r="F19" s="761"/>
      <c r="G19" s="406">
        <f t="shared" si="1"/>
        <v>153089.44</v>
      </c>
      <c r="I19" s="1602" t="s">
        <v>5089</v>
      </c>
      <c r="J19" s="1602" t="s">
        <v>5069</v>
      </c>
      <c r="K19" s="1603" t="s">
        <v>5073</v>
      </c>
      <c r="L19" s="1604">
        <v>6250</v>
      </c>
      <c r="M19" s="1585">
        <v>5277.76</v>
      </c>
      <c r="N19" s="1585">
        <v>659.72</v>
      </c>
    </row>
    <row r="20" spans="1:15" ht="13.5">
      <c r="A20" s="809"/>
      <c r="B20" s="162">
        <v>20</v>
      </c>
      <c r="C20" s="1575" t="s">
        <v>5015</v>
      </c>
      <c r="D20" s="400">
        <v>145665.57999999999</v>
      </c>
      <c r="E20" s="400">
        <f>16364.45-调整分录!H57</f>
        <v>15877.85</v>
      </c>
      <c r="F20" s="400">
        <f>调整分录!H51+调整分录!H52</f>
        <v>8412.11</v>
      </c>
      <c r="G20" s="406">
        <f t="shared" si="1"/>
        <v>153131.32</v>
      </c>
      <c r="I20" s="1602" t="s">
        <v>5090</v>
      </c>
      <c r="J20" s="1602" t="s">
        <v>5069</v>
      </c>
      <c r="K20" s="1603" t="s">
        <v>5073</v>
      </c>
      <c r="L20" s="1604">
        <v>5700</v>
      </c>
      <c r="M20" s="1585">
        <v>4813.4399999999996</v>
      </c>
      <c r="N20" s="1585">
        <v>601.67999999999995</v>
      </c>
    </row>
    <row r="21" spans="1:15" ht="13.5">
      <c r="A21" s="810"/>
      <c r="B21" s="162">
        <v>21</v>
      </c>
      <c r="C21" s="964" t="s">
        <v>926</v>
      </c>
      <c r="D21" s="761"/>
      <c r="E21" s="761"/>
      <c r="F21" s="761"/>
      <c r="G21" s="406">
        <f t="shared" si="1"/>
        <v>0</v>
      </c>
      <c r="I21" s="1602" t="s">
        <v>5091</v>
      </c>
      <c r="J21" s="1602" t="s">
        <v>5069</v>
      </c>
      <c r="K21" s="1603" t="s">
        <v>5073</v>
      </c>
      <c r="L21" s="1604">
        <v>5700</v>
      </c>
      <c r="M21" s="1585">
        <v>4813.4399999999996</v>
      </c>
      <c r="N21" s="1585">
        <v>601.67999999999995</v>
      </c>
    </row>
    <row r="22" spans="1:15" ht="13.5">
      <c r="A22" s="957"/>
      <c r="B22" s="162">
        <v>22</v>
      </c>
      <c r="C22" s="821" t="s">
        <v>928</v>
      </c>
      <c r="D22" s="406">
        <f>SUM(D23:D30)</f>
        <v>151533.72</v>
      </c>
      <c r="E22" s="761"/>
      <c r="F22" s="761"/>
      <c r="G22" s="406">
        <f>SUM(G23:G30)</f>
        <v>112826.47999999998</v>
      </c>
      <c r="I22" s="1602" t="s">
        <v>5092</v>
      </c>
      <c r="J22" s="1602" t="s">
        <v>5069</v>
      </c>
      <c r="K22" s="1603" t="s">
        <v>5073</v>
      </c>
      <c r="L22" s="1604">
        <v>5700</v>
      </c>
      <c r="M22" s="1585">
        <v>4813.4399999999996</v>
      </c>
      <c r="N22" s="1585">
        <v>601.67999999999995</v>
      </c>
    </row>
    <row r="23" spans="1:15" ht="13.5">
      <c r="A23" s="810"/>
      <c r="B23" s="162">
        <v>23</v>
      </c>
      <c r="C23" s="760" t="s">
        <v>2970</v>
      </c>
      <c r="D23" s="406">
        <f>D5-D14</f>
        <v>0</v>
      </c>
      <c r="E23" s="761"/>
      <c r="F23" s="761"/>
      <c r="G23" s="406">
        <f>G5-G14</f>
        <v>0</v>
      </c>
      <c r="I23" s="1602" t="s">
        <v>5093</v>
      </c>
      <c r="J23" s="1602" t="s">
        <v>5069</v>
      </c>
      <c r="K23" s="1603" t="s">
        <v>5073</v>
      </c>
      <c r="L23" s="1604">
        <v>5700</v>
      </c>
      <c r="M23" s="1585">
        <v>4813.4399999999996</v>
      </c>
      <c r="N23" s="1585">
        <v>601.67999999999995</v>
      </c>
    </row>
    <row r="24" spans="1:15" ht="13.5">
      <c r="A24" s="811" t="str">
        <f>HYPERLINK("#C1","置顶")</f>
        <v>置顶</v>
      </c>
      <c r="B24" s="162">
        <v>24</v>
      </c>
      <c r="C24" s="964" t="s">
        <v>920</v>
      </c>
      <c r="D24" s="406">
        <f t="shared" ref="D24:D30" si="2">D6-D15</f>
        <v>0</v>
      </c>
      <c r="E24" s="761"/>
      <c r="F24" s="761"/>
      <c r="G24" s="406">
        <f t="shared" ref="G24:G30" si="3">G6-G15</f>
        <v>0</v>
      </c>
      <c r="I24" s="1602" t="s">
        <v>5094</v>
      </c>
      <c r="J24" s="1602" t="s">
        <v>5069</v>
      </c>
      <c r="K24" s="1603" t="s">
        <v>5073</v>
      </c>
      <c r="L24" s="1604">
        <v>5700</v>
      </c>
      <c r="M24" s="1585">
        <v>4813.4399999999996</v>
      </c>
      <c r="N24" s="1585">
        <v>601.67999999999995</v>
      </c>
    </row>
    <row r="25" spans="1:15" ht="13.5">
      <c r="B25" s="162">
        <v>25</v>
      </c>
      <c r="C25" s="964" t="s">
        <v>2963</v>
      </c>
      <c r="D25" s="406">
        <f t="shared" si="2"/>
        <v>0</v>
      </c>
      <c r="E25" s="761"/>
      <c r="F25" s="761"/>
      <c r="G25" s="406">
        <f t="shared" si="3"/>
        <v>0</v>
      </c>
      <c r="I25" s="1602" t="s">
        <v>5095</v>
      </c>
      <c r="J25" s="1602" t="s">
        <v>5069</v>
      </c>
      <c r="K25" s="1603" t="s">
        <v>5073</v>
      </c>
      <c r="L25" s="1604">
        <v>5700</v>
      </c>
      <c r="M25" s="1585">
        <v>4813.4399999999996</v>
      </c>
      <c r="N25" s="1585">
        <v>601.67999999999995</v>
      </c>
    </row>
    <row r="26" spans="1:15" ht="13.5">
      <c r="B26" s="162">
        <v>26</v>
      </c>
      <c r="C26" s="964" t="s">
        <v>2964</v>
      </c>
      <c r="D26" s="406">
        <f t="shared" si="2"/>
        <v>0</v>
      </c>
      <c r="E26" s="761"/>
      <c r="F26" s="761"/>
      <c r="G26" s="406">
        <f t="shared" si="3"/>
        <v>0</v>
      </c>
      <c r="I26" s="1602" t="s">
        <v>5096</v>
      </c>
      <c r="J26" s="1602" t="s">
        <v>5069</v>
      </c>
      <c r="K26" s="1603" t="s">
        <v>5073</v>
      </c>
      <c r="L26" s="1604">
        <v>8300</v>
      </c>
      <c r="M26" s="1585">
        <v>7008.96</v>
      </c>
      <c r="N26" s="1585">
        <v>876.12</v>
      </c>
    </row>
    <row r="27" spans="1:15" ht="13.5">
      <c r="B27" s="162">
        <v>27</v>
      </c>
      <c r="C27" s="964" t="s">
        <v>2965</v>
      </c>
      <c r="D27" s="406">
        <f t="shared" si="2"/>
        <v>0</v>
      </c>
      <c r="E27" s="761"/>
      <c r="F27" s="761"/>
      <c r="G27" s="406">
        <f t="shared" si="3"/>
        <v>0</v>
      </c>
      <c r="I27" s="1602" t="s">
        <v>5097</v>
      </c>
      <c r="J27" s="1602" t="s">
        <v>5069</v>
      </c>
      <c r="K27" s="1603" t="s">
        <v>5073</v>
      </c>
      <c r="L27" s="1604">
        <v>2999</v>
      </c>
      <c r="M27" s="1585">
        <v>2532.48</v>
      </c>
      <c r="N27" s="1585">
        <v>316.56</v>
      </c>
    </row>
    <row r="28" spans="1:15" ht="13.5">
      <c r="B28" s="162">
        <v>28</v>
      </c>
      <c r="C28" s="1575" t="s">
        <v>5014</v>
      </c>
      <c r="D28" s="406">
        <f t="shared" si="2"/>
        <v>118254.19</v>
      </c>
      <c r="E28" s="761"/>
      <c r="F28" s="761"/>
      <c r="G28" s="406">
        <f t="shared" si="3"/>
        <v>97299.69</v>
      </c>
      <c r="I28" s="1602" t="s">
        <v>5098</v>
      </c>
      <c r="J28" s="1602" t="s">
        <v>5069</v>
      </c>
      <c r="K28" s="1603" t="s">
        <v>5073</v>
      </c>
      <c r="L28" s="1604">
        <v>14102.56</v>
      </c>
      <c r="M28" s="1585">
        <v>11536.65</v>
      </c>
      <c r="N28" s="1585">
        <v>1860.75</v>
      </c>
    </row>
    <row r="29" spans="1:15" ht="13.5">
      <c r="B29" s="162">
        <v>29</v>
      </c>
      <c r="C29" s="1575" t="s">
        <v>5015</v>
      </c>
      <c r="D29" s="406">
        <f t="shared" si="2"/>
        <v>33279.53</v>
      </c>
      <c r="E29" s="761"/>
      <c r="F29" s="761"/>
      <c r="G29" s="406">
        <f t="shared" si="3"/>
        <v>15526.789999999979</v>
      </c>
      <c r="I29" s="1602" t="s">
        <v>5099</v>
      </c>
      <c r="J29" s="1602" t="s">
        <v>5069</v>
      </c>
      <c r="K29" s="1603" t="s">
        <v>5073</v>
      </c>
      <c r="L29" s="1604">
        <v>5100</v>
      </c>
      <c r="M29" s="1585">
        <v>3902.82</v>
      </c>
      <c r="N29" s="1585">
        <v>672.9</v>
      </c>
    </row>
    <row r="30" spans="1:15" ht="13.5">
      <c r="B30" s="162">
        <v>30</v>
      </c>
      <c r="C30" s="964" t="s">
        <v>926</v>
      </c>
      <c r="D30" s="406">
        <f t="shared" si="2"/>
        <v>0</v>
      </c>
      <c r="E30" s="761"/>
      <c r="F30" s="761"/>
      <c r="G30" s="406">
        <f t="shared" si="3"/>
        <v>0</v>
      </c>
      <c r="I30" s="1602" t="s">
        <v>5100</v>
      </c>
      <c r="J30" s="1602" t="s">
        <v>5069</v>
      </c>
      <c r="K30" s="1603" t="s">
        <v>5073</v>
      </c>
      <c r="L30" s="1604">
        <v>3399</v>
      </c>
      <c r="M30" s="1585">
        <v>2601.3000000000002</v>
      </c>
      <c r="N30" s="1585">
        <v>448.5</v>
      </c>
    </row>
    <row r="31" spans="1:15" ht="13.5">
      <c r="A31" s="809" t="s">
        <v>2923</v>
      </c>
      <c r="B31" s="162">
        <v>31</v>
      </c>
      <c r="C31" s="340" t="s">
        <v>933</v>
      </c>
      <c r="D31" s="406">
        <f>SUM(D32:D39)</f>
        <v>0</v>
      </c>
      <c r="E31" s="406">
        <f>SUM(E32:E39)</f>
        <v>0</v>
      </c>
      <c r="F31" s="406">
        <f>SUM(F32:F39)</f>
        <v>0</v>
      </c>
      <c r="G31" s="406">
        <f>SUM(G32:G39)</f>
        <v>0</v>
      </c>
      <c r="I31" s="1602" t="s">
        <v>5101</v>
      </c>
      <c r="J31" s="1602" t="s">
        <v>5069</v>
      </c>
      <c r="K31" s="1603" t="s">
        <v>5073</v>
      </c>
      <c r="L31" s="1604">
        <v>2999</v>
      </c>
      <c r="M31" s="1585">
        <v>2215.92</v>
      </c>
      <c r="N31" s="1585">
        <v>395.7</v>
      </c>
    </row>
    <row r="32" spans="1:15" ht="13.5">
      <c r="B32" s="162">
        <v>32</v>
      </c>
      <c r="C32" s="760" t="s">
        <v>2970</v>
      </c>
      <c r="D32" s="761"/>
      <c r="E32" s="761"/>
      <c r="F32" s="761"/>
      <c r="G32" s="406">
        <f>D32+E32-F32</f>
        <v>0</v>
      </c>
      <c r="I32" s="1622" t="s">
        <v>5102</v>
      </c>
      <c r="J32" s="1622" t="s">
        <v>5069</v>
      </c>
      <c r="K32" s="1623" t="s">
        <v>5073</v>
      </c>
      <c r="L32" s="1624">
        <v>3688</v>
      </c>
      <c r="M32" s="1625">
        <v>2141.04</v>
      </c>
      <c r="N32" s="1625">
        <v>486.6</v>
      </c>
      <c r="O32" s="1636" t="s">
        <v>5229</v>
      </c>
    </row>
    <row r="33" spans="1:14" ht="13.5">
      <c r="B33" s="162">
        <v>33</v>
      </c>
      <c r="C33" s="964" t="s">
        <v>2967</v>
      </c>
      <c r="D33" s="400"/>
      <c r="E33" s="400"/>
      <c r="F33" s="400"/>
      <c r="G33" s="406">
        <f t="shared" ref="G33:G39" si="4">D33+E33-F33</f>
        <v>0</v>
      </c>
      <c r="I33" s="1602" t="s">
        <v>5103</v>
      </c>
      <c r="J33" s="1602" t="s">
        <v>5077</v>
      </c>
      <c r="K33" s="1603" t="s">
        <v>5073</v>
      </c>
      <c r="L33" s="1604">
        <v>5811.96</v>
      </c>
      <c r="M33" s="1585">
        <v>1840.44</v>
      </c>
      <c r="N33" s="1585">
        <v>766.85</v>
      </c>
    </row>
    <row r="34" spans="1:14" ht="13.5">
      <c r="B34" s="162">
        <v>34</v>
      </c>
      <c r="C34" s="964" t="s">
        <v>921</v>
      </c>
      <c r="D34" s="400"/>
      <c r="E34" s="400"/>
      <c r="F34" s="400"/>
      <c r="G34" s="406">
        <f t="shared" si="4"/>
        <v>0</v>
      </c>
      <c r="I34" s="1602" t="s">
        <v>5104</v>
      </c>
      <c r="J34" s="1602" t="s">
        <v>5077</v>
      </c>
      <c r="K34" s="1603" t="s">
        <v>5073</v>
      </c>
      <c r="L34" s="1604">
        <v>2790</v>
      </c>
      <c r="M34" s="1585">
        <v>809.93</v>
      </c>
      <c r="N34" s="1585">
        <v>368.15</v>
      </c>
    </row>
    <row r="35" spans="1:14" ht="13.5">
      <c r="B35" s="162">
        <v>35</v>
      </c>
      <c r="C35" s="964" t="s">
        <v>922</v>
      </c>
      <c r="D35" s="400"/>
      <c r="E35" s="400"/>
      <c r="F35" s="400"/>
      <c r="G35" s="406">
        <f t="shared" si="4"/>
        <v>0</v>
      </c>
      <c r="I35" s="1602" t="s">
        <v>5105</v>
      </c>
      <c r="J35" s="1602" t="s">
        <v>5069</v>
      </c>
      <c r="K35" s="1603" t="s">
        <v>5073</v>
      </c>
      <c r="L35" s="1604">
        <v>359.1</v>
      </c>
      <c r="M35" s="1585">
        <v>124.06</v>
      </c>
      <c r="N35" s="1585"/>
    </row>
    <row r="36" spans="1:14" ht="13.5">
      <c r="B36" s="162">
        <v>36</v>
      </c>
      <c r="C36" s="964" t="s">
        <v>2965</v>
      </c>
      <c r="D36" s="761"/>
      <c r="E36" s="761"/>
      <c r="F36" s="761"/>
      <c r="G36" s="406">
        <f t="shared" si="4"/>
        <v>0</v>
      </c>
      <c r="I36" s="1602" t="s">
        <v>5106</v>
      </c>
      <c r="J36" s="1602" t="s">
        <v>5069</v>
      </c>
      <c r="K36" s="1603" t="s">
        <v>5073</v>
      </c>
      <c r="L36" s="1604">
        <v>1298.52</v>
      </c>
      <c r="M36" s="1585">
        <v>188.33</v>
      </c>
      <c r="N36" s="1585">
        <v>753.32</v>
      </c>
    </row>
    <row r="37" spans="1:14" ht="13.5">
      <c r="A37" s="810"/>
      <c r="B37" s="162">
        <v>37</v>
      </c>
      <c r="C37" s="1575" t="s">
        <v>5014</v>
      </c>
      <c r="D37" s="761"/>
      <c r="E37" s="761"/>
      <c r="F37" s="761"/>
      <c r="G37" s="406">
        <f t="shared" si="4"/>
        <v>0</v>
      </c>
      <c r="I37" s="1602" t="s">
        <v>5107</v>
      </c>
      <c r="J37" s="1602" t="s">
        <v>5069</v>
      </c>
      <c r="K37" s="1603" t="s">
        <v>5073</v>
      </c>
      <c r="L37" s="1604">
        <v>1298.52</v>
      </c>
      <c r="M37" s="1585">
        <v>188.33</v>
      </c>
      <c r="N37" s="1585">
        <v>753.32</v>
      </c>
    </row>
    <row r="38" spans="1:14" ht="13.5">
      <c r="A38" s="809" t="s">
        <v>2260</v>
      </c>
      <c r="B38" s="162">
        <v>38</v>
      </c>
      <c r="C38" s="1575" t="s">
        <v>5015</v>
      </c>
      <c r="D38" s="761"/>
      <c r="E38" s="761"/>
      <c r="F38" s="761"/>
      <c r="G38" s="406">
        <f t="shared" si="4"/>
        <v>0</v>
      </c>
      <c r="I38" s="1602" t="s">
        <v>5108</v>
      </c>
      <c r="J38" s="1602" t="s">
        <v>5069</v>
      </c>
      <c r="K38" s="1603" t="s">
        <v>5073</v>
      </c>
      <c r="L38" s="1604">
        <v>1298.52</v>
      </c>
      <c r="M38" s="1585">
        <v>188.33</v>
      </c>
      <c r="N38" s="1585">
        <v>753.32</v>
      </c>
    </row>
    <row r="39" spans="1:14" ht="13.5">
      <c r="A39" s="810"/>
      <c r="B39" s="162">
        <v>39</v>
      </c>
      <c r="C39" s="964" t="s">
        <v>926</v>
      </c>
      <c r="D39" s="761"/>
      <c r="E39" s="761"/>
      <c r="F39" s="761"/>
      <c r="G39" s="406">
        <f t="shared" si="4"/>
        <v>0</v>
      </c>
      <c r="I39" s="1602" t="s">
        <v>5109</v>
      </c>
      <c r="J39" s="1602" t="s">
        <v>5069</v>
      </c>
      <c r="K39" s="1603" t="s">
        <v>5073</v>
      </c>
      <c r="L39" s="1604">
        <v>2146.16</v>
      </c>
      <c r="M39" s="1585">
        <v>180.44</v>
      </c>
      <c r="N39" s="1585">
        <v>902.2</v>
      </c>
    </row>
    <row r="40" spans="1:14" ht="13.5">
      <c r="A40" s="810"/>
      <c r="B40" s="162">
        <v>40</v>
      </c>
      <c r="C40" s="340" t="s">
        <v>934</v>
      </c>
      <c r="D40" s="406">
        <f>SUM(D41:D48)</f>
        <v>151533.72</v>
      </c>
      <c r="E40" s="761"/>
      <c r="F40" s="761"/>
      <c r="G40" s="406">
        <f>SUM(G41:G48)</f>
        <v>112826.47999999998</v>
      </c>
      <c r="I40" s="1602" t="s">
        <v>5110</v>
      </c>
      <c r="J40" s="1602" t="s">
        <v>5069</v>
      </c>
      <c r="K40" s="1603" t="s">
        <v>5073</v>
      </c>
      <c r="L40" s="1604">
        <v>2146.17</v>
      </c>
      <c r="M40" s="1585">
        <v>180.44</v>
      </c>
      <c r="N40" s="1585">
        <v>902.2</v>
      </c>
    </row>
    <row r="41" spans="1:14" ht="13.5">
      <c r="A41" s="809"/>
      <c r="B41" s="162">
        <v>41</v>
      </c>
      <c r="C41" s="760" t="s">
        <v>2955</v>
      </c>
      <c r="D41" s="406">
        <f>D23-D32</f>
        <v>0</v>
      </c>
      <c r="E41" s="761"/>
      <c r="F41" s="761"/>
      <c r="G41" s="406">
        <f t="shared" ref="G41:G48" si="5">G23-G32</f>
        <v>0</v>
      </c>
      <c r="I41" s="1602" t="s">
        <v>5111</v>
      </c>
      <c r="J41" s="1602" t="s">
        <v>5069</v>
      </c>
      <c r="K41" s="1603" t="s">
        <v>5073</v>
      </c>
      <c r="L41" s="1604">
        <v>2326.61</v>
      </c>
      <c r="M41" s="1585">
        <v>180.44</v>
      </c>
      <c r="N41" s="1585">
        <v>902.2</v>
      </c>
    </row>
    <row r="42" spans="1:14" ht="13.5">
      <c r="A42" s="810"/>
      <c r="B42" s="162">
        <v>42</v>
      </c>
      <c r="C42" s="964" t="s">
        <v>2962</v>
      </c>
      <c r="D42" s="406">
        <f t="shared" ref="D42:D47" si="6">D24-D33</f>
        <v>0</v>
      </c>
      <c r="E42" s="761"/>
      <c r="F42" s="761"/>
      <c r="G42" s="406">
        <f t="shared" si="5"/>
        <v>0</v>
      </c>
      <c r="I42" s="1602" t="s">
        <v>5112</v>
      </c>
      <c r="J42" s="1602" t="s">
        <v>5069</v>
      </c>
      <c r="K42" s="1603" t="s">
        <v>5073</v>
      </c>
      <c r="L42" s="1604">
        <v>2326.6</v>
      </c>
      <c r="M42" s="1585">
        <v>180.44</v>
      </c>
      <c r="N42" s="1585">
        <v>902.2</v>
      </c>
    </row>
    <row r="43" spans="1:14" ht="13.5">
      <c r="A43" s="957"/>
      <c r="B43" s="162">
        <v>43</v>
      </c>
      <c r="C43" s="964" t="s">
        <v>921</v>
      </c>
      <c r="D43" s="406">
        <f t="shared" si="6"/>
        <v>0</v>
      </c>
      <c r="E43" s="761"/>
      <c r="F43" s="761"/>
      <c r="G43" s="406">
        <f t="shared" si="5"/>
        <v>0</v>
      </c>
      <c r="I43" s="1602" t="s">
        <v>5113</v>
      </c>
      <c r="J43" s="1602" t="s">
        <v>5069</v>
      </c>
      <c r="K43" s="1603" t="s">
        <v>5073</v>
      </c>
      <c r="L43" s="1604">
        <v>1794.35</v>
      </c>
      <c r="M43" s="1585">
        <v>90.2</v>
      </c>
      <c r="N43" s="1585">
        <v>451</v>
      </c>
    </row>
    <row r="44" spans="1:14" ht="13.5">
      <c r="A44" s="810"/>
      <c r="B44" s="162">
        <v>44</v>
      </c>
      <c r="C44" s="964" t="s">
        <v>922</v>
      </c>
      <c r="D44" s="406">
        <f t="shared" si="6"/>
        <v>0</v>
      </c>
      <c r="E44" s="761"/>
      <c r="F44" s="761"/>
      <c r="G44" s="406">
        <f t="shared" si="5"/>
        <v>0</v>
      </c>
      <c r="I44" s="1602" t="s">
        <v>5114</v>
      </c>
      <c r="J44" s="1602" t="s">
        <v>5077</v>
      </c>
      <c r="K44" s="1603" t="s">
        <v>5073</v>
      </c>
      <c r="L44" s="1604">
        <v>7245.41</v>
      </c>
      <c r="M44" s="1585">
        <v>160.44</v>
      </c>
      <c r="N44" s="1585">
        <v>802.2</v>
      </c>
    </row>
    <row r="45" spans="1:14" ht="13.5">
      <c r="A45" s="811" t="str">
        <f>HYPERLINK("#C1","置顶")</f>
        <v>置顶</v>
      </c>
      <c r="B45" s="162">
        <v>45</v>
      </c>
      <c r="C45" s="964" t="s">
        <v>2971</v>
      </c>
      <c r="D45" s="406">
        <f t="shared" si="6"/>
        <v>0</v>
      </c>
      <c r="E45" s="761"/>
      <c r="F45" s="761"/>
      <c r="G45" s="406">
        <f t="shared" si="5"/>
        <v>0</v>
      </c>
      <c r="I45" s="1602" t="s">
        <v>5115</v>
      </c>
      <c r="J45" s="1602" t="s">
        <v>5077</v>
      </c>
      <c r="K45" s="1603" t="s">
        <v>5073</v>
      </c>
      <c r="L45" s="1604">
        <v>4490.32</v>
      </c>
      <c r="M45" s="1585">
        <v>95.21</v>
      </c>
      <c r="N45" s="1585">
        <v>476.05</v>
      </c>
    </row>
    <row r="46" spans="1:14" ht="13.5">
      <c r="B46" s="162">
        <v>46</v>
      </c>
      <c r="C46" s="1575" t="s">
        <v>5014</v>
      </c>
      <c r="D46" s="406">
        <f t="shared" si="6"/>
        <v>118254.19</v>
      </c>
      <c r="E46" s="761"/>
      <c r="F46" s="761"/>
      <c r="G46" s="406">
        <f t="shared" si="5"/>
        <v>97299.69</v>
      </c>
      <c r="I46" s="1602" t="s">
        <v>5116</v>
      </c>
      <c r="J46" s="1602" t="s">
        <v>5077</v>
      </c>
      <c r="K46" s="1603" t="s">
        <v>5073</v>
      </c>
      <c r="L46" s="1604">
        <v>5824</v>
      </c>
      <c r="M46" s="1585">
        <v>123.5</v>
      </c>
      <c r="N46" s="1585">
        <v>617.5</v>
      </c>
    </row>
    <row r="47" spans="1:14" ht="13.5">
      <c r="A47" s="810"/>
      <c r="B47" s="162">
        <v>47</v>
      </c>
      <c r="C47" s="1575" t="s">
        <v>5015</v>
      </c>
      <c r="D47" s="406">
        <f t="shared" si="6"/>
        <v>33279.53</v>
      </c>
      <c r="E47" s="761"/>
      <c r="F47" s="761"/>
      <c r="G47" s="406">
        <f t="shared" si="5"/>
        <v>15526.789999999979</v>
      </c>
      <c r="I47" s="1602" t="s">
        <v>5117</v>
      </c>
      <c r="J47" s="1602" t="s">
        <v>5077</v>
      </c>
      <c r="K47" s="1603" t="s">
        <v>5073</v>
      </c>
      <c r="L47" s="1604">
        <v>6421.44</v>
      </c>
      <c r="M47" s="1585">
        <v>136.16</v>
      </c>
      <c r="N47" s="1585">
        <v>680.8</v>
      </c>
    </row>
    <row r="48" spans="1:14">
      <c r="A48" s="810"/>
      <c r="B48" s="162">
        <v>48</v>
      </c>
      <c r="C48" s="964" t="s">
        <v>926</v>
      </c>
      <c r="D48" s="406">
        <f>D30-D39</f>
        <v>0</v>
      </c>
      <c r="E48" s="761"/>
      <c r="F48" s="761"/>
      <c r="G48" s="406">
        <f t="shared" si="5"/>
        <v>0</v>
      </c>
    </row>
    <row r="49" spans="1:12">
      <c r="A49" s="809"/>
      <c r="B49" s="162">
        <v>49</v>
      </c>
    </row>
    <row r="50" spans="1:12">
      <c r="A50" s="809"/>
      <c r="B50" s="162"/>
      <c r="C50" s="781" t="s">
        <v>2972</v>
      </c>
    </row>
    <row r="51" spans="1:12">
      <c r="A51" s="809"/>
      <c r="B51" s="162"/>
      <c r="C51" s="891" t="s">
        <v>890</v>
      </c>
      <c r="D51" s="891" t="s">
        <v>2956</v>
      </c>
      <c r="E51" s="891" t="s">
        <v>2957</v>
      </c>
      <c r="F51" s="891" t="s">
        <v>2610</v>
      </c>
      <c r="G51" s="891" t="s">
        <v>2611</v>
      </c>
      <c r="H51" s="891" t="s">
        <v>2958</v>
      </c>
    </row>
    <row r="52" spans="1:12">
      <c r="A52" s="809"/>
      <c r="B52" s="162"/>
      <c r="C52" s="854"/>
      <c r="D52" s="795"/>
      <c r="E52" s="795"/>
      <c r="F52" s="795"/>
      <c r="G52" s="795"/>
      <c r="H52" s="890"/>
      <c r="L52" s="344" t="s">
        <v>5122</v>
      </c>
    </row>
    <row r="53" spans="1:12">
      <c r="A53" s="809"/>
      <c r="B53" s="162"/>
      <c r="C53" s="854"/>
      <c r="D53" s="795"/>
      <c r="E53" s="795"/>
      <c r="F53" s="795"/>
      <c r="G53" s="795"/>
      <c r="H53" s="890"/>
      <c r="K53" s="328" t="s">
        <v>5124</v>
      </c>
      <c r="L53" s="1585">
        <f>SUMIF($J$4:$J$47,K53,$N$4:$N$47)</f>
        <v>20954.5</v>
      </c>
    </row>
    <row r="54" spans="1:12">
      <c r="A54" s="809"/>
      <c r="B54" s="162"/>
      <c r="C54" s="854"/>
      <c r="D54" s="795"/>
      <c r="E54" s="795"/>
      <c r="F54" s="795"/>
      <c r="G54" s="795"/>
      <c r="H54" s="890"/>
      <c r="K54" s="328" t="s">
        <v>5125</v>
      </c>
      <c r="L54" s="1585">
        <f>SUMIF($J$4:$J$47,K54,$N$4:$N$47)</f>
        <v>16364.450000000003</v>
      </c>
    </row>
    <row r="55" spans="1:12">
      <c r="A55" s="809"/>
      <c r="B55" s="162"/>
      <c r="C55" s="941"/>
      <c r="D55" s="795"/>
      <c r="E55" s="795"/>
      <c r="F55" s="795"/>
      <c r="G55" s="795"/>
      <c r="H55" s="890"/>
    </row>
    <row r="56" spans="1:12">
      <c r="A56" s="809"/>
      <c r="B56" s="162"/>
      <c r="C56" s="891" t="s">
        <v>823</v>
      </c>
      <c r="D56" s="795"/>
      <c r="E56" s="795"/>
      <c r="F56" s="795"/>
      <c r="G56" s="795"/>
      <c r="H56" s="890"/>
    </row>
    <row r="57" spans="1:12">
      <c r="A57" s="809"/>
      <c r="B57" s="162"/>
    </row>
    <row r="58" spans="1:12">
      <c r="A58" s="809"/>
      <c r="B58" s="162"/>
    </row>
    <row r="59" spans="1:12">
      <c r="A59" s="809"/>
      <c r="B59" s="162"/>
    </row>
    <row r="60" spans="1:12">
      <c r="A60" s="809"/>
      <c r="B60" s="162"/>
    </row>
    <row r="61" spans="1:12">
      <c r="A61" s="810"/>
      <c r="B61" s="162">
        <v>50</v>
      </c>
      <c r="C61" s="825" t="s">
        <v>2968</v>
      </c>
    </row>
    <row r="62" spans="1:12">
      <c r="A62" s="809" t="s">
        <v>2260</v>
      </c>
      <c r="B62" s="162">
        <v>51</v>
      </c>
      <c r="C62" s="881" t="s">
        <v>890</v>
      </c>
      <c r="D62" s="881" t="s">
        <v>2959</v>
      </c>
      <c r="E62" s="881" t="s">
        <v>2960</v>
      </c>
    </row>
    <row r="63" spans="1:12">
      <c r="A63" s="810"/>
      <c r="B63" s="162">
        <v>52</v>
      </c>
      <c r="C63" s="881"/>
      <c r="D63" s="400"/>
      <c r="E63" s="400"/>
    </row>
    <row r="64" spans="1:12">
      <c r="A64" s="810"/>
      <c r="B64" s="162">
        <v>53</v>
      </c>
      <c r="C64" s="760"/>
      <c r="D64" s="400"/>
      <c r="E64" s="400"/>
    </row>
    <row r="65" spans="1:5">
      <c r="A65" s="809"/>
      <c r="B65" s="162">
        <v>54</v>
      </c>
      <c r="C65" s="964"/>
      <c r="D65" s="400"/>
      <c r="E65" s="400"/>
    </row>
    <row r="66" spans="1:5">
      <c r="A66" s="810"/>
      <c r="B66" s="162">
        <v>55</v>
      </c>
      <c r="C66" s="964"/>
      <c r="D66" s="400"/>
      <c r="E66" s="400"/>
    </row>
    <row r="67" spans="1:5">
      <c r="A67" s="957"/>
      <c r="B67" s="162">
        <v>56</v>
      </c>
      <c r="C67" s="964"/>
      <c r="D67" s="400"/>
      <c r="E67" s="400"/>
    </row>
    <row r="68" spans="1:5">
      <c r="A68" s="810"/>
      <c r="B68" s="162">
        <v>57</v>
      </c>
      <c r="C68" s="964"/>
      <c r="D68" s="400"/>
      <c r="E68" s="400"/>
    </row>
    <row r="69" spans="1:5">
      <c r="A69" s="811" t="str">
        <f>HYPERLINK("#C1","置顶")</f>
        <v>置顶</v>
      </c>
      <c r="B69" s="162">
        <v>58</v>
      </c>
      <c r="C69" s="964"/>
      <c r="D69" s="400"/>
      <c r="E69" s="400"/>
    </row>
    <row r="70" spans="1:5">
      <c r="B70" s="162">
        <v>59</v>
      </c>
      <c r="C70" s="964"/>
      <c r="D70" s="400"/>
      <c r="E70" s="400"/>
    </row>
    <row r="71" spans="1:5">
      <c r="B71" s="162">
        <v>60</v>
      </c>
    </row>
    <row r="72" spans="1:5">
      <c r="B72" s="162">
        <v>79</v>
      </c>
      <c r="C72" s="781"/>
    </row>
    <row r="73" spans="1:5">
      <c r="B73" s="162">
        <v>80</v>
      </c>
      <c r="C73" s="781" t="s">
        <v>940</v>
      </c>
    </row>
    <row r="74" spans="1:5" ht="15.75" customHeight="1">
      <c r="A74" s="957" t="s">
        <v>2973</v>
      </c>
      <c r="B74" s="162">
        <v>81</v>
      </c>
      <c r="C74" s="888"/>
      <c r="D74" s="881" t="s">
        <v>2974</v>
      </c>
      <c r="E74" s="881" t="s">
        <v>2939</v>
      </c>
    </row>
    <row r="75" spans="1:5" ht="19.5" customHeight="1">
      <c r="B75" s="162">
        <v>82</v>
      </c>
      <c r="C75" s="881" t="s">
        <v>941</v>
      </c>
      <c r="D75" s="801">
        <v>36832.35</v>
      </c>
      <c r="E75" s="801">
        <v>89376.7</v>
      </c>
    </row>
    <row r="76" spans="1:5">
      <c r="B76" s="162">
        <v>83</v>
      </c>
    </row>
    <row r="77" spans="1:5">
      <c r="A77" s="810"/>
      <c r="B77" s="162">
        <v>84</v>
      </c>
      <c r="C77" s="881"/>
      <c r="D77" s="881" t="s">
        <v>2504</v>
      </c>
      <c r="E77" s="881" t="s">
        <v>2505</v>
      </c>
    </row>
    <row r="78" spans="1:5">
      <c r="A78" s="811" t="str">
        <f>HYPERLINK("#C1","置顶")</f>
        <v>置顶</v>
      </c>
      <c r="B78" s="162">
        <v>85</v>
      </c>
      <c r="C78" s="881" t="s">
        <v>1319</v>
      </c>
      <c r="D78" s="406">
        <f>审定资产负债表!D39</f>
        <v>151533.72</v>
      </c>
      <c r="E78" s="406">
        <f>审定资产负债表!C39</f>
        <v>112826.48</v>
      </c>
    </row>
    <row r="79" spans="1:5">
      <c r="A79" s="810"/>
      <c r="B79" s="162">
        <v>86</v>
      </c>
      <c r="C79" s="881" t="s">
        <v>2730</v>
      </c>
      <c r="D79" s="406">
        <f>D40-D78</f>
        <v>0</v>
      </c>
      <c r="E79" s="406">
        <f>G40-E78</f>
        <v>0</v>
      </c>
    </row>
    <row r="80" spans="1:5">
      <c r="A80" s="810"/>
      <c r="B80" s="162">
        <v>87</v>
      </c>
    </row>
    <row r="81" spans="1:3">
      <c r="A81" s="809"/>
      <c r="C81" s="344" t="s">
        <v>2961</v>
      </c>
    </row>
    <row r="82" spans="1:3">
      <c r="A82" s="810"/>
    </row>
    <row r="83" spans="1:3">
      <c r="A83" s="810"/>
    </row>
    <row r="84" spans="1:3">
      <c r="A84" s="809" t="s">
        <v>2260</v>
      </c>
    </row>
    <row r="85" spans="1:3">
      <c r="A85" s="810"/>
    </row>
    <row r="86" spans="1:3">
      <c r="A86" s="810"/>
    </row>
  </sheetData>
  <sheetProtection formatCells="0" formatColumns="0" formatRows="0" autoFilter="0"/>
  <autoFilter ref="I3:M47" xr:uid="{00000000-0009-0000-0000-000026000000}"/>
  <phoneticPr fontId="5" type="noConversion"/>
  <hyperlinks>
    <hyperlink ref="A1" location="附注填写封面!B3" display="返回目录" xr:uid="{00000000-0004-0000-2600-000000000000}"/>
    <hyperlink ref="A7" location="审定资产减值准备情况表!B5" display="返回减值准备表" xr:uid="{00000000-0004-0000-2600-000001000000}"/>
    <hyperlink ref="A31" location="审定资产减值准备情况表!B5" display="返回减值准备表" xr:uid="{00000000-0004-0000-2600-000002000000}"/>
    <hyperlink ref="A17" location="附注填写封面!B3" display="返回目录" xr:uid="{00000000-0004-0000-2600-000003000000}"/>
    <hyperlink ref="A84" location="附注填写封面!B3" display="返回目录" xr:uid="{00000000-0004-0000-2600-000004000000}"/>
    <hyperlink ref="A38" location="附注填写封面!B3" display="返回目录" xr:uid="{00000000-0004-0000-2600-000005000000}"/>
    <hyperlink ref="A62" location="附注填写封面!B3" display="返回目录" xr:uid="{00000000-0004-0000-2600-000006000000}"/>
    <hyperlink ref="A74" location="现金流量表补充资料!C11" display="到间接法" xr:uid="{00000000-0004-0000-2600-000007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00"/>
  <dimension ref="B1:J93"/>
  <sheetViews>
    <sheetView showGridLines="0" workbookViewId="0"/>
  </sheetViews>
  <sheetFormatPr defaultColWidth="11" defaultRowHeight="21.95" customHeight="1"/>
  <cols>
    <col min="1" max="1" width="4.625" style="1500" customWidth="1"/>
    <col min="2" max="2" width="18.875" style="1500" customWidth="1"/>
    <col min="3" max="10" width="15" style="1500" customWidth="1"/>
    <col min="11" max="16384" width="11" style="1500"/>
  </cols>
  <sheetData>
    <row r="1" spans="2:10" ht="21.95" customHeight="1">
      <c r="B1" s="1499" t="s">
        <v>4854</v>
      </c>
    </row>
    <row r="2" spans="2:10" ht="21.95" customHeight="1">
      <c r="B2" s="1501" t="s">
        <v>4855</v>
      </c>
      <c r="C2" s="1501" t="s">
        <v>4856</v>
      </c>
      <c r="D2" s="1501" t="s">
        <v>4857</v>
      </c>
      <c r="E2" s="1501" t="s">
        <v>4858</v>
      </c>
      <c r="F2" s="1501" t="s">
        <v>4859</v>
      </c>
      <c r="G2" s="1501" t="s">
        <v>4860</v>
      </c>
      <c r="H2" s="1502" t="s">
        <v>4861</v>
      </c>
      <c r="I2" s="1502" t="s">
        <v>272</v>
      </c>
      <c r="J2" s="1501" t="s">
        <v>4862</v>
      </c>
    </row>
    <row r="3" spans="2:10" ht="21.95" customHeight="1">
      <c r="B3" s="1503" t="s">
        <v>4863</v>
      </c>
      <c r="C3" s="1504"/>
      <c r="D3" s="1504"/>
      <c r="E3" s="1504"/>
      <c r="F3" s="1504"/>
      <c r="G3" s="1504"/>
      <c r="H3" s="1505"/>
      <c r="I3" s="1506"/>
      <c r="J3" s="1505"/>
    </row>
    <row r="4" spans="2:10" ht="21.95" customHeight="1">
      <c r="B4" s="1503" t="s">
        <v>4864</v>
      </c>
      <c r="C4" s="1504"/>
      <c r="D4" s="1504"/>
      <c r="E4" s="1504"/>
      <c r="F4" s="1504"/>
      <c r="G4" s="1504"/>
      <c r="H4" s="1504"/>
      <c r="I4" s="1504"/>
      <c r="J4" s="1507">
        <f t="shared" ref="J4:J13" si="0">SUM(C4:I4)</f>
        <v>0</v>
      </c>
    </row>
    <row r="5" spans="2:10" ht="21.95" customHeight="1">
      <c r="B5" s="1503" t="s">
        <v>4865</v>
      </c>
      <c r="C5" s="1508">
        <f>SUM(C6:C9)</f>
        <v>0</v>
      </c>
      <c r="D5" s="1508">
        <f t="shared" ref="D5:I5" si="1">SUM(D6:D9)</f>
        <v>0</v>
      </c>
      <c r="E5" s="1508">
        <f t="shared" si="1"/>
        <v>0</v>
      </c>
      <c r="F5" s="1508">
        <f t="shared" si="1"/>
        <v>0</v>
      </c>
      <c r="G5" s="1508">
        <f t="shared" si="1"/>
        <v>0</v>
      </c>
      <c r="H5" s="1508">
        <f t="shared" si="1"/>
        <v>0</v>
      </c>
      <c r="I5" s="1508">
        <f t="shared" si="1"/>
        <v>0</v>
      </c>
      <c r="J5" s="1507">
        <f t="shared" si="0"/>
        <v>0</v>
      </c>
    </row>
    <row r="6" spans="2:10" ht="21.95" customHeight="1">
      <c r="B6" s="1503" t="s">
        <v>4866</v>
      </c>
      <c r="C6" s="1504"/>
      <c r="D6" s="1504"/>
      <c r="E6" s="1504"/>
      <c r="F6" s="1504"/>
      <c r="G6" s="1504"/>
      <c r="H6" s="1504"/>
      <c r="I6" s="1504"/>
      <c r="J6" s="1507">
        <f t="shared" si="0"/>
        <v>0</v>
      </c>
    </row>
    <row r="7" spans="2:10" ht="21.95" customHeight="1">
      <c r="B7" s="1503" t="s">
        <v>4867</v>
      </c>
      <c r="C7" s="1504"/>
      <c r="D7" s="1504"/>
      <c r="E7" s="1504"/>
      <c r="F7" s="1504"/>
      <c r="G7" s="1504"/>
      <c r="H7" s="1504"/>
      <c r="I7" s="1504"/>
      <c r="J7" s="1507">
        <f t="shared" si="0"/>
        <v>0</v>
      </c>
    </row>
    <row r="8" spans="2:10" ht="21.95" customHeight="1">
      <c r="B8" s="1503" t="s">
        <v>4868</v>
      </c>
      <c r="C8" s="1504"/>
      <c r="D8" s="1504"/>
      <c r="E8" s="1504"/>
      <c r="F8" s="1504"/>
      <c r="G8" s="1504"/>
      <c r="H8" s="1504"/>
      <c r="I8" s="1504"/>
      <c r="J8" s="1507">
        <f t="shared" si="0"/>
        <v>0</v>
      </c>
    </row>
    <row r="9" spans="2:10" ht="21.95" customHeight="1">
      <c r="B9" s="1503" t="s">
        <v>4869</v>
      </c>
      <c r="C9" s="1504"/>
      <c r="D9" s="1504"/>
      <c r="E9" s="1504"/>
      <c r="F9" s="1504"/>
      <c r="G9" s="1504"/>
      <c r="H9" s="1504"/>
      <c r="I9" s="1504"/>
      <c r="J9" s="1507">
        <f t="shared" si="0"/>
        <v>0</v>
      </c>
    </row>
    <row r="10" spans="2:10" ht="21.95" customHeight="1">
      <c r="B10" s="1503" t="s">
        <v>4870</v>
      </c>
      <c r="C10" s="1508">
        <f>SUM(C11:C12)</f>
        <v>0</v>
      </c>
      <c r="D10" s="1508">
        <f t="shared" ref="D10:I10" si="2">SUM(D11:D12)</f>
        <v>0</v>
      </c>
      <c r="E10" s="1508">
        <f t="shared" si="2"/>
        <v>0</v>
      </c>
      <c r="F10" s="1508">
        <f t="shared" si="2"/>
        <v>0</v>
      </c>
      <c r="G10" s="1508">
        <f t="shared" si="2"/>
        <v>0</v>
      </c>
      <c r="H10" s="1508">
        <f t="shared" si="2"/>
        <v>0</v>
      </c>
      <c r="I10" s="1508">
        <f t="shared" si="2"/>
        <v>0</v>
      </c>
      <c r="J10" s="1507">
        <f t="shared" si="0"/>
        <v>0</v>
      </c>
    </row>
    <row r="11" spans="2:10" ht="21.95" customHeight="1">
      <c r="B11" s="1503" t="s">
        <v>4871</v>
      </c>
      <c r="C11" s="1504"/>
      <c r="D11" s="1504"/>
      <c r="E11" s="1504"/>
      <c r="F11" s="1504"/>
      <c r="G11" s="1504"/>
      <c r="H11" s="1504"/>
      <c r="I11" s="1504"/>
      <c r="J11" s="1507">
        <f t="shared" si="0"/>
        <v>0</v>
      </c>
    </row>
    <row r="12" spans="2:10" ht="21.95" customHeight="1">
      <c r="B12" s="1503" t="s">
        <v>4872</v>
      </c>
      <c r="C12" s="1504"/>
      <c r="D12" s="1504"/>
      <c r="E12" s="1504"/>
      <c r="F12" s="1504"/>
      <c r="G12" s="1504"/>
      <c r="H12" s="1504"/>
      <c r="I12" s="1504"/>
      <c r="J12" s="1507">
        <f t="shared" si="0"/>
        <v>0</v>
      </c>
    </row>
    <row r="13" spans="2:10" ht="21.95" customHeight="1">
      <c r="B13" s="1503" t="s">
        <v>4873</v>
      </c>
      <c r="C13" s="1508">
        <f>C4+C5-C10</f>
        <v>0</v>
      </c>
      <c r="D13" s="1508">
        <f t="shared" ref="D13:I13" si="3">D4+D5-D10</f>
        <v>0</v>
      </c>
      <c r="E13" s="1508">
        <f t="shared" si="3"/>
        <v>0</v>
      </c>
      <c r="F13" s="1508">
        <f t="shared" si="3"/>
        <v>0</v>
      </c>
      <c r="G13" s="1508">
        <f t="shared" si="3"/>
        <v>0</v>
      </c>
      <c r="H13" s="1508">
        <f t="shared" si="3"/>
        <v>0</v>
      </c>
      <c r="I13" s="1508">
        <f t="shared" si="3"/>
        <v>0</v>
      </c>
      <c r="J13" s="1507">
        <f t="shared" si="0"/>
        <v>0</v>
      </c>
    </row>
    <row r="14" spans="2:10" ht="21.95" customHeight="1">
      <c r="B14" s="1503" t="s">
        <v>4874</v>
      </c>
      <c r="C14" s="1504"/>
      <c r="D14" s="1504"/>
      <c r="E14" s="1504"/>
      <c r="F14" s="1504"/>
      <c r="G14" s="1504"/>
      <c r="H14" s="1505"/>
      <c r="I14" s="1506"/>
      <c r="J14" s="1505"/>
    </row>
    <row r="15" spans="2:10" ht="21.95" customHeight="1">
      <c r="B15" s="1503" t="s">
        <v>4864</v>
      </c>
      <c r="C15" s="1504"/>
      <c r="D15" s="1504"/>
      <c r="E15" s="1504"/>
      <c r="F15" s="1504"/>
      <c r="G15" s="1504"/>
      <c r="H15" s="1504"/>
      <c r="I15" s="1504"/>
      <c r="J15" s="1507">
        <f t="shared" ref="J15:J22" si="4">SUM(C15:I15)</f>
        <v>0</v>
      </c>
    </row>
    <row r="16" spans="2:10" ht="21.95" customHeight="1">
      <c r="B16" s="1503" t="s">
        <v>4865</v>
      </c>
      <c r="C16" s="1508">
        <f t="shared" ref="C16:I16" si="5">SUM(C17:C18)</f>
        <v>0</v>
      </c>
      <c r="D16" s="1508">
        <f t="shared" si="5"/>
        <v>0</v>
      </c>
      <c r="E16" s="1508">
        <f t="shared" si="5"/>
        <v>0</v>
      </c>
      <c r="F16" s="1508">
        <f t="shared" si="5"/>
        <v>0</v>
      </c>
      <c r="G16" s="1508">
        <f t="shared" si="5"/>
        <v>0</v>
      </c>
      <c r="H16" s="1508">
        <f t="shared" si="5"/>
        <v>0</v>
      </c>
      <c r="I16" s="1508">
        <f t="shared" si="5"/>
        <v>0</v>
      </c>
      <c r="J16" s="1507">
        <f t="shared" si="4"/>
        <v>0</v>
      </c>
    </row>
    <row r="17" spans="2:10" ht="21.95" customHeight="1">
      <c r="B17" s="1503" t="s">
        <v>4875</v>
      </c>
      <c r="C17" s="1504"/>
      <c r="D17" s="1504"/>
      <c r="E17" s="1504"/>
      <c r="F17" s="1504"/>
      <c r="G17" s="1504"/>
      <c r="H17" s="1504"/>
      <c r="I17" s="1504"/>
      <c r="J17" s="1507">
        <f t="shared" si="4"/>
        <v>0</v>
      </c>
    </row>
    <row r="18" spans="2:10" ht="21.95" customHeight="1">
      <c r="B18" s="1503" t="s">
        <v>4872</v>
      </c>
      <c r="C18" s="1504"/>
      <c r="D18" s="1504"/>
      <c r="E18" s="1504"/>
      <c r="F18" s="1504"/>
      <c r="G18" s="1504"/>
      <c r="H18" s="1504"/>
      <c r="I18" s="1504"/>
      <c r="J18" s="1507">
        <f t="shared" si="4"/>
        <v>0</v>
      </c>
    </row>
    <row r="19" spans="2:10" ht="21.95" customHeight="1">
      <c r="B19" s="1503" t="s">
        <v>4870</v>
      </c>
      <c r="C19" s="1508">
        <f t="shared" ref="C19:I19" si="6">SUM(C20:C21)</f>
        <v>0</v>
      </c>
      <c r="D19" s="1508">
        <f t="shared" si="6"/>
        <v>0</v>
      </c>
      <c r="E19" s="1508">
        <f t="shared" si="6"/>
        <v>0</v>
      </c>
      <c r="F19" s="1508">
        <f t="shared" si="6"/>
        <v>0</v>
      </c>
      <c r="G19" s="1508">
        <f t="shared" si="6"/>
        <v>0</v>
      </c>
      <c r="H19" s="1508">
        <f t="shared" si="6"/>
        <v>0</v>
      </c>
      <c r="I19" s="1508">
        <f t="shared" si="6"/>
        <v>0</v>
      </c>
      <c r="J19" s="1507">
        <f t="shared" si="4"/>
        <v>0</v>
      </c>
    </row>
    <row r="20" spans="2:10" ht="21.95" customHeight="1">
      <c r="B20" s="1503" t="s">
        <v>4871</v>
      </c>
      <c r="C20" s="1504"/>
      <c r="D20" s="1504"/>
      <c r="E20" s="1504"/>
      <c r="F20" s="1504"/>
      <c r="G20" s="1504"/>
      <c r="H20" s="1504"/>
      <c r="I20" s="1504"/>
      <c r="J20" s="1507">
        <f t="shared" si="4"/>
        <v>0</v>
      </c>
    </row>
    <row r="21" spans="2:10" ht="21.95" customHeight="1">
      <c r="B21" s="1503" t="s">
        <v>4876</v>
      </c>
      <c r="C21" s="1504"/>
      <c r="D21" s="1504"/>
      <c r="E21" s="1504"/>
      <c r="F21" s="1504"/>
      <c r="G21" s="1504"/>
      <c r="H21" s="1504"/>
      <c r="I21" s="1504"/>
      <c r="J21" s="1507">
        <f t="shared" si="4"/>
        <v>0</v>
      </c>
    </row>
    <row r="22" spans="2:10" ht="21.95" customHeight="1">
      <c r="B22" s="1503" t="s">
        <v>4873</v>
      </c>
      <c r="C22" s="1508">
        <f>C15+C16-C19</f>
        <v>0</v>
      </c>
      <c r="D22" s="1508">
        <f t="shared" ref="D22:I22" si="7">D15+D16-D19</f>
        <v>0</v>
      </c>
      <c r="E22" s="1508">
        <f t="shared" si="7"/>
        <v>0</v>
      </c>
      <c r="F22" s="1508">
        <f t="shared" si="7"/>
        <v>0</v>
      </c>
      <c r="G22" s="1508">
        <f t="shared" si="7"/>
        <v>0</v>
      </c>
      <c r="H22" s="1508">
        <f t="shared" si="7"/>
        <v>0</v>
      </c>
      <c r="I22" s="1508">
        <f t="shared" si="7"/>
        <v>0</v>
      </c>
      <c r="J22" s="1507">
        <f t="shared" si="4"/>
        <v>0</v>
      </c>
    </row>
    <row r="23" spans="2:10" ht="21.95" customHeight="1">
      <c r="B23" s="1503" t="s">
        <v>4877</v>
      </c>
      <c r="C23" s="1504"/>
      <c r="D23" s="1504"/>
      <c r="E23" s="1504"/>
      <c r="F23" s="1504"/>
      <c r="G23" s="1504"/>
      <c r="H23" s="1505"/>
      <c r="I23" s="1506"/>
      <c r="J23" s="1505"/>
    </row>
    <row r="24" spans="2:10" ht="21.95" customHeight="1">
      <c r="B24" s="1503" t="s">
        <v>4864</v>
      </c>
      <c r="C24" s="1504"/>
      <c r="D24" s="1504"/>
      <c r="E24" s="1504"/>
      <c r="F24" s="1504"/>
      <c r="G24" s="1504"/>
      <c r="H24" s="1504"/>
      <c r="I24" s="1504"/>
      <c r="J24" s="1507">
        <f t="shared" ref="J24:J31" si="8">SUM(C24:I24)</f>
        <v>0</v>
      </c>
    </row>
    <row r="25" spans="2:10" ht="21.95" customHeight="1">
      <c r="B25" s="1503" t="s">
        <v>4865</v>
      </c>
      <c r="C25" s="1508">
        <f t="shared" ref="C25:I25" si="9">SUM(C26:C27)</f>
        <v>0</v>
      </c>
      <c r="D25" s="1508">
        <f t="shared" si="9"/>
        <v>0</v>
      </c>
      <c r="E25" s="1508">
        <f t="shared" si="9"/>
        <v>0</v>
      </c>
      <c r="F25" s="1508">
        <f t="shared" si="9"/>
        <v>0</v>
      </c>
      <c r="G25" s="1508">
        <f t="shared" si="9"/>
        <v>0</v>
      </c>
      <c r="H25" s="1508">
        <f t="shared" si="9"/>
        <v>0</v>
      </c>
      <c r="I25" s="1508">
        <f t="shared" si="9"/>
        <v>0</v>
      </c>
      <c r="J25" s="1507">
        <f t="shared" si="8"/>
        <v>0</v>
      </c>
    </row>
    <row r="26" spans="2:10" ht="21.95" customHeight="1">
      <c r="B26" s="1503" t="s">
        <v>4875</v>
      </c>
      <c r="C26" s="1504"/>
      <c r="D26" s="1504"/>
      <c r="E26" s="1504"/>
      <c r="F26" s="1504"/>
      <c r="G26" s="1504"/>
      <c r="H26" s="1504"/>
      <c r="I26" s="1504"/>
      <c r="J26" s="1507">
        <f t="shared" si="8"/>
        <v>0</v>
      </c>
    </row>
    <row r="27" spans="2:10" ht="21.95" customHeight="1">
      <c r="B27" s="1503" t="s">
        <v>4878</v>
      </c>
      <c r="C27" s="1504"/>
      <c r="D27" s="1504"/>
      <c r="E27" s="1504"/>
      <c r="F27" s="1504"/>
      <c r="G27" s="1504"/>
      <c r="H27" s="1504"/>
      <c r="I27" s="1504"/>
      <c r="J27" s="1507">
        <f t="shared" si="8"/>
        <v>0</v>
      </c>
    </row>
    <row r="28" spans="2:10" ht="21.95" customHeight="1">
      <c r="B28" s="1503" t="s">
        <v>4870</v>
      </c>
      <c r="C28" s="1508">
        <f t="shared" ref="C28:I28" si="10">SUM(C29:C30)</f>
        <v>0</v>
      </c>
      <c r="D28" s="1508">
        <f t="shared" si="10"/>
        <v>0</v>
      </c>
      <c r="E28" s="1508">
        <f t="shared" si="10"/>
        <v>0</v>
      </c>
      <c r="F28" s="1508">
        <f t="shared" si="10"/>
        <v>0</v>
      </c>
      <c r="G28" s="1508">
        <f t="shared" si="10"/>
        <v>0</v>
      </c>
      <c r="H28" s="1508">
        <f t="shared" si="10"/>
        <v>0</v>
      </c>
      <c r="I28" s="1508">
        <f t="shared" si="10"/>
        <v>0</v>
      </c>
      <c r="J28" s="1507">
        <f t="shared" si="8"/>
        <v>0</v>
      </c>
    </row>
    <row r="29" spans="2:10" ht="21.95" customHeight="1">
      <c r="B29" s="1503" t="s">
        <v>4871</v>
      </c>
      <c r="C29" s="1504"/>
      <c r="D29" s="1504"/>
      <c r="E29" s="1504"/>
      <c r="F29" s="1504"/>
      <c r="G29" s="1504"/>
      <c r="H29" s="1504"/>
      <c r="I29" s="1504"/>
      <c r="J29" s="1507">
        <f t="shared" si="8"/>
        <v>0</v>
      </c>
    </row>
    <row r="30" spans="2:10" ht="21.95" customHeight="1">
      <c r="B30" s="1503" t="s">
        <v>4878</v>
      </c>
      <c r="C30" s="1504"/>
      <c r="D30" s="1504"/>
      <c r="E30" s="1504"/>
      <c r="F30" s="1504"/>
      <c r="G30" s="1504"/>
      <c r="H30" s="1504"/>
      <c r="I30" s="1504"/>
      <c r="J30" s="1507">
        <f t="shared" si="8"/>
        <v>0</v>
      </c>
    </row>
    <row r="31" spans="2:10" ht="21.95" customHeight="1">
      <c r="B31" s="1503" t="s">
        <v>4873</v>
      </c>
      <c r="C31" s="1508">
        <f>C24+C25-C28</f>
        <v>0</v>
      </c>
      <c r="D31" s="1508">
        <f t="shared" ref="D31:I31" si="11">D24+D25-D28</f>
        <v>0</v>
      </c>
      <c r="E31" s="1508">
        <f t="shared" si="11"/>
        <v>0</v>
      </c>
      <c r="F31" s="1508">
        <f t="shared" si="11"/>
        <v>0</v>
      </c>
      <c r="G31" s="1508">
        <f t="shared" si="11"/>
        <v>0</v>
      </c>
      <c r="H31" s="1508">
        <f t="shared" si="11"/>
        <v>0</v>
      </c>
      <c r="I31" s="1508">
        <f t="shared" si="11"/>
        <v>0</v>
      </c>
      <c r="J31" s="1507">
        <f t="shared" si="8"/>
        <v>0</v>
      </c>
    </row>
    <row r="32" spans="2:10" ht="21.95" customHeight="1">
      <c r="B32" s="1503" t="s">
        <v>4879</v>
      </c>
      <c r="C32" s="1504"/>
      <c r="D32" s="1504"/>
      <c r="E32" s="1504"/>
      <c r="F32" s="1504"/>
      <c r="G32" s="1504"/>
      <c r="H32" s="1505"/>
      <c r="I32" s="1506"/>
      <c r="J32" s="1505"/>
    </row>
    <row r="33" spans="2:10" ht="21.95" customHeight="1">
      <c r="B33" s="1503" t="s">
        <v>4880</v>
      </c>
      <c r="C33" s="1508">
        <f>C13-C22-C31</f>
        <v>0</v>
      </c>
      <c r="D33" s="1508">
        <f t="shared" ref="D33:I33" si="12">D13-D22-D31</f>
        <v>0</v>
      </c>
      <c r="E33" s="1508">
        <f t="shared" si="12"/>
        <v>0</v>
      </c>
      <c r="F33" s="1508">
        <f t="shared" si="12"/>
        <v>0</v>
      </c>
      <c r="G33" s="1508">
        <f t="shared" si="12"/>
        <v>0</v>
      </c>
      <c r="H33" s="1508">
        <f t="shared" si="12"/>
        <v>0</v>
      </c>
      <c r="I33" s="1508">
        <f t="shared" si="12"/>
        <v>0</v>
      </c>
      <c r="J33" s="1507">
        <f>SUM(C33:I33)</f>
        <v>0</v>
      </c>
    </row>
    <row r="34" spans="2:10" ht="21.95" customHeight="1">
      <c r="B34" s="1503" t="s">
        <v>4881</v>
      </c>
      <c r="C34" s="1508">
        <f>C4-C15-C24</f>
        <v>0</v>
      </c>
      <c r="D34" s="1508">
        <f t="shared" ref="D34:I34" si="13">D4-D15-D24</f>
        <v>0</v>
      </c>
      <c r="E34" s="1508">
        <f t="shared" si="13"/>
        <v>0</v>
      </c>
      <c r="F34" s="1508">
        <f t="shared" si="13"/>
        <v>0</v>
      </c>
      <c r="G34" s="1508">
        <f t="shared" si="13"/>
        <v>0</v>
      </c>
      <c r="H34" s="1508">
        <f t="shared" si="13"/>
        <v>0</v>
      </c>
      <c r="I34" s="1508">
        <f t="shared" si="13"/>
        <v>0</v>
      </c>
      <c r="J34" s="1507">
        <f>SUM(C34:I34)</f>
        <v>0</v>
      </c>
    </row>
    <row r="37" spans="2:10" ht="21.95" customHeight="1">
      <c r="B37" s="1860" t="s">
        <v>4882</v>
      </c>
      <c r="C37" s="1860"/>
      <c r="D37" s="1860"/>
      <c r="E37" s="1860"/>
    </row>
    <row r="38" spans="2:10" ht="21.95" customHeight="1">
      <c r="B38" s="1502" t="s">
        <v>4855</v>
      </c>
      <c r="C38" s="1502" t="s">
        <v>4883</v>
      </c>
      <c r="D38" s="1502" t="s">
        <v>4884</v>
      </c>
      <c r="E38" s="1502" t="s">
        <v>277</v>
      </c>
      <c r="F38" s="1502" t="s">
        <v>281</v>
      </c>
      <c r="G38" s="1502" t="s">
        <v>4885</v>
      </c>
    </row>
    <row r="39" spans="2:10" ht="21.95" customHeight="1">
      <c r="B39" s="1503" t="s">
        <v>4856</v>
      </c>
      <c r="C39" s="1506"/>
      <c r="D39" s="1506"/>
      <c r="E39" s="1506"/>
      <c r="F39" s="1509">
        <f>C39-D39-E39</f>
        <v>0</v>
      </c>
      <c r="G39" s="1501"/>
    </row>
    <row r="40" spans="2:10" ht="21.95" customHeight="1">
      <c r="B40" s="1503" t="s">
        <v>4857</v>
      </c>
      <c r="C40" s="1506"/>
      <c r="D40" s="1506"/>
      <c r="E40" s="1506"/>
      <c r="F40" s="1509">
        <f t="shared" ref="F40:F45" si="14">C40-D40-E40</f>
        <v>0</v>
      </c>
      <c r="G40" s="1501"/>
    </row>
    <row r="41" spans="2:10" ht="21.95" customHeight="1">
      <c r="B41" s="1503" t="s">
        <v>4858</v>
      </c>
      <c r="C41" s="1506"/>
      <c r="D41" s="1506"/>
      <c r="E41" s="1506"/>
      <c r="F41" s="1509">
        <f t="shared" si="14"/>
        <v>0</v>
      </c>
      <c r="G41" s="1501"/>
    </row>
    <row r="42" spans="2:10" ht="21.95" customHeight="1">
      <c r="B42" s="1503" t="s">
        <v>4859</v>
      </c>
      <c r="C42" s="1506"/>
      <c r="D42" s="1506"/>
      <c r="E42" s="1506"/>
      <c r="F42" s="1509">
        <f t="shared" si="14"/>
        <v>0</v>
      </c>
      <c r="G42" s="1501"/>
    </row>
    <row r="43" spans="2:10" ht="21.95" customHeight="1">
      <c r="B43" s="1503" t="s">
        <v>4860</v>
      </c>
      <c r="C43" s="1506"/>
      <c r="D43" s="1506"/>
      <c r="E43" s="1506"/>
      <c r="F43" s="1509">
        <f t="shared" si="14"/>
        <v>0</v>
      </c>
      <c r="G43" s="1501"/>
    </row>
    <row r="44" spans="2:10" ht="21.95" customHeight="1">
      <c r="B44" s="1510" t="s">
        <v>4861</v>
      </c>
      <c r="C44" s="1506"/>
      <c r="D44" s="1506"/>
      <c r="E44" s="1506"/>
      <c r="F44" s="1509">
        <f t="shared" si="14"/>
        <v>0</v>
      </c>
      <c r="G44" s="1501"/>
    </row>
    <row r="45" spans="2:10" ht="21.95" customHeight="1">
      <c r="B45" s="1510" t="s">
        <v>272</v>
      </c>
      <c r="C45" s="1506"/>
      <c r="D45" s="1506"/>
      <c r="E45" s="1506"/>
      <c r="F45" s="1509">
        <f t="shared" si="14"/>
        <v>0</v>
      </c>
      <c r="G45" s="1501"/>
    </row>
    <row r="46" spans="2:10" ht="21.95" customHeight="1">
      <c r="B46" s="1502" t="s">
        <v>4862</v>
      </c>
      <c r="C46" s="1509">
        <f>SUM(C39:C45)</f>
        <v>0</v>
      </c>
      <c r="D46" s="1509">
        <f>SUM(D39:D45)</f>
        <v>0</v>
      </c>
      <c r="E46" s="1509">
        <f>SUM(E39:E45)</f>
        <v>0</v>
      </c>
      <c r="F46" s="1509">
        <f>C46-D46-E46</f>
        <v>0</v>
      </c>
      <c r="G46" s="1501"/>
    </row>
    <row r="47" spans="2:10" ht="21.95" customHeight="1">
      <c r="B47" s="1511"/>
      <c r="C47" s="1512"/>
      <c r="D47" s="1512"/>
      <c r="E47" s="1512"/>
      <c r="F47" s="1512"/>
      <c r="G47" s="1513"/>
    </row>
    <row r="48" spans="2:10" ht="21.95" customHeight="1">
      <c r="B48" s="1511"/>
      <c r="C48" s="1512"/>
      <c r="D48" s="1512"/>
      <c r="E48" s="1512"/>
      <c r="F48" s="1512"/>
      <c r="G48" s="1513"/>
    </row>
    <row r="49" spans="2:6" ht="21.95" customHeight="1">
      <c r="B49" s="1514" t="s">
        <v>4886</v>
      </c>
    </row>
    <row r="50" spans="2:6" ht="21.95" customHeight="1">
      <c r="B50" s="1501" t="s">
        <v>4855</v>
      </c>
      <c r="C50" s="1501" t="s">
        <v>4883</v>
      </c>
      <c r="D50" s="1502" t="s">
        <v>4884</v>
      </c>
      <c r="E50" s="1502" t="s">
        <v>277</v>
      </c>
      <c r="F50" s="1501" t="s">
        <v>281</v>
      </c>
    </row>
    <row r="51" spans="2:6" ht="21.95" customHeight="1">
      <c r="B51" s="1501"/>
      <c r="C51" s="1501"/>
      <c r="D51" s="1502"/>
      <c r="E51" s="1502"/>
      <c r="F51" s="1509">
        <f t="shared" ref="F51:F64" si="15">C51-D51-E51</f>
        <v>0</v>
      </c>
    </row>
    <row r="52" spans="2:6" ht="21.95" customHeight="1">
      <c r="B52" s="1501"/>
      <c r="C52" s="1501"/>
      <c r="D52" s="1502"/>
      <c r="E52" s="1502"/>
      <c r="F52" s="1509">
        <f t="shared" si="15"/>
        <v>0</v>
      </c>
    </row>
    <row r="53" spans="2:6" ht="21.95" customHeight="1">
      <c r="B53" s="1501"/>
      <c r="C53" s="1501"/>
      <c r="D53" s="1502"/>
      <c r="E53" s="1502"/>
      <c r="F53" s="1509">
        <f t="shared" si="15"/>
        <v>0</v>
      </c>
    </row>
    <row r="54" spans="2:6" ht="21.95" customHeight="1">
      <c r="B54" s="1501"/>
      <c r="C54" s="1501"/>
      <c r="D54" s="1502"/>
      <c r="E54" s="1502"/>
      <c r="F54" s="1509">
        <f t="shared" si="15"/>
        <v>0</v>
      </c>
    </row>
    <row r="55" spans="2:6" ht="21.95" customHeight="1">
      <c r="B55" s="1501"/>
      <c r="C55" s="1501"/>
      <c r="D55" s="1502"/>
      <c r="E55" s="1502"/>
      <c r="F55" s="1509">
        <f t="shared" si="15"/>
        <v>0</v>
      </c>
    </row>
    <row r="56" spans="2:6" ht="21.95" customHeight="1">
      <c r="B56" s="1501"/>
      <c r="C56" s="1501"/>
      <c r="D56" s="1502"/>
      <c r="E56" s="1502"/>
      <c r="F56" s="1509">
        <f t="shared" si="15"/>
        <v>0</v>
      </c>
    </row>
    <row r="57" spans="2:6" ht="21.95" customHeight="1">
      <c r="B57" s="1501"/>
      <c r="C57" s="1501"/>
      <c r="D57" s="1502"/>
      <c r="E57" s="1502"/>
      <c r="F57" s="1509">
        <f t="shared" si="15"/>
        <v>0</v>
      </c>
    </row>
    <row r="58" spans="2:6" ht="21.95" customHeight="1">
      <c r="B58" s="1501"/>
      <c r="C58" s="1501"/>
      <c r="D58" s="1502"/>
      <c r="E58" s="1502"/>
      <c r="F58" s="1509">
        <f t="shared" si="15"/>
        <v>0</v>
      </c>
    </row>
    <row r="59" spans="2:6" ht="21.95" customHeight="1">
      <c r="B59" s="1501"/>
      <c r="C59" s="1501"/>
      <c r="D59" s="1502"/>
      <c r="E59" s="1502"/>
      <c r="F59" s="1509">
        <f t="shared" si="15"/>
        <v>0</v>
      </c>
    </row>
    <row r="60" spans="2:6" ht="21.95" customHeight="1">
      <c r="B60" s="1501"/>
      <c r="C60" s="1501"/>
      <c r="D60" s="1502"/>
      <c r="E60" s="1502"/>
      <c r="F60" s="1509">
        <f t="shared" si="15"/>
        <v>0</v>
      </c>
    </row>
    <row r="61" spans="2:6" ht="21.95" customHeight="1">
      <c r="B61" s="1501"/>
      <c r="C61" s="1501"/>
      <c r="D61" s="1502"/>
      <c r="E61" s="1502"/>
      <c r="F61" s="1509">
        <f t="shared" si="15"/>
        <v>0</v>
      </c>
    </row>
    <row r="62" spans="2:6" ht="21.95" customHeight="1">
      <c r="B62" s="1501"/>
      <c r="C62" s="1501"/>
      <c r="D62" s="1502"/>
      <c r="E62" s="1502"/>
      <c r="F62" s="1509">
        <f t="shared" si="15"/>
        <v>0</v>
      </c>
    </row>
    <row r="63" spans="2:6" ht="21.95" customHeight="1">
      <c r="B63" s="1515" t="s">
        <v>223</v>
      </c>
      <c r="C63" s="1516"/>
      <c r="D63" s="1517"/>
      <c r="E63" s="1517"/>
      <c r="F63" s="1509">
        <f t="shared" si="15"/>
        <v>0</v>
      </c>
    </row>
    <row r="64" spans="2:6" ht="21.95" customHeight="1">
      <c r="B64" s="1501"/>
      <c r="C64" s="1518"/>
      <c r="D64" s="1519"/>
      <c r="E64" s="1519"/>
      <c r="F64" s="1509">
        <f t="shared" si="15"/>
        <v>0</v>
      </c>
    </row>
    <row r="65" spans="2:6" ht="21.95" customHeight="1">
      <c r="B65" s="1513"/>
      <c r="C65" s="1520"/>
      <c r="D65" s="1512"/>
      <c r="E65" s="1512"/>
      <c r="F65" s="1520"/>
    </row>
    <row r="66" spans="2:6" ht="21.95" customHeight="1">
      <c r="B66" s="1513"/>
      <c r="C66" s="1520"/>
      <c r="D66" s="1512"/>
      <c r="E66" s="1512"/>
      <c r="F66" s="1520"/>
    </row>
    <row r="67" spans="2:6" ht="21.95" customHeight="1">
      <c r="B67" s="1521" t="s">
        <v>4887</v>
      </c>
      <c r="C67" s="1513"/>
      <c r="D67" s="1513"/>
    </row>
    <row r="68" spans="2:6" ht="21.95" customHeight="1">
      <c r="B68" s="1501" t="s">
        <v>4888</v>
      </c>
      <c r="C68" s="1501" t="s">
        <v>2803</v>
      </c>
    </row>
    <row r="69" spans="2:6" ht="21.95" customHeight="1">
      <c r="B69" s="1503" t="s">
        <v>4856</v>
      </c>
      <c r="C69" s="1516"/>
    </row>
    <row r="70" spans="2:6" ht="21.95" customHeight="1">
      <c r="B70" s="1503" t="s">
        <v>4857</v>
      </c>
      <c r="C70" s="1518"/>
    </row>
    <row r="71" spans="2:6" ht="21.95" customHeight="1">
      <c r="B71" s="1503" t="s">
        <v>4858</v>
      </c>
      <c r="C71" s="1518"/>
    </row>
    <row r="72" spans="2:6" ht="21.95" customHeight="1">
      <c r="B72" s="1503" t="s">
        <v>4859</v>
      </c>
      <c r="C72" s="1518"/>
    </row>
    <row r="73" spans="2:6" ht="21.95" customHeight="1">
      <c r="B73" s="1503" t="s">
        <v>4860</v>
      </c>
      <c r="C73" s="1518"/>
    </row>
    <row r="74" spans="2:6" ht="21.95" customHeight="1">
      <c r="B74" s="1510" t="s">
        <v>4861</v>
      </c>
      <c r="C74" s="1518"/>
    </row>
    <row r="75" spans="2:6" ht="21.95" customHeight="1">
      <c r="B75" s="1510" t="s">
        <v>272</v>
      </c>
      <c r="C75" s="1518"/>
    </row>
    <row r="76" spans="2:6" ht="21.95" customHeight="1">
      <c r="B76" s="1501" t="s">
        <v>4862</v>
      </c>
      <c r="C76" s="1518"/>
    </row>
    <row r="79" spans="2:6" ht="21.95" customHeight="1">
      <c r="B79" s="1500" t="s">
        <v>4889</v>
      </c>
    </row>
    <row r="80" spans="2:6" ht="21.95" customHeight="1">
      <c r="B80" s="1502" t="s">
        <v>4888</v>
      </c>
      <c r="C80" s="1502" t="s">
        <v>281</v>
      </c>
      <c r="D80" s="1502" t="s">
        <v>4890</v>
      </c>
    </row>
    <row r="81" spans="2:4" ht="21.95" customHeight="1">
      <c r="B81" s="1503"/>
      <c r="C81" s="1522"/>
      <c r="D81" s="1519"/>
    </row>
    <row r="82" spans="2:4" ht="21.95" customHeight="1">
      <c r="B82" s="1503"/>
      <c r="C82" s="1522"/>
      <c r="D82" s="1519"/>
    </row>
    <row r="83" spans="2:4" ht="21.95" customHeight="1">
      <c r="B83" s="1503"/>
      <c r="C83" s="1522"/>
      <c r="D83" s="1519"/>
    </row>
    <row r="84" spans="2:4" ht="21.95" customHeight="1">
      <c r="B84" s="1503"/>
      <c r="C84" s="1522"/>
      <c r="D84" s="1519"/>
    </row>
    <row r="85" spans="2:4" ht="21.95" customHeight="1">
      <c r="B85" s="1503"/>
      <c r="C85" s="1522"/>
      <c r="D85" s="1519"/>
    </row>
    <row r="86" spans="2:4" ht="21.95" customHeight="1">
      <c r="B86" s="1510"/>
      <c r="C86" s="1522"/>
      <c r="D86" s="1519"/>
    </row>
    <row r="87" spans="2:4" ht="21.95" customHeight="1">
      <c r="B87" s="1510"/>
      <c r="C87" s="1522"/>
      <c r="D87" s="1519"/>
    </row>
    <row r="88" spans="2:4" ht="21.95" customHeight="1">
      <c r="B88" s="1522"/>
      <c r="C88" s="1522"/>
      <c r="D88" s="1519"/>
    </row>
    <row r="89" spans="2:4" ht="21.95" customHeight="1">
      <c r="B89" s="1502"/>
      <c r="C89" s="1522"/>
      <c r="D89" s="1519"/>
    </row>
    <row r="91" spans="2:4" ht="21.95" customHeight="1">
      <c r="B91" s="1523"/>
      <c r="C91" s="1524" t="s">
        <v>4891</v>
      </c>
      <c r="D91" s="1524" t="s">
        <v>4892</v>
      </c>
    </row>
    <row r="92" spans="2:4" ht="21.95" customHeight="1">
      <c r="B92" s="1524" t="s">
        <v>4893</v>
      </c>
      <c r="C92" s="1525">
        <f>审定资产负债表!D39</f>
        <v>151533.72</v>
      </c>
      <c r="D92" s="1525">
        <f>审定资产负债表!C39</f>
        <v>112826.48</v>
      </c>
    </row>
    <row r="93" spans="2:4" ht="21.95" customHeight="1">
      <c r="B93" s="1524" t="s">
        <v>4894</v>
      </c>
      <c r="C93" s="1525">
        <f>C92-J34</f>
        <v>151533.72</v>
      </c>
      <c r="D93" s="1525">
        <f>D92-J33</f>
        <v>112826.48</v>
      </c>
    </row>
  </sheetData>
  <mergeCells count="1">
    <mergeCell ref="B37:E37"/>
  </mergeCells>
  <phoneticPr fontId="5" type="noConversion"/>
  <pageMargins left="0.7" right="0.7" top="0.75" bottom="0.75" header="0.3" footer="0.3"/>
  <pageSetup paperSize="9" orientation="portrait" horizontalDpi="4294967292" verticalDpi="4294967292" r:id="rId1"/>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I63"/>
  <sheetViews>
    <sheetView showGridLines="0" showZeros="0" topLeftCell="A35" workbookViewId="0">
      <selection activeCell="C55" sqref="C55"/>
    </sheetView>
  </sheetViews>
  <sheetFormatPr defaultColWidth="11.625" defaultRowHeight="13.5"/>
  <cols>
    <col min="1" max="1" width="9.625" style="959" customWidth="1"/>
    <col min="2" max="2" width="5.625" style="863" hidden="1" customWidth="1"/>
    <col min="3" max="3" width="26.625" style="932" customWidth="1"/>
    <col min="4" max="4" width="10.875" style="119" customWidth="1"/>
    <col min="5" max="6" width="11.625" style="119"/>
    <col min="7" max="7" width="13.125" style="119" customWidth="1"/>
    <col min="8" max="9" width="11.625" style="119"/>
    <col min="10" max="16384" width="11.625" style="150"/>
  </cols>
  <sheetData>
    <row r="1" spans="1:9" ht="21" customHeight="1">
      <c r="A1" s="958" t="s">
        <v>2738</v>
      </c>
      <c r="B1" s="861" t="s">
        <v>2787</v>
      </c>
      <c r="C1" s="862" t="s">
        <v>2975</v>
      </c>
    </row>
    <row r="2" spans="1:9">
      <c r="B2" s="863">
        <v>2</v>
      </c>
      <c r="C2" s="928" t="s">
        <v>2976</v>
      </c>
    </row>
    <row r="3" spans="1:9">
      <c r="C3" s="872" t="s">
        <v>274</v>
      </c>
      <c r="D3" s="1861" t="s">
        <v>276</v>
      </c>
      <c r="E3" s="1862"/>
      <c r="F3" s="1863"/>
      <c r="G3" s="1861" t="s">
        <v>275</v>
      </c>
      <c r="H3" s="1862"/>
      <c r="I3" s="1863"/>
    </row>
    <row r="4" spans="1:9" ht="12" customHeight="1">
      <c r="C4" s="872"/>
      <c r="D4" s="1305" t="s">
        <v>279</v>
      </c>
      <c r="E4" s="1305" t="s">
        <v>277</v>
      </c>
      <c r="F4" s="1305" t="s">
        <v>281</v>
      </c>
      <c r="G4" s="1305" t="s">
        <v>279</v>
      </c>
      <c r="H4" s="1305" t="s">
        <v>277</v>
      </c>
      <c r="I4" s="1305" t="s">
        <v>281</v>
      </c>
    </row>
    <row r="5" spans="1:9">
      <c r="C5" s="871" t="s">
        <v>2669</v>
      </c>
      <c r="D5" s="1306"/>
      <c r="E5" s="1306"/>
      <c r="F5" s="1309">
        <f>D5-E5</f>
        <v>0</v>
      </c>
      <c r="G5" s="1306"/>
      <c r="H5" s="1306"/>
      <c r="I5" s="1309">
        <f>G5-H5</f>
        <v>0</v>
      </c>
    </row>
    <row r="6" spans="1:9">
      <c r="C6" s="871" t="s">
        <v>2670</v>
      </c>
      <c r="D6" s="1306"/>
      <c r="E6" s="1306"/>
      <c r="F6" s="1309">
        <f t="shared" ref="F6:F14" si="0">D6-E6</f>
        <v>0</v>
      </c>
      <c r="G6" s="1306"/>
      <c r="H6" s="1306"/>
      <c r="I6" s="1309">
        <f t="shared" ref="I6:I14" si="1">G6-H6</f>
        <v>0</v>
      </c>
    </row>
    <row r="7" spans="1:9">
      <c r="C7" s="871" t="s">
        <v>2671</v>
      </c>
      <c r="D7" s="1306"/>
      <c r="E7" s="1306"/>
      <c r="F7" s="1309">
        <f t="shared" si="0"/>
        <v>0</v>
      </c>
      <c r="G7" s="1306"/>
      <c r="H7" s="1306"/>
      <c r="I7" s="1309">
        <f t="shared" si="1"/>
        <v>0</v>
      </c>
    </row>
    <row r="8" spans="1:9">
      <c r="C8" s="871" t="s">
        <v>2672</v>
      </c>
      <c r="D8" s="1306"/>
      <c r="E8" s="1306"/>
      <c r="F8" s="1309">
        <f t="shared" si="0"/>
        <v>0</v>
      </c>
      <c r="G8" s="1306"/>
      <c r="H8" s="1306"/>
      <c r="I8" s="1309">
        <f t="shared" si="1"/>
        <v>0</v>
      </c>
    </row>
    <row r="9" spans="1:9">
      <c r="C9" s="871" t="s">
        <v>2673</v>
      </c>
      <c r="D9" s="1306"/>
      <c r="E9" s="1306"/>
      <c r="F9" s="1309">
        <f t="shared" si="0"/>
        <v>0</v>
      </c>
      <c r="G9" s="1306"/>
      <c r="H9" s="1306"/>
      <c r="I9" s="1309">
        <f t="shared" si="1"/>
        <v>0</v>
      </c>
    </row>
    <row r="10" spans="1:9">
      <c r="C10" s="871" t="s">
        <v>2674</v>
      </c>
      <c r="D10" s="1306"/>
      <c r="E10" s="1306"/>
      <c r="F10" s="1309">
        <f t="shared" si="0"/>
        <v>0</v>
      </c>
      <c r="G10" s="1306"/>
      <c r="H10" s="1306"/>
      <c r="I10" s="1309">
        <f t="shared" si="1"/>
        <v>0</v>
      </c>
    </row>
    <row r="11" spans="1:9">
      <c r="C11" s="871" t="s">
        <v>2675</v>
      </c>
      <c r="D11" s="1306"/>
      <c r="E11" s="1306"/>
      <c r="F11" s="1309">
        <f t="shared" si="0"/>
        <v>0</v>
      </c>
      <c r="G11" s="1306"/>
      <c r="H11" s="1306"/>
      <c r="I11" s="1309">
        <f t="shared" si="1"/>
        <v>0</v>
      </c>
    </row>
    <row r="12" spans="1:9">
      <c r="C12" s="871" t="s">
        <v>2676</v>
      </c>
      <c r="D12" s="1306"/>
      <c r="E12" s="1306"/>
      <c r="F12" s="1309">
        <f t="shared" si="0"/>
        <v>0</v>
      </c>
      <c r="G12" s="1306"/>
      <c r="H12" s="1306"/>
      <c r="I12" s="1309">
        <f t="shared" si="1"/>
        <v>0</v>
      </c>
    </row>
    <row r="13" spans="1:9">
      <c r="C13" s="871" t="s">
        <v>2677</v>
      </c>
      <c r="D13" s="1306"/>
      <c r="E13" s="1306"/>
      <c r="F13" s="1309">
        <f t="shared" si="0"/>
        <v>0</v>
      </c>
      <c r="G13" s="1306"/>
      <c r="H13" s="1306"/>
      <c r="I13" s="1309">
        <f t="shared" si="1"/>
        <v>0</v>
      </c>
    </row>
    <row r="14" spans="1:9">
      <c r="C14" s="871" t="s">
        <v>2678</v>
      </c>
      <c r="D14" s="1306"/>
      <c r="E14" s="1306"/>
      <c r="F14" s="1309">
        <f t="shared" si="0"/>
        <v>0</v>
      </c>
      <c r="G14" s="1306"/>
      <c r="H14" s="1306"/>
      <c r="I14" s="1309">
        <f t="shared" si="1"/>
        <v>0</v>
      </c>
    </row>
    <row r="15" spans="1:9">
      <c r="C15" s="872" t="s">
        <v>278</v>
      </c>
      <c r="D15" s="1309">
        <f>SUM(D5:D14)</f>
        <v>0</v>
      </c>
      <c r="E15" s="1309">
        <f t="shared" ref="E15:H15" si="2">SUM(E5:E14)</f>
        <v>0</v>
      </c>
      <c r="F15" s="1309">
        <f>D15-E15</f>
        <v>0</v>
      </c>
      <c r="G15" s="1309">
        <f t="shared" si="2"/>
        <v>0</v>
      </c>
      <c r="H15" s="1309">
        <f t="shared" si="2"/>
        <v>0</v>
      </c>
      <c r="I15" s="1309">
        <f>G15-H15</f>
        <v>0</v>
      </c>
    </row>
    <row r="16" spans="1:9">
      <c r="B16" s="863">
        <v>3</v>
      </c>
      <c r="C16" s="928" t="s">
        <v>2977</v>
      </c>
    </row>
    <row r="17" spans="1:9">
      <c r="A17" s="958" t="s">
        <v>2738</v>
      </c>
      <c r="B17" s="863">
        <v>4</v>
      </c>
      <c r="C17" s="864" t="s">
        <v>2978</v>
      </c>
      <c r="D17" s="1307" t="s">
        <v>2979</v>
      </c>
      <c r="E17" s="1307" t="s">
        <v>2990</v>
      </c>
      <c r="F17" s="1307" t="s">
        <v>2926</v>
      </c>
      <c r="G17" s="1307" t="s">
        <v>2980</v>
      </c>
      <c r="H17" s="1307" t="s">
        <v>2981</v>
      </c>
      <c r="I17" s="1307" t="s">
        <v>2840</v>
      </c>
    </row>
    <row r="18" spans="1:9">
      <c r="B18" s="863">
        <v>5</v>
      </c>
      <c r="C18" s="864" t="s">
        <v>2725</v>
      </c>
      <c r="D18" s="1308"/>
      <c r="E18" s="1309">
        <f>SUM(E19:E28)</f>
        <v>0</v>
      </c>
      <c r="F18" s="1309">
        <f>SUM(F19:F28)</f>
        <v>0</v>
      </c>
      <c r="G18" s="1309">
        <f>SUM(G19:G28)</f>
        <v>0</v>
      </c>
      <c r="H18" s="1309">
        <f>SUM(H19:H28)</f>
        <v>0</v>
      </c>
      <c r="I18" s="1309">
        <f t="shared" ref="I18:I28" si="3">E18+F18-G18-H18</f>
        <v>0</v>
      </c>
    </row>
    <row r="19" spans="1:9">
      <c r="A19" s="959">
        <v>1</v>
      </c>
      <c r="B19" s="863">
        <v>6</v>
      </c>
      <c r="C19" s="914"/>
      <c r="D19" s="1308"/>
      <c r="E19" s="1308"/>
      <c r="F19" s="1308"/>
      <c r="G19" s="1308"/>
      <c r="H19" s="1308"/>
      <c r="I19" s="1309">
        <f t="shared" si="3"/>
        <v>0</v>
      </c>
    </row>
    <row r="20" spans="1:9">
      <c r="A20" s="959">
        <v>2</v>
      </c>
      <c r="B20" s="863">
        <v>7</v>
      </c>
      <c r="C20" s="867"/>
      <c r="D20" s="1308"/>
      <c r="E20" s="1308"/>
      <c r="F20" s="1308"/>
      <c r="G20" s="1308"/>
      <c r="H20" s="1308"/>
      <c r="I20" s="1309">
        <f t="shared" si="3"/>
        <v>0</v>
      </c>
    </row>
    <row r="21" spans="1:9">
      <c r="A21" s="959">
        <v>3</v>
      </c>
      <c r="B21" s="863">
        <v>8</v>
      </c>
      <c r="C21" s="867"/>
      <c r="D21" s="1308"/>
      <c r="E21" s="1308"/>
      <c r="F21" s="1308"/>
      <c r="G21" s="1308"/>
      <c r="H21" s="1308"/>
      <c r="I21" s="1309">
        <f t="shared" si="3"/>
        <v>0</v>
      </c>
    </row>
    <row r="22" spans="1:9">
      <c r="A22" s="959">
        <v>4</v>
      </c>
      <c r="B22" s="863">
        <v>9</v>
      </c>
      <c r="C22" s="867"/>
      <c r="D22" s="1308"/>
      <c r="E22" s="1308"/>
      <c r="F22" s="1308"/>
      <c r="G22" s="1308"/>
      <c r="H22" s="1308"/>
      <c r="I22" s="1309">
        <f t="shared" si="3"/>
        <v>0</v>
      </c>
    </row>
    <row r="23" spans="1:9">
      <c r="A23" s="959">
        <v>5</v>
      </c>
      <c r="B23" s="863">
        <v>10</v>
      </c>
      <c r="C23" s="867"/>
      <c r="D23" s="1308"/>
      <c r="E23" s="1308"/>
      <c r="F23" s="1308"/>
      <c r="G23" s="1308"/>
      <c r="H23" s="1308"/>
      <c r="I23" s="1309">
        <f t="shared" si="3"/>
        <v>0</v>
      </c>
    </row>
    <row r="24" spans="1:9">
      <c r="A24" s="959">
        <v>6</v>
      </c>
      <c r="B24" s="863">
        <v>11</v>
      </c>
      <c r="C24" s="867"/>
      <c r="D24" s="1308"/>
      <c r="E24" s="1308"/>
      <c r="F24" s="1308"/>
      <c r="G24" s="1308"/>
      <c r="H24" s="1308"/>
      <c r="I24" s="1309">
        <f t="shared" si="3"/>
        <v>0</v>
      </c>
    </row>
    <row r="25" spans="1:9">
      <c r="A25" s="959">
        <v>7</v>
      </c>
      <c r="B25" s="863">
        <v>12</v>
      </c>
      <c r="C25" s="867"/>
      <c r="D25" s="1308"/>
      <c r="E25" s="1308"/>
      <c r="F25" s="1308"/>
      <c r="G25" s="1308"/>
      <c r="H25" s="1308"/>
      <c r="I25" s="1309">
        <f t="shared" si="3"/>
        <v>0</v>
      </c>
    </row>
    <row r="26" spans="1:9">
      <c r="A26" s="959">
        <v>8</v>
      </c>
      <c r="B26" s="863">
        <v>13</v>
      </c>
      <c r="C26" s="867"/>
      <c r="D26" s="1308"/>
      <c r="E26" s="1308"/>
      <c r="F26" s="1308"/>
      <c r="G26" s="1308"/>
      <c r="H26" s="1308"/>
      <c r="I26" s="1309">
        <f t="shared" si="3"/>
        <v>0</v>
      </c>
    </row>
    <row r="27" spans="1:9">
      <c r="A27" s="959">
        <v>9</v>
      </c>
      <c r="B27" s="863">
        <v>14</v>
      </c>
      <c r="C27" s="867"/>
      <c r="D27" s="1308"/>
      <c r="E27" s="1308"/>
      <c r="F27" s="1308"/>
      <c r="G27" s="1308"/>
      <c r="H27" s="1308"/>
      <c r="I27" s="1309">
        <f t="shared" si="3"/>
        <v>0</v>
      </c>
    </row>
    <row r="28" spans="1:9">
      <c r="A28" s="959">
        <v>10</v>
      </c>
      <c r="B28" s="863">
        <v>15</v>
      </c>
      <c r="C28" s="867"/>
      <c r="D28" s="1308"/>
      <c r="E28" s="1308"/>
      <c r="F28" s="1308"/>
      <c r="G28" s="1308"/>
      <c r="H28" s="1308"/>
      <c r="I28" s="1309">
        <f t="shared" si="3"/>
        <v>0</v>
      </c>
    </row>
    <row r="29" spans="1:9">
      <c r="A29" s="811" t="str">
        <f>HYPERLINK("#C1","置顶")</f>
        <v>置顶</v>
      </c>
      <c r="B29" s="863">
        <v>16</v>
      </c>
      <c r="C29" s="965" t="s">
        <v>2982</v>
      </c>
    </row>
    <row r="30" spans="1:9" ht="27">
      <c r="A30" s="958" t="s">
        <v>2738</v>
      </c>
      <c r="B30" s="863">
        <v>17</v>
      </c>
      <c r="C30" s="864" t="s">
        <v>2978</v>
      </c>
      <c r="D30" s="1423" t="s">
        <v>4689</v>
      </c>
      <c r="E30" s="1469" t="s">
        <v>4819</v>
      </c>
      <c r="F30" s="1307" t="s">
        <v>2983</v>
      </c>
      <c r="G30" s="1307" t="s">
        <v>2986</v>
      </c>
      <c r="H30" s="1307" t="s">
        <v>2987</v>
      </c>
      <c r="I30" s="1307" t="s">
        <v>2991</v>
      </c>
    </row>
    <row r="31" spans="1:9">
      <c r="B31" s="863">
        <v>18</v>
      </c>
      <c r="C31" s="966" t="str">
        <f>C18</f>
        <v>合 计</v>
      </c>
      <c r="D31" s="1310"/>
      <c r="E31" s="1311"/>
      <c r="F31" s="1312">
        <f>SUM(F32:F41)</f>
        <v>0</v>
      </c>
      <c r="G31" s="1312">
        <f>SUM(G32:G41)</f>
        <v>0</v>
      </c>
      <c r="H31" s="1310"/>
      <c r="I31" s="1313"/>
    </row>
    <row r="32" spans="1:9">
      <c r="A32" s="959">
        <v>1</v>
      </c>
      <c r="B32" s="863">
        <v>19</v>
      </c>
      <c r="C32" s="967">
        <f t="shared" ref="C32:C41" si="4">C19</f>
        <v>0</v>
      </c>
      <c r="D32" s="1310"/>
      <c r="E32" s="1311"/>
      <c r="F32" s="1314"/>
      <c r="G32" s="1315"/>
      <c r="H32" s="1310"/>
      <c r="I32" s="1313"/>
    </row>
    <row r="33" spans="1:9">
      <c r="A33" s="959">
        <v>2</v>
      </c>
      <c r="B33" s="863">
        <v>20</v>
      </c>
      <c r="C33" s="968">
        <f t="shared" si="4"/>
        <v>0</v>
      </c>
      <c r="D33" s="1310"/>
      <c r="E33" s="1311"/>
      <c r="F33" s="1314"/>
      <c r="G33" s="1315"/>
      <c r="H33" s="1310"/>
      <c r="I33" s="1313"/>
    </row>
    <row r="34" spans="1:9">
      <c r="A34" s="959">
        <v>3</v>
      </c>
      <c r="B34" s="863">
        <v>21</v>
      </c>
      <c r="C34" s="968">
        <f t="shared" si="4"/>
        <v>0</v>
      </c>
      <c r="D34" s="1310"/>
      <c r="E34" s="1311"/>
      <c r="F34" s="1314"/>
      <c r="G34" s="1315"/>
      <c r="H34" s="1310"/>
      <c r="I34" s="1313"/>
    </row>
    <row r="35" spans="1:9">
      <c r="A35" s="959">
        <v>4</v>
      </c>
      <c r="B35" s="863">
        <v>22</v>
      </c>
      <c r="C35" s="968">
        <f t="shared" si="4"/>
        <v>0</v>
      </c>
      <c r="D35" s="1310"/>
      <c r="E35" s="1311"/>
      <c r="F35" s="1314"/>
      <c r="G35" s="1315"/>
      <c r="H35" s="1310"/>
      <c r="I35" s="1313"/>
    </row>
    <row r="36" spans="1:9">
      <c r="A36" s="959">
        <v>5</v>
      </c>
      <c r="B36" s="863">
        <v>23</v>
      </c>
      <c r="C36" s="968">
        <f t="shared" si="4"/>
        <v>0</v>
      </c>
      <c r="D36" s="1310"/>
      <c r="E36" s="1311"/>
      <c r="F36" s="1314"/>
      <c r="G36" s="1315"/>
      <c r="H36" s="1310"/>
      <c r="I36" s="1313"/>
    </row>
    <row r="37" spans="1:9">
      <c r="A37" s="959">
        <v>6</v>
      </c>
      <c r="B37" s="863">
        <v>24</v>
      </c>
      <c r="C37" s="968">
        <f t="shared" si="4"/>
        <v>0</v>
      </c>
      <c r="D37" s="1310"/>
      <c r="E37" s="1311"/>
      <c r="F37" s="1314"/>
      <c r="G37" s="1315"/>
      <c r="H37" s="1310"/>
      <c r="I37" s="1313"/>
    </row>
    <row r="38" spans="1:9">
      <c r="A38" s="959">
        <v>7</v>
      </c>
      <c r="B38" s="863">
        <v>25</v>
      </c>
      <c r="C38" s="968">
        <f t="shared" si="4"/>
        <v>0</v>
      </c>
      <c r="D38" s="1310"/>
      <c r="E38" s="1311"/>
      <c r="F38" s="1314"/>
      <c r="G38" s="1315"/>
      <c r="H38" s="1310"/>
      <c r="I38" s="1313"/>
    </row>
    <row r="39" spans="1:9">
      <c r="A39" s="959">
        <v>8</v>
      </c>
      <c r="B39" s="863">
        <v>26</v>
      </c>
      <c r="C39" s="968">
        <f t="shared" si="4"/>
        <v>0</v>
      </c>
      <c r="D39" s="1310"/>
      <c r="E39" s="1311"/>
      <c r="F39" s="1314"/>
      <c r="G39" s="1315"/>
      <c r="H39" s="1310"/>
      <c r="I39" s="1313"/>
    </row>
    <row r="40" spans="1:9">
      <c r="A40" s="959">
        <v>9</v>
      </c>
      <c r="B40" s="863">
        <v>27</v>
      </c>
      <c r="C40" s="968">
        <f t="shared" si="4"/>
        <v>0</v>
      </c>
      <c r="D40" s="1310"/>
      <c r="E40" s="1311"/>
      <c r="F40" s="1314"/>
      <c r="G40" s="1315"/>
      <c r="H40" s="1310"/>
      <c r="I40" s="1313"/>
    </row>
    <row r="41" spans="1:9">
      <c r="A41" s="959">
        <v>10</v>
      </c>
      <c r="B41" s="863">
        <v>28</v>
      </c>
      <c r="C41" s="968">
        <f t="shared" si="4"/>
        <v>0</v>
      </c>
      <c r="D41" s="1310"/>
      <c r="E41" s="1311"/>
      <c r="F41" s="1314"/>
      <c r="G41" s="1315"/>
      <c r="H41" s="1310"/>
      <c r="I41" s="1313"/>
    </row>
    <row r="42" spans="1:9">
      <c r="A42" s="811" t="str">
        <f>HYPERLINK("#C1","置顶")</f>
        <v>置顶</v>
      </c>
      <c r="B42" s="863">
        <v>29</v>
      </c>
      <c r="C42" s="969"/>
    </row>
    <row r="43" spans="1:9">
      <c r="A43" s="960"/>
      <c r="B43" s="863">
        <v>30</v>
      </c>
      <c r="C43" s="136" t="s">
        <v>2988</v>
      </c>
    </row>
    <row r="44" spans="1:9">
      <c r="A44" s="960" t="s">
        <v>2790</v>
      </c>
      <c r="B44" s="863">
        <v>31</v>
      </c>
      <c r="C44" s="864" t="s">
        <v>282</v>
      </c>
      <c r="D44" s="1316" t="s">
        <v>2984</v>
      </c>
      <c r="E44" s="1307" t="s">
        <v>2735</v>
      </c>
      <c r="F44" s="1317" t="s">
        <v>2736</v>
      </c>
      <c r="G44" s="1317" t="s">
        <v>276</v>
      </c>
      <c r="H44" s="1317" t="s">
        <v>2985</v>
      </c>
    </row>
    <row r="45" spans="1:9">
      <c r="B45" s="863">
        <v>42</v>
      </c>
      <c r="C45" s="864"/>
      <c r="D45" s="1315"/>
      <c r="E45" s="1315"/>
      <c r="F45" s="1315"/>
      <c r="G45" s="1315"/>
      <c r="H45" s="1318"/>
    </row>
    <row r="46" spans="1:9">
      <c r="A46" s="959">
        <v>1</v>
      </c>
      <c r="B46" s="863">
        <v>32</v>
      </c>
      <c r="C46" s="914"/>
      <c r="D46" s="1315"/>
      <c r="E46" s="1315"/>
      <c r="F46" s="1315"/>
      <c r="G46" s="1315"/>
      <c r="H46" s="1315"/>
    </row>
    <row r="47" spans="1:9">
      <c r="A47" s="959">
        <v>2</v>
      </c>
      <c r="B47" s="863">
        <v>33</v>
      </c>
      <c r="C47" s="914"/>
      <c r="D47" s="1315"/>
      <c r="E47" s="1315"/>
      <c r="F47" s="1315"/>
      <c r="G47" s="1315"/>
      <c r="H47" s="1315"/>
    </row>
    <row r="48" spans="1:9">
      <c r="A48" s="959">
        <v>3</v>
      </c>
      <c r="B48" s="863">
        <v>34</v>
      </c>
      <c r="C48" s="914"/>
      <c r="D48" s="1315"/>
      <c r="E48" s="1315"/>
      <c r="F48" s="1315"/>
      <c r="G48" s="1315"/>
      <c r="H48" s="1315"/>
    </row>
    <row r="49" spans="1:8">
      <c r="A49" s="959">
        <v>4</v>
      </c>
      <c r="B49" s="863">
        <v>35</v>
      </c>
      <c r="C49" s="914"/>
      <c r="D49" s="1315"/>
      <c r="E49" s="1315"/>
      <c r="F49" s="1315"/>
      <c r="G49" s="1315"/>
      <c r="H49" s="1315"/>
    </row>
    <row r="50" spans="1:8">
      <c r="A50" s="959">
        <v>5</v>
      </c>
      <c r="B50" s="863">
        <v>36</v>
      </c>
      <c r="C50" s="914"/>
      <c r="D50" s="1315"/>
      <c r="E50" s="1315"/>
      <c r="F50" s="1315"/>
      <c r="G50" s="1315"/>
      <c r="H50" s="1315"/>
    </row>
    <row r="51" spans="1:8">
      <c r="A51" s="959">
        <v>6</v>
      </c>
      <c r="B51" s="863">
        <v>37</v>
      </c>
      <c r="C51" s="914"/>
      <c r="D51" s="1315"/>
      <c r="E51" s="1315"/>
      <c r="F51" s="1315"/>
      <c r="G51" s="1315"/>
      <c r="H51" s="1315"/>
    </row>
    <row r="52" spans="1:8">
      <c r="A52" s="959">
        <v>7</v>
      </c>
      <c r="B52" s="863">
        <v>38</v>
      </c>
      <c r="C52" s="914"/>
      <c r="D52" s="1315"/>
      <c r="E52" s="1315"/>
      <c r="F52" s="1315"/>
      <c r="G52" s="1315"/>
      <c r="H52" s="1315"/>
    </row>
    <row r="53" spans="1:8">
      <c r="A53" s="959">
        <v>8</v>
      </c>
      <c r="B53" s="863">
        <v>39</v>
      </c>
      <c r="C53" s="914"/>
      <c r="D53" s="1315"/>
      <c r="E53" s="1315"/>
      <c r="F53" s="1315"/>
      <c r="G53" s="1315"/>
      <c r="H53" s="1315"/>
    </row>
    <row r="54" spans="1:8">
      <c r="A54" s="959">
        <v>9</v>
      </c>
      <c r="B54" s="863">
        <v>40</v>
      </c>
      <c r="C54" s="914"/>
      <c r="D54" s="1315"/>
      <c r="E54" s="1315"/>
      <c r="F54" s="1315"/>
      <c r="G54" s="1315"/>
      <c r="H54" s="1315"/>
    </row>
    <row r="55" spans="1:8">
      <c r="A55" s="959">
        <v>10</v>
      </c>
      <c r="B55" s="863">
        <v>41</v>
      </c>
      <c r="C55" s="864" t="s">
        <v>2989</v>
      </c>
      <c r="D55" s="1312">
        <f>SUM(D45:D54)</f>
        <v>0</v>
      </c>
      <c r="E55" s="1312">
        <f>SUM(E45:E54)</f>
        <v>0</v>
      </c>
      <c r="F55" s="1312">
        <f>SUM(F45:F54)</f>
        <v>0</v>
      </c>
      <c r="G55" s="1312">
        <f>SUM(G45:G54)</f>
        <v>0</v>
      </c>
      <c r="H55" s="1315"/>
    </row>
    <row r="56" spans="1:8">
      <c r="A56" s="811" t="str">
        <f>HYPERLINK("#C1","置顶")</f>
        <v>置顶</v>
      </c>
      <c r="B56" s="863">
        <v>43</v>
      </c>
      <c r="C56" s="969"/>
    </row>
    <row r="57" spans="1:8">
      <c r="B57" s="863">
        <v>44</v>
      </c>
      <c r="C57" s="868"/>
      <c r="D57" s="1317" t="s">
        <v>2663</v>
      </c>
      <c r="E57" s="1317" t="s">
        <v>2664</v>
      </c>
    </row>
    <row r="58" spans="1:8">
      <c r="B58" s="863">
        <v>45</v>
      </c>
      <c r="C58" s="870" t="s">
        <v>2665</v>
      </c>
      <c r="D58" s="1309">
        <f>审定资产负债表!D40</f>
        <v>0</v>
      </c>
      <c r="E58" s="1309">
        <f>审定资产负债表!C40</f>
        <v>0</v>
      </c>
    </row>
    <row r="59" spans="1:8">
      <c r="A59" s="958" t="s">
        <v>2738</v>
      </c>
      <c r="B59" s="863">
        <v>46</v>
      </c>
      <c r="C59" s="870" t="s">
        <v>2666</v>
      </c>
      <c r="D59" s="1319">
        <f>D58-I15</f>
        <v>0</v>
      </c>
      <c r="E59" s="1319">
        <f>E58-F15</f>
        <v>0</v>
      </c>
    </row>
    <row r="60" spans="1:8">
      <c r="B60" s="863">
        <v>47</v>
      </c>
    </row>
    <row r="61" spans="1:8">
      <c r="A61" s="960" t="s">
        <v>2790</v>
      </c>
      <c r="C61" s="868"/>
      <c r="D61" s="1317" t="s">
        <v>2663</v>
      </c>
      <c r="E61" s="1317" t="s">
        <v>2664</v>
      </c>
    </row>
    <row r="62" spans="1:8">
      <c r="C62" s="870" t="s">
        <v>2665</v>
      </c>
      <c r="D62" s="1309">
        <f>审定资产减值准备情况表!B15</f>
        <v>0</v>
      </c>
      <c r="E62" s="1309">
        <f>审定资产减值准备情况表!L15</f>
        <v>0</v>
      </c>
    </row>
    <row r="63" spans="1:8">
      <c r="C63" s="870" t="s">
        <v>2666</v>
      </c>
      <c r="D63" s="1443">
        <f>D62-H15</f>
        <v>0</v>
      </c>
      <c r="E63" s="1443">
        <f>E62-E15</f>
        <v>0</v>
      </c>
    </row>
  </sheetData>
  <sheetProtection formatCells="0" formatColumns="0" formatRows="0" autoFilter="0"/>
  <mergeCells count="2">
    <mergeCell ref="D3:F3"/>
    <mergeCell ref="G3:I3"/>
  </mergeCells>
  <phoneticPr fontId="5" type="noConversion"/>
  <hyperlinks>
    <hyperlink ref="A1" location="附注填写封面!B3" display="返回目录" xr:uid="{00000000-0004-0000-2800-000000000000}"/>
    <hyperlink ref="A17" location="附注填写封面!B3" display="返回目录" xr:uid="{00000000-0004-0000-2800-000001000000}"/>
    <hyperlink ref="A30" location="附注填写封面!B3" display="返回目录" xr:uid="{00000000-0004-0000-2800-000002000000}"/>
    <hyperlink ref="A59" location="附注填写封面!B3" display="返回目录" xr:uid="{00000000-0004-0000-2800-000003000000}"/>
    <hyperlink ref="A44" location="审定资产减值准备情况表!B5" display="返回减值准备表" xr:uid="{00000000-0004-0000-2800-000004000000}"/>
    <hyperlink ref="A61" location="审定资产减值准备情况表!B5" display="返回减值准备表" xr:uid="{00000000-0004-0000-2800-000005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ignoredErrors>
    <ignoredError sqref="F15" formula="1"/>
  </ignoredErrors>
  <legacyDrawing r:id="rId2"/>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53"/>
  <dimension ref="A1:G17"/>
  <sheetViews>
    <sheetView showGridLines="0" showZeros="0" workbookViewId="0">
      <pane xSplit="3" ySplit="2" topLeftCell="D3" activePane="bottomRight" state="frozen"/>
      <selection activeCell="A5" sqref="A5:A6"/>
      <selection pane="topRight" activeCell="A5" sqref="A5:A6"/>
      <selection pane="bottomLeft" activeCell="A5" sqref="A5:A6"/>
      <selection pane="bottomRight" activeCell="C13" sqref="C13"/>
    </sheetView>
  </sheetViews>
  <sheetFormatPr defaultColWidth="11.625" defaultRowHeight="12.75"/>
  <cols>
    <col min="1" max="1" width="7.125" style="162" customWidth="1"/>
    <col min="2" max="2" width="0.625" style="162" hidden="1" customWidth="1"/>
    <col min="3" max="3" width="35.875" style="344" customWidth="1"/>
    <col min="4" max="16384" width="11.625" style="344"/>
  </cols>
  <sheetData>
    <row r="1" spans="1:7">
      <c r="A1" s="860" t="s">
        <v>2260</v>
      </c>
      <c r="B1" s="343" t="s">
        <v>1446</v>
      </c>
      <c r="C1" s="759" t="s">
        <v>2992</v>
      </c>
    </row>
    <row r="2" spans="1:7" ht="15.75" customHeight="1">
      <c r="B2" s="162">
        <v>2</v>
      </c>
      <c r="C2" s="889" t="s">
        <v>943</v>
      </c>
      <c r="D2" s="889" t="s">
        <v>978</v>
      </c>
      <c r="E2" s="889" t="s">
        <v>2931</v>
      </c>
      <c r="F2" s="889" t="s">
        <v>2932</v>
      </c>
      <c r="G2" s="889" t="s">
        <v>2810</v>
      </c>
    </row>
    <row r="3" spans="1:7">
      <c r="B3" s="162">
        <v>3</v>
      </c>
      <c r="C3" s="338" t="s">
        <v>944</v>
      </c>
      <c r="D3" s="761"/>
      <c r="E3" s="761"/>
      <c r="F3" s="761"/>
      <c r="G3" s="961">
        <f>D3+E3-F3</f>
        <v>0</v>
      </c>
    </row>
    <row r="4" spans="1:7">
      <c r="B4" s="162">
        <v>4</v>
      </c>
      <c r="C4" s="338" t="s">
        <v>945</v>
      </c>
      <c r="D4" s="761"/>
      <c r="E4" s="761"/>
      <c r="F4" s="761"/>
      <c r="G4" s="961">
        <f t="shared" ref="G4:G12" si="0">D4+E4-F4</f>
        <v>0</v>
      </c>
    </row>
    <row r="5" spans="1:7">
      <c r="B5" s="162">
        <v>5</v>
      </c>
      <c r="C5" s="338" t="s">
        <v>946</v>
      </c>
      <c r="D5" s="761"/>
      <c r="E5" s="761"/>
      <c r="F5" s="761"/>
      <c r="G5" s="961">
        <f t="shared" si="0"/>
        <v>0</v>
      </c>
    </row>
    <row r="6" spans="1:7">
      <c r="B6" s="162">
        <v>6</v>
      </c>
      <c r="C6" s="338" t="s">
        <v>802</v>
      </c>
      <c r="D6" s="761"/>
      <c r="E6" s="761"/>
      <c r="F6" s="761"/>
      <c r="G6" s="961">
        <f t="shared" si="0"/>
        <v>0</v>
      </c>
    </row>
    <row r="7" spans="1:7">
      <c r="B7" s="162">
        <v>7</v>
      </c>
      <c r="C7" s="338" t="s">
        <v>804</v>
      </c>
      <c r="D7" s="761"/>
      <c r="E7" s="761"/>
      <c r="F7" s="761"/>
      <c r="G7" s="961">
        <f t="shared" si="0"/>
        <v>0</v>
      </c>
    </row>
    <row r="8" spans="1:7">
      <c r="A8" s="860" t="s">
        <v>2260</v>
      </c>
      <c r="B8" s="162">
        <v>8</v>
      </c>
      <c r="C8" s="338" t="s">
        <v>947</v>
      </c>
      <c r="D8" s="761"/>
      <c r="E8" s="761"/>
      <c r="F8" s="761"/>
      <c r="G8" s="961">
        <f t="shared" si="0"/>
        <v>0</v>
      </c>
    </row>
    <row r="9" spans="1:7">
      <c r="B9" s="162">
        <v>9</v>
      </c>
      <c r="C9" s="338" t="s">
        <v>948</v>
      </c>
      <c r="D9" s="761"/>
      <c r="E9" s="761"/>
      <c r="F9" s="761"/>
      <c r="G9" s="961">
        <f t="shared" si="0"/>
        <v>0</v>
      </c>
    </row>
    <row r="10" spans="1:7">
      <c r="B10" s="162">
        <v>10</v>
      </c>
      <c r="C10" s="338" t="s">
        <v>949</v>
      </c>
      <c r="D10" s="761"/>
      <c r="E10" s="761"/>
      <c r="F10" s="761"/>
      <c r="G10" s="961">
        <f t="shared" si="0"/>
        <v>0</v>
      </c>
    </row>
    <row r="11" spans="1:7" ht="13.5">
      <c r="B11" s="162">
        <v>11</v>
      </c>
      <c r="C11" s="357" t="s">
        <v>4802</v>
      </c>
      <c r="D11" s="1465">
        <f>SUM(D3:D10)</f>
        <v>0</v>
      </c>
      <c r="E11" s="1465">
        <f t="shared" ref="E11:F11" si="1">SUM(E3:E10)</f>
        <v>0</v>
      </c>
      <c r="F11" s="1465">
        <f t="shared" si="1"/>
        <v>0</v>
      </c>
      <c r="G11" s="961">
        <f t="shared" si="0"/>
        <v>0</v>
      </c>
    </row>
    <row r="12" spans="1:7">
      <c r="B12" s="162">
        <v>12</v>
      </c>
      <c r="C12" s="359" t="s">
        <v>4803</v>
      </c>
      <c r="D12" s="761"/>
      <c r="E12" s="761"/>
      <c r="F12" s="761"/>
      <c r="G12" s="961">
        <f t="shared" si="0"/>
        <v>0</v>
      </c>
    </row>
    <row r="13" spans="1:7">
      <c r="B13" s="162">
        <v>13</v>
      </c>
      <c r="C13" s="889" t="s">
        <v>952</v>
      </c>
      <c r="D13" s="961">
        <f>D11-D12</f>
        <v>0</v>
      </c>
      <c r="E13" s="961">
        <f t="shared" ref="E13:F13" si="2">E11-E12</f>
        <v>0</v>
      </c>
      <c r="F13" s="961">
        <f t="shared" si="2"/>
        <v>0</v>
      </c>
      <c r="G13" s="961">
        <f>G11-G12</f>
        <v>0</v>
      </c>
    </row>
    <row r="14" spans="1:7">
      <c r="B14" s="162">
        <v>14</v>
      </c>
    </row>
    <row r="15" spans="1:7">
      <c r="B15" s="162">
        <v>15</v>
      </c>
      <c r="C15" s="881"/>
      <c r="D15" s="881" t="s">
        <v>2504</v>
      </c>
      <c r="E15" s="881" t="s">
        <v>2505</v>
      </c>
    </row>
    <row r="16" spans="1:7">
      <c r="A16" s="860" t="s">
        <v>2260</v>
      </c>
      <c r="B16" s="162">
        <v>16</v>
      </c>
      <c r="C16" s="881" t="s">
        <v>1319</v>
      </c>
      <c r="D16" s="406">
        <f>审定资产负债表!D41</f>
        <v>0</v>
      </c>
      <c r="E16" s="406">
        <f>审定资产负债表!C41</f>
        <v>0</v>
      </c>
    </row>
    <row r="17" spans="3:5">
      <c r="C17" s="881" t="s">
        <v>1320</v>
      </c>
      <c r="D17" s="406">
        <f>D13-D16</f>
        <v>0</v>
      </c>
      <c r="E17" s="406">
        <f>G13-E16</f>
        <v>0</v>
      </c>
    </row>
  </sheetData>
  <sheetProtection formatCells="0" formatColumns="0" formatRows="0" autoFilter="0"/>
  <phoneticPr fontId="5" type="noConversion"/>
  <hyperlinks>
    <hyperlink ref="A1" location="附注填写封面!B3" display="返回目录" xr:uid="{00000000-0004-0000-2900-000000000000}"/>
    <hyperlink ref="A8" location="附注填写封面!B3" display="返回目录" xr:uid="{00000000-0004-0000-2900-000001000000}"/>
    <hyperlink ref="A16" location="附注填写封面!B3" display="返回目录" xr:uid="{00000000-0004-0000-2900-000002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ignoredErrors>
    <ignoredError sqref="D11:F11" unlockedFormula="1"/>
  </ignoredErrors>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60"/>
  <dimension ref="A1:I18"/>
  <sheetViews>
    <sheetView showGridLines="0" showZeros="0" workbookViewId="0">
      <pane xSplit="3" ySplit="2" topLeftCell="D3" activePane="bottomRight" state="frozen"/>
      <selection activeCell="A5" sqref="A5:A6"/>
      <selection pane="topRight" activeCell="A5" sqref="A5:A6"/>
      <selection pane="bottomLeft" activeCell="A5" sqref="A5:A6"/>
      <selection pane="bottomRight"/>
    </sheetView>
  </sheetViews>
  <sheetFormatPr defaultColWidth="11.625" defaultRowHeight="12.75"/>
  <cols>
    <col min="1" max="1" width="10" style="344" customWidth="1"/>
    <col min="2" max="2" width="4.125" style="162" hidden="1" customWidth="1"/>
    <col min="3" max="3" width="35.875" style="344" customWidth="1"/>
    <col min="4" max="7" width="11.625" style="344"/>
    <col min="8" max="8" width="7.125" style="162" customWidth="1"/>
    <col min="9" max="9" width="4.125" style="162" customWidth="1"/>
    <col min="10" max="16384" width="11.625" style="344"/>
  </cols>
  <sheetData>
    <row r="1" spans="1:9" ht="20.25" customHeight="1">
      <c r="A1" s="764" t="s">
        <v>2260</v>
      </c>
      <c r="B1" s="343" t="s">
        <v>1446</v>
      </c>
      <c r="C1" s="759" t="s">
        <v>2993</v>
      </c>
      <c r="H1" s="860"/>
      <c r="I1" s="343"/>
    </row>
    <row r="2" spans="1:9" ht="24">
      <c r="B2" s="162">
        <v>2</v>
      </c>
      <c r="C2" s="889" t="s">
        <v>2930</v>
      </c>
      <c r="D2" s="357" t="s">
        <v>4690</v>
      </c>
      <c r="E2" s="357" t="s">
        <v>4691</v>
      </c>
      <c r="F2" s="889" t="s">
        <v>2994</v>
      </c>
    </row>
    <row r="3" spans="1:9">
      <c r="A3" s="162">
        <v>1</v>
      </c>
      <c r="B3" s="162">
        <v>3</v>
      </c>
      <c r="C3" s="338"/>
      <c r="D3" s="761"/>
      <c r="E3" s="761"/>
      <c r="F3" s="338"/>
    </row>
    <row r="4" spans="1:9">
      <c r="A4" s="162">
        <v>2</v>
      </c>
      <c r="B4" s="162">
        <v>4</v>
      </c>
      <c r="C4" s="338"/>
      <c r="D4" s="761"/>
      <c r="E4" s="761"/>
      <c r="F4" s="338"/>
    </row>
    <row r="5" spans="1:9">
      <c r="A5" s="162">
        <v>3</v>
      </c>
      <c r="B5" s="162">
        <v>5</v>
      </c>
      <c r="C5" s="338"/>
      <c r="D5" s="761"/>
      <c r="E5" s="761"/>
      <c r="F5" s="338"/>
    </row>
    <row r="6" spans="1:9">
      <c r="A6" s="162">
        <v>4</v>
      </c>
      <c r="B6" s="162">
        <v>6</v>
      </c>
      <c r="C6" s="338"/>
      <c r="D6" s="761"/>
      <c r="E6" s="761"/>
      <c r="F6" s="338"/>
    </row>
    <row r="7" spans="1:9">
      <c r="A7" s="162">
        <v>5</v>
      </c>
      <c r="B7" s="162">
        <v>7</v>
      </c>
      <c r="C7" s="338"/>
      <c r="D7" s="761"/>
      <c r="E7" s="761"/>
      <c r="F7" s="338"/>
    </row>
    <row r="8" spans="1:9">
      <c r="A8" s="162">
        <v>6</v>
      </c>
      <c r="B8" s="162">
        <v>8</v>
      </c>
      <c r="C8" s="338"/>
      <c r="D8" s="761"/>
      <c r="E8" s="761"/>
      <c r="F8" s="338"/>
      <c r="H8" s="860"/>
    </row>
    <row r="9" spans="1:9">
      <c r="A9" s="162">
        <v>7</v>
      </c>
      <c r="B9" s="162">
        <v>9</v>
      </c>
      <c r="C9" s="338"/>
      <c r="D9" s="761"/>
      <c r="E9" s="761"/>
      <c r="F9" s="338"/>
    </row>
    <row r="10" spans="1:9">
      <c r="A10" s="162">
        <v>8</v>
      </c>
      <c r="B10" s="162">
        <v>10</v>
      </c>
      <c r="C10" s="338"/>
      <c r="D10" s="761"/>
      <c r="E10" s="761"/>
      <c r="F10" s="338"/>
    </row>
    <row r="11" spans="1:9">
      <c r="A11" s="162">
        <v>9</v>
      </c>
      <c r="B11" s="162">
        <v>11</v>
      </c>
      <c r="C11" s="338"/>
      <c r="D11" s="761"/>
      <c r="E11" s="761"/>
      <c r="F11" s="338"/>
    </row>
    <row r="12" spans="1:9">
      <c r="A12" s="162">
        <v>10</v>
      </c>
      <c r="B12" s="162">
        <v>12</v>
      </c>
      <c r="C12" s="338"/>
      <c r="D12" s="761"/>
      <c r="E12" s="761"/>
      <c r="F12" s="338"/>
    </row>
    <row r="13" spans="1:9">
      <c r="B13" s="162">
        <v>13</v>
      </c>
      <c r="C13" s="889" t="s">
        <v>952</v>
      </c>
      <c r="D13" s="961">
        <f>SUM(D3:D12)</f>
        <v>0</v>
      </c>
      <c r="E13" s="961">
        <f>SUM(E3:E12)</f>
        <v>0</v>
      </c>
      <c r="F13" s="338"/>
    </row>
    <row r="14" spans="1:9">
      <c r="B14" s="162">
        <v>14</v>
      </c>
    </row>
    <row r="15" spans="1:9">
      <c r="A15" s="860" t="s">
        <v>2260</v>
      </c>
      <c r="B15" s="162">
        <v>15</v>
      </c>
      <c r="C15" s="881"/>
      <c r="D15" s="881" t="s">
        <v>2504</v>
      </c>
      <c r="E15" s="881" t="s">
        <v>2505</v>
      </c>
    </row>
    <row r="16" spans="1:9">
      <c r="A16" s="162"/>
      <c r="B16" s="162">
        <v>16</v>
      </c>
      <c r="C16" s="881" t="s">
        <v>1319</v>
      </c>
      <c r="D16" s="406">
        <f>审定资产负债表!D42</f>
        <v>0</v>
      </c>
      <c r="E16" s="406">
        <f>审定资产负债表!C42</f>
        <v>0</v>
      </c>
      <c r="H16" s="860"/>
    </row>
    <row r="17" spans="1:5">
      <c r="A17" s="162"/>
      <c r="C17" s="881" t="s">
        <v>1320</v>
      </c>
      <c r="D17" s="406">
        <f>E13-D16</f>
        <v>0</v>
      </c>
      <c r="E17" s="406">
        <f>D13-E16</f>
        <v>0</v>
      </c>
    </row>
    <row r="18" spans="1:5">
      <c r="A18" s="162"/>
    </row>
  </sheetData>
  <sheetProtection formatCells="0" formatColumns="0" formatRows="0" autoFilter="0"/>
  <phoneticPr fontId="5" type="noConversion"/>
  <hyperlinks>
    <hyperlink ref="A1" location="附注填写封面!B3" display="返回目录" xr:uid="{00000000-0004-0000-2A00-000000000000}"/>
    <hyperlink ref="A15" location="附注填写封面!B3" display="返回目录" xr:uid="{00000000-0004-0000-2A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7"/>
  <dimension ref="A1:G69"/>
  <sheetViews>
    <sheetView showGridLines="0" showZeros="0" workbookViewId="0">
      <pane xSplit="3" ySplit="3" topLeftCell="D4" activePane="bottomRight" state="frozen"/>
      <selection activeCell="A5" sqref="A5:A6"/>
      <selection pane="topRight" activeCell="A5" sqref="A5:A6"/>
      <selection pane="bottomLeft" activeCell="A5" sqref="A5:A6"/>
      <selection pane="bottomRight" activeCell="K23" sqref="K23"/>
    </sheetView>
  </sheetViews>
  <sheetFormatPr defaultColWidth="11.625" defaultRowHeight="12.75"/>
  <cols>
    <col min="1" max="1" width="10.625" style="810" customWidth="1"/>
    <col min="2" max="2" width="7" style="162" hidden="1" customWidth="1"/>
    <col min="3" max="3" width="24.875" style="843" customWidth="1"/>
    <col min="4" max="16384" width="11.625" style="344"/>
  </cols>
  <sheetData>
    <row r="1" spans="1:7" ht="22.7" customHeight="1">
      <c r="A1" s="957" t="s">
        <v>2260</v>
      </c>
      <c r="B1" s="343" t="s">
        <v>1446</v>
      </c>
      <c r="C1" s="895" t="s">
        <v>1473</v>
      </c>
    </row>
    <row r="2" spans="1:7">
      <c r="B2" s="162">
        <v>2</v>
      </c>
      <c r="C2" s="970" t="s">
        <v>954</v>
      </c>
    </row>
    <row r="3" spans="1:7">
      <c r="B3" s="162">
        <v>3</v>
      </c>
      <c r="C3" s="889" t="s">
        <v>890</v>
      </c>
      <c r="D3" s="881" t="s">
        <v>978</v>
      </c>
      <c r="E3" s="881" t="s">
        <v>2996</v>
      </c>
      <c r="F3" s="881" t="s">
        <v>3000</v>
      </c>
      <c r="G3" s="881" t="s">
        <v>2729</v>
      </c>
    </row>
    <row r="4" spans="1:7">
      <c r="B4" s="162">
        <v>4</v>
      </c>
      <c r="C4" s="340" t="s">
        <v>2998</v>
      </c>
      <c r="D4" s="406">
        <f>SUM(D5:D13)</f>
        <v>0</v>
      </c>
      <c r="E4" s="406">
        <f>SUM(E5:E13)</f>
        <v>0</v>
      </c>
      <c r="F4" s="406">
        <f>SUM(F5:F13)</f>
        <v>0</v>
      </c>
      <c r="G4" s="406">
        <f>SUM(G5:G13)</f>
        <v>0</v>
      </c>
    </row>
    <row r="5" spans="1:7">
      <c r="B5" s="162">
        <v>5</v>
      </c>
      <c r="C5" s="340" t="s">
        <v>956</v>
      </c>
      <c r="D5" s="400"/>
      <c r="E5" s="400"/>
      <c r="F5" s="400"/>
      <c r="G5" s="406">
        <f>D5+E5-F5</f>
        <v>0</v>
      </c>
    </row>
    <row r="6" spans="1:7">
      <c r="B6" s="162">
        <v>6</v>
      </c>
      <c r="C6" s="820" t="s">
        <v>957</v>
      </c>
      <c r="D6" s="400"/>
      <c r="E6" s="400"/>
      <c r="F6" s="400"/>
      <c r="G6" s="406">
        <f t="shared" ref="G6:G13" si="0">D6+E6-F6</f>
        <v>0</v>
      </c>
    </row>
    <row r="7" spans="1:7">
      <c r="A7" s="811" t="str">
        <f>HYPERLINK("#C1","置顶")</f>
        <v>置顶</v>
      </c>
      <c r="B7" s="162">
        <v>7</v>
      </c>
      <c r="C7" s="820" t="s">
        <v>958</v>
      </c>
      <c r="D7" s="400"/>
      <c r="E7" s="400"/>
      <c r="F7" s="400"/>
      <c r="G7" s="406">
        <f t="shared" si="0"/>
        <v>0</v>
      </c>
    </row>
    <row r="8" spans="1:7">
      <c r="B8" s="162">
        <v>8</v>
      </c>
      <c r="C8" s="820" t="s">
        <v>959</v>
      </c>
      <c r="D8" s="400"/>
      <c r="E8" s="400"/>
      <c r="F8" s="400"/>
      <c r="G8" s="406">
        <f t="shared" si="0"/>
        <v>0</v>
      </c>
    </row>
    <row r="9" spans="1:7">
      <c r="B9" s="162">
        <v>9</v>
      </c>
      <c r="C9" s="820" t="s">
        <v>960</v>
      </c>
      <c r="D9" s="400"/>
      <c r="E9" s="400"/>
      <c r="F9" s="400"/>
      <c r="G9" s="406">
        <f t="shared" si="0"/>
        <v>0</v>
      </c>
    </row>
    <row r="10" spans="1:7">
      <c r="B10" s="162">
        <v>10</v>
      </c>
      <c r="C10" s="820" t="s">
        <v>961</v>
      </c>
      <c r="D10" s="400"/>
      <c r="E10" s="400"/>
      <c r="F10" s="400"/>
      <c r="G10" s="406">
        <f t="shared" si="0"/>
        <v>0</v>
      </c>
    </row>
    <row r="11" spans="1:7">
      <c r="B11" s="162">
        <v>11</v>
      </c>
      <c r="C11" s="820" t="s">
        <v>962</v>
      </c>
      <c r="D11" s="400"/>
      <c r="E11" s="400"/>
      <c r="F11" s="400"/>
      <c r="G11" s="406">
        <f t="shared" si="0"/>
        <v>0</v>
      </c>
    </row>
    <row r="12" spans="1:7">
      <c r="B12" s="162">
        <v>12</v>
      </c>
      <c r="C12" s="820" t="s">
        <v>963</v>
      </c>
      <c r="D12" s="400"/>
      <c r="E12" s="400"/>
      <c r="F12" s="400"/>
      <c r="G12" s="406">
        <f t="shared" si="0"/>
        <v>0</v>
      </c>
    </row>
    <row r="13" spans="1:7">
      <c r="B13" s="162">
        <v>13</v>
      </c>
      <c r="C13" s="820" t="s">
        <v>964</v>
      </c>
      <c r="D13" s="400"/>
      <c r="E13" s="400"/>
      <c r="F13" s="400"/>
      <c r="G13" s="406">
        <f t="shared" si="0"/>
        <v>0</v>
      </c>
    </row>
    <row r="14" spans="1:7">
      <c r="A14" s="957" t="s">
        <v>2260</v>
      </c>
      <c r="B14" s="162">
        <v>14</v>
      </c>
      <c r="C14" s="340" t="s">
        <v>965</v>
      </c>
      <c r="D14" s="406">
        <f>SUM(D15:D23)</f>
        <v>0</v>
      </c>
      <c r="E14" s="406">
        <f>SUM(E15:E23)</f>
        <v>0</v>
      </c>
      <c r="F14" s="406">
        <f>SUM(F15:F23)</f>
        <v>0</v>
      </c>
      <c r="G14" s="406">
        <f>SUM(G15:G23)</f>
        <v>0</v>
      </c>
    </row>
    <row r="15" spans="1:7">
      <c r="B15" s="162">
        <v>15</v>
      </c>
      <c r="C15" s="340" t="s">
        <v>3001</v>
      </c>
      <c r="D15" s="400"/>
      <c r="E15" s="400"/>
      <c r="F15" s="400"/>
      <c r="G15" s="406">
        <f>D15+E15-F15</f>
        <v>0</v>
      </c>
    </row>
    <row r="16" spans="1:7">
      <c r="B16" s="162">
        <v>16</v>
      </c>
      <c r="C16" s="820" t="s">
        <v>957</v>
      </c>
      <c r="D16" s="400"/>
      <c r="E16" s="400"/>
      <c r="F16" s="400"/>
      <c r="G16" s="406">
        <f t="shared" ref="G16:G23" si="1">D16+E16-F16</f>
        <v>0</v>
      </c>
    </row>
    <row r="17" spans="1:7">
      <c r="B17" s="162">
        <v>17</v>
      </c>
      <c r="C17" s="820" t="s">
        <v>958</v>
      </c>
      <c r="D17" s="400"/>
      <c r="E17" s="400"/>
      <c r="F17" s="400"/>
      <c r="G17" s="406">
        <f t="shared" si="1"/>
        <v>0</v>
      </c>
    </row>
    <row r="18" spans="1:7">
      <c r="B18" s="162">
        <v>18</v>
      </c>
      <c r="C18" s="820" t="s">
        <v>959</v>
      </c>
      <c r="D18" s="400"/>
      <c r="E18" s="400"/>
      <c r="F18" s="400"/>
      <c r="G18" s="406">
        <f t="shared" si="1"/>
        <v>0</v>
      </c>
    </row>
    <row r="19" spans="1:7">
      <c r="A19" s="811" t="str">
        <f>HYPERLINK("#C1","置顶")</f>
        <v>置顶</v>
      </c>
      <c r="B19" s="162">
        <v>19</v>
      </c>
      <c r="C19" s="820" t="s">
        <v>960</v>
      </c>
      <c r="D19" s="400"/>
      <c r="E19" s="400"/>
      <c r="F19" s="400"/>
      <c r="G19" s="406">
        <f t="shared" si="1"/>
        <v>0</v>
      </c>
    </row>
    <row r="20" spans="1:7">
      <c r="B20" s="162">
        <v>20</v>
      </c>
      <c r="C20" s="820" t="s">
        <v>961</v>
      </c>
      <c r="D20" s="400"/>
      <c r="E20" s="400"/>
      <c r="F20" s="400"/>
      <c r="G20" s="406">
        <f t="shared" si="1"/>
        <v>0</v>
      </c>
    </row>
    <row r="21" spans="1:7">
      <c r="B21" s="162">
        <v>21</v>
      </c>
      <c r="C21" s="820" t="s">
        <v>962</v>
      </c>
      <c r="D21" s="400"/>
      <c r="E21" s="400"/>
      <c r="F21" s="400"/>
      <c r="G21" s="406">
        <f t="shared" si="1"/>
        <v>0</v>
      </c>
    </row>
    <row r="22" spans="1:7">
      <c r="B22" s="162">
        <v>22</v>
      </c>
      <c r="C22" s="820" t="s">
        <v>963</v>
      </c>
      <c r="D22" s="400"/>
      <c r="E22" s="400"/>
      <c r="F22" s="400"/>
      <c r="G22" s="406">
        <f t="shared" si="1"/>
        <v>0</v>
      </c>
    </row>
    <row r="23" spans="1:7">
      <c r="B23" s="162">
        <v>23</v>
      </c>
      <c r="C23" s="820" t="s">
        <v>3002</v>
      </c>
      <c r="D23" s="400"/>
      <c r="E23" s="400"/>
      <c r="F23" s="400"/>
      <c r="G23" s="406">
        <f t="shared" si="1"/>
        <v>0</v>
      </c>
    </row>
    <row r="24" spans="1:7">
      <c r="A24" s="809" t="s">
        <v>2586</v>
      </c>
      <c r="B24" s="162">
        <v>24</v>
      </c>
      <c r="C24" s="340" t="s">
        <v>966</v>
      </c>
      <c r="D24" s="406">
        <f>SUM(D25:D33)</f>
        <v>0</v>
      </c>
      <c r="E24" s="406">
        <f>SUM(E25:E33)</f>
        <v>0</v>
      </c>
      <c r="F24" s="406">
        <f>SUM(F25:F33)</f>
        <v>0</v>
      </c>
      <c r="G24" s="406">
        <f>SUM(G25:G33)</f>
        <v>0</v>
      </c>
    </row>
    <row r="25" spans="1:7">
      <c r="B25" s="162">
        <v>25</v>
      </c>
      <c r="C25" s="340" t="s">
        <v>956</v>
      </c>
      <c r="D25" s="400"/>
      <c r="E25" s="400"/>
      <c r="F25" s="400"/>
      <c r="G25" s="406">
        <f>D25+E25-F25</f>
        <v>0</v>
      </c>
    </row>
    <row r="26" spans="1:7">
      <c r="B26" s="162">
        <v>26</v>
      </c>
      <c r="C26" s="820" t="s">
        <v>957</v>
      </c>
      <c r="D26" s="400"/>
      <c r="E26" s="400"/>
      <c r="F26" s="400"/>
      <c r="G26" s="406">
        <f t="shared" ref="G26:G33" si="2">D26+E26-F26</f>
        <v>0</v>
      </c>
    </row>
    <row r="27" spans="1:7">
      <c r="B27" s="162">
        <v>27</v>
      </c>
      <c r="C27" s="820" t="s">
        <v>958</v>
      </c>
      <c r="D27" s="400"/>
      <c r="E27" s="400"/>
      <c r="F27" s="400"/>
      <c r="G27" s="406">
        <f t="shared" si="2"/>
        <v>0</v>
      </c>
    </row>
    <row r="28" spans="1:7">
      <c r="B28" s="162">
        <v>28</v>
      </c>
      <c r="C28" s="820" t="s">
        <v>959</v>
      </c>
      <c r="D28" s="400"/>
      <c r="E28" s="400"/>
      <c r="F28" s="400"/>
      <c r="G28" s="406">
        <f t="shared" si="2"/>
        <v>0</v>
      </c>
    </row>
    <row r="29" spans="1:7">
      <c r="B29" s="162">
        <v>29</v>
      </c>
      <c r="C29" s="820" t="s">
        <v>960</v>
      </c>
      <c r="D29" s="400"/>
      <c r="E29" s="400"/>
      <c r="F29" s="400"/>
      <c r="G29" s="406">
        <f t="shared" si="2"/>
        <v>0</v>
      </c>
    </row>
    <row r="30" spans="1:7">
      <c r="A30" s="811" t="str">
        <f>HYPERLINK("#C1","置顶")</f>
        <v>置顶</v>
      </c>
      <c r="B30" s="162">
        <v>30</v>
      </c>
      <c r="C30" s="820" t="s">
        <v>961</v>
      </c>
      <c r="D30" s="400"/>
      <c r="E30" s="400"/>
      <c r="F30" s="400"/>
      <c r="G30" s="406">
        <f t="shared" si="2"/>
        <v>0</v>
      </c>
    </row>
    <row r="31" spans="1:7">
      <c r="B31" s="162">
        <v>31</v>
      </c>
      <c r="C31" s="820" t="s">
        <v>962</v>
      </c>
      <c r="D31" s="400"/>
      <c r="E31" s="400"/>
      <c r="F31" s="400"/>
      <c r="G31" s="406">
        <f t="shared" si="2"/>
        <v>0</v>
      </c>
    </row>
    <row r="32" spans="1:7">
      <c r="B32" s="162">
        <v>32</v>
      </c>
      <c r="C32" s="820" t="s">
        <v>963</v>
      </c>
      <c r="D32" s="400"/>
      <c r="E32" s="400"/>
      <c r="F32" s="400"/>
      <c r="G32" s="406">
        <f t="shared" si="2"/>
        <v>0</v>
      </c>
    </row>
    <row r="33" spans="1:7">
      <c r="B33" s="162">
        <v>33</v>
      </c>
      <c r="C33" s="820" t="s">
        <v>964</v>
      </c>
      <c r="D33" s="400"/>
      <c r="E33" s="400"/>
      <c r="F33" s="400"/>
      <c r="G33" s="406">
        <f t="shared" si="2"/>
        <v>0</v>
      </c>
    </row>
    <row r="34" spans="1:7">
      <c r="B34" s="162">
        <v>34</v>
      </c>
      <c r="C34" s="340" t="s">
        <v>972</v>
      </c>
      <c r="D34" s="406">
        <f>SUM(D35:D43)</f>
        <v>0</v>
      </c>
      <c r="E34" s="400"/>
      <c r="F34" s="400"/>
      <c r="G34" s="406">
        <f>SUM(G35:G43)</f>
        <v>0</v>
      </c>
    </row>
    <row r="35" spans="1:7">
      <c r="B35" s="162">
        <v>35</v>
      </c>
      <c r="C35" s="340" t="s">
        <v>956</v>
      </c>
      <c r="D35" s="406">
        <f>D5-D15-D25</f>
        <v>0</v>
      </c>
      <c r="E35" s="400"/>
      <c r="F35" s="400"/>
      <c r="G35" s="406">
        <f>G5-G15-G25</f>
        <v>0</v>
      </c>
    </row>
    <row r="36" spans="1:7">
      <c r="A36" s="957" t="s">
        <v>2260</v>
      </c>
      <c r="B36" s="162">
        <v>36</v>
      </c>
      <c r="C36" s="820" t="s">
        <v>957</v>
      </c>
      <c r="D36" s="406">
        <f t="shared" ref="D36:D43" si="3">D6-D16-D26</f>
        <v>0</v>
      </c>
      <c r="E36" s="400"/>
      <c r="F36" s="400"/>
      <c r="G36" s="406">
        <f t="shared" ref="G36:G43" si="4">G6-G16-G26</f>
        <v>0</v>
      </c>
    </row>
    <row r="37" spans="1:7">
      <c r="B37" s="162">
        <v>37</v>
      </c>
      <c r="C37" s="820" t="s">
        <v>958</v>
      </c>
      <c r="D37" s="406">
        <f t="shared" si="3"/>
        <v>0</v>
      </c>
      <c r="E37" s="400"/>
      <c r="F37" s="400"/>
      <c r="G37" s="406">
        <f t="shared" si="4"/>
        <v>0</v>
      </c>
    </row>
    <row r="38" spans="1:7">
      <c r="B38" s="162">
        <v>38</v>
      </c>
      <c r="C38" s="820" t="s">
        <v>959</v>
      </c>
      <c r="D38" s="406">
        <f t="shared" si="3"/>
        <v>0</v>
      </c>
      <c r="E38" s="400"/>
      <c r="F38" s="400"/>
      <c r="G38" s="406">
        <f t="shared" si="4"/>
        <v>0</v>
      </c>
    </row>
    <row r="39" spans="1:7">
      <c r="A39" s="957"/>
      <c r="B39" s="162">
        <v>39</v>
      </c>
      <c r="C39" s="820" t="s">
        <v>960</v>
      </c>
      <c r="D39" s="406">
        <f t="shared" si="3"/>
        <v>0</v>
      </c>
      <c r="E39" s="400"/>
      <c r="F39" s="400"/>
      <c r="G39" s="406">
        <f t="shared" si="4"/>
        <v>0</v>
      </c>
    </row>
    <row r="40" spans="1:7">
      <c r="B40" s="162">
        <v>40</v>
      </c>
      <c r="C40" s="820" t="s">
        <v>961</v>
      </c>
      <c r="D40" s="406">
        <f t="shared" si="3"/>
        <v>0</v>
      </c>
      <c r="E40" s="400"/>
      <c r="F40" s="400"/>
      <c r="G40" s="406">
        <f t="shared" si="4"/>
        <v>0</v>
      </c>
    </row>
    <row r="41" spans="1:7">
      <c r="B41" s="162">
        <v>41</v>
      </c>
      <c r="C41" s="820" t="s">
        <v>962</v>
      </c>
      <c r="D41" s="406">
        <f t="shared" si="3"/>
        <v>0</v>
      </c>
      <c r="E41" s="400"/>
      <c r="F41" s="400"/>
      <c r="G41" s="406">
        <f t="shared" si="4"/>
        <v>0</v>
      </c>
    </row>
    <row r="42" spans="1:7">
      <c r="A42" s="811" t="str">
        <f>HYPERLINK("#C1","置顶")</f>
        <v>置顶</v>
      </c>
      <c r="B42" s="162">
        <v>42</v>
      </c>
      <c r="C42" s="820" t="s">
        <v>963</v>
      </c>
      <c r="D42" s="406">
        <f t="shared" si="3"/>
        <v>0</v>
      </c>
      <c r="E42" s="400"/>
      <c r="F42" s="400"/>
      <c r="G42" s="406">
        <f t="shared" si="4"/>
        <v>0</v>
      </c>
    </row>
    <row r="43" spans="1:7">
      <c r="A43" s="957"/>
      <c r="B43" s="162">
        <v>43</v>
      </c>
      <c r="C43" s="820" t="s">
        <v>964</v>
      </c>
      <c r="D43" s="406">
        <f t="shared" si="3"/>
        <v>0</v>
      </c>
      <c r="E43" s="400"/>
      <c r="F43" s="400"/>
      <c r="G43" s="406">
        <f t="shared" si="4"/>
        <v>0</v>
      </c>
    </row>
    <row r="44" spans="1:7">
      <c r="B44" s="162">
        <v>44</v>
      </c>
    </row>
    <row r="45" spans="1:7">
      <c r="A45" s="957"/>
      <c r="B45" s="162">
        <v>59</v>
      </c>
    </row>
    <row r="46" spans="1:7">
      <c r="A46" s="957"/>
      <c r="B46" s="162">
        <v>60</v>
      </c>
      <c r="C46" s="781" t="s">
        <v>2999</v>
      </c>
    </row>
    <row r="47" spans="1:7">
      <c r="A47" s="957" t="s">
        <v>2925</v>
      </c>
      <c r="B47" s="162">
        <v>61</v>
      </c>
      <c r="C47" s="888"/>
      <c r="D47" s="881" t="s">
        <v>2938</v>
      </c>
      <c r="E47" s="881" t="s">
        <v>2939</v>
      </c>
    </row>
    <row r="48" spans="1:7">
      <c r="B48" s="162">
        <v>62</v>
      </c>
      <c r="C48" s="881" t="s">
        <v>974</v>
      </c>
      <c r="D48" s="888"/>
      <c r="E48" s="888"/>
    </row>
    <row r="49" spans="1:7">
      <c r="B49" s="162">
        <v>63</v>
      </c>
    </row>
    <row r="50" spans="1:7">
      <c r="B50" s="162">
        <v>64</v>
      </c>
      <c r="C50" s="881"/>
      <c r="D50" s="881" t="s">
        <v>2504</v>
      </c>
      <c r="E50" s="881" t="s">
        <v>2505</v>
      </c>
    </row>
    <row r="51" spans="1:7">
      <c r="B51" s="162">
        <v>65</v>
      </c>
      <c r="C51" s="881" t="s">
        <v>1319</v>
      </c>
      <c r="D51" s="406">
        <f>审定资产负债表!D45</f>
        <v>0</v>
      </c>
      <c r="E51" s="406">
        <f>审定资产负债表!C45</f>
        <v>0</v>
      </c>
    </row>
    <row r="52" spans="1:7">
      <c r="A52" s="957" t="s">
        <v>2260</v>
      </c>
      <c r="B52" s="162">
        <v>66</v>
      </c>
      <c r="C52" s="881" t="s">
        <v>1320</v>
      </c>
      <c r="D52" s="406">
        <f>D34-D51</f>
        <v>0</v>
      </c>
      <c r="E52" s="406">
        <f>G34-E51</f>
        <v>0</v>
      </c>
    </row>
    <row r="53" spans="1:7">
      <c r="B53" s="162">
        <v>67</v>
      </c>
    </row>
    <row r="54" spans="1:7">
      <c r="B54" s="162">
        <v>68</v>
      </c>
    </row>
    <row r="57" spans="1:7">
      <c r="E57" s="162"/>
    </row>
    <row r="58" spans="1:7">
      <c r="E58" s="971"/>
    </row>
    <row r="59" spans="1:7">
      <c r="E59" s="162"/>
      <c r="G59" s="860"/>
    </row>
    <row r="60" spans="1:7">
      <c r="E60" s="860"/>
    </row>
    <row r="61" spans="1:7">
      <c r="E61" s="162"/>
    </row>
    <row r="62" spans="1:7">
      <c r="E62" s="860"/>
      <c r="G62" s="162"/>
    </row>
    <row r="63" spans="1:7">
      <c r="G63" s="860"/>
    </row>
    <row r="64" spans="1:7">
      <c r="G64" s="162"/>
    </row>
    <row r="65" spans="7:7">
      <c r="G65" s="162"/>
    </row>
    <row r="66" spans="7:7">
      <c r="G66" s="971"/>
    </row>
    <row r="67" spans="7:7">
      <c r="G67" s="162"/>
    </row>
    <row r="68" spans="7:7">
      <c r="G68" s="162"/>
    </row>
    <row r="69" spans="7:7">
      <c r="G69" s="971"/>
    </row>
  </sheetData>
  <sheetProtection formatCells="0" formatColumns="0" formatRows="0" autoFilter="0"/>
  <phoneticPr fontId="5" type="noConversion"/>
  <hyperlinks>
    <hyperlink ref="A1" location="附注填写封面!B3" display="返回目录" xr:uid="{00000000-0004-0000-2B00-000000000000}"/>
    <hyperlink ref="A14" location="附注填写封面!B3" display="返回目录" xr:uid="{00000000-0004-0000-2B00-000001000000}"/>
    <hyperlink ref="A52" location="附注填写封面!B3" display="返回目录" xr:uid="{00000000-0004-0000-2B00-000002000000}"/>
    <hyperlink ref="A47" location="现金流量表补充资料!C11" display="到间接法" xr:uid="{00000000-0004-0000-2B00-000003000000}"/>
    <hyperlink ref="A36" location="附注填写封面!B3" display="返回目录" xr:uid="{00000000-0004-0000-2B00-000004000000}"/>
    <hyperlink ref="A24" location="审定资产减值准备情况表!B5" display="返回减值准备表" xr:uid="{00000000-0004-0000-2B00-000005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10"/>
  <dimension ref="B1:L46"/>
  <sheetViews>
    <sheetView showGridLines="0" topLeftCell="B37" workbookViewId="0">
      <selection activeCell="D46" sqref="D46"/>
    </sheetView>
  </sheetViews>
  <sheetFormatPr defaultColWidth="11" defaultRowHeight="23.1" customHeight="1"/>
  <cols>
    <col min="1" max="1" width="6.375" style="1500" customWidth="1"/>
    <col min="2" max="2" width="20.125" style="1500" customWidth="1"/>
    <col min="3" max="12" width="15.5" style="1500" customWidth="1"/>
    <col min="13" max="16384" width="11" style="1500"/>
  </cols>
  <sheetData>
    <row r="1" spans="2:12" ht="23.1" customHeight="1">
      <c r="B1" s="1526" t="s">
        <v>4895</v>
      </c>
      <c r="C1" s="1527"/>
      <c r="D1" s="1527"/>
      <c r="E1" s="1527"/>
      <c r="F1" s="1527"/>
      <c r="G1" s="1527"/>
      <c r="H1" s="1528"/>
      <c r="I1" s="1528"/>
      <c r="J1" s="1528"/>
      <c r="K1" s="1528"/>
      <c r="L1" s="1528"/>
    </row>
    <row r="2" spans="2:12" ht="23.1" customHeight="1">
      <c r="B2" s="1529" t="s">
        <v>4896</v>
      </c>
      <c r="C2" s="1529" t="s">
        <v>4897</v>
      </c>
      <c r="D2" s="1529" t="s">
        <v>4898</v>
      </c>
      <c r="E2" s="1529" t="s">
        <v>4899</v>
      </c>
      <c r="F2" s="1529" t="s">
        <v>4900</v>
      </c>
      <c r="G2" s="1529" t="s">
        <v>4901</v>
      </c>
      <c r="H2" s="1529" t="s">
        <v>4902</v>
      </c>
      <c r="I2" s="1529" t="s">
        <v>4903</v>
      </c>
      <c r="J2" s="1530" t="s">
        <v>4904</v>
      </c>
      <c r="K2" s="1530" t="s">
        <v>4447</v>
      </c>
      <c r="L2" s="1529" t="s">
        <v>4905</v>
      </c>
    </row>
    <row r="3" spans="2:12" ht="23.1" customHeight="1">
      <c r="B3" s="1531" t="s">
        <v>4906</v>
      </c>
      <c r="C3" s="1531"/>
      <c r="D3" s="1531"/>
      <c r="E3" s="1531"/>
      <c r="F3" s="1531"/>
      <c r="G3" s="1531"/>
      <c r="H3" s="1532"/>
      <c r="I3" s="1532"/>
      <c r="J3" s="1532"/>
      <c r="K3" s="1533"/>
      <c r="L3" s="1532"/>
    </row>
    <row r="4" spans="2:12" ht="23.1" customHeight="1">
      <c r="B4" s="1531" t="s">
        <v>4907</v>
      </c>
      <c r="C4" s="1532"/>
      <c r="D4" s="1532"/>
      <c r="E4" s="1532"/>
      <c r="F4" s="1532"/>
      <c r="G4" s="1532"/>
      <c r="H4" s="1532"/>
      <c r="I4" s="1532"/>
      <c r="J4" s="1532"/>
      <c r="K4" s="1532"/>
      <c r="L4" s="1525">
        <f>SUM(C4:K4)</f>
        <v>0</v>
      </c>
    </row>
    <row r="5" spans="2:12" ht="23.1" customHeight="1">
      <c r="B5" s="1531" t="s">
        <v>4908</v>
      </c>
      <c r="C5" s="1525">
        <f>C6+C7+C8+C9</f>
        <v>0</v>
      </c>
      <c r="D5" s="1525">
        <f t="shared" ref="D5:L5" si="0">D6+D7+D8+D9</f>
        <v>0</v>
      </c>
      <c r="E5" s="1525">
        <f t="shared" si="0"/>
        <v>0</v>
      </c>
      <c r="F5" s="1525">
        <f t="shared" si="0"/>
        <v>0</v>
      </c>
      <c r="G5" s="1525">
        <f t="shared" si="0"/>
        <v>0</v>
      </c>
      <c r="H5" s="1525">
        <f t="shared" si="0"/>
        <v>0</v>
      </c>
      <c r="I5" s="1525">
        <f t="shared" si="0"/>
        <v>0</v>
      </c>
      <c r="J5" s="1525">
        <f t="shared" si="0"/>
        <v>0</v>
      </c>
      <c r="K5" s="1525">
        <f t="shared" si="0"/>
        <v>0</v>
      </c>
      <c r="L5" s="1525">
        <f t="shared" si="0"/>
        <v>0</v>
      </c>
    </row>
    <row r="6" spans="2:12" ht="23.1" customHeight="1">
      <c r="B6" s="1531" t="s">
        <v>4909</v>
      </c>
      <c r="C6" s="1532"/>
      <c r="D6" s="1532"/>
      <c r="E6" s="1532"/>
      <c r="F6" s="1532"/>
      <c r="G6" s="1532"/>
      <c r="H6" s="1532"/>
      <c r="I6" s="1532"/>
      <c r="J6" s="1532"/>
      <c r="K6" s="1532"/>
      <c r="L6" s="1525">
        <f>SUM(C6:K6)</f>
        <v>0</v>
      </c>
    </row>
    <row r="7" spans="2:12" ht="23.1" customHeight="1">
      <c r="B7" s="1531" t="s">
        <v>4910</v>
      </c>
      <c r="C7" s="1532"/>
      <c r="D7" s="1532"/>
      <c r="E7" s="1532"/>
      <c r="F7" s="1532"/>
      <c r="G7" s="1532"/>
      <c r="H7" s="1532"/>
      <c r="I7" s="1532"/>
      <c r="J7" s="1532"/>
      <c r="K7" s="1532"/>
      <c r="L7" s="1525">
        <f>SUM(C7:K7)</f>
        <v>0</v>
      </c>
    </row>
    <row r="8" spans="2:12" ht="23.1" customHeight="1">
      <c r="B8" s="1531" t="s">
        <v>4911</v>
      </c>
      <c r="C8" s="1532"/>
      <c r="D8" s="1532"/>
      <c r="E8" s="1532"/>
      <c r="F8" s="1532"/>
      <c r="G8" s="1532"/>
      <c r="H8" s="1532"/>
      <c r="I8" s="1532"/>
      <c r="J8" s="1532"/>
      <c r="K8" s="1532"/>
      <c r="L8" s="1525">
        <f>SUM(C8:K8)</f>
        <v>0</v>
      </c>
    </row>
    <row r="9" spans="2:12" ht="23.1" customHeight="1">
      <c r="B9" s="1531" t="s">
        <v>4912</v>
      </c>
      <c r="C9" s="1532"/>
      <c r="D9" s="1532"/>
      <c r="E9" s="1532"/>
      <c r="F9" s="1532"/>
      <c r="G9" s="1532"/>
      <c r="H9" s="1532"/>
      <c r="I9" s="1532"/>
      <c r="J9" s="1532"/>
      <c r="K9" s="1532"/>
      <c r="L9" s="1525">
        <f>SUM(C9:K9)</f>
        <v>0</v>
      </c>
    </row>
    <row r="10" spans="2:12" ht="23.1" customHeight="1">
      <c r="B10" s="1531" t="s">
        <v>4913</v>
      </c>
      <c r="C10" s="1525">
        <f>SUM(C11:C12)</f>
        <v>0</v>
      </c>
      <c r="D10" s="1525">
        <f t="shared" ref="D10:L10" si="1">SUM(D11:D12)</f>
        <v>0</v>
      </c>
      <c r="E10" s="1525">
        <f t="shared" si="1"/>
        <v>0</v>
      </c>
      <c r="F10" s="1525">
        <f t="shared" si="1"/>
        <v>0</v>
      </c>
      <c r="G10" s="1525">
        <f t="shared" si="1"/>
        <v>0</v>
      </c>
      <c r="H10" s="1525">
        <f t="shared" si="1"/>
        <v>0</v>
      </c>
      <c r="I10" s="1525">
        <f t="shared" si="1"/>
        <v>0</v>
      </c>
      <c r="J10" s="1525">
        <f t="shared" si="1"/>
        <v>0</v>
      </c>
      <c r="K10" s="1525">
        <f t="shared" si="1"/>
        <v>0</v>
      </c>
      <c r="L10" s="1525">
        <f t="shared" si="1"/>
        <v>0</v>
      </c>
    </row>
    <row r="11" spans="2:12" ht="23.1" customHeight="1">
      <c r="B11" s="1531" t="s">
        <v>4914</v>
      </c>
      <c r="C11" s="1532"/>
      <c r="D11" s="1532"/>
      <c r="E11" s="1532"/>
      <c r="F11" s="1532"/>
      <c r="G11" s="1532"/>
      <c r="H11" s="1532"/>
      <c r="I11" s="1532"/>
      <c r="J11" s="1532"/>
      <c r="K11" s="1532"/>
      <c r="L11" s="1525">
        <f>SUM(C11:K11)</f>
        <v>0</v>
      </c>
    </row>
    <row r="12" spans="2:12" ht="23.1" customHeight="1">
      <c r="B12" s="1534" t="s">
        <v>4915</v>
      </c>
      <c r="C12" s="1532"/>
      <c r="D12" s="1532"/>
      <c r="E12" s="1532"/>
      <c r="F12" s="1532"/>
      <c r="G12" s="1532"/>
      <c r="H12" s="1532"/>
      <c r="I12" s="1532"/>
      <c r="J12" s="1532"/>
      <c r="K12" s="1532"/>
      <c r="L12" s="1525">
        <f>SUM(C12:K12)</f>
        <v>0</v>
      </c>
    </row>
    <row r="13" spans="2:12" ht="23.1" customHeight="1">
      <c r="B13" s="1531" t="s">
        <v>4916</v>
      </c>
      <c r="C13" s="1525">
        <f>C4+C5-C10</f>
        <v>0</v>
      </c>
      <c r="D13" s="1525">
        <f t="shared" ref="D13:L13" si="2">D4+D5-D10</f>
        <v>0</v>
      </c>
      <c r="E13" s="1525">
        <f t="shared" si="2"/>
        <v>0</v>
      </c>
      <c r="F13" s="1525">
        <f t="shared" si="2"/>
        <v>0</v>
      </c>
      <c r="G13" s="1525">
        <f t="shared" si="2"/>
        <v>0</v>
      </c>
      <c r="H13" s="1525">
        <f t="shared" si="2"/>
        <v>0</v>
      </c>
      <c r="I13" s="1525">
        <f t="shared" si="2"/>
        <v>0</v>
      </c>
      <c r="J13" s="1525">
        <f t="shared" si="2"/>
        <v>0</v>
      </c>
      <c r="K13" s="1525">
        <f t="shared" si="2"/>
        <v>0</v>
      </c>
      <c r="L13" s="1525">
        <f t="shared" si="2"/>
        <v>0</v>
      </c>
    </row>
    <row r="14" spans="2:12" ht="23.1" customHeight="1">
      <c r="B14" s="1531" t="s">
        <v>4917</v>
      </c>
      <c r="C14" s="1531"/>
      <c r="D14" s="1531"/>
      <c r="E14" s="1531"/>
      <c r="F14" s="1531"/>
      <c r="G14" s="1531"/>
      <c r="H14" s="1532"/>
      <c r="I14" s="1532"/>
      <c r="J14" s="1532"/>
      <c r="K14" s="1533"/>
      <c r="L14" s="1532"/>
    </row>
    <row r="15" spans="2:12" ht="23.1" customHeight="1">
      <c r="B15" s="1531" t="s">
        <v>4907</v>
      </c>
      <c r="C15" s="1532"/>
      <c r="D15" s="1532"/>
      <c r="E15" s="1532"/>
      <c r="F15" s="1532"/>
      <c r="G15" s="1532"/>
      <c r="H15" s="1532"/>
      <c r="I15" s="1532"/>
      <c r="J15" s="1532"/>
      <c r="K15" s="1532"/>
      <c r="L15" s="1525">
        <f>SUM(C15:K15)</f>
        <v>0</v>
      </c>
    </row>
    <row r="16" spans="2:12" ht="23.1" customHeight="1">
      <c r="B16" s="1531" t="s">
        <v>4908</v>
      </c>
      <c r="C16" s="1525">
        <f t="shared" ref="C16:L16" si="3">SUM(C17:C18)</f>
        <v>0</v>
      </c>
      <c r="D16" s="1525">
        <f t="shared" si="3"/>
        <v>0</v>
      </c>
      <c r="E16" s="1525">
        <f t="shared" si="3"/>
        <v>0</v>
      </c>
      <c r="F16" s="1525">
        <f t="shared" si="3"/>
        <v>0</v>
      </c>
      <c r="G16" s="1525">
        <f t="shared" si="3"/>
        <v>0</v>
      </c>
      <c r="H16" s="1525">
        <f t="shared" si="3"/>
        <v>0</v>
      </c>
      <c r="I16" s="1525">
        <f t="shared" si="3"/>
        <v>0</v>
      </c>
      <c r="J16" s="1525">
        <f t="shared" si="3"/>
        <v>0</v>
      </c>
      <c r="K16" s="1525">
        <f t="shared" si="3"/>
        <v>0</v>
      </c>
      <c r="L16" s="1525">
        <f t="shared" si="3"/>
        <v>0</v>
      </c>
    </row>
    <row r="17" spans="2:12" ht="23.1" customHeight="1">
      <c r="B17" s="1531" t="s">
        <v>4918</v>
      </c>
      <c r="C17" s="1532"/>
      <c r="D17" s="1532"/>
      <c r="E17" s="1532"/>
      <c r="F17" s="1532"/>
      <c r="G17" s="1532"/>
      <c r="H17" s="1532"/>
      <c r="I17" s="1532"/>
      <c r="J17" s="1532"/>
      <c r="K17" s="1532"/>
      <c r="L17" s="1525">
        <f>SUM(C17:K17)</f>
        <v>0</v>
      </c>
    </row>
    <row r="18" spans="2:12" ht="23.1" customHeight="1">
      <c r="B18" s="1531" t="s">
        <v>4915</v>
      </c>
      <c r="C18" s="1532"/>
      <c r="D18" s="1532"/>
      <c r="E18" s="1532"/>
      <c r="F18" s="1532"/>
      <c r="G18" s="1532"/>
      <c r="H18" s="1532"/>
      <c r="I18" s="1532"/>
      <c r="J18" s="1532"/>
      <c r="K18" s="1532"/>
      <c r="L18" s="1525">
        <f>SUM(C18:K18)</f>
        <v>0</v>
      </c>
    </row>
    <row r="19" spans="2:12" ht="23.1" customHeight="1">
      <c r="B19" s="1531" t="s">
        <v>4913</v>
      </c>
      <c r="C19" s="1525">
        <f t="shared" ref="C19:L19" si="4">SUM(C20:C21)</f>
        <v>0</v>
      </c>
      <c r="D19" s="1525">
        <f t="shared" si="4"/>
        <v>0</v>
      </c>
      <c r="E19" s="1525">
        <f t="shared" si="4"/>
        <v>0</v>
      </c>
      <c r="F19" s="1525">
        <f t="shared" si="4"/>
        <v>0</v>
      </c>
      <c r="G19" s="1525">
        <f t="shared" si="4"/>
        <v>0</v>
      </c>
      <c r="H19" s="1525">
        <f t="shared" si="4"/>
        <v>0</v>
      </c>
      <c r="I19" s="1525">
        <f t="shared" si="4"/>
        <v>0</v>
      </c>
      <c r="J19" s="1525">
        <f t="shared" si="4"/>
        <v>0</v>
      </c>
      <c r="K19" s="1525">
        <f t="shared" si="4"/>
        <v>0</v>
      </c>
      <c r="L19" s="1525">
        <f t="shared" si="4"/>
        <v>0</v>
      </c>
    </row>
    <row r="20" spans="2:12" ht="23.1" customHeight="1">
      <c r="B20" s="1531" t="s">
        <v>4914</v>
      </c>
      <c r="C20" s="1532"/>
      <c r="D20" s="1532"/>
      <c r="E20" s="1532"/>
      <c r="F20" s="1532"/>
      <c r="G20" s="1532"/>
      <c r="H20" s="1532"/>
      <c r="I20" s="1532"/>
      <c r="J20" s="1532"/>
      <c r="K20" s="1532"/>
      <c r="L20" s="1525">
        <f>SUM(C20:K20)</f>
        <v>0</v>
      </c>
    </row>
    <row r="21" spans="2:12" ht="23.1" customHeight="1">
      <c r="B21" s="1531" t="s">
        <v>4915</v>
      </c>
      <c r="C21" s="1532"/>
      <c r="D21" s="1532"/>
      <c r="E21" s="1532"/>
      <c r="F21" s="1532"/>
      <c r="G21" s="1532"/>
      <c r="H21" s="1532"/>
      <c r="I21" s="1532"/>
      <c r="J21" s="1532"/>
      <c r="K21" s="1532"/>
      <c r="L21" s="1525">
        <f>SUM(C21:K21)</f>
        <v>0</v>
      </c>
    </row>
    <row r="22" spans="2:12" ht="23.1" customHeight="1">
      <c r="B22" s="1531" t="s">
        <v>4916</v>
      </c>
      <c r="C22" s="1525">
        <f>C15+C16-C19</f>
        <v>0</v>
      </c>
      <c r="D22" s="1525">
        <f t="shared" ref="D22:L22" si="5">D15+D16-D19</f>
        <v>0</v>
      </c>
      <c r="E22" s="1525">
        <f t="shared" si="5"/>
        <v>0</v>
      </c>
      <c r="F22" s="1525">
        <f t="shared" si="5"/>
        <v>0</v>
      </c>
      <c r="G22" s="1525">
        <f t="shared" si="5"/>
        <v>0</v>
      </c>
      <c r="H22" s="1525">
        <f t="shared" si="5"/>
        <v>0</v>
      </c>
      <c r="I22" s="1525">
        <f t="shared" si="5"/>
        <v>0</v>
      </c>
      <c r="J22" s="1525">
        <f t="shared" si="5"/>
        <v>0</v>
      </c>
      <c r="K22" s="1525">
        <f t="shared" si="5"/>
        <v>0</v>
      </c>
      <c r="L22" s="1525">
        <f t="shared" si="5"/>
        <v>0</v>
      </c>
    </row>
    <row r="23" spans="2:12" ht="23.1" customHeight="1">
      <c r="B23" s="1531" t="s">
        <v>4919</v>
      </c>
      <c r="C23" s="1531"/>
      <c r="D23" s="1531"/>
      <c r="E23" s="1531"/>
      <c r="F23" s="1531"/>
      <c r="G23" s="1531"/>
      <c r="H23" s="1532"/>
      <c r="I23" s="1532"/>
      <c r="J23" s="1532"/>
      <c r="K23" s="1533"/>
      <c r="L23" s="1532"/>
    </row>
    <row r="24" spans="2:12" ht="23.1" customHeight="1">
      <c r="B24" s="1531" t="s">
        <v>4907</v>
      </c>
      <c r="C24" s="1532"/>
      <c r="D24" s="1532"/>
      <c r="E24" s="1532"/>
      <c r="F24" s="1532"/>
      <c r="G24" s="1532"/>
      <c r="H24" s="1532"/>
      <c r="I24" s="1532"/>
      <c r="J24" s="1532"/>
      <c r="K24" s="1532"/>
      <c r="L24" s="1525">
        <f>SUM(C24:K24)</f>
        <v>0</v>
      </c>
    </row>
    <row r="25" spans="2:12" ht="23.1" customHeight="1">
      <c r="B25" s="1531" t="s">
        <v>4908</v>
      </c>
      <c r="C25" s="1525">
        <f>SUM(C26:C27)</f>
        <v>0</v>
      </c>
      <c r="D25" s="1525">
        <f t="shared" ref="D25:L25" si="6">SUM(D26:D27)</f>
        <v>0</v>
      </c>
      <c r="E25" s="1525">
        <f t="shared" si="6"/>
        <v>0</v>
      </c>
      <c r="F25" s="1525">
        <f t="shared" si="6"/>
        <v>0</v>
      </c>
      <c r="G25" s="1525">
        <f t="shared" si="6"/>
        <v>0</v>
      </c>
      <c r="H25" s="1525">
        <f t="shared" si="6"/>
        <v>0</v>
      </c>
      <c r="I25" s="1525">
        <f t="shared" si="6"/>
        <v>0</v>
      </c>
      <c r="J25" s="1525">
        <f t="shared" si="6"/>
        <v>0</v>
      </c>
      <c r="K25" s="1525">
        <f t="shared" si="6"/>
        <v>0</v>
      </c>
      <c r="L25" s="1525">
        <f t="shared" si="6"/>
        <v>0</v>
      </c>
    </row>
    <row r="26" spans="2:12" ht="23.1" customHeight="1">
      <c r="B26" s="1531" t="s">
        <v>4918</v>
      </c>
      <c r="C26" s="1532"/>
      <c r="D26" s="1532"/>
      <c r="E26" s="1532"/>
      <c r="F26" s="1532"/>
      <c r="G26" s="1532"/>
      <c r="H26" s="1532"/>
      <c r="I26" s="1532"/>
      <c r="J26" s="1532"/>
      <c r="K26" s="1532"/>
      <c r="L26" s="1525">
        <f t="shared" ref="L26:L31" si="7">SUM(C26:K26)</f>
        <v>0</v>
      </c>
    </row>
    <row r="27" spans="2:12" ht="23.1" customHeight="1">
      <c r="B27" s="1531" t="s">
        <v>4915</v>
      </c>
      <c r="C27" s="1532"/>
      <c r="D27" s="1532"/>
      <c r="E27" s="1532"/>
      <c r="F27" s="1532"/>
      <c r="G27" s="1532"/>
      <c r="H27" s="1532"/>
      <c r="I27" s="1532"/>
      <c r="J27" s="1532"/>
      <c r="K27" s="1532"/>
      <c r="L27" s="1525">
        <f t="shared" si="7"/>
        <v>0</v>
      </c>
    </row>
    <row r="28" spans="2:12" ht="23.1" customHeight="1">
      <c r="B28" s="1531" t="s">
        <v>4913</v>
      </c>
      <c r="C28" s="1525">
        <f t="shared" ref="C28:K28" si="8">SUM(C29:C30)</f>
        <v>0</v>
      </c>
      <c r="D28" s="1525">
        <f t="shared" si="8"/>
        <v>0</v>
      </c>
      <c r="E28" s="1525">
        <f t="shared" si="8"/>
        <v>0</v>
      </c>
      <c r="F28" s="1525">
        <f t="shared" si="8"/>
        <v>0</v>
      </c>
      <c r="G28" s="1525">
        <f t="shared" si="8"/>
        <v>0</v>
      </c>
      <c r="H28" s="1525">
        <f t="shared" si="8"/>
        <v>0</v>
      </c>
      <c r="I28" s="1525">
        <f t="shared" si="8"/>
        <v>0</v>
      </c>
      <c r="J28" s="1525">
        <f t="shared" si="8"/>
        <v>0</v>
      </c>
      <c r="K28" s="1525">
        <f t="shared" si="8"/>
        <v>0</v>
      </c>
      <c r="L28" s="1525">
        <f t="shared" si="7"/>
        <v>0</v>
      </c>
    </row>
    <row r="29" spans="2:12" ht="23.1" customHeight="1">
      <c r="B29" s="1531" t="s">
        <v>4914</v>
      </c>
      <c r="C29" s="1532"/>
      <c r="D29" s="1532"/>
      <c r="E29" s="1532"/>
      <c r="F29" s="1532"/>
      <c r="G29" s="1532"/>
      <c r="H29" s="1532"/>
      <c r="I29" s="1532"/>
      <c r="J29" s="1532"/>
      <c r="K29" s="1532"/>
      <c r="L29" s="1525">
        <f t="shared" si="7"/>
        <v>0</v>
      </c>
    </row>
    <row r="30" spans="2:12" ht="23.1" customHeight="1">
      <c r="B30" s="1531" t="s">
        <v>4915</v>
      </c>
      <c r="C30" s="1532"/>
      <c r="D30" s="1532"/>
      <c r="E30" s="1532"/>
      <c r="F30" s="1532"/>
      <c r="G30" s="1532"/>
      <c r="H30" s="1532"/>
      <c r="I30" s="1532"/>
      <c r="J30" s="1532"/>
      <c r="K30" s="1532"/>
      <c r="L30" s="1525">
        <f t="shared" si="7"/>
        <v>0</v>
      </c>
    </row>
    <row r="31" spans="2:12" ht="23.1" customHeight="1">
      <c r="B31" s="1531" t="s">
        <v>4916</v>
      </c>
      <c r="C31" s="1525">
        <f>C24+C25-C28</f>
        <v>0</v>
      </c>
      <c r="D31" s="1525">
        <f t="shared" ref="D31:K31" si="9">D24+D25-D28</f>
        <v>0</v>
      </c>
      <c r="E31" s="1525">
        <f t="shared" si="9"/>
        <v>0</v>
      </c>
      <c r="F31" s="1525">
        <f t="shared" si="9"/>
        <v>0</v>
      </c>
      <c r="G31" s="1525">
        <f t="shared" si="9"/>
        <v>0</v>
      </c>
      <c r="H31" s="1525">
        <f t="shared" si="9"/>
        <v>0</v>
      </c>
      <c r="I31" s="1525">
        <f t="shared" si="9"/>
        <v>0</v>
      </c>
      <c r="J31" s="1525">
        <f t="shared" si="9"/>
        <v>0</v>
      </c>
      <c r="K31" s="1525">
        <f t="shared" si="9"/>
        <v>0</v>
      </c>
      <c r="L31" s="1525">
        <f t="shared" si="7"/>
        <v>0</v>
      </c>
    </row>
    <row r="32" spans="2:12" ht="23.1" customHeight="1">
      <c r="B32" s="1534" t="s">
        <v>4920</v>
      </c>
      <c r="C32" s="1534"/>
      <c r="D32" s="1534"/>
      <c r="E32" s="1534"/>
      <c r="F32" s="1534"/>
      <c r="G32" s="1534"/>
      <c r="H32" s="1532"/>
      <c r="I32" s="1532"/>
      <c r="J32" s="1532"/>
      <c r="K32" s="1533"/>
      <c r="L32" s="1532"/>
    </row>
    <row r="33" spans="2:12" ht="23.1" customHeight="1">
      <c r="B33" s="1531" t="s">
        <v>4921</v>
      </c>
      <c r="C33" s="1525">
        <f>C13-C22-C31</f>
        <v>0</v>
      </c>
      <c r="D33" s="1525">
        <f t="shared" ref="D33:L33" si="10">D13-D22-D31</f>
        <v>0</v>
      </c>
      <c r="E33" s="1525">
        <f t="shared" si="10"/>
        <v>0</v>
      </c>
      <c r="F33" s="1525">
        <f t="shared" si="10"/>
        <v>0</v>
      </c>
      <c r="G33" s="1525">
        <f t="shared" si="10"/>
        <v>0</v>
      </c>
      <c r="H33" s="1525">
        <f t="shared" si="10"/>
        <v>0</v>
      </c>
      <c r="I33" s="1525">
        <f t="shared" si="10"/>
        <v>0</v>
      </c>
      <c r="J33" s="1525">
        <f t="shared" si="10"/>
        <v>0</v>
      </c>
      <c r="K33" s="1525">
        <f t="shared" si="10"/>
        <v>0</v>
      </c>
      <c r="L33" s="1525">
        <f t="shared" si="10"/>
        <v>0</v>
      </c>
    </row>
    <row r="34" spans="2:12" ht="23.1" customHeight="1">
      <c r="B34" s="1531" t="s">
        <v>4922</v>
      </c>
      <c r="C34" s="1525">
        <f>C4-C15-C24</f>
        <v>0</v>
      </c>
      <c r="D34" s="1525">
        <f t="shared" ref="D34:L34" si="11">D4-D15-D24</f>
        <v>0</v>
      </c>
      <c r="E34" s="1525">
        <f t="shared" si="11"/>
        <v>0</v>
      </c>
      <c r="F34" s="1525">
        <f t="shared" si="11"/>
        <v>0</v>
      </c>
      <c r="G34" s="1525">
        <f t="shared" si="11"/>
        <v>0</v>
      </c>
      <c r="H34" s="1525">
        <f t="shared" si="11"/>
        <v>0</v>
      </c>
      <c r="I34" s="1525">
        <f t="shared" si="11"/>
        <v>0</v>
      </c>
      <c r="J34" s="1525">
        <f t="shared" si="11"/>
        <v>0</v>
      </c>
      <c r="K34" s="1525">
        <f t="shared" si="11"/>
        <v>0</v>
      </c>
      <c r="L34" s="1525">
        <f t="shared" si="11"/>
        <v>0</v>
      </c>
    </row>
    <row r="37" spans="2:12" ht="23.1" customHeight="1">
      <c r="B37" s="1864" t="s">
        <v>4923</v>
      </c>
      <c r="C37" s="1864"/>
      <c r="D37" s="1864"/>
    </row>
    <row r="38" spans="2:12" ht="23.1" customHeight="1">
      <c r="B38" s="1535" t="s">
        <v>41</v>
      </c>
      <c r="C38" s="1535" t="s">
        <v>4924</v>
      </c>
      <c r="D38" s="1535" t="s">
        <v>4925</v>
      </c>
    </row>
    <row r="39" spans="2:12" ht="23.1" customHeight="1">
      <c r="B39" s="1522"/>
      <c r="C39" s="1522"/>
      <c r="D39" s="1519"/>
    </row>
    <row r="40" spans="2:12" ht="23.1" customHeight="1">
      <c r="B40" s="1522"/>
      <c r="C40" s="1522"/>
      <c r="D40" s="1519"/>
    </row>
    <row r="41" spans="2:12" ht="23.1" customHeight="1">
      <c r="B41" s="1502"/>
      <c r="C41" s="1522"/>
      <c r="D41" s="1519"/>
    </row>
    <row r="44" spans="2:12" ht="23.1" customHeight="1">
      <c r="B44" s="1523"/>
      <c r="C44" s="1524" t="s">
        <v>4926</v>
      </c>
      <c r="D44" s="1524" t="s">
        <v>4927</v>
      </c>
    </row>
    <row r="45" spans="2:12" ht="23.1" customHeight="1">
      <c r="B45" s="1524" t="s">
        <v>4928</v>
      </c>
      <c r="C45" s="1525">
        <f>审定资产负债表!D45</f>
        <v>0</v>
      </c>
      <c r="D45" s="1525">
        <f>审定资产负债表!C45</f>
        <v>0</v>
      </c>
    </row>
    <row r="46" spans="2:12" ht="23.1" customHeight="1">
      <c r="B46" s="1524" t="s">
        <v>4929</v>
      </c>
      <c r="C46" s="1525">
        <f>C45-L34</f>
        <v>0</v>
      </c>
      <c r="D46" s="1525">
        <f>D45-L33</f>
        <v>0</v>
      </c>
    </row>
  </sheetData>
  <mergeCells count="1">
    <mergeCell ref="B37:D37"/>
  </mergeCells>
  <phoneticPr fontId="5" type="noConversion"/>
  <pageMargins left="0.7" right="0.7" top="0.75" bottom="0.75" header="0.3" footer="0.3"/>
  <pageSetup paperSize="9" orientation="portrait" horizontalDpi="4294967292" verticalDpi="4294967292" r:id="rId1"/>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8"/>
  <dimension ref="A1:J38"/>
  <sheetViews>
    <sheetView showGridLines="0" showZeros="0" workbookViewId="0">
      <pane xSplit="3" ySplit="3" topLeftCell="D4" activePane="bottomRight" state="frozen"/>
      <selection activeCell="A5" sqref="A5:A6"/>
      <selection pane="topRight" activeCell="A5" sqref="A5:A6"/>
      <selection pane="bottomLeft" activeCell="A5" sqref="A5:A6"/>
      <selection pane="bottomRight" activeCell="C16" sqref="C16"/>
    </sheetView>
  </sheetViews>
  <sheetFormatPr defaultColWidth="11.625" defaultRowHeight="13.5"/>
  <cols>
    <col min="1" max="1" width="10.625" style="959" customWidth="1"/>
    <col min="2" max="2" width="7" style="863" hidden="1" customWidth="1"/>
    <col min="3" max="3" width="24.875" style="974" customWidth="1"/>
    <col min="4" max="16384" width="11.625" style="150"/>
  </cols>
  <sheetData>
    <row r="1" spans="1:10" ht="22.7" customHeight="1">
      <c r="A1" s="958" t="s">
        <v>2738</v>
      </c>
      <c r="B1" s="861" t="s">
        <v>2668</v>
      </c>
      <c r="C1" s="862" t="s">
        <v>3003</v>
      </c>
    </row>
    <row r="2" spans="1:10">
      <c r="B2" s="863">
        <v>2</v>
      </c>
      <c r="C2" s="972"/>
    </row>
    <row r="3" spans="1:10">
      <c r="B3" s="863">
        <v>3</v>
      </c>
      <c r="C3" s="150"/>
    </row>
    <row r="4" spans="1:10">
      <c r="B4" s="863">
        <v>4</v>
      </c>
      <c r="C4" s="1865" t="s">
        <v>2927</v>
      </c>
      <c r="D4" s="1831" t="s">
        <v>2776</v>
      </c>
      <c r="E4" s="1866" t="s">
        <v>2926</v>
      </c>
      <c r="F4" s="1867"/>
      <c r="G4" s="1831" t="s">
        <v>2924</v>
      </c>
      <c r="H4" s="1831"/>
      <c r="I4" s="1831"/>
      <c r="J4" s="1831" t="s">
        <v>2840</v>
      </c>
    </row>
    <row r="5" spans="1:10">
      <c r="B5" s="863">
        <v>5</v>
      </c>
      <c r="C5" s="1865"/>
      <c r="D5" s="1831"/>
      <c r="E5" s="864" t="s">
        <v>3004</v>
      </c>
      <c r="F5" s="864" t="s">
        <v>272</v>
      </c>
      <c r="G5" s="330" t="s">
        <v>4692</v>
      </c>
      <c r="H5" s="330" t="s">
        <v>4693</v>
      </c>
      <c r="I5" s="864" t="s">
        <v>3005</v>
      </c>
      <c r="J5" s="1831"/>
    </row>
    <row r="6" spans="1:10">
      <c r="B6" s="863">
        <v>6</v>
      </c>
      <c r="C6" s="914">
        <v>1</v>
      </c>
      <c r="D6" s="973"/>
      <c r="E6" s="973"/>
      <c r="F6" s="973"/>
      <c r="G6" s="973"/>
      <c r="H6" s="973"/>
      <c r="I6" s="973"/>
      <c r="J6" s="869">
        <f>D6+E6+F6-G6-H6-I6</f>
        <v>0</v>
      </c>
    </row>
    <row r="7" spans="1:10">
      <c r="A7" s="811" t="str">
        <f>HYPERLINK("#C1","置顶")</f>
        <v>置顶</v>
      </c>
      <c r="B7" s="863">
        <v>7</v>
      </c>
      <c r="C7" s="914">
        <v>2</v>
      </c>
      <c r="D7" s="973"/>
      <c r="E7" s="973"/>
      <c r="F7" s="973"/>
      <c r="G7" s="973"/>
      <c r="H7" s="973"/>
      <c r="I7" s="973"/>
      <c r="J7" s="869">
        <f t="shared" ref="J7:J16" si="0">D7+E7+F7-G7-H7-I7</f>
        <v>0</v>
      </c>
    </row>
    <row r="8" spans="1:10">
      <c r="B8" s="863">
        <v>8</v>
      </c>
      <c r="C8" s="914">
        <v>3</v>
      </c>
      <c r="D8" s="973"/>
      <c r="E8" s="973"/>
      <c r="F8" s="973"/>
      <c r="G8" s="973"/>
      <c r="H8" s="973"/>
      <c r="I8" s="973"/>
      <c r="J8" s="869">
        <f t="shared" si="0"/>
        <v>0</v>
      </c>
    </row>
    <row r="9" spans="1:10">
      <c r="B9" s="863">
        <v>9</v>
      </c>
      <c r="C9" s="914">
        <v>4</v>
      </c>
      <c r="D9" s="973"/>
      <c r="E9" s="973"/>
      <c r="F9" s="973"/>
      <c r="G9" s="973"/>
      <c r="H9" s="973"/>
      <c r="I9" s="973"/>
      <c r="J9" s="869">
        <f t="shared" si="0"/>
        <v>0</v>
      </c>
    </row>
    <row r="10" spans="1:10">
      <c r="B10" s="863">
        <v>10</v>
      </c>
      <c r="C10" s="914">
        <v>5</v>
      </c>
      <c r="D10" s="973"/>
      <c r="E10" s="973"/>
      <c r="F10" s="973"/>
      <c r="G10" s="973"/>
      <c r="H10" s="973"/>
      <c r="I10" s="973"/>
      <c r="J10" s="869">
        <f t="shared" si="0"/>
        <v>0</v>
      </c>
    </row>
    <row r="11" spans="1:10">
      <c r="B11" s="863">
        <v>11</v>
      </c>
      <c r="C11" s="914">
        <v>6</v>
      </c>
      <c r="D11" s="973"/>
      <c r="E11" s="973"/>
      <c r="F11" s="973"/>
      <c r="G11" s="973"/>
      <c r="H11" s="973"/>
      <c r="I11" s="973"/>
      <c r="J11" s="869">
        <f t="shared" si="0"/>
        <v>0</v>
      </c>
    </row>
    <row r="12" spans="1:10">
      <c r="B12" s="863">
        <v>12</v>
      </c>
      <c r="C12" s="914">
        <v>7</v>
      </c>
      <c r="D12" s="973"/>
      <c r="E12" s="973"/>
      <c r="F12" s="973"/>
      <c r="G12" s="973"/>
      <c r="H12" s="973"/>
      <c r="I12" s="973"/>
      <c r="J12" s="869">
        <f t="shared" si="0"/>
        <v>0</v>
      </c>
    </row>
    <row r="13" spans="1:10">
      <c r="B13" s="863">
        <v>13</v>
      </c>
      <c r="C13" s="914">
        <v>8</v>
      </c>
      <c r="D13" s="973"/>
      <c r="E13" s="973"/>
      <c r="F13" s="973"/>
      <c r="G13" s="973"/>
      <c r="H13" s="973"/>
      <c r="I13" s="973"/>
      <c r="J13" s="869">
        <f t="shared" si="0"/>
        <v>0</v>
      </c>
    </row>
    <row r="14" spans="1:10">
      <c r="A14" s="958" t="s">
        <v>2738</v>
      </c>
      <c r="B14" s="863">
        <v>14</v>
      </c>
      <c r="C14" s="914">
        <v>9</v>
      </c>
      <c r="D14" s="973"/>
      <c r="E14" s="973"/>
      <c r="F14" s="973"/>
      <c r="G14" s="973"/>
      <c r="H14" s="973"/>
      <c r="I14" s="973"/>
      <c r="J14" s="869">
        <f t="shared" si="0"/>
        <v>0</v>
      </c>
    </row>
    <row r="15" spans="1:10">
      <c r="B15" s="863">
        <v>15</v>
      </c>
      <c r="C15" s="914">
        <v>10</v>
      </c>
      <c r="D15" s="973"/>
      <c r="E15" s="973"/>
      <c r="F15" s="973"/>
      <c r="G15" s="973"/>
      <c r="H15" s="973"/>
      <c r="I15" s="973"/>
      <c r="J15" s="869">
        <f t="shared" si="0"/>
        <v>0</v>
      </c>
    </row>
    <row r="16" spans="1:10">
      <c r="B16" s="863">
        <v>16</v>
      </c>
      <c r="C16" s="864" t="s">
        <v>2989</v>
      </c>
      <c r="D16" s="869">
        <f>SUM(D6:D15)</f>
        <v>0</v>
      </c>
      <c r="E16" s="869">
        <f t="shared" ref="E16:I16" si="1">SUM(E6:E15)</f>
        <v>0</v>
      </c>
      <c r="F16" s="869">
        <f t="shared" si="1"/>
        <v>0</v>
      </c>
      <c r="G16" s="869">
        <f t="shared" si="1"/>
        <v>0</v>
      </c>
      <c r="H16" s="869">
        <f t="shared" si="1"/>
        <v>0</v>
      </c>
      <c r="I16" s="869">
        <f t="shared" si="1"/>
        <v>0</v>
      </c>
      <c r="J16" s="869">
        <f t="shared" si="0"/>
        <v>0</v>
      </c>
    </row>
    <row r="17" spans="1:7">
      <c r="B17" s="863">
        <v>17</v>
      </c>
    </row>
    <row r="18" spans="1:7">
      <c r="B18" s="863">
        <v>18</v>
      </c>
    </row>
    <row r="19" spans="1:7">
      <c r="A19" s="811" t="str">
        <f>HYPERLINK("#C1","置顶")</f>
        <v>置顶</v>
      </c>
      <c r="B19" s="863">
        <v>19</v>
      </c>
      <c r="C19" s="870"/>
      <c r="D19" s="870" t="s">
        <v>2663</v>
      </c>
      <c r="E19" s="870" t="s">
        <v>2664</v>
      </c>
      <c r="F19" s="329" t="s">
        <v>4514</v>
      </c>
    </row>
    <row r="20" spans="1:7">
      <c r="B20" s="863">
        <v>20</v>
      </c>
      <c r="C20" s="870" t="s">
        <v>2665</v>
      </c>
      <c r="D20" s="869">
        <f>审定资产负债表!D46</f>
        <v>0</v>
      </c>
      <c r="E20" s="869">
        <f>审定资产负债表!C46</f>
        <v>0</v>
      </c>
      <c r="F20" s="869">
        <f>审定利润表!C26</f>
        <v>0</v>
      </c>
    </row>
    <row r="21" spans="1:7">
      <c r="B21" s="863">
        <v>21</v>
      </c>
      <c r="C21" s="870" t="s">
        <v>2666</v>
      </c>
      <c r="D21" s="869">
        <f>D16-D20</f>
        <v>0</v>
      </c>
      <c r="E21" s="869">
        <f>J16-E20</f>
        <v>0</v>
      </c>
      <c r="F21" s="869">
        <f>H16-F20</f>
        <v>0</v>
      </c>
    </row>
    <row r="22" spans="1:7">
      <c r="B22" s="863">
        <v>67</v>
      </c>
    </row>
    <row r="23" spans="1:7">
      <c r="B23" s="863">
        <v>68</v>
      </c>
    </row>
    <row r="26" spans="1:7">
      <c r="E26" s="863"/>
    </row>
    <row r="27" spans="1:7">
      <c r="E27" s="975"/>
    </row>
    <row r="28" spans="1:7">
      <c r="E28" s="863"/>
      <c r="G28" s="860"/>
    </row>
    <row r="29" spans="1:7">
      <c r="E29" s="860"/>
    </row>
    <row r="30" spans="1:7">
      <c r="E30" s="863"/>
    </row>
    <row r="31" spans="1:7">
      <c r="E31" s="860"/>
      <c r="G31" s="863"/>
    </row>
    <row r="32" spans="1:7">
      <c r="G32" s="860"/>
    </row>
    <row r="33" spans="7:7">
      <c r="G33" s="863"/>
    </row>
    <row r="34" spans="7:7">
      <c r="G34" s="863"/>
    </row>
    <row r="35" spans="7:7">
      <c r="G35" s="975"/>
    </row>
    <row r="36" spans="7:7">
      <c r="G36" s="863"/>
    </row>
    <row r="37" spans="7:7">
      <c r="G37" s="863"/>
    </row>
    <row r="38" spans="7:7">
      <c r="G38" s="975"/>
    </row>
  </sheetData>
  <sheetProtection formatCells="0" formatColumns="0" formatRows="0" autoFilter="0"/>
  <mergeCells count="5">
    <mergeCell ref="J4:J5"/>
    <mergeCell ref="C4:C5"/>
    <mergeCell ref="D4:D5"/>
    <mergeCell ref="E4:F4"/>
    <mergeCell ref="G4:I4"/>
  </mergeCells>
  <phoneticPr fontId="5" type="noConversion"/>
  <hyperlinks>
    <hyperlink ref="A1" location="附注填写封面!B3" display="返回目录" xr:uid="{00000000-0004-0000-2D00-000000000000}"/>
    <hyperlink ref="A14" location="附注填写封面!B3" display="返回目录" xr:uid="{00000000-0004-0000-2D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70"/>
  <dimension ref="A1:G39"/>
  <sheetViews>
    <sheetView showGridLines="0" showZeros="0" topLeftCell="A16" workbookViewId="0">
      <selection activeCell="G28" sqref="G28"/>
    </sheetView>
  </sheetViews>
  <sheetFormatPr defaultColWidth="11.625" defaultRowHeight="12.75"/>
  <cols>
    <col min="1" max="1" width="7.125" style="813" customWidth="1"/>
    <col min="2" max="2" width="7" style="162" hidden="1" customWidth="1"/>
    <col min="3" max="3" width="35.875" style="344" customWidth="1"/>
    <col min="4" max="16384" width="11.625" style="344"/>
  </cols>
  <sheetData>
    <row r="1" spans="1:7" ht="27.95" customHeight="1">
      <c r="A1" s="963" t="s">
        <v>2260</v>
      </c>
      <c r="B1" s="343" t="s">
        <v>1446</v>
      </c>
      <c r="C1" s="759" t="s">
        <v>3006</v>
      </c>
    </row>
    <row r="2" spans="1:7">
      <c r="B2" s="162">
        <v>2</v>
      </c>
      <c r="C2" s="1424" t="s">
        <v>4694</v>
      </c>
    </row>
    <row r="3" spans="1:7">
      <c r="B3" s="162">
        <v>3</v>
      </c>
      <c r="C3" s="889" t="s">
        <v>3007</v>
      </c>
      <c r="D3" s="881" t="s">
        <v>526</v>
      </c>
      <c r="E3" s="881" t="s">
        <v>2740</v>
      </c>
      <c r="F3" s="881" t="s">
        <v>2741</v>
      </c>
      <c r="G3" s="881" t="s">
        <v>527</v>
      </c>
    </row>
    <row r="4" spans="1:7">
      <c r="A4" s="810">
        <v>1</v>
      </c>
      <c r="B4" s="162">
        <v>4</v>
      </c>
      <c r="C4" s="976"/>
      <c r="D4" s="400"/>
      <c r="E4" s="400"/>
      <c r="F4" s="400"/>
      <c r="G4" s="406">
        <f t="shared" ref="G4:G13" si="0">D4+E4-F4</f>
        <v>0</v>
      </c>
    </row>
    <row r="5" spans="1:7">
      <c r="A5" s="810">
        <v>2</v>
      </c>
      <c r="B5" s="162">
        <v>5</v>
      </c>
      <c r="C5" s="976"/>
      <c r="D5" s="400"/>
      <c r="E5" s="400"/>
      <c r="F5" s="400"/>
      <c r="G5" s="406">
        <f t="shared" si="0"/>
        <v>0</v>
      </c>
    </row>
    <row r="6" spans="1:7">
      <c r="A6" s="810">
        <v>3</v>
      </c>
      <c r="B6" s="162">
        <v>6</v>
      </c>
      <c r="C6" s="976"/>
      <c r="D6" s="400"/>
      <c r="E6" s="400"/>
      <c r="F6" s="400"/>
      <c r="G6" s="406">
        <f t="shared" si="0"/>
        <v>0</v>
      </c>
    </row>
    <row r="7" spans="1:7">
      <c r="A7" s="810">
        <v>4</v>
      </c>
      <c r="B7" s="162">
        <v>7</v>
      </c>
      <c r="C7" s="976"/>
      <c r="D7" s="400"/>
      <c r="E7" s="400"/>
      <c r="F7" s="400"/>
      <c r="G7" s="406">
        <f t="shared" si="0"/>
        <v>0</v>
      </c>
    </row>
    <row r="8" spans="1:7">
      <c r="A8" s="810">
        <v>5</v>
      </c>
      <c r="B8" s="162">
        <v>8</v>
      </c>
      <c r="C8" s="976"/>
      <c r="D8" s="400"/>
      <c r="E8" s="400"/>
      <c r="F8" s="400"/>
      <c r="G8" s="406">
        <f t="shared" si="0"/>
        <v>0</v>
      </c>
    </row>
    <row r="9" spans="1:7">
      <c r="A9" s="810">
        <v>6</v>
      </c>
      <c r="B9" s="162">
        <v>9</v>
      </c>
      <c r="C9" s="976"/>
      <c r="D9" s="400"/>
      <c r="E9" s="400"/>
      <c r="F9" s="400"/>
      <c r="G9" s="406">
        <f t="shared" si="0"/>
        <v>0</v>
      </c>
    </row>
    <row r="10" spans="1:7">
      <c r="A10" s="810">
        <v>7</v>
      </c>
      <c r="B10" s="162">
        <v>10</v>
      </c>
      <c r="C10" s="976"/>
      <c r="D10" s="400"/>
      <c r="E10" s="400"/>
      <c r="F10" s="400"/>
      <c r="G10" s="406">
        <f t="shared" si="0"/>
        <v>0</v>
      </c>
    </row>
    <row r="11" spans="1:7">
      <c r="A11" s="810">
        <v>8</v>
      </c>
      <c r="B11" s="162">
        <v>11</v>
      </c>
      <c r="C11" s="976"/>
      <c r="D11" s="400"/>
      <c r="E11" s="400"/>
      <c r="F11" s="400"/>
      <c r="G11" s="406">
        <f t="shared" si="0"/>
        <v>0</v>
      </c>
    </row>
    <row r="12" spans="1:7">
      <c r="A12" s="810">
        <v>9</v>
      </c>
      <c r="B12" s="162">
        <v>12</v>
      </c>
      <c r="C12" s="976"/>
      <c r="D12" s="400"/>
      <c r="E12" s="400"/>
      <c r="F12" s="400"/>
      <c r="G12" s="406">
        <f t="shared" si="0"/>
        <v>0</v>
      </c>
    </row>
    <row r="13" spans="1:7">
      <c r="A13" s="810">
        <v>10</v>
      </c>
      <c r="B13" s="162">
        <v>13</v>
      </c>
      <c r="C13" s="976"/>
      <c r="D13" s="400"/>
      <c r="E13" s="400"/>
      <c r="F13" s="400"/>
      <c r="G13" s="406">
        <f t="shared" si="0"/>
        <v>0</v>
      </c>
    </row>
    <row r="14" spans="1:7">
      <c r="A14" s="963" t="s">
        <v>2260</v>
      </c>
      <c r="B14" s="162">
        <v>14</v>
      </c>
      <c r="C14" s="919" t="s">
        <v>839</v>
      </c>
      <c r="D14" s="406">
        <f t="shared" ref="D14:G14" si="1">SUM(D4:D13)</f>
        <v>0</v>
      </c>
      <c r="E14" s="406">
        <f t="shared" si="1"/>
        <v>0</v>
      </c>
      <c r="F14" s="406">
        <f t="shared" si="1"/>
        <v>0</v>
      </c>
      <c r="G14" s="406">
        <f t="shared" si="1"/>
        <v>0</v>
      </c>
    </row>
    <row r="15" spans="1:7">
      <c r="B15" s="162">
        <v>15</v>
      </c>
    </row>
    <row r="16" spans="1:7">
      <c r="A16" s="809" t="s">
        <v>2586</v>
      </c>
      <c r="B16" s="162">
        <v>16</v>
      </c>
      <c r="C16" s="825" t="s">
        <v>3009</v>
      </c>
    </row>
    <row r="17" spans="1:7">
      <c r="B17" s="162">
        <v>17</v>
      </c>
      <c r="C17" s="1394" t="s">
        <v>3007</v>
      </c>
      <c r="D17" s="1393" t="s">
        <v>526</v>
      </c>
      <c r="E17" s="1393" t="s">
        <v>2740</v>
      </c>
      <c r="F17" s="1393" t="s">
        <v>2741</v>
      </c>
      <c r="G17" s="1393" t="s">
        <v>527</v>
      </c>
    </row>
    <row r="18" spans="1:7">
      <c r="A18" s="810">
        <v>1</v>
      </c>
      <c r="B18" s="162">
        <v>18</v>
      </c>
      <c r="C18" s="916"/>
      <c r="D18" s="400"/>
      <c r="E18" s="400"/>
      <c r="F18" s="400"/>
      <c r="G18" s="400"/>
    </row>
    <row r="19" spans="1:7">
      <c r="A19" s="810">
        <v>2</v>
      </c>
      <c r="B19" s="162">
        <v>19</v>
      </c>
      <c r="C19" s="916"/>
      <c r="D19" s="400"/>
      <c r="E19" s="400"/>
      <c r="F19" s="400"/>
      <c r="G19" s="400"/>
    </row>
    <row r="20" spans="1:7">
      <c r="A20" s="810">
        <v>3</v>
      </c>
      <c r="B20" s="162">
        <v>20</v>
      </c>
      <c r="C20" s="916"/>
      <c r="D20" s="400"/>
      <c r="E20" s="400"/>
      <c r="F20" s="400"/>
      <c r="G20" s="400"/>
    </row>
    <row r="21" spans="1:7">
      <c r="A21" s="810">
        <v>4</v>
      </c>
      <c r="B21" s="162">
        <v>21</v>
      </c>
      <c r="C21" s="916"/>
      <c r="D21" s="400"/>
      <c r="E21" s="400"/>
      <c r="F21" s="400"/>
      <c r="G21" s="400"/>
    </row>
    <row r="22" spans="1:7">
      <c r="A22" s="810">
        <v>5</v>
      </c>
      <c r="B22" s="162">
        <v>22</v>
      </c>
      <c r="C22" s="916"/>
      <c r="D22" s="400"/>
      <c r="E22" s="400"/>
      <c r="F22" s="400"/>
      <c r="G22" s="400"/>
    </row>
    <row r="23" spans="1:7">
      <c r="A23" s="810">
        <v>6</v>
      </c>
      <c r="B23" s="162">
        <v>23</v>
      </c>
      <c r="C23" s="916"/>
      <c r="D23" s="400"/>
      <c r="E23" s="400"/>
      <c r="F23" s="400"/>
      <c r="G23" s="400"/>
    </row>
    <row r="24" spans="1:7">
      <c r="A24" s="810">
        <v>7</v>
      </c>
      <c r="B24" s="162">
        <v>24</v>
      </c>
      <c r="C24" s="916"/>
      <c r="D24" s="400"/>
      <c r="E24" s="400"/>
      <c r="F24" s="400"/>
      <c r="G24" s="400"/>
    </row>
    <row r="25" spans="1:7">
      <c r="A25" s="810">
        <v>8</v>
      </c>
      <c r="B25" s="162">
        <v>25</v>
      </c>
      <c r="C25" s="916"/>
      <c r="D25" s="400"/>
      <c r="E25" s="400"/>
      <c r="F25" s="400"/>
      <c r="G25" s="400"/>
    </row>
    <row r="26" spans="1:7">
      <c r="A26" s="810">
        <v>9</v>
      </c>
      <c r="B26" s="162">
        <v>26</v>
      </c>
      <c r="C26" s="916"/>
      <c r="D26" s="400"/>
      <c r="E26" s="400"/>
      <c r="F26" s="400"/>
      <c r="G26" s="400"/>
    </row>
    <row r="27" spans="1:7">
      <c r="A27" s="810">
        <v>10</v>
      </c>
      <c r="B27" s="162">
        <v>27</v>
      </c>
      <c r="C27" s="916"/>
      <c r="D27" s="400"/>
      <c r="E27" s="400"/>
      <c r="F27" s="400"/>
      <c r="G27" s="400"/>
    </row>
    <row r="28" spans="1:7">
      <c r="B28" s="162">
        <v>28</v>
      </c>
      <c r="C28" s="919" t="s">
        <v>836</v>
      </c>
      <c r="D28" s="406">
        <f>SUM(D18:D27)</f>
        <v>0</v>
      </c>
      <c r="E28" s="406">
        <f>SUM(E18:E27)</f>
        <v>0</v>
      </c>
      <c r="F28" s="406">
        <f>SUM(F18:F27)</f>
        <v>0</v>
      </c>
      <c r="G28" s="406">
        <f>SUM(G18:G27)</f>
        <v>0</v>
      </c>
    </row>
    <row r="29" spans="1:7">
      <c r="B29" s="162">
        <v>29</v>
      </c>
    </row>
    <row r="30" spans="1:7">
      <c r="A30" s="963" t="s">
        <v>2260</v>
      </c>
      <c r="B30" s="162">
        <v>30</v>
      </c>
      <c r="C30" s="881"/>
      <c r="D30" s="881" t="s">
        <v>2504</v>
      </c>
      <c r="E30" s="881" t="s">
        <v>2505</v>
      </c>
    </row>
    <row r="31" spans="1:7">
      <c r="B31" s="162">
        <v>31</v>
      </c>
      <c r="C31" s="881" t="s">
        <v>1319</v>
      </c>
      <c r="D31" s="406">
        <f>审定资产负债表!D47</f>
        <v>0</v>
      </c>
      <c r="E31" s="406">
        <f>审定资产负债表!C47</f>
        <v>0</v>
      </c>
    </row>
    <row r="32" spans="1:7">
      <c r="A32" s="809"/>
      <c r="B32" s="162">
        <v>32</v>
      </c>
      <c r="C32" s="881" t="s">
        <v>1320</v>
      </c>
      <c r="D32" s="406">
        <f>D31-D14</f>
        <v>0</v>
      </c>
      <c r="E32" s="406">
        <f>E31-G14</f>
        <v>0</v>
      </c>
    </row>
    <row r="33" spans="1:5">
      <c r="A33" s="810"/>
      <c r="B33" s="162">
        <v>33</v>
      </c>
    </row>
    <row r="34" spans="1:5">
      <c r="A34" s="811" t="str">
        <f>HYPERLINK("#C1","置顶")</f>
        <v>置顶</v>
      </c>
      <c r="B34" s="162">
        <v>34</v>
      </c>
      <c r="D34" s="881" t="s">
        <v>2504</v>
      </c>
      <c r="E34" s="881" t="s">
        <v>2505</v>
      </c>
    </row>
    <row r="35" spans="1:5">
      <c r="B35" s="162">
        <v>35</v>
      </c>
      <c r="C35" s="881" t="s">
        <v>1319</v>
      </c>
      <c r="D35" s="406">
        <f>审定资产减值准备情况表!B19</f>
        <v>0</v>
      </c>
      <c r="E35" s="406">
        <f>审定资产减值准备情况表!L19</f>
        <v>0</v>
      </c>
    </row>
    <row r="36" spans="1:5">
      <c r="B36" s="162">
        <v>36</v>
      </c>
      <c r="C36" s="881" t="s">
        <v>1320</v>
      </c>
      <c r="D36" s="406">
        <f>D35-D28</f>
        <v>0</v>
      </c>
      <c r="E36" s="406">
        <f>E35-G28</f>
        <v>0</v>
      </c>
    </row>
    <row r="37" spans="1:5">
      <c r="A37" s="963" t="s">
        <v>2260</v>
      </c>
    </row>
    <row r="39" spans="1:5">
      <c r="A39" s="809"/>
    </row>
  </sheetData>
  <sheetProtection formatCells="0" formatColumns="0" formatRows="0" autoFilter="0"/>
  <phoneticPr fontId="5" type="noConversion"/>
  <hyperlinks>
    <hyperlink ref="A1" location="附注填写封面!B3" display="返回目录" xr:uid="{00000000-0004-0000-2E00-000000000000}"/>
    <hyperlink ref="A14" location="附注填写封面!B3" display="返回目录" xr:uid="{00000000-0004-0000-2E00-000001000000}"/>
    <hyperlink ref="A16" location="审定资产减值准备情况表!B5" display="返回减值准备表" xr:uid="{00000000-0004-0000-2E00-000002000000}"/>
    <hyperlink ref="A30" location="附注填写封面!B3" display="返回目录" xr:uid="{00000000-0004-0000-2E00-000003000000}"/>
    <hyperlink ref="A37" location="附注填写封面!B3" display="返回目录" xr:uid="{00000000-0004-0000-2E00-000004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8">
    <tabColor rgb="FFFFC000"/>
  </sheetPr>
  <dimension ref="A1:L28"/>
  <sheetViews>
    <sheetView showGridLines="0" showZeros="0" workbookViewId="0">
      <pane xSplit="3" ySplit="3" topLeftCell="D4" activePane="bottomRight" state="frozen"/>
      <selection activeCell="A5" sqref="A5:A6"/>
      <selection pane="topRight" activeCell="A5" sqref="A5:A6"/>
      <selection pane="bottomLeft" activeCell="A5" sqref="A5:A6"/>
      <selection pane="bottomRight" activeCell="C10" sqref="C10"/>
    </sheetView>
  </sheetViews>
  <sheetFormatPr defaultColWidth="11.625" defaultRowHeight="13.5"/>
  <cols>
    <col min="1" max="1" width="7.125" style="150" customWidth="1"/>
    <col min="2" max="2" width="5" style="150" hidden="1" customWidth="1"/>
    <col min="3" max="3" width="35.875" style="932" customWidth="1"/>
    <col min="4" max="6" width="11.625" style="150"/>
    <col min="7" max="7" width="13.875" style="150" bestFit="1" customWidth="1"/>
    <col min="8" max="9" width="11.625" style="150"/>
    <col min="10" max="10" width="22" style="150" bestFit="1" customWidth="1"/>
    <col min="11" max="16384" width="11.625" style="150"/>
  </cols>
  <sheetData>
    <row r="1" spans="1:11" ht="27.95" customHeight="1">
      <c r="A1" s="764" t="s">
        <v>2260</v>
      </c>
      <c r="B1" s="861" t="s">
        <v>2668</v>
      </c>
      <c r="C1" s="862" t="s">
        <v>3014</v>
      </c>
    </row>
    <row r="2" spans="1:11">
      <c r="B2" s="863">
        <v>2</v>
      </c>
    </row>
    <row r="3" spans="1:11">
      <c r="B3" s="863">
        <v>3</v>
      </c>
      <c r="C3" s="864" t="s">
        <v>271</v>
      </c>
      <c r="D3" s="864" t="s">
        <v>2776</v>
      </c>
      <c r="E3" s="864" t="s">
        <v>3010</v>
      </c>
      <c r="F3" s="864" t="s">
        <v>3011</v>
      </c>
      <c r="G3" s="864" t="s">
        <v>3012</v>
      </c>
      <c r="H3" s="864" t="s">
        <v>2840</v>
      </c>
      <c r="I3" s="864" t="s">
        <v>3013</v>
      </c>
      <c r="K3" s="1498" t="s">
        <v>4930</v>
      </c>
    </row>
    <row r="4" spans="1:11">
      <c r="A4" s="863">
        <v>1</v>
      </c>
      <c r="B4" s="863">
        <v>4</v>
      </c>
      <c r="C4" s="34" t="s">
        <v>5126</v>
      </c>
      <c r="D4" s="866">
        <v>4497</v>
      </c>
      <c r="E4" s="866"/>
      <c r="F4" s="866">
        <v>4497</v>
      </c>
      <c r="G4" s="866"/>
      <c r="H4" s="869">
        <f>D4+E4-F4-G4</f>
        <v>0</v>
      </c>
      <c r="I4" s="914"/>
    </row>
    <row r="5" spans="1:11">
      <c r="A5" s="863">
        <v>2</v>
      </c>
      <c r="B5" s="863">
        <v>5</v>
      </c>
      <c r="C5" s="867"/>
      <c r="D5" s="866"/>
      <c r="E5" s="866"/>
      <c r="F5" s="866"/>
      <c r="G5" s="866"/>
      <c r="H5" s="869">
        <f t="shared" ref="H5:H13" si="0">D5+E5-F5-G5</f>
        <v>0</v>
      </c>
      <c r="I5" s="914"/>
    </row>
    <row r="6" spans="1:11">
      <c r="A6" s="863">
        <v>3</v>
      </c>
      <c r="B6" s="863">
        <v>6</v>
      </c>
      <c r="C6" s="867"/>
      <c r="D6" s="866"/>
      <c r="E6" s="866"/>
      <c r="F6" s="866"/>
      <c r="G6" s="866"/>
      <c r="H6" s="869">
        <f t="shared" si="0"/>
        <v>0</v>
      </c>
      <c r="I6" s="914"/>
    </row>
    <row r="7" spans="1:11">
      <c r="A7" s="863">
        <v>4</v>
      </c>
      <c r="B7" s="863">
        <v>7</v>
      </c>
      <c r="C7" s="867"/>
      <c r="D7" s="866"/>
      <c r="E7" s="866"/>
      <c r="F7" s="866"/>
      <c r="G7" s="866"/>
      <c r="H7" s="869">
        <f t="shared" si="0"/>
        <v>0</v>
      </c>
      <c r="I7" s="914"/>
    </row>
    <row r="8" spans="1:11">
      <c r="A8" s="863">
        <v>5</v>
      </c>
      <c r="B8" s="863">
        <v>8</v>
      </c>
      <c r="C8" s="867"/>
      <c r="D8" s="866"/>
      <c r="E8" s="866"/>
      <c r="F8" s="866"/>
      <c r="G8" s="866"/>
      <c r="H8" s="869">
        <f t="shared" si="0"/>
        <v>0</v>
      </c>
      <c r="I8" s="914"/>
    </row>
    <row r="9" spans="1:11">
      <c r="A9" s="863">
        <v>6</v>
      </c>
      <c r="B9" s="863">
        <v>9</v>
      </c>
      <c r="C9" s="867"/>
      <c r="D9" s="866"/>
      <c r="E9" s="866"/>
      <c r="F9" s="866"/>
      <c r="G9" s="866"/>
      <c r="H9" s="869">
        <f t="shared" si="0"/>
        <v>0</v>
      </c>
      <c r="I9" s="914"/>
    </row>
    <row r="10" spans="1:11">
      <c r="A10" s="863">
        <v>7</v>
      </c>
      <c r="B10" s="863">
        <v>10</v>
      </c>
      <c r="C10" s="867"/>
      <c r="D10" s="866"/>
      <c r="E10" s="866"/>
      <c r="F10" s="866"/>
      <c r="G10" s="866"/>
      <c r="H10" s="869">
        <f t="shared" si="0"/>
        <v>0</v>
      </c>
      <c r="I10" s="914"/>
    </row>
    <row r="11" spans="1:11">
      <c r="A11" s="863">
        <v>8</v>
      </c>
      <c r="B11" s="863">
        <v>11</v>
      </c>
      <c r="C11" s="867"/>
      <c r="D11" s="866"/>
      <c r="E11" s="866"/>
      <c r="F11" s="866"/>
      <c r="G11" s="866"/>
      <c r="H11" s="869">
        <f t="shared" si="0"/>
        <v>0</v>
      </c>
      <c r="I11" s="914"/>
    </row>
    <row r="12" spans="1:11">
      <c r="A12" s="863">
        <v>9</v>
      </c>
      <c r="B12" s="863">
        <v>12</v>
      </c>
      <c r="C12" s="867"/>
      <c r="D12" s="866"/>
      <c r="E12" s="866"/>
      <c r="F12" s="866"/>
      <c r="G12" s="866"/>
      <c r="H12" s="869">
        <f t="shared" si="0"/>
        <v>0</v>
      </c>
      <c r="I12" s="914"/>
    </row>
    <row r="13" spans="1:11">
      <c r="A13" s="863">
        <v>10</v>
      </c>
      <c r="B13" s="863">
        <v>13</v>
      </c>
      <c r="C13" s="867"/>
      <c r="D13" s="866"/>
      <c r="E13" s="866"/>
      <c r="F13" s="866"/>
      <c r="G13" s="866"/>
      <c r="H13" s="869">
        <f t="shared" si="0"/>
        <v>0</v>
      </c>
      <c r="I13" s="914"/>
    </row>
    <row r="14" spans="1:11">
      <c r="B14" s="863">
        <v>14</v>
      </c>
      <c r="C14" s="864" t="s">
        <v>278</v>
      </c>
      <c r="D14" s="869">
        <f>SUM(D4:D13)</f>
        <v>4497</v>
      </c>
      <c r="E14" s="869">
        <f>SUM(E4:E13)</f>
        <v>0</v>
      </c>
      <c r="F14" s="869">
        <f>SUM(F4:F13)</f>
        <v>4497</v>
      </c>
      <c r="G14" s="869">
        <f>SUM(G4:G13)</f>
        <v>0</v>
      </c>
      <c r="H14" s="869">
        <f>SUM(H4:H13)</f>
        <v>0</v>
      </c>
      <c r="I14" s="914"/>
    </row>
    <row r="15" spans="1:11">
      <c r="B15" s="863">
        <v>15</v>
      </c>
    </row>
    <row r="16" spans="1:11">
      <c r="A16" s="764" t="s">
        <v>2260</v>
      </c>
      <c r="B16" s="863">
        <v>16</v>
      </c>
      <c r="C16" s="868"/>
      <c r="D16" s="870" t="s">
        <v>3015</v>
      </c>
      <c r="E16" s="870" t="s">
        <v>2664</v>
      </c>
    </row>
    <row r="17" spans="2:12">
      <c r="B17" s="863">
        <v>17</v>
      </c>
      <c r="C17" s="870" t="s">
        <v>2665</v>
      </c>
      <c r="D17" s="869">
        <f>审定资产负债表!D48</f>
        <v>4497</v>
      </c>
      <c r="E17" s="869">
        <f>审定资产负债表!C48</f>
        <v>0</v>
      </c>
    </row>
    <row r="18" spans="2:12">
      <c r="B18" s="863">
        <v>18</v>
      </c>
      <c r="C18" s="870" t="s">
        <v>2666</v>
      </c>
      <c r="D18" s="869">
        <f>D14-D17</f>
        <v>0</v>
      </c>
      <c r="E18" s="869">
        <f>H14-E17</f>
        <v>0</v>
      </c>
      <c r="G18" s="1606" t="s">
        <v>5035</v>
      </c>
      <c r="H18" s="1607" t="s">
        <v>5127</v>
      </c>
      <c r="I18" s="1607" t="s">
        <v>5128</v>
      </c>
      <c r="J18" s="1607" t="s">
        <v>5129</v>
      </c>
      <c r="K18" s="1607" t="s">
        <v>5130</v>
      </c>
    </row>
    <row r="19" spans="2:12">
      <c r="B19" s="863">
        <v>19</v>
      </c>
      <c r="G19" s="94" t="s">
        <v>5131</v>
      </c>
      <c r="H19" s="119">
        <v>53964</v>
      </c>
      <c r="I19" s="119">
        <v>36</v>
      </c>
      <c r="J19" s="119">
        <v>3</v>
      </c>
      <c r="K19" s="119">
        <v>1499</v>
      </c>
    </row>
    <row r="20" spans="2:12">
      <c r="B20" s="863"/>
    </row>
    <row r="21" spans="2:12">
      <c r="B21" s="863"/>
      <c r="I21" s="119">
        <f>K19*J19</f>
        <v>4497</v>
      </c>
    </row>
    <row r="23" spans="2:12" ht="16.5">
      <c r="F23" s="977"/>
      <c r="G23" s="978"/>
      <c r="H23" s="978"/>
      <c r="I23" s="978"/>
      <c r="J23" s="978"/>
      <c r="K23" s="978"/>
      <c r="L23" s="977"/>
    </row>
    <row r="24" spans="2:12" ht="16.5">
      <c r="F24" s="977"/>
      <c r="G24" s="978"/>
      <c r="H24" s="977"/>
      <c r="I24" s="978"/>
      <c r="J24" s="977"/>
      <c r="K24" s="978"/>
      <c r="L24" s="977"/>
    </row>
    <row r="25" spans="2:12" ht="16.5">
      <c r="F25" s="977"/>
      <c r="G25" s="978"/>
      <c r="H25" s="978"/>
      <c r="I25" s="977"/>
      <c r="J25" s="978"/>
      <c r="K25" s="978"/>
      <c r="L25" s="977"/>
    </row>
    <row r="26" spans="2:12" ht="16.5">
      <c r="F26" s="977"/>
      <c r="G26" s="978"/>
      <c r="H26" s="977"/>
      <c r="I26" s="978"/>
      <c r="J26" s="977"/>
      <c r="K26" s="978"/>
      <c r="L26" s="977"/>
    </row>
    <row r="27" spans="2:12" ht="16.5">
      <c r="F27" s="977"/>
      <c r="G27" s="978"/>
      <c r="H27" s="978"/>
      <c r="I27" s="977"/>
      <c r="J27" s="977"/>
      <c r="K27" s="978"/>
      <c r="L27" s="977"/>
    </row>
    <row r="28" spans="2:12" ht="16.5">
      <c r="F28" s="336"/>
      <c r="G28" s="336"/>
      <c r="H28" s="336"/>
      <c r="I28" s="336"/>
      <c r="J28" s="336"/>
      <c r="K28" s="336"/>
      <c r="L28" s="336"/>
    </row>
  </sheetData>
  <sheetProtection formatCells="0" formatColumns="0" formatRows="0" autoFilter="0"/>
  <phoneticPr fontId="5" type="noConversion"/>
  <hyperlinks>
    <hyperlink ref="A1" location="附注填写封面!B3" display="返回目录" xr:uid="{00000000-0004-0000-2F00-000000000000}"/>
    <hyperlink ref="A16" location="附注填写封面!B3" display="返回目录" xr:uid="{00000000-0004-0000-2F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29">
    <tabColor rgb="FFFFC000"/>
  </sheetPr>
  <dimension ref="A1:N125"/>
  <sheetViews>
    <sheetView showGridLines="0" showZeros="0" workbookViewId="0">
      <pane xSplit="3" ySplit="4" topLeftCell="D116" activePane="bottomRight" state="frozen"/>
      <selection activeCell="A5" sqref="A5:A6"/>
      <selection pane="topRight" activeCell="A5" sqref="A5:A6"/>
      <selection pane="bottomLeft" activeCell="A5" sqref="A5:A6"/>
      <selection pane="bottomRight" activeCell="D123" sqref="D123"/>
    </sheetView>
  </sheetViews>
  <sheetFormatPr defaultColWidth="11.625" defaultRowHeight="12"/>
  <cols>
    <col min="1" max="1" width="7.625" style="922" customWidth="1"/>
    <col min="2" max="2" width="5" style="29" hidden="1" customWidth="1"/>
    <col min="3" max="3" width="35.875" style="30" customWidth="1"/>
    <col min="4" max="5" width="15.625" style="29" customWidth="1"/>
    <col min="6" max="6" width="12.875" style="30" customWidth="1"/>
    <col min="7" max="7" width="15.625" style="29" customWidth="1"/>
    <col min="8" max="9" width="7.625" style="140" customWidth="1"/>
    <col min="10" max="16384" width="11.625" style="29"/>
  </cols>
  <sheetData>
    <row r="1" spans="1:14" ht="29.25" customHeight="1">
      <c r="A1" s="963" t="s">
        <v>2260</v>
      </c>
      <c r="B1" s="343" t="s">
        <v>1446</v>
      </c>
      <c r="C1" s="759" t="s">
        <v>3016</v>
      </c>
      <c r="D1" s="344"/>
      <c r="E1" s="344"/>
      <c r="F1" s="843"/>
      <c r="G1" s="344"/>
      <c r="H1" s="887"/>
      <c r="I1" s="887"/>
    </row>
    <row r="2" spans="1:14" ht="12.75">
      <c r="A2" s="813"/>
      <c r="B2" s="162">
        <v>2</v>
      </c>
      <c r="C2" s="979" t="s">
        <v>976</v>
      </c>
      <c r="D2" s="344"/>
      <c r="E2" s="344"/>
      <c r="F2" s="843"/>
      <c r="G2" s="344"/>
      <c r="H2" s="887"/>
      <c r="I2" s="887"/>
    </row>
    <row r="3" spans="1:14" ht="12.75">
      <c r="A3" s="813"/>
      <c r="B3" s="162">
        <v>4</v>
      </c>
      <c r="C3" s="1868" t="s">
        <v>366</v>
      </c>
      <c r="D3" s="1857" t="s">
        <v>2810</v>
      </c>
      <c r="E3" s="1859"/>
      <c r="F3" s="1833" t="s">
        <v>978</v>
      </c>
      <c r="G3" s="1833"/>
      <c r="H3" s="887"/>
      <c r="I3" s="887"/>
    </row>
    <row r="4" spans="1:14" ht="24">
      <c r="A4" s="813"/>
      <c r="B4" s="162">
        <v>5</v>
      </c>
      <c r="C4" s="1869"/>
      <c r="D4" s="792" t="s">
        <v>981</v>
      </c>
      <c r="E4" s="792" t="s">
        <v>980</v>
      </c>
      <c r="F4" s="792" t="s">
        <v>979</v>
      </c>
      <c r="G4" s="792" t="s">
        <v>980</v>
      </c>
      <c r="H4" s="887"/>
      <c r="I4" s="887"/>
    </row>
    <row r="5" spans="1:14" ht="12.75">
      <c r="A5" s="813"/>
      <c r="B5" s="162">
        <v>6</v>
      </c>
      <c r="C5" s="340" t="s">
        <v>984</v>
      </c>
      <c r="D5" s="761"/>
      <c r="E5" s="761"/>
      <c r="F5" s="761"/>
      <c r="G5" s="761"/>
      <c r="H5" s="887"/>
      <c r="I5" s="887"/>
    </row>
    <row r="6" spans="1:14" ht="12.75">
      <c r="A6" s="810">
        <v>1</v>
      </c>
      <c r="B6" s="162">
        <v>7</v>
      </c>
      <c r="C6" s="820" t="s">
        <v>985</v>
      </c>
      <c r="D6" s="400">
        <v>61310.01</v>
      </c>
      <c r="E6" s="400">
        <v>245240</v>
      </c>
      <c r="F6" s="400">
        <v>10959.86</v>
      </c>
      <c r="G6" s="400">
        <v>43839.4</v>
      </c>
      <c r="H6" s="980">
        <f t="shared" ref="H6:H11" si="0">IF(E6&lt;&gt;0,D6/E6*100,"")</f>
        <v>25.000004077638234</v>
      </c>
      <c r="I6" s="980">
        <f t="shared" ref="I6:I11" si="1">IF(G6&lt;&gt;0,F6/G6*100,"")</f>
        <v>25.000022810531163</v>
      </c>
    </row>
    <row r="7" spans="1:14" ht="12.75">
      <c r="A7" s="810">
        <v>2</v>
      </c>
      <c r="B7" s="162">
        <v>8</v>
      </c>
      <c r="C7" s="820" t="s">
        <v>986</v>
      </c>
      <c r="D7" s="400"/>
      <c r="E7" s="400"/>
      <c r="F7" s="400"/>
      <c r="G7" s="400"/>
      <c r="H7" s="980" t="str">
        <f t="shared" si="0"/>
        <v/>
      </c>
      <c r="I7" s="980" t="str">
        <f t="shared" si="1"/>
        <v/>
      </c>
      <c r="K7" s="140"/>
    </row>
    <row r="8" spans="1:14" ht="12.75">
      <c r="A8" s="810">
        <v>3</v>
      </c>
      <c r="B8" s="162">
        <v>9</v>
      </c>
      <c r="C8" s="820" t="s">
        <v>987</v>
      </c>
      <c r="D8" s="400"/>
      <c r="E8" s="400"/>
      <c r="F8" s="400"/>
      <c r="G8" s="400"/>
      <c r="H8" s="980" t="str">
        <f t="shared" si="0"/>
        <v/>
      </c>
      <c r="I8" s="980" t="str">
        <f t="shared" si="1"/>
        <v/>
      </c>
      <c r="K8" s="1615"/>
    </row>
    <row r="9" spans="1:14" ht="12.75">
      <c r="A9" s="810">
        <v>4</v>
      </c>
      <c r="B9" s="162">
        <v>10</v>
      </c>
      <c r="C9" s="820" t="s">
        <v>988</v>
      </c>
      <c r="D9" s="400"/>
      <c r="E9" s="400"/>
      <c r="F9" s="400"/>
      <c r="G9" s="400"/>
      <c r="H9" s="980" t="str">
        <f t="shared" si="0"/>
        <v/>
      </c>
      <c r="I9" s="980" t="str">
        <f t="shared" si="1"/>
        <v/>
      </c>
      <c r="K9" s="1614"/>
    </row>
    <row r="10" spans="1:14" ht="12.75">
      <c r="A10" s="810">
        <v>5</v>
      </c>
      <c r="B10" s="162">
        <v>11</v>
      </c>
      <c r="C10" s="1425" t="s">
        <v>4700</v>
      </c>
      <c r="D10" s="820"/>
      <c r="E10" s="400"/>
      <c r="F10" s="400"/>
      <c r="G10" s="400"/>
      <c r="H10" s="980" t="str">
        <f t="shared" si="0"/>
        <v/>
      </c>
      <c r="I10" s="980" t="str">
        <f t="shared" si="1"/>
        <v/>
      </c>
      <c r="J10" s="1614"/>
    </row>
    <row r="11" spans="1:14" ht="24">
      <c r="A11" s="810">
        <v>6</v>
      </c>
      <c r="B11" s="162">
        <v>12</v>
      </c>
      <c r="C11" s="1425" t="s">
        <v>4695</v>
      </c>
      <c r="D11" s="820"/>
      <c r="E11" s="400"/>
      <c r="F11" s="400"/>
      <c r="G11" s="400"/>
      <c r="H11" s="980" t="str">
        <f t="shared" si="0"/>
        <v/>
      </c>
      <c r="I11" s="980" t="str">
        <f t="shared" si="1"/>
        <v/>
      </c>
      <c r="J11" s="94"/>
    </row>
    <row r="12" spans="1:14" ht="12.75">
      <c r="A12" s="810">
        <v>7</v>
      </c>
      <c r="B12" s="162">
        <v>13</v>
      </c>
      <c r="C12" s="820" t="s">
        <v>450</v>
      </c>
      <c r="D12" s="400"/>
      <c r="E12" s="400"/>
      <c r="F12" s="400"/>
      <c r="G12" s="400"/>
      <c r="H12" s="980" t="str">
        <f t="shared" ref="H12:H20" si="2">IF(E12&lt;&gt;0,D12/E12*100,"")</f>
        <v/>
      </c>
      <c r="I12" s="980" t="str">
        <f t="shared" ref="I12:I20" si="3">IF(G12&lt;&gt;0,F12/G12*100,"")</f>
        <v/>
      </c>
    </row>
    <row r="13" spans="1:14" ht="12.75">
      <c r="A13" s="810">
        <v>8</v>
      </c>
      <c r="B13" s="162">
        <v>14</v>
      </c>
      <c r="C13" s="820" t="s">
        <v>991</v>
      </c>
      <c r="D13" s="400"/>
      <c r="E13" s="400"/>
      <c r="F13" s="400"/>
      <c r="G13" s="400"/>
      <c r="H13" s="980" t="str">
        <f t="shared" si="2"/>
        <v/>
      </c>
      <c r="I13" s="980" t="str">
        <f t="shared" si="3"/>
        <v/>
      </c>
    </row>
    <row r="14" spans="1:14" ht="12.75">
      <c r="A14" s="810">
        <v>9</v>
      </c>
      <c r="B14" s="162">
        <v>15</v>
      </c>
      <c r="C14" s="820" t="s">
        <v>992</v>
      </c>
      <c r="D14" s="400"/>
      <c r="E14" s="400"/>
      <c r="F14" s="400"/>
      <c r="G14" s="400"/>
      <c r="H14" s="980" t="str">
        <f t="shared" si="2"/>
        <v/>
      </c>
      <c r="I14" s="980" t="str">
        <f t="shared" si="3"/>
        <v/>
      </c>
      <c r="J14" s="332"/>
      <c r="K14" s="333"/>
      <c r="L14" s="333"/>
      <c r="M14" s="333"/>
      <c r="N14" s="333"/>
    </row>
    <row r="15" spans="1:14" ht="14.25">
      <c r="A15" s="810">
        <v>10</v>
      </c>
      <c r="B15" s="162">
        <v>16</v>
      </c>
      <c r="C15" s="820" t="s">
        <v>993</v>
      </c>
      <c r="D15" s="400"/>
      <c r="E15" s="400"/>
      <c r="F15" s="400"/>
      <c r="G15" s="400"/>
      <c r="H15" s="980" t="str">
        <f t="shared" si="2"/>
        <v/>
      </c>
      <c r="I15" s="980" t="str">
        <f t="shared" si="3"/>
        <v/>
      </c>
      <c r="J15" s="334"/>
      <c r="K15" s="159"/>
      <c r="L15" s="159"/>
      <c r="M15" s="159"/>
      <c r="N15" s="159"/>
    </row>
    <row r="16" spans="1:14" ht="12.75">
      <c r="A16" s="810">
        <v>11</v>
      </c>
      <c r="B16" s="162">
        <v>17</v>
      </c>
      <c r="C16" s="820" t="s">
        <v>994</v>
      </c>
      <c r="D16" s="400"/>
      <c r="E16" s="820"/>
      <c r="F16" s="400"/>
      <c r="G16" s="400"/>
      <c r="H16" s="980" t="str">
        <f t="shared" si="2"/>
        <v/>
      </c>
      <c r="I16" s="980" t="str">
        <f t="shared" si="3"/>
        <v/>
      </c>
    </row>
    <row r="17" spans="1:9" ht="12.75">
      <c r="A17" s="810">
        <v>12</v>
      </c>
      <c r="B17" s="162">
        <v>18</v>
      </c>
      <c r="C17" s="1425" t="s">
        <v>4758</v>
      </c>
      <c r="D17" s="400"/>
      <c r="E17" s="820"/>
      <c r="F17" s="400"/>
      <c r="G17" s="400"/>
      <c r="H17" s="980" t="str">
        <f t="shared" si="2"/>
        <v/>
      </c>
      <c r="I17" s="980" t="str">
        <f t="shared" si="3"/>
        <v/>
      </c>
    </row>
    <row r="18" spans="1:9" ht="12.75">
      <c r="A18" s="810">
        <v>13</v>
      </c>
      <c r="B18" s="162">
        <v>19</v>
      </c>
      <c r="C18" s="820" t="s">
        <v>997</v>
      </c>
      <c r="D18" s="400"/>
      <c r="E18" s="400"/>
      <c r="F18" s="400"/>
      <c r="G18" s="400"/>
      <c r="H18" s="980" t="str">
        <f t="shared" si="2"/>
        <v/>
      </c>
      <c r="I18" s="980" t="str">
        <f t="shared" si="3"/>
        <v/>
      </c>
    </row>
    <row r="19" spans="1:9" ht="12.75">
      <c r="A19" s="810">
        <v>14</v>
      </c>
      <c r="B19" s="162">
        <v>20</v>
      </c>
      <c r="C19" s="820" t="s">
        <v>998</v>
      </c>
      <c r="D19" s="400"/>
      <c r="E19" s="400"/>
      <c r="F19" s="400"/>
      <c r="G19" s="400"/>
      <c r="H19" s="980" t="str">
        <f t="shared" si="2"/>
        <v/>
      </c>
      <c r="I19" s="980" t="str">
        <f t="shared" si="3"/>
        <v/>
      </c>
    </row>
    <row r="20" spans="1:9" ht="12.75">
      <c r="A20" s="810">
        <v>15</v>
      </c>
      <c r="B20" s="162">
        <v>21</v>
      </c>
      <c r="C20" s="820" t="s">
        <v>999</v>
      </c>
      <c r="D20" s="400"/>
      <c r="E20" s="400"/>
      <c r="F20" s="400"/>
      <c r="G20" s="400"/>
      <c r="H20" s="980" t="str">
        <f t="shared" si="2"/>
        <v/>
      </c>
      <c r="I20" s="980" t="str">
        <f t="shared" si="3"/>
        <v/>
      </c>
    </row>
    <row r="21" spans="1:9" ht="12.75">
      <c r="A21" s="810">
        <v>16</v>
      </c>
      <c r="B21" s="162">
        <v>22</v>
      </c>
      <c r="C21" s="820" t="s">
        <v>1000</v>
      </c>
      <c r="D21" s="400"/>
      <c r="E21" s="400"/>
      <c r="F21" s="400"/>
      <c r="G21" s="400"/>
      <c r="H21" s="980" t="str">
        <f t="shared" ref="H21:H36" si="4">IF(E21&lt;&gt;0,D21/E21*100,"")</f>
        <v/>
      </c>
      <c r="I21" s="980" t="str">
        <f t="shared" ref="I21:I36" si="5">IF(G21&lt;&gt;0,F21/G21*100,"")</f>
        <v/>
      </c>
    </row>
    <row r="22" spans="1:9" ht="12.75">
      <c r="A22" s="810">
        <v>17</v>
      </c>
      <c r="B22" s="162">
        <v>23</v>
      </c>
      <c r="C22" s="1425" t="s">
        <v>4703</v>
      </c>
      <c r="D22" s="400"/>
      <c r="E22" s="400"/>
      <c r="F22" s="400"/>
      <c r="G22" s="400"/>
      <c r="H22" s="980" t="str">
        <f t="shared" si="4"/>
        <v/>
      </c>
      <c r="I22" s="980" t="str">
        <f t="shared" si="5"/>
        <v/>
      </c>
    </row>
    <row r="23" spans="1:9" ht="12.75">
      <c r="A23" s="810">
        <v>18</v>
      </c>
      <c r="B23" s="162">
        <v>24</v>
      </c>
      <c r="C23" s="1445" t="s">
        <v>4759</v>
      </c>
      <c r="D23" s="400"/>
      <c r="E23" s="400"/>
      <c r="F23" s="400"/>
      <c r="G23" s="400"/>
      <c r="H23" s="416"/>
      <c r="I23" s="416"/>
    </row>
    <row r="24" spans="1:9" ht="12.75">
      <c r="A24" s="810">
        <v>19</v>
      </c>
      <c r="B24" s="162">
        <v>25</v>
      </c>
      <c r="C24" s="1445" t="s">
        <v>4760</v>
      </c>
      <c r="D24" s="400"/>
      <c r="E24" s="400"/>
      <c r="F24" s="400"/>
      <c r="G24" s="400"/>
      <c r="H24" s="980" t="str">
        <f t="shared" si="4"/>
        <v/>
      </c>
      <c r="I24" s="980" t="str">
        <f t="shared" si="5"/>
        <v/>
      </c>
    </row>
    <row r="25" spans="1:9" ht="12.75">
      <c r="A25" s="810">
        <v>20</v>
      </c>
      <c r="B25" s="162">
        <v>26</v>
      </c>
      <c r="C25" s="1445" t="s">
        <v>4761</v>
      </c>
      <c r="D25" s="400"/>
      <c r="E25" s="400"/>
      <c r="F25" s="400"/>
      <c r="G25" s="400"/>
      <c r="H25" s="980" t="str">
        <f t="shared" si="4"/>
        <v/>
      </c>
      <c r="I25" s="980" t="str">
        <f t="shared" si="5"/>
        <v/>
      </c>
    </row>
    <row r="26" spans="1:9" ht="12.75">
      <c r="A26" s="963" t="s">
        <v>2260</v>
      </c>
      <c r="B26" s="162">
        <v>27</v>
      </c>
      <c r="C26" s="889" t="s">
        <v>1005</v>
      </c>
      <c r="D26" s="406">
        <f>SUM(D6:D25)-D20-D21</f>
        <v>61310.01</v>
      </c>
      <c r="E26" s="406">
        <f>SUM(E6:E25)-E20-E21</f>
        <v>245240</v>
      </c>
      <c r="F26" s="406">
        <f t="shared" ref="F26:G26" si="6">SUM(F6:F25)-F20-F21</f>
        <v>10959.86</v>
      </c>
      <c r="G26" s="406">
        <f t="shared" si="6"/>
        <v>43839.4</v>
      </c>
      <c r="H26" s="980">
        <f t="shared" si="4"/>
        <v>25.000004077638234</v>
      </c>
      <c r="I26" s="980">
        <f t="shared" si="5"/>
        <v>25.000022810531163</v>
      </c>
    </row>
    <row r="27" spans="1:9" ht="12.75">
      <c r="A27" s="810"/>
      <c r="B27" s="162">
        <v>28</v>
      </c>
      <c r="C27" s="340" t="s">
        <v>1006</v>
      </c>
      <c r="D27" s="400"/>
      <c r="E27" s="400"/>
      <c r="F27" s="400"/>
      <c r="G27" s="400"/>
      <c r="H27" s="980" t="str">
        <f t="shared" si="4"/>
        <v/>
      </c>
      <c r="I27" s="980" t="str">
        <f t="shared" si="5"/>
        <v/>
      </c>
    </row>
    <row r="28" spans="1:9" ht="12.75">
      <c r="A28" s="810">
        <v>1</v>
      </c>
      <c r="B28" s="162">
        <v>29</v>
      </c>
      <c r="C28" s="1425" t="s">
        <v>4696</v>
      </c>
      <c r="D28" s="400"/>
      <c r="E28" s="400"/>
      <c r="F28" s="400"/>
      <c r="G28" s="400"/>
      <c r="H28" s="980" t="str">
        <f t="shared" si="4"/>
        <v/>
      </c>
      <c r="I28" s="980" t="str">
        <f t="shared" si="5"/>
        <v/>
      </c>
    </row>
    <row r="29" spans="1:9" ht="24">
      <c r="A29" s="810">
        <v>2</v>
      </c>
      <c r="B29" s="162">
        <v>30</v>
      </c>
      <c r="C29" s="1425" t="s">
        <v>4695</v>
      </c>
      <c r="D29" s="400"/>
      <c r="E29" s="400"/>
      <c r="F29" s="400"/>
      <c r="G29" s="400"/>
      <c r="H29" s="980" t="str">
        <f t="shared" si="4"/>
        <v/>
      </c>
      <c r="I29" s="980" t="str">
        <f t="shared" si="5"/>
        <v/>
      </c>
    </row>
    <row r="30" spans="1:9" ht="12.75">
      <c r="A30" s="810">
        <v>3</v>
      </c>
      <c r="B30" s="162">
        <v>31</v>
      </c>
      <c r="C30" s="820" t="s">
        <v>1001</v>
      </c>
      <c r="D30" s="400"/>
      <c r="E30" s="400"/>
      <c r="F30" s="400"/>
      <c r="G30" s="400"/>
      <c r="H30" s="980" t="str">
        <f t="shared" si="4"/>
        <v/>
      </c>
      <c r="I30" s="980" t="str">
        <f t="shared" si="5"/>
        <v/>
      </c>
    </row>
    <row r="31" spans="1:9" ht="12.75">
      <c r="A31" s="810">
        <v>4</v>
      </c>
      <c r="B31" s="162">
        <v>32</v>
      </c>
      <c r="C31" s="820" t="s">
        <v>1002</v>
      </c>
      <c r="D31" s="400"/>
      <c r="E31" s="400"/>
      <c r="F31" s="400"/>
      <c r="G31" s="400"/>
      <c r="H31" s="980" t="str">
        <f t="shared" si="4"/>
        <v/>
      </c>
      <c r="I31" s="980" t="str">
        <f t="shared" si="5"/>
        <v/>
      </c>
    </row>
    <row r="32" spans="1:9" ht="12.75">
      <c r="A32" s="810">
        <v>5</v>
      </c>
      <c r="B32" s="162">
        <v>33</v>
      </c>
      <c r="C32" s="820" t="s">
        <v>1003</v>
      </c>
      <c r="D32" s="400"/>
      <c r="E32" s="400"/>
      <c r="F32" s="400"/>
      <c r="G32" s="400"/>
      <c r="H32" s="980" t="str">
        <f t="shared" si="4"/>
        <v/>
      </c>
      <c r="I32" s="980" t="str">
        <f t="shared" si="5"/>
        <v/>
      </c>
    </row>
    <row r="33" spans="1:9" ht="12.75">
      <c r="A33" s="810">
        <v>6</v>
      </c>
      <c r="B33" s="162">
        <v>34</v>
      </c>
      <c r="C33" s="820" t="s">
        <v>1004</v>
      </c>
      <c r="D33" s="400"/>
      <c r="E33" s="400"/>
      <c r="F33" s="400"/>
      <c r="G33" s="400"/>
      <c r="H33" s="416"/>
      <c r="I33" s="416"/>
    </row>
    <row r="34" spans="1:9" ht="12.75">
      <c r="A34" s="810">
        <v>7</v>
      </c>
      <c r="B34" s="162">
        <v>35</v>
      </c>
      <c r="C34" s="820" t="s">
        <v>4698</v>
      </c>
      <c r="D34" s="400"/>
      <c r="E34" s="400"/>
      <c r="F34" s="400"/>
      <c r="G34" s="400"/>
      <c r="H34" s="980" t="str">
        <f t="shared" si="4"/>
        <v/>
      </c>
      <c r="I34" s="980" t="str">
        <f t="shared" si="5"/>
        <v/>
      </c>
    </row>
    <row r="35" spans="1:9" ht="12.75">
      <c r="A35" s="810">
        <v>8</v>
      </c>
      <c r="B35" s="162">
        <v>36</v>
      </c>
      <c r="C35" s="820" t="s">
        <v>4699</v>
      </c>
      <c r="D35" s="400"/>
      <c r="E35" s="400"/>
      <c r="F35" s="400"/>
      <c r="G35" s="400"/>
      <c r="H35" s="980" t="str">
        <f t="shared" si="4"/>
        <v/>
      </c>
      <c r="I35" s="980" t="str">
        <f t="shared" si="5"/>
        <v/>
      </c>
    </row>
    <row r="36" spans="1:9" ht="12.75">
      <c r="A36" s="811" t="str">
        <f>HYPERLINK("#C1","置顶")</f>
        <v>置顶</v>
      </c>
      <c r="B36" s="162">
        <v>37</v>
      </c>
      <c r="C36" s="889" t="s">
        <v>1005</v>
      </c>
      <c r="D36" s="406">
        <f>SUM(D28:D35)</f>
        <v>0</v>
      </c>
      <c r="E36" s="406">
        <f>SUM(E28:E35)</f>
        <v>0</v>
      </c>
      <c r="F36" s="406">
        <f>SUM(F28:F35)</f>
        <v>0</v>
      </c>
      <c r="G36" s="406">
        <f>SUM(G28:G35)</f>
        <v>0</v>
      </c>
      <c r="H36" s="980" t="str">
        <f t="shared" si="4"/>
        <v/>
      </c>
      <c r="I36" s="980" t="str">
        <f t="shared" si="5"/>
        <v/>
      </c>
    </row>
    <row r="37" spans="1:9" ht="12.75">
      <c r="A37" s="813"/>
      <c r="B37" s="162">
        <v>38</v>
      </c>
      <c r="C37" s="843"/>
      <c r="D37" s="344"/>
      <c r="E37" s="344"/>
      <c r="F37" s="843"/>
      <c r="G37" s="344"/>
      <c r="H37" s="887"/>
      <c r="I37" s="887"/>
    </row>
    <row r="38" spans="1:9" ht="12.75">
      <c r="A38" s="813"/>
      <c r="B38" s="162">
        <v>71</v>
      </c>
      <c r="C38" s="944" t="s">
        <v>3024</v>
      </c>
      <c r="D38" s="344"/>
      <c r="E38" s="344"/>
      <c r="F38" s="843"/>
      <c r="G38" s="344"/>
      <c r="H38" s="887"/>
      <c r="I38" s="887"/>
    </row>
    <row r="39" spans="1:9" ht="12.75">
      <c r="A39" s="813"/>
      <c r="B39" s="162">
        <v>72</v>
      </c>
      <c r="C39" s="944" t="s">
        <v>3017</v>
      </c>
      <c r="D39" s="344"/>
      <c r="E39" s="344"/>
      <c r="F39" s="843"/>
      <c r="G39" s="344"/>
      <c r="H39" s="887"/>
      <c r="I39" s="887"/>
    </row>
    <row r="40" spans="1:9" ht="36">
      <c r="A40" s="811" t="str">
        <f>HYPERLINK("#C1","置顶")</f>
        <v>置顶</v>
      </c>
      <c r="B40" s="162">
        <v>73</v>
      </c>
      <c r="C40" s="881" t="s">
        <v>366</v>
      </c>
      <c r="D40" s="889" t="s">
        <v>3018</v>
      </c>
      <c r="E40" s="357" t="s">
        <v>4701</v>
      </c>
      <c r="F40" s="889" t="s">
        <v>3019</v>
      </c>
      <c r="G40" s="357" t="s">
        <v>4702</v>
      </c>
      <c r="H40" s="887"/>
      <c r="I40" s="887"/>
    </row>
    <row r="41" spans="1:9" ht="12.75">
      <c r="A41" s="813"/>
      <c r="B41" s="162">
        <v>74</v>
      </c>
      <c r="C41" s="340" t="s">
        <v>3020</v>
      </c>
      <c r="D41" s="406">
        <f>SUM(D42:D61)</f>
        <v>0</v>
      </c>
      <c r="E41" s="406">
        <f>SUM(E42:E61)</f>
        <v>0</v>
      </c>
      <c r="F41" s="406">
        <f>SUM(F42:F61)</f>
        <v>0</v>
      </c>
      <c r="G41" s="406">
        <f>SUM(G42:G61)</f>
        <v>0</v>
      </c>
      <c r="H41" s="887"/>
      <c r="I41" s="887"/>
    </row>
    <row r="42" spans="1:9" ht="12.75">
      <c r="A42" s="813"/>
      <c r="B42" s="162"/>
      <c r="C42" s="820" t="s">
        <v>985</v>
      </c>
      <c r="D42" s="889"/>
      <c r="E42" s="881"/>
      <c r="F42" s="881"/>
      <c r="G42" s="889"/>
      <c r="H42" s="887"/>
      <c r="I42" s="887"/>
    </row>
    <row r="43" spans="1:9" ht="12.75">
      <c r="A43" s="813"/>
      <c r="B43" s="162"/>
      <c r="C43" s="820" t="s">
        <v>986</v>
      </c>
      <c r="D43" s="889"/>
      <c r="E43" s="881"/>
      <c r="F43" s="881"/>
      <c r="G43" s="889"/>
      <c r="H43" s="887"/>
      <c r="I43" s="887"/>
    </row>
    <row r="44" spans="1:9" ht="12.75">
      <c r="A44" s="813"/>
      <c r="B44" s="162"/>
      <c r="C44" s="820" t="s">
        <v>987</v>
      </c>
      <c r="D44" s="889"/>
      <c r="E44" s="881"/>
      <c r="F44" s="881"/>
      <c r="G44" s="889"/>
      <c r="H44" s="887"/>
      <c r="I44" s="887"/>
    </row>
    <row r="45" spans="1:9" ht="12.75">
      <c r="A45" s="813"/>
      <c r="B45" s="162"/>
      <c r="C45" s="820" t="s">
        <v>988</v>
      </c>
      <c r="D45" s="889"/>
      <c r="E45" s="881"/>
      <c r="F45" s="881"/>
      <c r="G45" s="889"/>
      <c r="H45" s="887"/>
      <c r="I45" s="887"/>
    </row>
    <row r="46" spans="1:9" ht="12.75">
      <c r="A46" s="813"/>
      <c r="B46" s="162"/>
      <c r="C46" s="1425" t="s">
        <v>4700</v>
      </c>
      <c r="D46" s="889"/>
      <c r="E46" s="881"/>
      <c r="F46" s="881"/>
      <c r="G46" s="889"/>
      <c r="H46" s="887"/>
      <c r="I46" s="887"/>
    </row>
    <row r="47" spans="1:9" ht="24">
      <c r="A47" s="813"/>
      <c r="B47" s="162"/>
      <c r="C47" s="1425" t="s">
        <v>4695</v>
      </c>
      <c r="D47" s="889"/>
      <c r="E47" s="881"/>
      <c r="F47" s="881"/>
      <c r="G47" s="889"/>
      <c r="H47" s="887"/>
      <c r="I47" s="887"/>
    </row>
    <row r="48" spans="1:9" ht="12.75">
      <c r="A48" s="813"/>
      <c r="B48" s="162"/>
      <c r="C48" s="820" t="s">
        <v>450</v>
      </c>
      <c r="D48" s="889"/>
      <c r="E48" s="881"/>
      <c r="F48" s="881"/>
      <c r="G48" s="889"/>
      <c r="H48" s="887"/>
      <c r="I48" s="887"/>
    </row>
    <row r="49" spans="1:9" ht="12.75">
      <c r="A49" s="813"/>
      <c r="B49" s="162"/>
      <c r="C49" s="820" t="s">
        <v>991</v>
      </c>
      <c r="D49" s="889"/>
      <c r="E49" s="881"/>
      <c r="F49" s="881"/>
      <c r="G49" s="889"/>
      <c r="H49" s="887"/>
      <c r="I49" s="887"/>
    </row>
    <row r="50" spans="1:9" ht="12.75">
      <c r="A50" s="813"/>
      <c r="B50" s="162"/>
      <c r="C50" s="820" t="s">
        <v>992</v>
      </c>
      <c r="D50" s="889"/>
      <c r="E50" s="881"/>
      <c r="F50" s="881"/>
      <c r="G50" s="889"/>
      <c r="H50" s="887"/>
      <c r="I50" s="887"/>
    </row>
    <row r="51" spans="1:9" ht="12.75">
      <c r="A51" s="813"/>
      <c r="B51" s="162"/>
      <c r="C51" s="820" t="s">
        <v>993</v>
      </c>
      <c r="D51" s="889"/>
      <c r="E51" s="881"/>
      <c r="F51" s="881"/>
      <c r="G51" s="889"/>
      <c r="H51" s="887"/>
      <c r="I51" s="887"/>
    </row>
    <row r="52" spans="1:9" ht="12.75">
      <c r="A52" s="813"/>
      <c r="B52" s="162"/>
      <c r="C52" s="820" t="s">
        <v>994</v>
      </c>
      <c r="D52" s="889"/>
      <c r="E52" s="881"/>
      <c r="F52" s="881"/>
      <c r="G52" s="889"/>
      <c r="H52" s="887"/>
      <c r="I52" s="887"/>
    </row>
    <row r="53" spans="1:9" ht="12.75">
      <c r="A53" s="813"/>
      <c r="B53" s="162"/>
      <c r="C53" s="1425" t="s">
        <v>4758</v>
      </c>
      <c r="D53" s="889"/>
      <c r="E53" s="881"/>
      <c r="F53" s="881"/>
      <c r="G53" s="889"/>
      <c r="H53" s="887"/>
      <c r="I53" s="887"/>
    </row>
    <row r="54" spans="1:9" ht="12.75">
      <c r="A54" s="813"/>
      <c r="B54" s="162"/>
      <c r="C54" s="820" t="s">
        <v>997</v>
      </c>
      <c r="D54" s="889"/>
      <c r="E54" s="881"/>
      <c r="F54" s="881"/>
      <c r="G54" s="889"/>
      <c r="H54" s="887"/>
      <c r="I54" s="887"/>
    </row>
    <row r="55" spans="1:9" ht="12.75">
      <c r="A55" s="813"/>
      <c r="B55" s="162"/>
      <c r="C55" s="820" t="s">
        <v>998</v>
      </c>
      <c r="D55" s="889"/>
      <c r="E55" s="881"/>
      <c r="F55" s="881"/>
      <c r="G55" s="889"/>
      <c r="H55" s="887"/>
      <c r="I55" s="887"/>
    </row>
    <row r="56" spans="1:9" ht="12.75">
      <c r="A56" s="813"/>
      <c r="B56" s="162"/>
      <c r="C56" s="820" t="s">
        <v>999</v>
      </c>
      <c r="D56" s="889"/>
      <c r="E56" s="881"/>
      <c r="F56" s="881"/>
      <c r="G56" s="889"/>
      <c r="H56" s="887"/>
      <c r="I56" s="887"/>
    </row>
    <row r="57" spans="1:9" ht="12.75">
      <c r="A57" s="813"/>
      <c r="B57" s="162"/>
      <c r="C57" s="820" t="s">
        <v>1000</v>
      </c>
      <c r="D57" s="889"/>
      <c r="E57" s="881"/>
      <c r="F57" s="881"/>
      <c r="G57" s="889"/>
      <c r="H57" s="887"/>
      <c r="I57" s="887"/>
    </row>
    <row r="58" spans="1:9" ht="12.75">
      <c r="A58" s="813"/>
      <c r="B58" s="162"/>
      <c r="C58" s="1425" t="s">
        <v>4703</v>
      </c>
      <c r="D58" s="889"/>
      <c r="E58" s="881"/>
      <c r="F58" s="881"/>
      <c r="G58" s="889"/>
      <c r="H58" s="887"/>
      <c r="I58" s="887"/>
    </row>
    <row r="59" spans="1:9" ht="12.75">
      <c r="A59" s="813"/>
      <c r="B59" s="162"/>
      <c r="C59" s="1445" t="s">
        <v>4759</v>
      </c>
      <c r="D59" s="889"/>
      <c r="E59" s="881"/>
      <c r="F59" s="881"/>
      <c r="G59" s="889"/>
      <c r="H59" s="887"/>
      <c r="I59" s="887"/>
    </row>
    <row r="60" spans="1:9" ht="12.75">
      <c r="A60" s="813"/>
      <c r="B60" s="162"/>
      <c r="C60" s="1445" t="s">
        <v>4760</v>
      </c>
      <c r="D60" s="889"/>
      <c r="E60" s="881"/>
      <c r="F60" s="881"/>
      <c r="G60" s="889"/>
      <c r="H60" s="887"/>
      <c r="I60" s="887"/>
    </row>
    <row r="61" spans="1:9" ht="12.75">
      <c r="A61" s="813"/>
      <c r="B61" s="162"/>
      <c r="C61" s="1445" t="s">
        <v>4761</v>
      </c>
      <c r="D61" s="889"/>
      <c r="E61" s="881"/>
      <c r="F61" s="881"/>
      <c r="G61" s="889"/>
      <c r="H61" s="887"/>
      <c r="I61" s="887"/>
    </row>
    <row r="62" spans="1:9" ht="12.75">
      <c r="A62" s="813"/>
      <c r="B62" s="162">
        <v>75</v>
      </c>
      <c r="C62" s="340" t="s">
        <v>3021</v>
      </c>
      <c r="D62" s="406">
        <f>SUM(D63:D70)</f>
        <v>0</v>
      </c>
      <c r="E62" s="406">
        <f>SUM(E63:E70)</f>
        <v>0</v>
      </c>
      <c r="F62" s="406">
        <f>SUM(F63:F70)</f>
        <v>0</v>
      </c>
      <c r="G62" s="406">
        <f>SUM(G63:G70)</f>
        <v>0</v>
      </c>
      <c r="H62" s="887"/>
      <c r="I62" s="887"/>
    </row>
    <row r="63" spans="1:9" ht="12.75">
      <c r="A63" s="813"/>
      <c r="B63" s="162"/>
      <c r="C63" s="1425" t="s">
        <v>4696</v>
      </c>
      <c r="D63" s="889"/>
      <c r="E63" s="881"/>
      <c r="F63" s="881"/>
      <c r="G63" s="889"/>
      <c r="H63" s="887"/>
      <c r="I63" s="887"/>
    </row>
    <row r="64" spans="1:9" ht="24">
      <c r="A64" s="813"/>
      <c r="B64" s="162"/>
      <c r="C64" s="1425" t="s">
        <v>4697</v>
      </c>
      <c r="D64" s="889"/>
      <c r="E64" s="881"/>
      <c r="F64" s="881"/>
      <c r="G64" s="889"/>
      <c r="H64" s="887"/>
      <c r="I64" s="887"/>
    </row>
    <row r="65" spans="1:9" ht="12.75">
      <c r="A65" s="813"/>
      <c r="B65" s="162"/>
      <c r="C65" s="820" t="s">
        <v>1001</v>
      </c>
      <c r="D65" s="889"/>
      <c r="E65" s="881"/>
      <c r="F65" s="881"/>
      <c r="G65" s="889"/>
      <c r="H65" s="887"/>
      <c r="I65" s="887"/>
    </row>
    <row r="66" spans="1:9" ht="12.75">
      <c r="A66" s="813"/>
      <c r="B66" s="162"/>
      <c r="C66" s="820" t="s">
        <v>1002</v>
      </c>
      <c r="D66" s="889"/>
      <c r="E66" s="881"/>
      <c r="F66" s="881"/>
      <c r="G66" s="889"/>
      <c r="H66" s="887"/>
      <c r="I66" s="887"/>
    </row>
    <row r="67" spans="1:9" ht="12.75">
      <c r="A67" s="813"/>
      <c r="B67" s="162"/>
      <c r="C67" s="820" t="s">
        <v>1003</v>
      </c>
      <c r="D67" s="889"/>
      <c r="E67" s="881"/>
      <c r="F67" s="881"/>
      <c r="G67" s="889"/>
      <c r="H67" s="887"/>
      <c r="I67" s="887"/>
    </row>
    <row r="68" spans="1:9" ht="12.75">
      <c r="A68" s="813"/>
      <c r="B68" s="162"/>
      <c r="C68" s="820" t="s">
        <v>1004</v>
      </c>
      <c r="D68" s="889"/>
      <c r="E68" s="881"/>
      <c r="F68" s="881"/>
      <c r="G68" s="889"/>
      <c r="H68" s="887"/>
      <c r="I68" s="887"/>
    </row>
    <row r="69" spans="1:9" ht="12.75">
      <c r="A69" s="813"/>
      <c r="B69" s="162"/>
      <c r="C69" s="820" t="s">
        <v>4698</v>
      </c>
      <c r="D69" s="889"/>
      <c r="E69" s="881"/>
      <c r="F69" s="881"/>
      <c r="G69" s="889"/>
      <c r="H69" s="887"/>
      <c r="I69" s="887"/>
    </row>
    <row r="70" spans="1:9" ht="12.75">
      <c r="A70" s="813"/>
      <c r="B70" s="162"/>
      <c r="C70" s="820" t="s">
        <v>4699</v>
      </c>
      <c r="D70" s="889"/>
      <c r="E70" s="881"/>
      <c r="F70" s="881"/>
      <c r="G70" s="889"/>
      <c r="H70" s="887"/>
      <c r="I70" s="887"/>
    </row>
    <row r="71" spans="1:9" ht="12.75">
      <c r="A71" s="963" t="s">
        <v>2260</v>
      </c>
      <c r="B71" s="162">
        <v>77</v>
      </c>
      <c r="C71" s="843"/>
      <c r="D71" s="344"/>
      <c r="E71" s="344"/>
      <c r="F71" s="843"/>
      <c r="G71" s="344"/>
      <c r="H71" s="887"/>
      <c r="I71" s="887"/>
    </row>
    <row r="72" spans="1:9" ht="24">
      <c r="A72" s="813"/>
      <c r="B72" s="162">
        <v>78</v>
      </c>
      <c r="C72" s="970" t="s">
        <v>3022</v>
      </c>
      <c r="D72" s="344"/>
      <c r="E72" s="344"/>
      <c r="F72" s="843"/>
      <c r="G72" s="344"/>
      <c r="H72" s="887"/>
      <c r="I72" s="887"/>
    </row>
    <row r="73" spans="1:9" ht="12.75">
      <c r="A73" s="813"/>
      <c r="B73" s="162">
        <v>79</v>
      </c>
      <c r="C73" s="881" t="s">
        <v>1013</v>
      </c>
      <c r="D73" s="881" t="s">
        <v>3023</v>
      </c>
      <c r="E73" s="344"/>
      <c r="F73" s="843"/>
      <c r="G73" s="344"/>
      <c r="H73" s="887"/>
      <c r="I73" s="887"/>
    </row>
    <row r="74" spans="1:9" ht="12.75">
      <c r="A74" s="810">
        <v>1</v>
      </c>
      <c r="B74" s="162">
        <v>80</v>
      </c>
      <c r="C74" s="338"/>
      <c r="D74" s="400"/>
      <c r="E74" s="344"/>
      <c r="F74" s="843"/>
      <c r="G74" s="344"/>
      <c r="H74" s="887"/>
      <c r="I74" s="887"/>
    </row>
    <row r="75" spans="1:9" ht="12.75">
      <c r="A75" s="810">
        <v>2</v>
      </c>
      <c r="B75" s="162">
        <v>81</v>
      </c>
      <c r="C75" s="976"/>
      <c r="D75" s="400"/>
      <c r="E75" s="344"/>
      <c r="F75" s="843"/>
      <c r="G75" s="344"/>
      <c r="H75" s="887"/>
      <c r="I75" s="887"/>
    </row>
    <row r="76" spans="1:9" ht="12.75">
      <c r="A76" s="810">
        <v>3</v>
      </c>
      <c r="B76" s="162">
        <v>82</v>
      </c>
      <c r="C76" s="976"/>
      <c r="D76" s="400"/>
      <c r="E76" s="344"/>
      <c r="F76" s="843"/>
      <c r="G76" s="344"/>
      <c r="H76" s="887"/>
      <c r="I76" s="887"/>
    </row>
    <row r="77" spans="1:9" ht="12.75">
      <c r="A77" s="810">
        <v>4</v>
      </c>
      <c r="B77" s="162">
        <v>83</v>
      </c>
      <c r="C77" s="976"/>
      <c r="D77" s="400"/>
      <c r="E77" s="344"/>
      <c r="F77" s="843"/>
      <c r="G77" s="344"/>
      <c r="H77" s="887"/>
      <c r="I77" s="887"/>
    </row>
    <row r="78" spans="1:9" ht="12.75">
      <c r="A78" s="810">
        <v>5</v>
      </c>
      <c r="B78" s="162">
        <v>84</v>
      </c>
      <c r="C78" s="976"/>
      <c r="D78" s="400"/>
      <c r="E78" s="344"/>
      <c r="F78" s="843"/>
      <c r="G78" s="344"/>
      <c r="H78" s="887"/>
      <c r="I78" s="887"/>
    </row>
    <row r="79" spans="1:9" ht="12.75">
      <c r="A79" s="810">
        <v>6</v>
      </c>
      <c r="B79" s="162">
        <v>85</v>
      </c>
      <c r="C79" s="976"/>
      <c r="D79" s="400"/>
      <c r="E79" s="344"/>
      <c r="F79" s="843"/>
      <c r="G79" s="344"/>
      <c r="H79" s="887"/>
      <c r="I79" s="887"/>
    </row>
    <row r="80" spans="1:9" ht="12.75">
      <c r="A80" s="810">
        <v>7</v>
      </c>
      <c r="B80" s="162">
        <v>86</v>
      </c>
      <c r="C80" s="976"/>
      <c r="D80" s="400"/>
      <c r="E80" s="344"/>
      <c r="F80" s="843"/>
      <c r="G80" s="344"/>
      <c r="H80" s="887"/>
      <c r="I80" s="887"/>
    </row>
    <row r="81" spans="1:9" ht="12.75">
      <c r="A81" s="810">
        <v>8</v>
      </c>
      <c r="B81" s="162">
        <v>87</v>
      </c>
      <c r="C81" s="976"/>
      <c r="D81" s="400"/>
      <c r="E81" s="344"/>
      <c r="F81" s="843"/>
      <c r="G81" s="344"/>
      <c r="H81" s="887"/>
      <c r="I81" s="887"/>
    </row>
    <row r="82" spans="1:9" ht="12.75">
      <c r="A82" s="810">
        <v>9</v>
      </c>
      <c r="B82" s="162">
        <v>88</v>
      </c>
      <c r="C82" s="976"/>
      <c r="D82" s="400"/>
      <c r="E82" s="344"/>
      <c r="F82" s="843"/>
      <c r="G82" s="344"/>
      <c r="H82" s="887"/>
      <c r="I82" s="887"/>
    </row>
    <row r="83" spans="1:9" ht="12.75">
      <c r="A83" s="810">
        <v>10</v>
      </c>
      <c r="B83" s="162">
        <v>89</v>
      </c>
      <c r="C83" s="976"/>
      <c r="D83" s="400"/>
      <c r="E83" s="344"/>
      <c r="F83" s="843"/>
      <c r="G83" s="344"/>
      <c r="H83" s="887"/>
      <c r="I83" s="887"/>
    </row>
    <row r="84" spans="1:9" ht="12.75">
      <c r="A84" s="810">
        <v>11</v>
      </c>
      <c r="B84" s="162">
        <v>90</v>
      </c>
      <c r="C84" s="976"/>
      <c r="D84" s="400"/>
      <c r="E84" s="344"/>
      <c r="F84" s="843"/>
      <c r="G84" s="344"/>
      <c r="H84" s="887"/>
      <c r="I84" s="887"/>
    </row>
    <row r="85" spans="1:9" ht="12.75">
      <c r="A85" s="810">
        <v>12</v>
      </c>
      <c r="B85" s="162">
        <v>91</v>
      </c>
      <c r="C85" s="976"/>
      <c r="D85" s="400"/>
      <c r="E85" s="344"/>
      <c r="F85" s="843"/>
      <c r="G85" s="344"/>
      <c r="H85" s="887"/>
      <c r="I85" s="887"/>
    </row>
    <row r="86" spans="1:9" ht="12.75">
      <c r="A86" s="810">
        <v>13</v>
      </c>
      <c r="B86" s="162">
        <v>92</v>
      </c>
      <c r="C86" s="976"/>
      <c r="D86" s="400"/>
      <c r="E86" s="344"/>
      <c r="F86" s="843"/>
      <c r="G86" s="344"/>
      <c r="H86" s="887"/>
      <c r="I86" s="887"/>
    </row>
    <row r="87" spans="1:9" ht="12.75">
      <c r="A87" s="810">
        <v>14</v>
      </c>
      <c r="B87" s="162">
        <v>93</v>
      </c>
      <c r="C87" s="976"/>
      <c r="D87" s="400"/>
      <c r="E87" s="344"/>
      <c r="F87" s="843"/>
      <c r="G87" s="344"/>
      <c r="H87" s="887"/>
      <c r="I87" s="887"/>
    </row>
    <row r="88" spans="1:9" ht="12.75">
      <c r="A88" s="810">
        <v>15</v>
      </c>
      <c r="B88" s="162">
        <v>94</v>
      </c>
      <c r="C88" s="976"/>
      <c r="D88" s="400"/>
      <c r="E88" s="344"/>
      <c r="F88" s="843"/>
      <c r="G88" s="344"/>
      <c r="H88" s="887"/>
      <c r="I88" s="887"/>
    </row>
    <row r="89" spans="1:9">
      <c r="B89" s="95"/>
    </row>
    <row r="90" spans="1:9">
      <c r="B90" s="95">
        <v>39</v>
      </c>
      <c r="C90" s="1" t="s">
        <v>1427</v>
      </c>
    </row>
    <row r="91" spans="1:9">
      <c r="A91" s="921" t="s">
        <v>243</v>
      </c>
      <c r="B91" s="95">
        <v>40</v>
      </c>
      <c r="C91" s="330" t="s">
        <v>41</v>
      </c>
      <c r="D91" s="330" t="s">
        <v>1425</v>
      </c>
      <c r="E91" s="330" t="s">
        <v>1428</v>
      </c>
    </row>
    <row r="92" spans="1:9">
      <c r="A92" s="873">
        <v>1</v>
      </c>
      <c r="B92" s="95">
        <v>41</v>
      </c>
      <c r="C92" s="33" t="s">
        <v>264</v>
      </c>
      <c r="D92" s="28"/>
      <c r="E92" s="28"/>
    </row>
    <row r="93" spans="1:9">
      <c r="A93" s="873">
        <v>2</v>
      </c>
      <c r="B93" s="95">
        <v>42</v>
      </c>
      <c r="C93" s="33" t="s">
        <v>227</v>
      </c>
      <c r="D93" s="28"/>
      <c r="E93" s="28"/>
    </row>
    <row r="94" spans="1:9">
      <c r="A94" s="873">
        <v>3</v>
      </c>
      <c r="B94" s="95">
        <v>43</v>
      </c>
      <c r="C94" s="33" t="s">
        <v>4804</v>
      </c>
      <c r="D94" s="28"/>
      <c r="E94" s="28"/>
    </row>
    <row r="95" spans="1:9">
      <c r="A95" s="873">
        <v>4</v>
      </c>
      <c r="B95" s="95">
        <v>44</v>
      </c>
      <c r="C95" s="33" t="s">
        <v>4805</v>
      </c>
      <c r="D95" s="28"/>
      <c r="E95" s="28"/>
    </row>
    <row r="96" spans="1:9">
      <c r="A96" s="873">
        <v>5</v>
      </c>
      <c r="B96" s="95">
        <v>45</v>
      </c>
      <c r="C96" s="33" t="s">
        <v>4806</v>
      </c>
      <c r="D96" s="28"/>
      <c r="E96" s="28"/>
    </row>
    <row r="97" spans="1:11">
      <c r="A97" s="873">
        <v>6</v>
      </c>
      <c r="B97" s="95">
        <v>46</v>
      </c>
      <c r="C97" s="33" t="s">
        <v>4807</v>
      </c>
      <c r="D97" s="28"/>
      <c r="E97" s="28"/>
    </row>
    <row r="98" spans="1:11">
      <c r="A98" s="873">
        <v>7</v>
      </c>
      <c r="B98" s="95">
        <v>47</v>
      </c>
      <c r="C98" s="33" t="s">
        <v>4817</v>
      </c>
      <c r="D98" s="28"/>
      <c r="E98" s="28"/>
    </row>
    <row r="99" spans="1:11">
      <c r="A99" s="873">
        <v>8</v>
      </c>
      <c r="B99" s="95">
        <v>48</v>
      </c>
      <c r="C99" s="33" t="s">
        <v>262</v>
      </c>
      <c r="D99" s="28"/>
      <c r="E99" s="28"/>
    </row>
    <row r="100" spans="1:11">
      <c r="A100" s="873">
        <v>9</v>
      </c>
      <c r="B100" s="95">
        <v>49</v>
      </c>
      <c r="C100" s="33" t="s">
        <v>263</v>
      </c>
      <c r="D100" s="28"/>
      <c r="E100" s="28"/>
    </row>
    <row r="101" spans="1:11">
      <c r="A101" s="873">
        <v>10</v>
      </c>
      <c r="B101" s="95">
        <v>50</v>
      </c>
      <c r="C101" s="33" t="s">
        <v>285</v>
      </c>
      <c r="D101" s="28"/>
      <c r="E101" s="28"/>
    </row>
    <row r="102" spans="1:11">
      <c r="A102" s="874" t="str">
        <f>HYPERLINK("#C1","置顶")</f>
        <v>置顶</v>
      </c>
      <c r="B102" s="95">
        <v>51</v>
      </c>
      <c r="C102" s="330" t="s">
        <v>32</v>
      </c>
      <c r="D102" s="279">
        <f>SUM(D92:D101)</f>
        <v>0</v>
      </c>
      <c r="E102" s="279">
        <f>SUM(E92:E101)</f>
        <v>0</v>
      </c>
    </row>
    <row r="103" spans="1:11">
      <c r="B103" s="95">
        <v>52</v>
      </c>
    </row>
    <row r="104" spans="1:11">
      <c r="B104" s="95">
        <v>53</v>
      </c>
      <c r="C104" s="2" t="s">
        <v>1429</v>
      </c>
    </row>
    <row r="105" spans="1:11">
      <c r="A105" s="921" t="s">
        <v>243</v>
      </c>
      <c r="B105" s="95">
        <v>54</v>
      </c>
      <c r="C105" s="330" t="s">
        <v>1430</v>
      </c>
      <c r="D105" s="330" t="s">
        <v>214</v>
      </c>
      <c r="E105" s="330" t="s">
        <v>215</v>
      </c>
      <c r="F105" s="330" t="s">
        <v>226</v>
      </c>
    </row>
    <row r="106" spans="1:11">
      <c r="B106" s="95">
        <v>55</v>
      </c>
      <c r="C106" s="27" t="s">
        <v>4630</v>
      </c>
      <c r="D106" s="27"/>
      <c r="E106" s="27"/>
      <c r="F106" s="331"/>
    </row>
    <row r="107" spans="1:11">
      <c r="B107" s="95">
        <v>56</v>
      </c>
      <c r="C107" s="27" t="s">
        <v>4631</v>
      </c>
      <c r="D107" s="27"/>
      <c r="E107" s="27"/>
      <c r="F107" s="331"/>
    </row>
    <row r="108" spans="1:11" ht="13.5">
      <c r="B108" s="95">
        <v>57</v>
      </c>
      <c r="C108" s="27" t="s">
        <v>4475</v>
      </c>
      <c r="D108" s="27"/>
      <c r="E108" s="27"/>
      <c r="F108" s="331"/>
      <c r="I108" s="1456" t="s">
        <v>4782</v>
      </c>
      <c r="J108" s="1457">
        <f>D93-D112</f>
        <v>0</v>
      </c>
      <c r="K108" s="1457">
        <f>E93-E112</f>
        <v>0</v>
      </c>
    </row>
    <row r="109" spans="1:11">
      <c r="B109" s="95">
        <v>58</v>
      </c>
      <c r="C109" s="27" t="s">
        <v>4632</v>
      </c>
      <c r="D109" s="27"/>
      <c r="E109" s="27"/>
      <c r="F109" s="331"/>
    </row>
    <row r="110" spans="1:11">
      <c r="B110" s="95">
        <v>59</v>
      </c>
      <c r="C110" s="27" t="s">
        <v>4633</v>
      </c>
      <c r="D110" s="27"/>
      <c r="E110" s="27"/>
      <c r="F110" s="331"/>
    </row>
    <row r="111" spans="1:11">
      <c r="B111" s="95"/>
      <c r="C111" s="27"/>
      <c r="D111" s="27"/>
      <c r="E111" s="27"/>
      <c r="F111" s="331"/>
    </row>
    <row r="112" spans="1:11">
      <c r="A112" s="921" t="s">
        <v>243</v>
      </c>
      <c r="B112" s="95">
        <v>60</v>
      </c>
      <c r="C112" s="330" t="s">
        <v>32</v>
      </c>
      <c r="D112" s="279">
        <f>SUM(D106:D111)</f>
        <v>0</v>
      </c>
      <c r="E112" s="279">
        <f>SUM(E106:E111)</f>
        <v>0</v>
      </c>
      <c r="F112" s="331"/>
    </row>
    <row r="113" spans="1:5">
      <c r="B113" s="95">
        <v>61</v>
      </c>
    </row>
    <row r="114" spans="1:5">
      <c r="B114" s="95">
        <v>62</v>
      </c>
      <c r="C114" s="329" t="s">
        <v>154</v>
      </c>
      <c r="D114" s="329" t="s">
        <v>28</v>
      </c>
      <c r="E114" s="329" t="s">
        <v>29</v>
      </c>
    </row>
    <row r="115" spans="1:5">
      <c r="B115" s="95">
        <v>63</v>
      </c>
      <c r="C115" s="329" t="s">
        <v>30</v>
      </c>
      <c r="D115" s="279">
        <f>审定资产负债表!D49</f>
        <v>10959.86</v>
      </c>
      <c r="E115" s="279">
        <f>审定资产负债表!C49</f>
        <v>61310.01</v>
      </c>
    </row>
    <row r="116" spans="1:5">
      <c r="B116" s="95">
        <v>64</v>
      </c>
      <c r="C116" s="329" t="s">
        <v>31</v>
      </c>
      <c r="D116" s="279">
        <f>F26-D115</f>
        <v>0</v>
      </c>
      <c r="E116" s="279">
        <f>D26-E115</f>
        <v>0</v>
      </c>
    </row>
    <row r="117" spans="1:5">
      <c r="A117" s="874" t="str">
        <f>HYPERLINK("#C1","置顶")</f>
        <v>置顶</v>
      </c>
      <c r="B117" s="95">
        <v>65</v>
      </c>
    </row>
    <row r="118" spans="1:5">
      <c r="B118" s="95">
        <v>66</v>
      </c>
      <c r="C118" s="329" t="s">
        <v>155</v>
      </c>
      <c r="D118" s="329" t="s">
        <v>28</v>
      </c>
      <c r="E118" s="329" t="s">
        <v>29</v>
      </c>
    </row>
    <row r="119" spans="1:5">
      <c r="B119" s="95">
        <v>67</v>
      </c>
      <c r="C119" s="329" t="s">
        <v>30</v>
      </c>
      <c r="D119" s="279">
        <f>审定资产负债表!D96</f>
        <v>0</v>
      </c>
      <c r="E119" s="279">
        <f>审定资产负债表!C96</f>
        <v>0</v>
      </c>
    </row>
    <row r="120" spans="1:5">
      <c r="B120" s="95">
        <v>68</v>
      </c>
      <c r="C120" s="329" t="s">
        <v>27</v>
      </c>
      <c r="D120" s="279">
        <f>F36-D119</f>
        <v>0</v>
      </c>
      <c r="E120" s="279">
        <f>D36-E119</f>
        <v>0</v>
      </c>
    </row>
    <row r="121" spans="1:5">
      <c r="B121" s="95">
        <v>69</v>
      </c>
    </row>
    <row r="122" spans="1:5" ht="22.5">
      <c r="A122" s="873"/>
      <c r="B122" s="95">
        <v>98</v>
      </c>
      <c r="C122" s="35" t="s">
        <v>319</v>
      </c>
      <c r="D122" s="135" t="s">
        <v>25</v>
      </c>
      <c r="E122" s="135" t="s">
        <v>26</v>
      </c>
    </row>
    <row r="123" spans="1:5" ht="36">
      <c r="A123" s="921" t="s">
        <v>351</v>
      </c>
      <c r="B123" s="95">
        <v>99</v>
      </c>
      <c r="C123" s="35" t="s">
        <v>317</v>
      </c>
      <c r="D123" s="280">
        <v>43839.4</v>
      </c>
      <c r="E123" s="280">
        <v>245240</v>
      </c>
    </row>
    <row r="124" spans="1:5">
      <c r="A124" s="873"/>
      <c r="B124" s="95">
        <v>100</v>
      </c>
      <c r="C124" s="34" t="s">
        <v>320</v>
      </c>
      <c r="D124" s="280">
        <f>G6+E92</f>
        <v>43839.4</v>
      </c>
      <c r="E124" s="280">
        <f>E6+D92</f>
        <v>245240</v>
      </c>
    </row>
    <row r="125" spans="1:5">
      <c r="A125" s="873"/>
      <c r="B125" s="95">
        <v>101</v>
      </c>
      <c r="C125" s="330" t="s">
        <v>318</v>
      </c>
      <c r="D125" s="280">
        <f>D124-D123</f>
        <v>0</v>
      </c>
      <c r="E125" s="280">
        <f>E124-E123</f>
        <v>0</v>
      </c>
    </row>
  </sheetData>
  <sheetProtection formatCells="0" formatColumns="0" formatRows="0" autoFilter="0"/>
  <mergeCells count="3">
    <mergeCell ref="D3:E3"/>
    <mergeCell ref="F3:G3"/>
    <mergeCell ref="C3:C4"/>
  </mergeCells>
  <phoneticPr fontId="5" type="noConversion"/>
  <hyperlinks>
    <hyperlink ref="A1" location="附注填写封面!B3" display="返回目录" xr:uid="{00000000-0004-0000-3000-000000000000}"/>
    <hyperlink ref="A91" location="附注填写封面!B3" display="返回目录" xr:uid="{00000000-0004-0000-3000-000001000000}"/>
    <hyperlink ref="A105" location="附注填写封面!B3" display="返回目录" xr:uid="{00000000-0004-0000-3000-000002000000}"/>
    <hyperlink ref="A112" location="附注填写封面!B3" display="返回目录" xr:uid="{00000000-0004-0000-3000-000003000000}"/>
    <hyperlink ref="A71" location="附注填写封面!B3" display="返回目录" xr:uid="{00000000-0004-0000-3000-000004000000}"/>
    <hyperlink ref="A26" location="附注填写封面!B3" display="返回目录" xr:uid="{00000000-0004-0000-3000-000005000000}"/>
    <hyperlink ref="A123" location="审定资产减值准备情况表!B3" display="返回资产减值准备表" xr:uid="{00000000-0004-0000-3000-000006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ignoredErrors>
    <ignoredError sqref="J108:K108" unlockedFormula="1"/>
  </ignoredErrors>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31"/>
  <dimension ref="A1:G22"/>
  <sheetViews>
    <sheetView showGridLines="0" showZeros="0" workbookViewId="0">
      <pane xSplit="3" ySplit="2" topLeftCell="D3" activePane="bottomRight" state="frozen"/>
      <selection activeCell="A5" sqref="A5:A6"/>
      <selection pane="topRight" activeCell="A5" sqref="A5:A6"/>
      <selection pane="bottomLeft" activeCell="A5" sqref="A5:A6"/>
      <selection pane="bottomRight" activeCell="G3" sqref="G3"/>
    </sheetView>
  </sheetViews>
  <sheetFormatPr defaultColWidth="11.625" defaultRowHeight="13.5"/>
  <cols>
    <col min="1" max="1" width="8.375" style="863" customWidth="1"/>
    <col min="2" max="2" width="6" style="863" hidden="1" customWidth="1"/>
    <col min="3" max="3" width="35.875" style="974" customWidth="1"/>
    <col min="4" max="16384" width="11.625" style="150"/>
  </cols>
  <sheetData>
    <row r="1" spans="1:7" ht="30.75" customHeight="1">
      <c r="A1" s="915" t="s">
        <v>2738</v>
      </c>
      <c r="B1" s="861" t="s">
        <v>2668</v>
      </c>
      <c r="C1" s="862" t="s">
        <v>3025</v>
      </c>
    </row>
    <row r="2" spans="1:7">
      <c r="B2" s="863">
        <v>2</v>
      </c>
      <c r="C2" s="864" t="s">
        <v>2796</v>
      </c>
      <c r="D2" s="864" t="s">
        <v>2840</v>
      </c>
      <c r="E2" s="864" t="s">
        <v>2776</v>
      </c>
      <c r="G2" s="1498" t="s">
        <v>4931</v>
      </c>
    </row>
    <row r="3" spans="1:7">
      <c r="A3" s="863">
        <v>1</v>
      </c>
      <c r="B3" s="863">
        <v>3</v>
      </c>
      <c r="C3" s="34" t="s">
        <v>4808</v>
      </c>
      <c r="D3" s="137"/>
      <c r="E3" s="913"/>
    </row>
    <row r="4" spans="1:7">
      <c r="A4" s="863">
        <v>2</v>
      </c>
      <c r="B4" s="863">
        <v>4</v>
      </c>
      <c r="C4" s="1466" t="s">
        <v>4810</v>
      </c>
      <c r="D4" s="137"/>
      <c r="E4" s="137"/>
    </row>
    <row r="5" spans="1:7">
      <c r="A5" s="863">
        <v>3</v>
      </c>
      <c r="B5" s="863">
        <v>5</v>
      </c>
      <c r="C5" s="1466" t="s">
        <v>4809</v>
      </c>
      <c r="D5" s="913"/>
      <c r="E5" s="137"/>
    </row>
    <row r="6" spans="1:7">
      <c r="A6" s="863">
        <v>4</v>
      </c>
      <c r="B6" s="863">
        <v>6</v>
      </c>
      <c r="C6" s="1466" t="s">
        <v>4811</v>
      </c>
      <c r="D6" s="913"/>
      <c r="E6" s="913"/>
    </row>
    <row r="7" spans="1:7">
      <c r="A7" s="863">
        <v>5</v>
      </c>
      <c r="B7" s="863">
        <v>7</v>
      </c>
      <c r="C7" s="914"/>
      <c r="D7" s="913"/>
      <c r="E7" s="913"/>
    </row>
    <row r="8" spans="1:7">
      <c r="A8" s="863">
        <v>6</v>
      </c>
      <c r="B8" s="863">
        <v>8</v>
      </c>
      <c r="C8" s="914"/>
      <c r="D8" s="913"/>
      <c r="E8" s="913"/>
    </row>
    <row r="9" spans="1:7">
      <c r="A9" s="863">
        <v>7</v>
      </c>
      <c r="B9" s="863">
        <v>9</v>
      </c>
      <c r="C9" s="914"/>
      <c r="D9" s="913"/>
      <c r="E9" s="913"/>
    </row>
    <row r="10" spans="1:7">
      <c r="A10" s="863">
        <v>8</v>
      </c>
      <c r="B10" s="863">
        <v>10</v>
      </c>
      <c r="C10" s="914"/>
      <c r="D10" s="913"/>
      <c r="E10" s="913"/>
    </row>
    <row r="11" spans="1:7">
      <c r="A11" s="863">
        <v>9</v>
      </c>
      <c r="B11" s="863">
        <v>11</v>
      </c>
      <c r="C11" s="914"/>
      <c r="D11" s="913"/>
      <c r="E11" s="913"/>
    </row>
    <row r="12" spans="1:7">
      <c r="A12" s="863">
        <v>10</v>
      </c>
      <c r="B12" s="863">
        <v>12</v>
      </c>
      <c r="C12" s="914"/>
      <c r="D12" s="913"/>
      <c r="E12" s="913"/>
    </row>
    <row r="13" spans="1:7">
      <c r="A13" s="863">
        <v>11</v>
      </c>
      <c r="B13" s="863">
        <v>13</v>
      </c>
      <c r="C13" s="914"/>
      <c r="D13" s="913"/>
      <c r="E13" s="913"/>
    </row>
    <row r="14" spans="1:7">
      <c r="A14" s="863">
        <v>12</v>
      </c>
      <c r="B14" s="863">
        <v>14</v>
      </c>
      <c r="C14" s="914"/>
      <c r="D14" s="913"/>
      <c r="E14" s="913"/>
    </row>
    <row r="15" spans="1:7">
      <c r="A15" s="863">
        <v>13</v>
      </c>
      <c r="B15" s="863">
        <v>15</v>
      </c>
      <c r="C15" s="914"/>
      <c r="D15" s="913"/>
      <c r="E15" s="913"/>
    </row>
    <row r="16" spans="1:7">
      <c r="A16" s="863">
        <v>14</v>
      </c>
      <c r="B16" s="863">
        <v>16</v>
      </c>
      <c r="C16" s="914"/>
      <c r="D16" s="913"/>
      <c r="E16" s="913"/>
    </row>
    <row r="17" spans="1:5">
      <c r="A17" s="863">
        <v>15</v>
      </c>
      <c r="B17" s="863">
        <v>17</v>
      </c>
      <c r="C17" s="914"/>
      <c r="D17" s="913"/>
      <c r="E17" s="913"/>
    </row>
    <row r="18" spans="1:5">
      <c r="B18" s="863">
        <v>18</v>
      </c>
      <c r="C18" s="864" t="s">
        <v>3026</v>
      </c>
      <c r="D18" s="869">
        <f>SUM(D3:D17)</f>
        <v>0</v>
      </c>
      <c r="E18" s="869">
        <f>SUM(E3:E17)</f>
        <v>0</v>
      </c>
    </row>
    <row r="19" spans="1:5">
      <c r="B19" s="863">
        <v>19</v>
      </c>
    </row>
    <row r="20" spans="1:5">
      <c r="A20" s="915" t="s">
        <v>2738</v>
      </c>
      <c r="B20" s="863">
        <v>20</v>
      </c>
      <c r="C20" s="870"/>
      <c r="D20" s="870" t="s">
        <v>2663</v>
      </c>
      <c r="E20" s="870" t="s">
        <v>2664</v>
      </c>
    </row>
    <row r="21" spans="1:5">
      <c r="B21" s="863">
        <v>21</v>
      </c>
      <c r="C21" s="870" t="s">
        <v>2665</v>
      </c>
      <c r="D21" s="869">
        <f>审定资产负债表!D50</f>
        <v>0</v>
      </c>
      <c r="E21" s="869">
        <f>审定资产负债表!C50</f>
        <v>0</v>
      </c>
    </row>
    <row r="22" spans="1:5">
      <c r="B22" s="863">
        <v>22</v>
      </c>
      <c r="C22" s="870" t="s">
        <v>2666</v>
      </c>
      <c r="D22" s="869">
        <f>E18-D21</f>
        <v>0</v>
      </c>
      <c r="E22" s="869">
        <f>D18-E21</f>
        <v>0</v>
      </c>
    </row>
  </sheetData>
  <sheetProtection formatCells="0" formatColumns="0" formatRows="0" autoFilter="0"/>
  <phoneticPr fontId="5" type="noConversion"/>
  <hyperlinks>
    <hyperlink ref="A1" location="附注填写封面!B3" display="返回目录" xr:uid="{00000000-0004-0000-3100-000000000000}"/>
    <hyperlink ref="A20" location="附注填写封面!B3" display="返回目录" xr:uid="{00000000-0004-0000-31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2"/>
  <dimension ref="A1:F39"/>
  <sheetViews>
    <sheetView showGridLines="0" showZeros="0" workbookViewId="0">
      <pane xSplit="3" ySplit="2" topLeftCell="D3" activePane="bottomRight" state="frozen"/>
      <selection activeCell="A5" sqref="A5:A6"/>
      <selection pane="topRight" activeCell="A5" sqref="A5:A6"/>
      <selection pane="bottomLeft" activeCell="A5" sqref="A5:A6"/>
      <selection pane="bottomRight"/>
    </sheetView>
  </sheetViews>
  <sheetFormatPr defaultColWidth="11.625" defaultRowHeight="12"/>
  <cols>
    <col min="1" max="1" width="8.625" style="29" customWidth="1"/>
    <col min="2" max="2" width="6" style="95" hidden="1" customWidth="1"/>
    <col min="3" max="3" width="35.875" style="30" customWidth="1"/>
    <col min="4" max="4" width="11.625" style="29"/>
    <col min="5" max="5" width="17.125" style="29" customWidth="1"/>
    <col min="6" max="16384" width="11.625" style="29"/>
  </cols>
  <sheetData>
    <row r="1" spans="1:6" ht="35.25" customHeight="1">
      <c r="A1" s="764" t="s">
        <v>2260</v>
      </c>
      <c r="B1" s="343" t="s">
        <v>1446</v>
      </c>
      <c r="C1" s="759" t="s">
        <v>3027</v>
      </c>
      <c r="D1" s="344"/>
      <c r="E1" s="344"/>
    </row>
    <row r="2" spans="1:6" ht="12.75">
      <c r="A2" s="344"/>
      <c r="B2" s="162">
        <v>2</v>
      </c>
      <c r="C2" s="889" t="s">
        <v>1022</v>
      </c>
      <c r="D2" s="889" t="s">
        <v>2995</v>
      </c>
      <c r="E2" s="881" t="s">
        <v>3028</v>
      </c>
    </row>
    <row r="3" spans="1:6" ht="12.75">
      <c r="A3" s="344"/>
      <c r="B3" s="162">
        <v>3</v>
      </c>
      <c r="C3" s="340" t="s">
        <v>1023</v>
      </c>
      <c r="D3" s="961">
        <f>SUM(D4:D18)</f>
        <v>0</v>
      </c>
      <c r="E3" s="888"/>
    </row>
    <row r="4" spans="1:6" ht="12.75">
      <c r="A4" s="162">
        <v>1</v>
      </c>
      <c r="B4" s="162">
        <v>4</v>
      </c>
      <c r="C4" s="1468" t="s">
        <v>3029</v>
      </c>
      <c r="D4" s="981"/>
      <c r="E4" s="888"/>
      <c r="F4" s="94"/>
    </row>
    <row r="5" spans="1:6" ht="12.75">
      <c r="A5" s="162">
        <v>2</v>
      </c>
      <c r="B5" s="162">
        <v>5</v>
      </c>
      <c r="C5" s="1468" t="s">
        <v>1513</v>
      </c>
      <c r="D5" s="981"/>
      <c r="E5" s="888"/>
      <c r="F5" s="94"/>
    </row>
    <row r="6" spans="1:6" ht="12.75">
      <c r="A6" s="162">
        <v>3</v>
      </c>
      <c r="B6" s="162">
        <v>6</v>
      </c>
      <c r="C6" s="1468" t="s">
        <v>353</v>
      </c>
      <c r="D6" s="761"/>
      <c r="E6" s="888"/>
      <c r="F6" s="94"/>
    </row>
    <row r="7" spans="1:6" ht="12.75">
      <c r="A7" s="162">
        <v>4</v>
      </c>
      <c r="B7" s="162">
        <v>7</v>
      </c>
      <c r="C7" s="1468" t="s">
        <v>1517</v>
      </c>
      <c r="D7" s="761"/>
      <c r="E7" s="888"/>
    </row>
    <row r="8" spans="1:6" ht="12.75">
      <c r="A8" s="162">
        <v>5</v>
      </c>
      <c r="B8" s="162">
        <v>8</v>
      </c>
      <c r="C8" s="1468" t="s">
        <v>3030</v>
      </c>
      <c r="D8" s="981"/>
      <c r="E8" s="888"/>
    </row>
    <row r="9" spans="1:6" ht="12.75">
      <c r="A9" s="162">
        <v>6</v>
      </c>
      <c r="B9" s="162">
        <v>9</v>
      </c>
      <c r="C9" s="1468" t="s">
        <v>3031</v>
      </c>
      <c r="D9" s="981"/>
      <c r="E9" s="888"/>
    </row>
    <row r="10" spans="1:6" ht="12.75">
      <c r="A10" s="162">
        <v>7</v>
      </c>
      <c r="B10" s="162">
        <v>10</v>
      </c>
      <c r="C10" s="1468" t="s">
        <v>3032</v>
      </c>
      <c r="D10" s="981"/>
      <c r="E10" s="888"/>
    </row>
    <row r="11" spans="1:6" ht="12.75">
      <c r="A11" s="162">
        <v>8</v>
      </c>
      <c r="B11" s="162">
        <v>11</v>
      </c>
      <c r="C11" s="1468" t="s">
        <v>1529</v>
      </c>
      <c r="D11" s="981"/>
      <c r="E11" s="888"/>
    </row>
    <row r="12" spans="1:6" ht="12.75">
      <c r="A12" s="162">
        <v>9</v>
      </c>
      <c r="B12" s="162">
        <v>12</v>
      </c>
      <c r="C12" s="1468" t="s">
        <v>1526</v>
      </c>
      <c r="D12" s="981"/>
      <c r="E12" s="888"/>
    </row>
    <row r="13" spans="1:6" ht="12.75">
      <c r="A13" s="162">
        <v>10</v>
      </c>
      <c r="B13" s="162">
        <v>13</v>
      </c>
      <c r="C13" s="1468" t="s">
        <v>391</v>
      </c>
      <c r="D13" s="981"/>
      <c r="E13" s="888"/>
    </row>
    <row r="14" spans="1:6" ht="12.75">
      <c r="A14" s="162">
        <v>11</v>
      </c>
      <c r="B14" s="162">
        <v>14</v>
      </c>
      <c r="C14" s="1468" t="s">
        <v>1001</v>
      </c>
      <c r="D14" s="981"/>
      <c r="E14" s="888"/>
    </row>
    <row r="15" spans="1:6" ht="12.75">
      <c r="A15" s="162">
        <v>12</v>
      </c>
      <c r="B15" s="162">
        <v>15</v>
      </c>
      <c r="C15" s="1468" t="s">
        <v>3033</v>
      </c>
      <c r="D15" s="981"/>
      <c r="E15" s="888"/>
    </row>
    <row r="16" spans="1:6" ht="12.75">
      <c r="A16" s="162">
        <v>13</v>
      </c>
      <c r="B16" s="162">
        <v>16</v>
      </c>
      <c r="C16" s="1468" t="s">
        <v>1003</v>
      </c>
      <c r="D16" s="981"/>
      <c r="E16" s="888"/>
    </row>
    <row r="17" spans="1:5" ht="12.75">
      <c r="A17" s="162">
        <v>14</v>
      </c>
      <c r="B17" s="162">
        <v>17</v>
      </c>
      <c r="C17" s="1468" t="s">
        <v>1016</v>
      </c>
      <c r="D17" s="981"/>
      <c r="E17" s="888"/>
    </row>
    <row r="18" spans="1:5" ht="12.75">
      <c r="A18" s="162">
        <v>15</v>
      </c>
      <c r="B18" s="162">
        <v>18</v>
      </c>
      <c r="C18" s="1468" t="s">
        <v>1017</v>
      </c>
      <c r="D18" s="981"/>
      <c r="E18" s="888"/>
    </row>
    <row r="19" spans="1:5" ht="12.75">
      <c r="A19" s="344"/>
      <c r="B19" s="162">
        <v>19</v>
      </c>
      <c r="C19" s="340" t="s">
        <v>1033</v>
      </c>
      <c r="D19" s="961">
        <f>SUM(D20:D34)</f>
        <v>0</v>
      </c>
      <c r="E19" s="888"/>
    </row>
    <row r="20" spans="1:5" ht="12.75">
      <c r="A20" s="162">
        <v>1</v>
      </c>
      <c r="B20" s="162">
        <v>20</v>
      </c>
      <c r="C20" s="1463" t="s">
        <v>3029</v>
      </c>
      <c r="D20" s="981"/>
      <c r="E20" s="888"/>
    </row>
    <row r="21" spans="1:5" ht="12.75">
      <c r="A21" s="162">
        <v>2</v>
      </c>
      <c r="B21" s="162">
        <v>21</v>
      </c>
      <c r="C21" s="1463" t="s">
        <v>1513</v>
      </c>
      <c r="D21" s="981"/>
      <c r="E21" s="888"/>
    </row>
    <row r="22" spans="1:5" ht="12.75">
      <c r="A22" s="162">
        <v>3</v>
      </c>
      <c r="B22" s="162">
        <v>22</v>
      </c>
      <c r="C22" s="1463" t="s">
        <v>353</v>
      </c>
      <c r="D22" s="981"/>
      <c r="E22" s="888"/>
    </row>
    <row r="23" spans="1:5" ht="12.75">
      <c r="A23" s="162">
        <v>4</v>
      </c>
      <c r="B23" s="162">
        <v>23</v>
      </c>
      <c r="C23" s="1463" t="s">
        <v>1517</v>
      </c>
      <c r="D23" s="981"/>
      <c r="E23" s="888"/>
    </row>
    <row r="24" spans="1:5" ht="12.75">
      <c r="A24" s="162">
        <v>5</v>
      </c>
      <c r="B24" s="162">
        <v>24</v>
      </c>
      <c r="C24" s="1463" t="s">
        <v>3030</v>
      </c>
      <c r="D24" s="981"/>
      <c r="E24" s="888"/>
    </row>
    <row r="25" spans="1:5" ht="12.75">
      <c r="A25" s="162">
        <v>6</v>
      </c>
      <c r="B25" s="162">
        <v>25</v>
      </c>
      <c r="C25" s="1463" t="s">
        <v>3031</v>
      </c>
      <c r="D25" s="981"/>
      <c r="E25" s="888"/>
    </row>
    <row r="26" spans="1:5" ht="12.75">
      <c r="A26" s="162">
        <v>7</v>
      </c>
      <c r="B26" s="162">
        <v>26</v>
      </c>
      <c r="C26" s="1463" t="s">
        <v>3032</v>
      </c>
      <c r="D26" s="981"/>
      <c r="E26" s="888"/>
    </row>
    <row r="27" spans="1:5" ht="12.75">
      <c r="A27" s="162">
        <v>8</v>
      </c>
      <c r="B27" s="162">
        <v>27</v>
      </c>
      <c r="C27" s="1463" t="s">
        <v>1529</v>
      </c>
      <c r="D27" s="981"/>
      <c r="E27" s="888"/>
    </row>
    <row r="28" spans="1:5" ht="12.75">
      <c r="A28" s="162">
        <v>9</v>
      </c>
      <c r="B28" s="162">
        <v>28</v>
      </c>
      <c r="C28" s="1463" t="s">
        <v>1526</v>
      </c>
      <c r="D28" s="981"/>
      <c r="E28" s="888"/>
    </row>
    <row r="29" spans="1:5" ht="12.75">
      <c r="A29" s="162">
        <v>10</v>
      </c>
      <c r="B29" s="162">
        <v>29</v>
      </c>
      <c r="C29" s="1468" t="s">
        <v>391</v>
      </c>
      <c r="D29" s="981"/>
      <c r="E29" s="888"/>
    </row>
    <row r="30" spans="1:5" ht="12.75">
      <c r="A30" s="162">
        <v>11</v>
      </c>
      <c r="B30" s="162">
        <v>30</v>
      </c>
      <c r="C30" s="1468" t="s">
        <v>1001</v>
      </c>
      <c r="D30" s="981"/>
      <c r="E30" s="888"/>
    </row>
    <row r="31" spans="1:5" ht="12.75">
      <c r="A31" s="162">
        <v>12</v>
      </c>
      <c r="B31" s="162">
        <v>31</v>
      </c>
      <c r="C31" s="1468" t="s">
        <v>3033</v>
      </c>
      <c r="D31" s="761"/>
      <c r="E31" s="888"/>
    </row>
    <row r="32" spans="1:5" ht="12.75">
      <c r="A32" s="162">
        <v>13</v>
      </c>
      <c r="B32" s="162">
        <v>32</v>
      </c>
      <c r="C32" s="1468" t="s">
        <v>1003</v>
      </c>
      <c r="D32" s="761"/>
      <c r="E32" s="888"/>
    </row>
    <row r="33" spans="1:5" ht="12.75">
      <c r="A33" s="162">
        <v>14</v>
      </c>
      <c r="B33" s="162">
        <v>33</v>
      </c>
      <c r="C33" s="1468" t="s">
        <v>1016</v>
      </c>
      <c r="D33" s="981"/>
      <c r="E33" s="888"/>
    </row>
    <row r="34" spans="1:5" ht="12.75">
      <c r="A34" s="162">
        <v>15</v>
      </c>
      <c r="B34" s="162">
        <v>34</v>
      </c>
      <c r="C34" s="1468" t="s">
        <v>1017</v>
      </c>
      <c r="D34" s="981"/>
      <c r="E34" s="888"/>
    </row>
    <row r="35" spans="1:5" ht="12.75">
      <c r="A35" s="344"/>
      <c r="B35" s="162">
        <v>35</v>
      </c>
      <c r="C35" s="889" t="s">
        <v>1005</v>
      </c>
      <c r="D35" s="961">
        <f>D19+D3</f>
        <v>0</v>
      </c>
      <c r="E35" s="888"/>
    </row>
    <row r="36" spans="1:5" ht="12.75">
      <c r="A36" s="764" t="s">
        <v>2260</v>
      </c>
      <c r="B36" s="162"/>
      <c r="C36" s="843"/>
      <c r="D36" s="344"/>
      <c r="E36" s="344"/>
    </row>
    <row r="37" spans="1:5">
      <c r="C37" s="29"/>
    </row>
    <row r="38" spans="1:5">
      <c r="C38" s="29"/>
    </row>
    <row r="39" spans="1:5">
      <c r="C39" s="29"/>
    </row>
  </sheetData>
  <sheetProtection formatCells="0" formatColumns="0" formatRows="0" autoFilter="0"/>
  <phoneticPr fontId="5" type="noConversion"/>
  <hyperlinks>
    <hyperlink ref="A1" location="附注填写封面!B3" display="返回目录" xr:uid="{00000000-0004-0000-3200-000000000000}"/>
    <hyperlink ref="A36" location="附注填写封面!B3" display="返回目录" xr:uid="{00000000-0004-0000-32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33"/>
  <dimension ref="A1:J34"/>
  <sheetViews>
    <sheetView showGridLines="0" showZeros="0" workbookViewId="0">
      <pane xSplit="3" ySplit="3" topLeftCell="D4" activePane="bottomRight" state="frozen"/>
      <selection activeCell="A5" sqref="A5:A6"/>
      <selection pane="topRight" activeCell="A5" sqref="A5:A6"/>
      <selection pane="bottomLeft" activeCell="A5" sqref="A5:A6"/>
      <selection pane="bottomRight" activeCell="F22" sqref="F22"/>
    </sheetView>
  </sheetViews>
  <sheetFormatPr defaultColWidth="11.625" defaultRowHeight="12"/>
  <cols>
    <col min="1" max="1" width="8.625" style="897" customWidth="1"/>
    <col min="2" max="2" width="6.375" style="898" hidden="1" customWidth="1"/>
    <col min="3" max="3" width="35.875" style="920" customWidth="1"/>
    <col min="4" max="8" width="11.625" style="896" customWidth="1"/>
    <col min="9" max="9" width="12.125" style="896" bestFit="1" customWidth="1"/>
    <col min="10" max="10" width="9" style="896" bestFit="1" customWidth="1"/>
    <col min="11" max="16384" width="11.625" style="896"/>
  </cols>
  <sheetData>
    <row r="1" spans="1:10" ht="12.75">
      <c r="A1" s="957" t="s">
        <v>2260</v>
      </c>
      <c r="B1" s="343" t="s">
        <v>1446</v>
      </c>
      <c r="C1" s="759" t="s">
        <v>3045</v>
      </c>
      <c r="D1" s="344"/>
      <c r="E1" s="344"/>
      <c r="F1" s="344"/>
      <c r="G1" s="344"/>
      <c r="H1" s="344"/>
      <c r="I1" s="344"/>
      <c r="J1" s="344"/>
    </row>
    <row r="2" spans="1:10" ht="12.75">
      <c r="A2" s="810"/>
      <c r="B2" s="162">
        <v>2</v>
      </c>
      <c r="C2" s="970" t="s">
        <v>1035</v>
      </c>
      <c r="D2" s="344"/>
      <c r="E2" s="344"/>
      <c r="F2" s="344"/>
      <c r="G2" s="344"/>
      <c r="H2" s="344"/>
      <c r="I2" s="344"/>
      <c r="J2" s="344"/>
    </row>
    <row r="3" spans="1:10" ht="12.75">
      <c r="A3" s="810"/>
      <c r="B3" s="162">
        <v>3</v>
      </c>
      <c r="C3" s="889" t="s">
        <v>1036</v>
      </c>
      <c r="D3" s="889" t="s">
        <v>2810</v>
      </c>
      <c r="E3" s="889" t="s">
        <v>2997</v>
      </c>
      <c r="F3" s="395"/>
      <c r="G3" s="344"/>
      <c r="H3" s="344"/>
      <c r="I3" s="344"/>
      <c r="J3" s="344"/>
    </row>
    <row r="4" spans="1:10" ht="12.75">
      <c r="A4" s="810"/>
      <c r="B4" s="162">
        <v>4</v>
      </c>
      <c r="C4" s="338" t="s">
        <v>1037</v>
      </c>
      <c r="D4" s="761"/>
      <c r="E4" s="761"/>
      <c r="F4" s="835"/>
      <c r="G4" s="344"/>
      <c r="H4" s="344"/>
      <c r="I4" s="344"/>
      <c r="J4" s="344"/>
    </row>
    <row r="5" spans="1:10" ht="12.75">
      <c r="A5" s="810"/>
      <c r="B5" s="162">
        <v>5</v>
      </c>
      <c r="C5" s="338" t="s">
        <v>1038</v>
      </c>
      <c r="D5" s="761"/>
      <c r="E5" s="761"/>
      <c r="F5" s="344"/>
      <c r="G5" s="344"/>
      <c r="H5" s="344"/>
      <c r="I5" s="344"/>
      <c r="J5" s="344"/>
    </row>
    <row r="6" spans="1:10" ht="12.75">
      <c r="A6" s="810"/>
      <c r="B6" s="162">
        <v>6</v>
      </c>
      <c r="C6" s="338" t="s">
        <v>1039</v>
      </c>
      <c r="D6" s="761"/>
      <c r="E6" s="761"/>
      <c r="F6" s="344"/>
      <c r="G6" s="344"/>
      <c r="H6" s="344"/>
      <c r="I6" s="344"/>
      <c r="J6" s="344"/>
    </row>
    <row r="7" spans="1:10" ht="12.75">
      <c r="A7" s="810"/>
      <c r="B7" s="162">
        <v>7</v>
      </c>
      <c r="C7" s="983" t="s">
        <v>1040</v>
      </c>
      <c r="D7" s="761"/>
      <c r="E7" s="761"/>
      <c r="F7" s="344"/>
      <c r="G7" s="344"/>
      <c r="H7" s="344"/>
      <c r="I7" s="344"/>
      <c r="J7" s="344"/>
    </row>
    <row r="8" spans="1:10" ht="12.75">
      <c r="A8" s="810"/>
      <c r="B8" s="162">
        <v>8</v>
      </c>
      <c r="C8" s="337" t="s">
        <v>1005</v>
      </c>
      <c r="D8" s="961">
        <f>SUM(D4:D7)</f>
        <v>0</v>
      </c>
      <c r="E8" s="961">
        <f>SUM(E4:E7)</f>
        <v>0</v>
      </c>
      <c r="F8" s="344"/>
      <c r="G8" s="344"/>
      <c r="H8" s="344"/>
      <c r="I8" s="344"/>
      <c r="J8" s="344"/>
    </row>
    <row r="9" spans="1:10" ht="12.75">
      <c r="A9" s="810"/>
      <c r="B9" s="162">
        <v>9</v>
      </c>
      <c r="C9" s="843"/>
      <c r="D9" s="344"/>
      <c r="E9" s="344"/>
      <c r="F9" s="344"/>
      <c r="G9" s="344"/>
      <c r="H9" s="344"/>
      <c r="I9" s="344"/>
      <c r="J9" s="344"/>
    </row>
    <row r="10" spans="1:10" ht="12.75">
      <c r="A10" s="810"/>
      <c r="B10" s="162">
        <v>10</v>
      </c>
      <c r="C10" s="970" t="s">
        <v>3041</v>
      </c>
      <c r="D10" s="344"/>
      <c r="E10" s="344"/>
      <c r="F10" s="344"/>
      <c r="G10" s="344"/>
      <c r="H10" s="344"/>
      <c r="I10" s="344"/>
      <c r="J10" s="344"/>
    </row>
    <row r="11" spans="1:10" ht="24">
      <c r="A11" s="957" t="s">
        <v>2260</v>
      </c>
      <c r="B11" s="162">
        <v>11</v>
      </c>
      <c r="C11" s="357" t="s">
        <v>4704</v>
      </c>
      <c r="D11" s="357" t="s">
        <v>5</v>
      </c>
      <c r="E11" s="357" t="s">
        <v>4705</v>
      </c>
      <c r="F11" s="357" t="s">
        <v>4706</v>
      </c>
      <c r="G11" s="357" t="s">
        <v>4707</v>
      </c>
    </row>
    <row r="12" spans="1:10" ht="12.75">
      <c r="A12" s="810">
        <v>1</v>
      </c>
      <c r="B12" s="162">
        <v>12</v>
      </c>
      <c r="C12" s="984"/>
      <c r="D12" s="761"/>
      <c r="E12" s="948"/>
      <c r="F12" s="889"/>
      <c r="G12" s="889"/>
    </row>
    <row r="13" spans="1:10" ht="12.75">
      <c r="A13" s="810">
        <v>2</v>
      </c>
      <c r="B13" s="162">
        <v>13</v>
      </c>
      <c r="C13" s="984"/>
      <c r="D13" s="761"/>
      <c r="E13" s="948"/>
      <c r="F13" s="889"/>
      <c r="G13" s="889"/>
    </row>
    <row r="14" spans="1:10" ht="12.75">
      <c r="A14" s="810">
        <v>3</v>
      </c>
      <c r="B14" s="162">
        <v>14</v>
      </c>
      <c r="C14" s="984"/>
      <c r="D14" s="761"/>
      <c r="E14" s="986"/>
      <c r="F14" s="889"/>
      <c r="G14" s="889"/>
    </row>
    <row r="15" spans="1:10" ht="12.75">
      <c r="A15" s="810">
        <v>4</v>
      </c>
      <c r="B15" s="162">
        <v>15</v>
      </c>
      <c r="C15" s="984"/>
      <c r="D15" s="761"/>
      <c r="E15" s="986"/>
      <c r="F15" s="889"/>
      <c r="G15" s="889"/>
    </row>
    <row r="16" spans="1:10" ht="12.75">
      <c r="A16" s="810">
        <v>5</v>
      </c>
      <c r="B16" s="162">
        <v>16</v>
      </c>
      <c r="C16" s="984"/>
      <c r="D16" s="761"/>
      <c r="E16" s="986"/>
      <c r="F16" s="889"/>
      <c r="G16" s="889"/>
    </row>
    <row r="17" spans="1:10" ht="12.75">
      <c r="A17" s="810">
        <v>6</v>
      </c>
      <c r="B17" s="162">
        <v>17</v>
      </c>
      <c r="C17" s="984"/>
      <c r="D17" s="761"/>
      <c r="E17" s="986"/>
      <c r="F17" s="889"/>
      <c r="G17" s="889"/>
    </row>
    <row r="18" spans="1:10" ht="12.75">
      <c r="A18" s="810">
        <v>7</v>
      </c>
      <c r="B18" s="162">
        <v>18</v>
      </c>
      <c r="C18" s="984"/>
      <c r="D18" s="761"/>
      <c r="E18" s="948"/>
      <c r="F18" s="889"/>
      <c r="G18" s="889"/>
    </row>
    <row r="19" spans="1:10" ht="12.75">
      <c r="A19" s="810">
        <v>8</v>
      </c>
      <c r="B19" s="162">
        <v>19</v>
      </c>
      <c r="C19" s="987"/>
      <c r="D19" s="761"/>
      <c r="E19" s="954"/>
      <c r="F19" s="889"/>
      <c r="G19" s="889"/>
    </row>
    <row r="20" spans="1:10" ht="12.75">
      <c r="A20" s="810">
        <v>9</v>
      </c>
      <c r="B20" s="162">
        <v>20</v>
      </c>
      <c r="C20" s="987"/>
      <c r="D20" s="761"/>
      <c r="E20" s="954"/>
      <c r="F20" s="889"/>
      <c r="G20" s="889"/>
    </row>
    <row r="21" spans="1:10" ht="12.75">
      <c r="A21" s="810">
        <v>10</v>
      </c>
      <c r="B21" s="162">
        <v>21</v>
      </c>
      <c r="C21" s="987"/>
      <c r="D21" s="761"/>
      <c r="E21" s="954"/>
      <c r="F21" s="889"/>
      <c r="G21" s="889"/>
    </row>
    <row r="22" spans="1:10" ht="12.75">
      <c r="A22" s="810"/>
      <c r="B22" s="162">
        <v>22</v>
      </c>
      <c r="C22" s="337" t="s">
        <v>836</v>
      </c>
      <c r="D22" s="961">
        <f>SUM(D12:D21)</f>
        <v>0</v>
      </c>
      <c r="E22" s="954"/>
      <c r="F22" s="889"/>
      <c r="G22" s="889"/>
    </row>
    <row r="23" spans="1:10" s="982" customFormat="1" ht="12.75">
      <c r="A23" s="811" t="str">
        <f>HYPERLINK("#C1","置顶")</f>
        <v>置顶</v>
      </c>
      <c r="B23" s="162">
        <v>23</v>
      </c>
      <c r="C23" s="395"/>
      <c r="D23" s="395"/>
      <c r="E23" s="395"/>
      <c r="F23" s="395"/>
      <c r="G23" s="395"/>
      <c r="H23" s="395"/>
      <c r="I23" s="395"/>
      <c r="J23" s="395"/>
    </row>
    <row r="24" spans="1:10" s="982" customFormat="1" ht="12.75">
      <c r="A24" s="811" t="str">
        <f>HYPERLINK("#C1","置顶")</f>
        <v>置顶</v>
      </c>
      <c r="B24" s="162">
        <v>65</v>
      </c>
      <c r="C24" s="395"/>
      <c r="D24" s="395"/>
      <c r="E24" s="395"/>
      <c r="F24" s="395"/>
      <c r="G24" s="395"/>
      <c r="H24" s="395"/>
      <c r="I24" s="395"/>
      <c r="J24" s="395"/>
    </row>
    <row r="25" spans="1:10" ht="12.75">
      <c r="A25" s="810"/>
      <c r="B25" s="162">
        <v>66</v>
      </c>
      <c r="C25" s="843"/>
      <c r="D25" s="344"/>
      <c r="E25" s="344"/>
      <c r="F25" s="344"/>
      <c r="G25" s="344"/>
      <c r="H25" s="344"/>
      <c r="I25" s="344"/>
      <c r="J25" s="344"/>
    </row>
    <row r="26" spans="1:10" ht="12.75">
      <c r="A26" s="810"/>
      <c r="B26" s="162">
        <v>67</v>
      </c>
      <c r="C26" s="881" t="s">
        <v>3040</v>
      </c>
      <c r="D26" s="881" t="s">
        <v>2591</v>
      </c>
      <c r="E26" s="881" t="s">
        <v>3046</v>
      </c>
      <c r="F26" s="344"/>
      <c r="G26" s="344"/>
      <c r="H26" s="344"/>
      <c r="I26" s="344"/>
      <c r="J26" s="344"/>
    </row>
    <row r="27" spans="1:10" ht="12.75">
      <c r="A27" s="810"/>
      <c r="B27" s="162">
        <v>68</v>
      </c>
      <c r="C27" s="881" t="s">
        <v>1319</v>
      </c>
      <c r="D27" s="406">
        <f>审定资产负债表!C60</f>
        <v>0</v>
      </c>
      <c r="E27" s="406">
        <f>审定资产负债表!D60</f>
        <v>0</v>
      </c>
      <c r="F27" s="344"/>
      <c r="G27" s="344"/>
      <c r="H27" s="344"/>
      <c r="I27" s="344"/>
      <c r="J27" s="344"/>
    </row>
    <row r="28" spans="1:10" ht="12.75">
      <c r="A28" s="810"/>
      <c r="B28" s="162">
        <v>69</v>
      </c>
      <c r="C28" s="881" t="s">
        <v>2730</v>
      </c>
      <c r="D28" s="406">
        <f>D8-D27</f>
        <v>0</v>
      </c>
      <c r="E28" s="406">
        <f>E8-E27</f>
        <v>0</v>
      </c>
      <c r="F28" s="344"/>
      <c r="G28" s="344"/>
      <c r="H28" s="344"/>
      <c r="I28" s="344"/>
      <c r="J28" s="344"/>
    </row>
    <row r="29" spans="1:10" ht="12.75">
      <c r="A29" s="957" t="s">
        <v>2260</v>
      </c>
      <c r="B29" s="162">
        <v>70</v>
      </c>
      <c r="C29" s="843"/>
      <c r="D29" s="344"/>
      <c r="E29" s="344"/>
      <c r="F29" s="344"/>
      <c r="G29" s="344"/>
      <c r="H29" s="344"/>
      <c r="I29" s="344"/>
      <c r="J29" s="344"/>
    </row>
    <row r="30" spans="1:10" ht="12.75">
      <c r="A30" s="810"/>
      <c r="B30" s="162">
        <v>71</v>
      </c>
      <c r="C30" s="896"/>
      <c r="E30" s="344"/>
      <c r="F30" s="344"/>
      <c r="G30" s="344"/>
      <c r="H30" s="344"/>
      <c r="I30" s="344"/>
      <c r="J30" s="344"/>
    </row>
    <row r="31" spans="1:10" ht="12.75">
      <c r="A31" s="810"/>
      <c r="B31" s="162">
        <v>72</v>
      </c>
      <c r="C31" s="896"/>
      <c r="E31" s="344"/>
      <c r="F31" s="344"/>
      <c r="G31" s="344"/>
      <c r="H31" s="344"/>
      <c r="I31" s="344"/>
      <c r="J31" s="344"/>
    </row>
    <row r="32" spans="1:10" ht="12.75">
      <c r="A32" s="810"/>
      <c r="B32" s="162">
        <v>73</v>
      </c>
      <c r="C32" s="896"/>
      <c r="E32" s="344"/>
      <c r="F32" s="344"/>
      <c r="G32" s="344"/>
      <c r="H32" s="344"/>
      <c r="I32" s="344"/>
      <c r="J32" s="344"/>
    </row>
    <row r="33" spans="1:10" ht="12.75">
      <c r="A33" s="810"/>
      <c r="B33" s="162">
        <v>74</v>
      </c>
      <c r="C33" s="896"/>
      <c r="E33" s="344"/>
      <c r="F33" s="344"/>
      <c r="G33" s="344"/>
      <c r="H33" s="344"/>
      <c r="I33" s="344"/>
      <c r="J33" s="344"/>
    </row>
    <row r="34" spans="1:10" ht="12.75">
      <c r="A34" s="957" t="s">
        <v>2260</v>
      </c>
      <c r="B34" s="162"/>
      <c r="C34" s="896"/>
      <c r="E34" s="344"/>
      <c r="F34" s="344"/>
      <c r="G34" s="344"/>
      <c r="H34" s="344"/>
      <c r="I34" s="344"/>
      <c r="J34" s="344"/>
    </row>
  </sheetData>
  <sheetProtection formatCells="0" formatColumns="0" formatRows="0" autoFilter="0"/>
  <phoneticPr fontId="5" type="noConversion"/>
  <hyperlinks>
    <hyperlink ref="A1" location="附注填写封面!B3" display="返回目录" xr:uid="{00000000-0004-0000-3300-000000000000}"/>
    <hyperlink ref="A11" location="附注填写封面!B3" display="返回目录" xr:uid="{00000000-0004-0000-3300-000001000000}"/>
    <hyperlink ref="A34" location="附注填写封面!B3" display="返回目录" xr:uid="{00000000-0004-0000-3300-000002000000}"/>
    <hyperlink ref="A29" location="附注填写封面!B3" display="返回目录" xr:uid="{00000000-0004-0000-3300-000003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34"/>
  <dimension ref="A1:E12"/>
  <sheetViews>
    <sheetView showGridLines="0" showZeros="0" workbookViewId="0">
      <selection activeCell="D7" sqref="D7"/>
    </sheetView>
  </sheetViews>
  <sheetFormatPr defaultColWidth="11.625" defaultRowHeight="12.75"/>
  <cols>
    <col min="1" max="1" width="7.625" style="344" customWidth="1"/>
    <col min="2" max="2" width="5.125" style="344" hidden="1" customWidth="1"/>
    <col min="3" max="3" width="39.375" style="843" customWidth="1"/>
    <col min="4" max="6" width="11.625" style="344"/>
    <col min="7" max="7" width="11.625" style="344" customWidth="1"/>
    <col min="8" max="16384" width="11.625" style="344"/>
  </cols>
  <sheetData>
    <row r="1" spans="1:5" ht="33" customHeight="1">
      <c r="A1" s="764" t="s">
        <v>2260</v>
      </c>
      <c r="B1" s="343" t="s">
        <v>1446</v>
      </c>
      <c r="C1" s="759" t="s">
        <v>3047</v>
      </c>
    </row>
    <row r="2" spans="1:5">
      <c r="B2" s="162">
        <v>2</v>
      </c>
      <c r="C2" s="889" t="s">
        <v>811</v>
      </c>
      <c r="D2" s="881" t="s">
        <v>3048</v>
      </c>
      <c r="E2" s="881" t="s">
        <v>880</v>
      </c>
    </row>
    <row r="3" spans="1:5">
      <c r="B3" s="162">
        <v>3</v>
      </c>
      <c r="C3" s="338" t="s">
        <v>3049</v>
      </c>
      <c r="D3" s="400"/>
      <c r="E3" s="400"/>
    </row>
    <row r="4" spans="1:5">
      <c r="B4" s="162">
        <v>4</v>
      </c>
      <c r="C4" s="1427" t="s">
        <v>4708</v>
      </c>
      <c r="D4" s="1426"/>
      <c r="E4" s="1426"/>
    </row>
    <row r="5" spans="1:5" ht="24">
      <c r="B5" s="162">
        <v>6</v>
      </c>
      <c r="C5" s="338" t="s">
        <v>3050</v>
      </c>
      <c r="D5" s="400"/>
      <c r="E5" s="400"/>
    </row>
    <row r="6" spans="1:5">
      <c r="B6" s="162">
        <v>7</v>
      </c>
      <c r="C6" s="338" t="s">
        <v>964</v>
      </c>
      <c r="D6" s="400"/>
      <c r="E6" s="400"/>
    </row>
    <row r="7" spans="1:5">
      <c r="B7" s="162">
        <v>8</v>
      </c>
      <c r="C7" s="889" t="s">
        <v>817</v>
      </c>
      <c r="D7" s="406">
        <f>SUM(D3:D6)-D4</f>
        <v>0</v>
      </c>
      <c r="E7" s="406">
        <f>SUM(E3:E6)-E4</f>
        <v>0</v>
      </c>
    </row>
    <row r="8" spans="1:5">
      <c r="B8" s="162">
        <v>9</v>
      </c>
      <c r="D8" s="345"/>
    </row>
    <row r="9" spans="1:5">
      <c r="A9" s="764" t="s">
        <v>2260</v>
      </c>
      <c r="B9" s="162">
        <v>10</v>
      </c>
      <c r="C9" s="881"/>
      <c r="D9" s="881" t="s">
        <v>2591</v>
      </c>
      <c r="E9" s="881" t="s">
        <v>2592</v>
      </c>
    </row>
    <row r="10" spans="1:5">
      <c r="B10" s="162">
        <v>11</v>
      </c>
      <c r="C10" s="881" t="s">
        <v>1319</v>
      </c>
      <c r="D10" s="406">
        <f>审定资产负债表!C64</f>
        <v>0</v>
      </c>
      <c r="E10" s="406">
        <f>审定资产负债表!D64</f>
        <v>0</v>
      </c>
    </row>
    <row r="11" spans="1:5">
      <c r="B11" s="162"/>
      <c r="C11" s="881" t="s">
        <v>1320</v>
      </c>
      <c r="D11" s="406">
        <f>D7-D10</f>
        <v>0</v>
      </c>
      <c r="E11" s="406">
        <f>E7-E10</f>
        <v>0</v>
      </c>
    </row>
    <row r="12" spans="1:5">
      <c r="B12" s="162"/>
    </row>
  </sheetData>
  <sheetProtection formatCells="0" formatColumns="0" formatRows="0" autoFilter="0"/>
  <phoneticPr fontId="5" type="noConversion"/>
  <hyperlinks>
    <hyperlink ref="A1" location="附注填写封面!B3" display="返回目录" xr:uid="{00000000-0004-0000-3400-000000000000}"/>
    <hyperlink ref="A9" location="附注填写封面!B3" display="返回目录" xr:uid="{00000000-0004-0000-34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5"/>
  <dimension ref="A1:E13"/>
  <sheetViews>
    <sheetView showGridLines="0" showZeros="0" workbookViewId="0">
      <selection activeCell="D4" sqref="D4"/>
    </sheetView>
  </sheetViews>
  <sheetFormatPr defaultColWidth="11.625" defaultRowHeight="12.75"/>
  <cols>
    <col min="1" max="1" width="8.625" style="344" customWidth="1"/>
    <col min="2" max="2" width="5.125" style="344" hidden="1" customWidth="1"/>
    <col min="3" max="3" width="35.875" style="843" customWidth="1"/>
    <col min="4" max="16384" width="11.625" style="344"/>
  </cols>
  <sheetData>
    <row r="1" spans="1:5" ht="36.950000000000003" customHeight="1">
      <c r="A1" s="764" t="s">
        <v>2260</v>
      </c>
      <c r="B1" s="343" t="s">
        <v>1446</v>
      </c>
      <c r="C1" s="759" t="s">
        <v>3051</v>
      </c>
    </row>
    <row r="2" spans="1:5">
      <c r="B2" s="162">
        <v>2</v>
      </c>
      <c r="C2" s="889" t="s">
        <v>819</v>
      </c>
      <c r="D2" s="889" t="s">
        <v>2729</v>
      </c>
      <c r="E2" s="889" t="s">
        <v>978</v>
      </c>
    </row>
    <row r="3" spans="1:5">
      <c r="B3" s="162">
        <v>3</v>
      </c>
      <c r="C3" s="338" t="s">
        <v>822</v>
      </c>
      <c r="D3" s="761"/>
      <c r="E3" s="761"/>
    </row>
    <row r="4" spans="1:5">
      <c r="B4" s="162">
        <v>4</v>
      </c>
      <c r="C4" s="338" t="s">
        <v>821</v>
      </c>
      <c r="D4" s="761"/>
      <c r="E4" s="761"/>
    </row>
    <row r="5" spans="1:5">
      <c r="B5" s="162">
        <v>5</v>
      </c>
      <c r="C5" s="889" t="s">
        <v>823</v>
      </c>
      <c r="D5" s="961">
        <f>SUM(D3:D4)</f>
        <v>0</v>
      </c>
      <c r="E5" s="961">
        <f>SUM(E3:E4)</f>
        <v>0</v>
      </c>
    </row>
    <row r="6" spans="1:5">
      <c r="B6" s="162">
        <v>6</v>
      </c>
    </row>
    <row r="7" spans="1:5">
      <c r="B7" s="162">
        <v>7</v>
      </c>
      <c r="C7" s="881"/>
      <c r="D7" s="881" t="s">
        <v>3052</v>
      </c>
      <c r="E7" s="881" t="s">
        <v>2592</v>
      </c>
    </row>
    <row r="8" spans="1:5">
      <c r="A8" s="764" t="s">
        <v>2260</v>
      </c>
      <c r="B8" s="162">
        <v>8</v>
      </c>
      <c r="C8" s="881" t="s">
        <v>1319</v>
      </c>
      <c r="D8" s="961">
        <f>审定资产负债表!C66</f>
        <v>0</v>
      </c>
      <c r="E8" s="961">
        <f>审定资产负债表!D66</f>
        <v>0</v>
      </c>
    </row>
    <row r="9" spans="1:5">
      <c r="B9" s="162">
        <v>9</v>
      </c>
      <c r="C9" s="881" t="s">
        <v>1320</v>
      </c>
      <c r="D9" s="992">
        <f>D5-D8</f>
        <v>0</v>
      </c>
      <c r="E9" s="992">
        <f>E5-E8</f>
        <v>0</v>
      </c>
    </row>
    <row r="10" spans="1:5">
      <c r="B10" s="162"/>
    </row>
    <row r="11" spans="1:5">
      <c r="B11" s="162"/>
    </row>
    <row r="12" spans="1:5">
      <c r="B12" s="162"/>
    </row>
    <row r="13" spans="1:5">
      <c r="B13" s="162"/>
    </row>
  </sheetData>
  <sheetProtection formatCells="0" formatColumns="0" formatRows="0" autoFilter="0"/>
  <phoneticPr fontId="5" type="noConversion"/>
  <hyperlinks>
    <hyperlink ref="A1" location="附注填写封面!B3" display="返回目录" xr:uid="{00000000-0004-0000-3500-000000000000}"/>
    <hyperlink ref="A8" location="附注填写封面!B3" display="返回目录" xr:uid="{00000000-0004-0000-35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6"/>
  <dimension ref="A1:H54"/>
  <sheetViews>
    <sheetView showGridLines="0" showZeros="0" topLeftCell="A4" workbookViewId="0">
      <selection activeCell="C42" sqref="C42"/>
    </sheetView>
  </sheetViews>
  <sheetFormatPr defaultColWidth="11.625" defaultRowHeight="12.75"/>
  <cols>
    <col min="1" max="1" width="9.625" style="813" customWidth="1"/>
    <col min="2" max="2" width="7.125" style="344" hidden="1" customWidth="1"/>
    <col min="3" max="3" width="35.875" style="843" customWidth="1"/>
    <col min="4" max="9" width="11.625" style="344"/>
    <col min="10" max="10" width="19.625" style="344" customWidth="1"/>
    <col min="11" max="16384" width="11.625" style="344"/>
  </cols>
  <sheetData>
    <row r="1" spans="1:8" ht="35.25" customHeight="1">
      <c r="A1" s="963" t="s">
        <v>2260</v>
      </c>
      <c r="B1" s="343" t="s">
        <v>1446</v>
      </c>
      <c r="C1" s="759" t="s">
        <v>3059</v>
      </c>
    </row>
    <row r="2" spans="1:8">
      <c r="B2" s="162">
        <v>2</v>
      </c>
      <c r="C2" s="781" t="s">
        <v>1048</v>
      </c>
    </row>
    <row r="3" spans="1:8">
      <c r="B3" s="162">
        <v>3</v>
      </c>
      <c r="C3" s="889" t="s">
        <v>1049</v>
      </c>
      <c r="D3" s="881" t="s">
        <v>527</v>
      </c>
      <c r="E3" s="881" t="s">
        <v>526</v>
      </c>
    </row>
    <row r="4" spans="1:8">
      <c r="B4" s="162">
        <v>4</v>
      </c>
      <c r="C4" s="340" t="s">
        <v>355</v>
      </c>
      <c r="D4" s="335"/>
      <c r="E4" s="761"/>
      <c r="G4" s="828" t="s">
        <v>2550</v>
      </c>
      <c r="H4" s="829" t="str">
        <f>IF(D5-E4&gt;0,"请检验合理性","合理")</f>
        <v>合理</v>
      </c>
    </row>
    <row r="5" spans="1:8">
      <c r="B5" s="162">
        <v>5</v>
      </c>
      <c r="C5" s="340" t="s">
        <v>1051</v>
      </c>
      <c r="D5" s="761"/>
      <c r="E5" s="761"/>
      <c r="G5" s="830"/>
      <c r="H5" s="831" t="str">
        <f>IF(D6-E5&gt;0,"请检验合理性","合理")</f>
        <v>合理</v>
      </c>
    </row>
    <row r="6" spans="1:8">
      <c r="B6" s="162">
        <v>6</v>
      </c>
      <c r="C6" s="340" t="s">
        <v>1052</v>
      </c>
      <c r="D6" s="761"/>
      <c r="E6" s="761"/>
      <c r="G6" s="832"/>
      <c r="H6" s="833" t="str">
        <f>IF(D7-E6-E7&gt;0,"请检验合理性","合理")</f>
        <v>合理</v>
      </c>
    </row>
    <row r="7" spans="1:8">
      <c r="A7" s="963"/>
      <c r="B7" s="162">
        <v>7</v>
      </c>
      <c r="C7" s="340" t="s">
        <v>1053</v>
      </c>
      <c r="D7" s="761"/>
      <c r="E7" s="761"/>
    </row>
    <row r="8" spans="1:8">
      <c r="B8" s="162">
        <v>8</v>
      </c>
      <c r="C8" s="889" t="s">
        <v>839</v>
      </c>
      <c r="D8" s="961">
        <f>SUM(D4:D7)</f>
        <v>0</v>
      </c>
      <c r="E8" s="961">
        <f>SUM(E4:E7)</f>
        <v>0</v>
      </c>
    </row>
    <row r="9" spans="1:8">
      <c r="B9" s="162">
        <v>9</v>
      </c>
    </row>
    <row r="10" spans="1:8">
      <c r="A10" s="963" t="s">
        <v>2260</v>
      </c>
      <c r="B10" s="162">
        <v>10</v>
      </c>
      <c r="C10" s="994" t="s">
        <v>3060</v>
      </c>
    </row>
    <row r="11" spans="1:8">
      <c r="B11" s="162">
        <v>11</v>
      </c>
      <c r="C11" s="889" t="s">
        <v>3056</v>
      </c>
      <c r="D11" s="881" t="s">
        <v>2810</v>
      </c>
      <c r="E11" s="154" t="s">
        <v>4515</v>
      </c>
      <c r="F11" s="881" t="s">
        <v>3057</v>
      </c>
    </row>
    <row r="12" spans="1:8">
      <c r="A12" s="810">
        <v>1</v>
      </c>
      <c r="B12" s="162">
        <v>12</v>
      </c>
      <c r="C12" s="340"/>
      <c r="D12" s="761"/>
      <c r="E12" s="761"/>
      <c r="F12" s="792"/>
    </row>
    <row r="13" spans="1:8">
      <c r="A13" s="810">
        <v>2</v>
      </c>
      <c r="B13" s="162">
        <v>13</v>
      </c>
      <c r="C13" s="340"/>
      <c r="D13" s="761"/>
      <c r="E13" s="761"/>
      <c r="F13" s="792"/>
    </row>
    <row r="14" spans="1:8">
      <c r="A14" s="810">
        <v>3</v>
      </c>
      <c r="B14" s="162">
        <v>14</v>
      </c>
      <c r="C14" s="340"/>
      <c r="D14" s="761"/>
      <c r="E14" s="761"/>
      <c r="F14" s="792"/>
    </row>
    <row r="15" spans="1:8">
      <c r="A15" s="810">
        <v>4</v>
      </c>
      <c r="B15" s="162">
        <v>15</v>
      </c>
      <c r="C15" s="340"/>
      <c r="D15" s="761"/>
      <c r="E15" s="761"/>
      <c r="F15" s="792"/>
    </row>
    <row r="16" spans="1:8">
      <c r="A16" s="810">
        <v>5</v>
      </c>
      <c r="B16" s="162">
        <v>16</v>
      </c>
      <c r="C16" s="340"/>
      <c r="D16" s="761"/>
      <c r="E16" s="761"/>
      <c r="F16" s="792"/>
    </row>
    <row r="17" spans="1:6">
      <c r="A17" s="810">
        <v>6</v>
      </c>
      <c r="B17" s="162">
        <v>17</v>
      </c>
      <c r="C17" s="340"/>
      <c r="D17" s="761"/>
      <c r="E17" s="761"/>
      <c r="F17" s="792"/>
    </row>
    <row r="18" spans="1:6">
      <c r="A18" s="810">
        <v>7</v>
      </c>
      <c r="B18" s="162">
        <v>18</v>
      </c>
      <c r="C18" s="340"/>
      <c r="D18" s="761"/>
      <c r="E18" s="761"/>
      <c r="F18" s="792"/>
    </row>
    <row r="19" spans="1:6">
      <c r="A19" s="810">
        <v>8</v>
      </c>
      <c r="B19" s="162">
        <v>19</v>
      </c>
      <c r="C19" s="340"/>
      <c r="D19" s="761"/>
      <c r="E19" s="761"/>
      <c r="F19" s="792"/>
    </row>
    <row r="20" spans="1:6">
      <c r="A20" s="810">
        <v>9</v>
      </c>
      <c r="B20" s="162">
        <v>20</v>
      </c>
      <c r="C20" s="340"/>
      <c r="D20" s="761"/>
      <c r="E20" s="761"/>
      <c r="F20" s="792"/>
    </row>
    <row r="21" spans="1:6">
      <c r="A21" s="810">
        <v>10</v>
      </c>
      <c r="B21" s="162">
        <v>21</v>
      </c>
      <c r="C21" s="340"/>
      <c r="D21" s="761"/>
      <c r="E21" s="761"/>
      <c r="F21" s="792"/>
    </row>
    <row r="22" spans="1:6">
      <c r="A22" s="810">
        <v>11</v>
      </c>
      <c r="B22" s="162">
        <v>22</v>
      </c>
      <c r="C22" s="340"/>
      <c r="D22" s="761"/>
      <c r="E22" s="761"/>
      <c r="F22" s="792"/>
    </row>
    <row r="23" spans="1:6">
      <c r="A23" s="810">
        <v>12</v>
      </c>
      <c r="B23" s="162">
        <v>23</v>
      </c>
      <c r="C23" s="340"/>
      <c r="D23" s="761"/>
      <c r="E23" s="761"/>
      <c r="F23" s="792"/>
    </row>
    <row r="24" spans="1:6">
      <c r="A24" s="810">
        <v>13</v>
      </c>
      <c r="B24" s="162">
        <v>24</v>
      </c>
      <c r="C24" s="340"/>
      <c r="D24" s="761"/>
      <c r="E24" s="761"/>
      <c r="F24" s="792"/>
    </row>
    <row r="25" spans="1:6">
      <c r="A25" s="810">
        <v>14</v>
      </c>
      <c r="B25" s="162">
        <v>25</v>
      </c>
      <c r="C25" s="340"/>
      <c r="D25" s="761"/>
      <c r="E25" s="761"/>
      <c r="F25" s="792"/>
    </row>
    <row r="26" spans="1:6">
      <c r="A26" s="810">
        <v>15</v>
      </c>
      <c r="B26" s="162">
        <v>26</v>
      </c>
      <c r="C26" s="340"/>
      <c r="D26" s="761"/>
      <c r="E26" s="761"/>
      <c r="F26" s="792"/>
    </row>
    <row r="27" spans="1:6">
      <c r="A27" s="810">
        <v>16</v>
      </c>
      <c r="B27" s="162">
        <v>27</v>
      </c>
      <c r="C27" s="340"/>
      <c r="D27" s="761"/>
      <c r="E27" s="761"/>
      <c r="F27" s="792"/>
    </row>
    <row r="28" spans="1:6">
      <c r="A28" s="810">
        <v>17</v>
      </c>
      <c r="B28" s="162">
        <v>28</v>
      </c>
      <c r="C28" s="340"/>
      <c r="D28" s="761"/>
      <c r="E28" s="761"/>
      <c r="F28" s="792"/>
    </row>
    <row r="29" spans="1:6">
      <c r="A29" s="810">
        <v>18</v>
      </c>
      <c r="B29" s="162">
        <v>29</v>
      </c>
      <c r="C29" s="340"/>
      <c r="D29" s="761"/>
      <c r="E29" s="761"/>
      <c r="F29" s="792"/>
    </row>
    <row r="30" spans="1:6">
      <c r="A30" s="810">
        <v>19</v>
      </c>
      <c r="B30" s="162">
        <v>30</v>
      </c>
      <c r="C30" s="340"/>
      <c r="D30" s="761"/>
      <c r="E30" s="761"/>
      <c r="F30" s="792"/>
    </row>
    <row r="31" spans="1:6">
      <c r="A31" s="810">
        <v>20</v>
      </c>
      <c r="B31" s="162">
        <v>31</v>
      </c>
      <c r="C31" s="340"/>
      <c r="D31" s="761"/>
      <c r="E31" s="761"/>
      <c r="F31" s="792"/>
    </row>
    <row r="32" spans="1:6">
      <c r="A32" s="810">
        <v>21</v>
      </c>
      <c r="B32" s="162">
        <v>32</v>
      </c>
      <c r="C32" s="340"/>
      <c r="D32" s="761"/>
      <c r="E32" s="761"/>
      <c r="F32" s="792"/>
    </row>
    <row r="33" spans="1:6">
      <c r="A33" s="810">
        <v>22</v>
      </c>
      <c r="B33" s="162">
        <v>33</v>
      </c>
      <c r="C33" s="340"/>
      <c r="D33" s="761"/>
      <c r="E33" s="761"/>
      <c r="F33" s="792"/>
    </row>
    <row r="34" spans="1:6">
      <c r="A34" s="810">
        <v>23</v>
      </c>
      <c r="B34" s="162">
        <v>34</v>
      </c>
      <c r="C34" s="340"/>
      <c r="D34" s="761"/>
      <c r="E34" s="761"/>
      <c r="F34" s="792"/>
    </row>
    <row r="35" spans="1:6">
      <c r="A35" s="810">
        <v>24</v>
      </c>
      <c r="B35" s="162">
        <v>35</v>
      </c>
      <c r="C35" s="340"/>
      <c r="D35" s="761"/>
      <c r="E35" s="761"/>
      <c r="F35" s="792"/>
    </row>
    <row r="36" spans="1:6">
      <c r="A36" s="810">
        <v>25</v>
      </c>
      <c r="B36" s="162">
        <v>36</v>
      </c>
      <c r="C36" s="340"/>
      <c r="D36" s="761"/>
      <c r="E36" s="761"/>
      <c r="F36" s="792"/>
    </row>
    <row r="37" spans="1:6">
      <c r="A37" s="810">
        <v>26</v>
      </c>
      <c r="B37" s="162">
        <v>37</v>
      </c>
      <c r="C37" s="340"/>
      <c r="D37" s="761"/>
      <c r="E37" s="761"/>
      <c r="F37" s="792"/>
    </row>
    <row r="38" spans="1:6">
      <c r="A38" s="810">
        <v>27</v>
      </c>
      <c r="B38" s="162">
        <v>38</v>
      </c>
      <c r="C38" s="340"/>
      <c r="D38" s="761"/>
      <c r="E38" s="761"/>
      <c r="F38" s="792"/>
    </row>
    <row r="39" spans="1:6">
      <c r="A39" s="810">
        <v>28</v>
      </c>
      <c r="B39" s="162">
        <v>39</v>
      </c>
      <c r="C39" s="340"/>
      <c r="D39" s="761"/>
      <c r="E39" s="761"/>
      <c r="F39" s="792"/>
    </row>
    <row r="40" spans="1:6">
      <c r="A40" s="810">
        <v>29</v>
      </c>
      <c r="B40" s="162">
        <v>40</v>
      </c>
      <c r="C40" s="340"/>
      <c r="D40" s="761"/>
      <c r="E40" s="761"/>
      <c r="F40" s="792"/>
    </row>
    <row r="41" spans="1:6">
      <c r="A41" s="810">
        <v>30</v>
      </c>
      <c r="B41" s="162">
        <v>41</v>
      </c>
      <c r="C41" s="340"/>
      <c r="D41" s="761"/>
      <c r="E41" s="761"/>
      <c r="F41" s="792"/>
    </row>
    <row r="42" spans="1:6">
      <c r="B42" s="162">
        <v>42</v>
      </c>
      <c r="C42" s="889" t="s">
        <v>823</v>
      </c>
      <c r="D42" s="961">
        <f>SUM(D12:D41)</f>
        <v>0</v>
      </c>
      <c r="E42" s="761"/>
      <c r="F42" s="995"/>
    </row>
    <row r="43" spans="1:6">
      <c r="A43" s="988"/>
      <c r="B43" s="162">
        <v>43</v>
      </c>
      <c r="C43" s="344"/>
    </row>
    <row r="44" spans="1:6">
      <c r="A44" s="811" t="str">
        <f>HYPERLINK("#C1","置顶")</f>
        <v>置顶</v>
      </c>
      <c r="B44" s="162">
        <v>44</v>
      </c>
      <c r="C44" s="881"/>
      <c r="D44" s="881" t="s">
        <v>2591</v>
      </c>
      <c r="E44" s="881" t="s">
        <v>2592</v>
      </c>
    </row>
    <row r="45" spans="1:6">
      <c r="B45" s="162">
        <v>45</v>
      </c>
      <c r="C45" s="881" t="s">
        <v>3061</v>
      </c>
      <c r="D45" s="961">
        <f>审定资产负债表!C67</f>
        <v>0</v>
      </c>
      <c r="E45" s="961">
        <f>审定资产负债表!D67</f>
        <v>0</v>
      </c>
    </row>
    <row r="46" spans="1:6">
      <c r="B46" s="162">
        <v>46</v>
      </c>
      <c r="C46" s="881" t="s">
        <v>1320</v>
      </c>
      <c r="D46" s="961">
        <f>D8-D45</f>
        <v>0</v>
      </c>
      <c r="E46" s="961">
        <f>E8-E45</f>
        <v>0</v>
      </c>
    </row>
    <row r="47" spans="1:6">
      <c r="A47" s="963"/>
      <c r="B47" s="162">
        <v>47</v>
      </c>
      <c r="C47" s="344"/>
    </row>
    <row r="48" spans="1:6">
      <c r="B48" s="162">
        <v>48</v>
      </c>
      <c r="C48" s="881" t="s">
        <v>3062</v>
      </c>
      <c r="D48" s="406">
        <f>SUM(D5:D7)</f>
        <v>0</v>
      </c>
    </row>
    <row r="49" spans="1:4">
      <c r="B49" s="162">
        <v>49</v>
      </c>
      <c r="C49" s="881" t="s">
        <v>3058</v>
      </c>
      <c r="D49" s="406">
        <f>D42</f>
        <v>0</v>
      </c>
    </row>
    <row r="50" spans="1:4">
      <c r="A50" s="963" t="s">
        <v>2260</v>
      </c>
      <c r="B50" s="162">
        <v>50</v>
      </c>
      <c r="C50" s="881" t="s">
        <v>3063</v>
      </c>
      <c r="D50" s="405" t="str">
        <f>IF(D48&lt;&gt;0,D49/D48,"")</f>
        <v/>
      </c>
    </row>
    <row r="51" spans="1:4">
      <c r="C51" s="344"/>
    </row>
    <row r="53" spans="1:4">
      <c r="C53" s="344"/>
    </row>
    <row r="54" spans="1:4">
      <c r="C54" s="344"/>
    </row>
  </sheetData>
  <sheetProtection formatCells="0" formatColumns="0" formatRows="0" autoFilter="0"/>
  <phoneticPr fontId="5" type="noConversion"/>
  <hyperlinks>
    <hyperlink ref="A1" location="附注填写封面!B3" display="返回目录" xr:uid="{00000000-0004-0000-3600-000000000000}"/>
    <hyperlink ref="A50" location="附注填写封面!B3" display="返回目录" xr:uid="{00000000-0004-0000-3600-000001000000}"/>
    <hyperlink ref="A10" location="附注填写封面!B3" display="返回目录" xr:uid="{00000000-0004-0000-3600-000002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37"/>
  <dimension ref="A1:K37"/>
  <sheetViews>
    <sheetView showGridLines="0" showZeros="0" workbookViewId="0"/>
  </sheetViews>
  <sheetFormatPr defaultColWidth="11.625" defaultRowHeight="13.5"/>
  <cols>
    <col min="1" max="1" width="7.625" style="344" customWidth="1"/>
    <col min="2" max="2" width="5.125" style="150" hidden="1" customWidth="1"/>
    <col min="3" max="3" width="35.875" style="974" customWidth="1"/>
    <col min="4" max="4" width="18.125" style="150" customWidth="1"/>
    <col min="5" max="5" width="15.625" style="150" customWidth="1"/>
    <col min="6" max="6" width="18.125" style="150" customWidth="1"/>
    <col min="7" max="7" width="11.625" style="150"/>
    <col min="8" max="8" width="13.125" style="150" customWidth="1"/>
    <col min="9" max="10" width="15.625" style="150" customWidth="1"/>
    <col min="11" max="16384" width="11.625" style="150"/>
  </cols>
  <sheetData>
    <row r="1" spans="1:11" ht="24.95" customHeight="1">
      <c r="A1" s="764" t="s">
        <v>2260</v>
      </c>
      <c r="B1" s="861" t="s">
        <v>2668</v>
      </c>
      <c r="C1" s="862" t="s">
        <v>3066</v>
      </c>
    </row>
    <row r="2" spans="1:11">
      <c r="B2" s="863">
        <v>2</v>
      </c>
      <c r="C2" s="972" t="s">
        <v>3067</v>
      </c>
    </row>
    <row r="3" spans="1:11">
      <c r="B3" s="863">
        <v>3</v>
      </c>
      <c r="C3" s="864" t="s">
        <v>3068</v>
      </c>
      <c r="D3" s="870" t="s">
        <v>276</v>
      </c>
      <c r="E3" s="870" t="s">
        <v>275</v>
      </c>
      <c r="I3" s="864" t="s">
        <v>3068</v>
      </c>
      <c r="J3" s="870" t="s">
        <v>276</v>
      </c>
      <c r="K3" s="870" t="s">
        <v>275</v>
      </c>
    </row>
    <row r="4" spans="1:11">
      <c r="B4" s="863">
        <v>4</v>
      </c>
      <c r="C4" s="865" t="s">
        <v>2722</v>
      </c>
      <c r="D4" s="137"/>
      <c r="E4" s="137"/>
      <c r="G4" s="905" t="s">
        <v>2708</v>
      </c>
      <c r="H4" s="906" t="str">
        <f>IF(D5-E4&gt;0,"请检验合理性","合理")</f>
        <v>合理</v>
      </c>
      <c r="I4" s="865" t="s">
        <v>2722</v>
      </c>
      <c r="J4" s="354">
        <f>D4</f>
        <v>0</v>
      </c>
      <c r="K4" s="354">
        <f>E4</f>
        <v>0</v>
      </c>
    </row>
    <row r="5" spans="1:11">
      <c r="B5" s="863">
        <v>5</v>
      </c>
      <c r="C5" s="865" t="s">
        <v>3054</v>
      </c>
      <c r="D5" s="137"/>
      <c r="E5" s="137"/>
      <c r="G5" s="907"/>
      <c r="H5" s="908" t="str">
        <f>IF(D6-E5&gt;0,"请检验合理性","合理")</f>
        <v>合理</v>
      </c>
      <c r="I5" s="865" t="s">
        <v>1443</v>
      </c>
      <c r="J5" s="354">
        <f>D5+D6+D7</f>
        <v>0</v>
      </c>
      <c r="K5" s="354">
        <f>E5+E6+E7</f>
        <v>0</v>
      </c>
    </row>
    <row r="6" spans="1:11">
      <c r="B6" s="863">
        <v>6</v>
      </c>
      <c r="C6" s="865" t="s">
        <v>3055</v>
      </c>
      <c r="D6" s="137"/>
      <c r="E6" s="137"/>
      <c r="G6" s="910"/>
      <c r="H6" s="993" t="str">
        <f>IF(D7-E6-E7&gt;0,"请检验合理性","合理")</f>
        <v>合理</v>
      </c>
      <c r="I6" s="864" t="s">
        <v>2667</v>
      </c>
      <c r="J6" s="354">
        <f>SUM(J4:J5)</f>
        <v>0</v>
      </c>
      <c r="K6" s="354">
        <f>SUM(K4:K5)</f>
        <v>0</v>
      </c>
    </row>
    <row r="7" spans="1:11">
      <c r="B7" s="863">
        <v>7</v>
      </c>
      <c r="C7" s="865" t="s">
        <v>33</v>
      </c>
      <c r="D7" s="335"/>
      <c r="E7" s="137"/>
      <c r="G7" s="139"/>
    </row>
    <row r="8" spans="1:11">
      <c r="B8" s="863">
        <v>8</v>
      </c>
      <c r="C8" s="864" t="s">
        <v>2667</v>
      </c>
      <c r="D8" s="354">
        <f>SUM(D4:D7)</f>
        <v>0</v>
      </c>
      <c r="E8" s="354">
        <f>SUM(E4:E7)</f>
        <v>0</v>
      </c>
    </row>
    <row r="9" spans="1:11">
      <c r="B9" s="863">
        <v>9</v>
      </c>
    </row>
    <row r="10" spans="1:11">
      <c r="A10" s="764" t="s">
        <v>2260</v>
      </c>
      <c r="B10" s="863">
        <v>10</v>
      </c>
      <c r="C10" s="972" t="s">
        <v>3069</v>
      </c>
    </row>
    <row r="11" spans="1:11">
      <c r="B11" s="863">
        <v>11</v>
      </c>
      <c r="C11" s="864" t="s">
        <v>3053</v>
      </c>
      <c r="D11" s="870" t="s">
        <v>3064</v>
      </c>
      <c r="E11" s="870" t="s">
        <v>2715</v>
      </c>
      <c r="F11" s="870" t="s">
        <v>3065</v>
      </c>
    </row>
    <row r="12" spans="1:11">
      <c r="A12" s="162">
        <v>1</v>
      </c>
      <c r="B12" s="863">
        <v>12</v>
      </c>
      <c r="C12" s="914"/>
      <c r="D12" s="137"/>
      <c r="E12" s="137"/>
      <c r="F12" s="914"/>
      <c r="H12" s="996"/>
    </row>
    <row r="13" spans="1:11">
      <c r="A13" s="162">
        <v>2</v>
      </c>
      <c r="B13" s="863">
        <v>13</v>
      </c>
      <c r="C13" s="914"/>
      <c r="D13" s="137"/>
      <c r="E13" s="137"/>
      <c r="F13" s="914"/>
    </row>
    <row r="14" spans="1:11">
      <c r="A14" s="162">
        <v>3</v>
      </c>
      <c r="B14" s="863">
        <v>14</v>
      </c>
      <c r="C14" s="914"/>
      <c r="D14" s="137"/>
      <c r="E14" s="137"/>
      <c r="F14" s="914"/>
      <c r="H14" s="996"/>
    </row>
    <row r="15" spans="1:11">
      <c r="A15" s="162">
        <v>4</v>
      </c>
      <c r="B15" s="863">
        <v>15</v>
      </c>
      <c r="C15" s="914"/>
      <c r="D15" s="137"/>
      <c r="E15" s="137"/>
      <c r="F15" s="914"/>
      <c r="H15" s="997"/>
    </row>
    <row r="16" spans="1:11">
      <c r="A16" s="162">
        <v>5</v>
      </c>
      <c r="B16" s="863">
        <v>16</v>
      </c>
      <c r="C16" s="914"/>
      <c r="D16" s="137"/>
      <c r="E16" s="137"/>
      <c r="F16" s="914"/>
    </row>
    <row r="17" spans="1:6">
      <c r="A17" s="162">
        <v>6</v>
      </c>
      <c r="B17" s="863">
        <v>17</v>
      </c>
      <c r="C17" s="914"/>
      <c r="D17" s="137"/>
      <c r="E17" s="137"/>
      <c r="F17" s="914"/>
    </row>
    <row r="18" spans="1:6">
      <c r="A18" s="162">
        <v>7</v>
      </c>
      <c r="B18" s="863">
        <v>18</v>
      </c>
      <c r="C18" s="914"/>
      <c r="D18" s="137"/>
      <c r="E18" s="137"/>
      <c r="F18" s="914"/>
    </row>
    <row r="19" spans="1:6">
      <c r="A19" s="162">
        <v>8</v>
      </c>
      <c r="B19" s="863">
        <v>19</v>
      </c>
      <c r="C19" s="914"/>
      <c r="D19" s="137"/>
      <c r="E19" s="137"/>
      <c r="F19" s="914"/>
    </row>
    <row r="20" spans="1:6">
      <c r="A20" s="162">
        <v>9</v>
      </c>
      <c r="B20" s="863">
        <v>20</v>
      </c>
      <c r="C20" s="914"/>
      <c r="D20" s="913"/>
      <c r="E20" s="913"/>
      <c r="F20" s="914"/>
    </row>
    <row r="21" spans="1:6">
      <c r="A21" s="162">
        <v>10</v>
      </c>
      <c r="B21" s="863">
        <v>21</v>
      </c>
      <c r="C21" s="914"/>
      <c r="D21" s="913"/>
      <c r="E21" s="913"/>
      <c r="F21" s="914"/>
    </row>
    <row r="22" spans="1:6">
      <c r="A22" s="162">
        <v>11</v>
      </c>
      <c r="B22" s="863">
        <v>22</v>
      </c>
      <c r="C22" s="914"/>
      <c r="D22" s="913"/>
      <c r="E22" s="913"/>
      <c r="F22" s="914"/>
    </row>
    <row r="23" spans="1:6">
      <c r="A23" s="162">
        <v>12</v>
      </c>
      <c r="B23" s="863">
        <v>23</v>
      </c>
      <c r="C23" s="914"/>
      <c r="D23" s="913"/>
      <c r="E23" s="913"/>
      <c r="F23" s="914"/>
    </row>
    <row r="24" spans="1:6">
      <c r="A24" s="162">
        <v>13</v>
      </c>
      <c r="B24" s="863">
        <v>24</v>
      </c>
      <c r="C24" s="914"/>
      <c r="D24" s="913"/>
      <c r="E24" s="913"/>
      <c r="F24" s="914"/>
    </row>
    <row r="25" spans="1:6">
      <c r="A25" s="162">
        <v>14</v>
      </c>
      <c r="B25" s="863">
        <v>25</v>
      </c>
      <c r="C25" s="914"/>
      <c r="D25" s="913"/>
      <c r="E25" s="913"/>
      <c r="F25" s="914"/>
    </row>
    <row r="26" spans="1:6">
      <c r="A26" s="162">
        <v>15</v>
      </c>
      <c r="B26" s="863">
        <v>26</v>
      </c>
      <c r="C26" s="914"/>
      <c r="D26" s="913"/>
      <c r="E26" s="913"/>
      <c r="F26" s="914"/>
    </row>
    <row r="27" spans="1:6">
      <c r="A27" s="162">
        <v>16</v>
      </c>
      <c r="B27" s="863">
        <v>27</v>
      </c>
      <c r="C27" s="914"/>
      <c r="D27" s="913"/>
      <c r="E27" s="913"/>
      <c r="F27" s="914"/>
    </row>
    <row r="28" spans="1:6">
      <c r="A28" s="162">
        <v>17</v>
      </c>
      <c r="B28" s="863">
        <v>28</v>
      </c>
      <c r="C28" s="914"/>
      <c r="D28" s="913"/>
      <c r="E28" s="913"/>
      <c r="F28" s="914"/>
    </row>
    <row r="29" spans="1:6">
      <c r="A29" s="162">
        <v>18</v>
      </c>
      <c r="B29" s="863">
        <v>29</v>
      </c>
      <c r="C29" s="914"/>
      <c r="D29" s="913"/>
      <c r="E29" s="913"/>
      <c r="F29" s="914"/>
    </row>
    <row r="30" spans="1:6">
      <c r="A30" s="162">
        <v>19</v>
      </c>
      <c r="B30" s="863">
        <v>30</v>
      </c>
      <c r="C30" s="914"/>
      <c r="D30" s="913"/>
      <c r="E30" s="913"/>
      <c r="F30" s="914"/>
    </row>
    <row r="31" spans="1:6">
      <c r="A31" s="162">
        <v>20</v>
      </c>
      <c r="B31" s="863">
        <v>31</v>
      </c>
      <c r="C31" s="914"/>
      <c r="D31" s="913"/>
      <c r="E31" s="913"/>
      <c r="F31" s="914"/>
    </row>
    <row r="32" spans="1:6">
      <c r="B32" s="863">
        <v>32</v>
      </c>
      <c r="C32" s="864" t="s">
        <v>278</v>
      </c>
      <c r="D32" s="354">
        <f>SUM(D12:D31)</f>
        <v>0</v>
      </c>
      <c r="E32" s="913"/>
      <c r="F32" s="914"/>
    </row>
    <row r="33" spans="1:6">
      <c r="B33" s="863">
        <v>33</v>
      </c>
      <c r="C33" s="943"/>
      <c r="D33" s="138"/>
      <c r="E33" s="138"/>
      <c r="F33" s="943"/>
    </row>
    <row r="34" spans="1:6">
      <c r="A34" s="764" t="s">
        <v>2260</v>
      </c>
      <c r="B34" s="863">
        <v>34</v>
      </c>
    </row>
    <row r="35" spans="1:6">
      <c r="B35" s="863">
        <v>35</v>
      </c>
      <c r="C35" s="870"/>
      <c r="D35" s="870" t="s">
        <v>2711</v>
      </c>
      <c r="E35" s="870" t="s">
        <v>2710</v>
      </c>
    </row>
    <row r="36" spans="1:6">
      <c r="B36" s="863">
        <v>36</v>
      </c>
      <c r="C36" s="870" t="s">
        <v>2665</v>
      </c>
      <c r="D36" s="869">
        <f>审定资产负债表!C68</f>
        <v>0</v>
      </c>
      <c r="E36" s="869">
        <f>审定资产负债表!D68</f>
        <v>0</v>
      </c>
    </row>
    <row r="37" spans="1:6">
      <c r="B37" s="863">
        <v>37</v>
      </c>
      <c r="C37" s="870" t="s">
        <v>2666</v>
      </c>
      <c r="D37" s="869">
        <f>D8-D36</f>
        <v>0</v>
      </c>
      <c r="E37" s="869">
        <f>E8-E36</f>
        <v>0</v>
      </c>
    </row>
  </sheetData>
  <sheetProtection formatCells="0" formatColumns="0" formatRows="0" autoFilter="0"/>
  <phoneticPr fontId="5" type="noConversion"/>
  <hyperlinks>
    <hyperlink ref="A1" location="附注填写封面!B3" display="返回目录" xr:uid="{00000000-0004-0000-3700-000000000000}"/>
    <hyperlink ref="A10" location="附注填写封面!B3" display="返回目录" xr:uid="{00000000-0004-0000-3700-000001000000}"/>
    <hyperlink ref="A34" location="附注填写封面!B3" display="返回目录" xr:uid="{00000000-0004-0000-3700-000002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38">
    <tabColor rgb="FFFFC000"/>
  </sheetPr>
  <dimension ref="A1:N51"/>
  <sheetViews>
    <sheetView showGridLines="0" showZeros="0" workbookViewId="0">
      <pane xSplit="3" ySplit="3" topLeftCell="D31" activePane="bottomRight" state="frozen"/>
      <selection activeCell="A5" sqref="A5:A6"/>
      <selection pane="topRight" activeCell="A5" sqref="A5:A6"/>
      <selection pane="bottomLeft" activeCell="A5" sqref="A5:A6"/>
      <selection pane="bottomRight" activeCell="E16" sqref="E16"/>
    </sheetView>
  </sheetViews>
  <sheetFormatPr defaultColWidth="11.625" defaultRowHeight="12.75"/>
  <cols>
    <col min="1" max="1" width="10.125" style="344" customWidth="1"/>
    <col min="2" max="2" width="5.125" style="344" hidden="1" customWidth="1"/>
    <col min="3" max="3" width="30.375" style="843" customWidth="1"/>
    <col min="4" max="6" width="11.625" style="344"/>
    <col min="7" max="7" width="9.125" style="344" customWidth="1"/>
    <col min="8" max="8" width="15.125" style="344" customWidth="1"/>
    <col min="9" max="9" width="11.625" style="344" customWidth="1"/>
    <col min="10" max="10" width="16.25" style="344" customWidth="1"/>
    <col min="11" max="16384" width="11.625" style="344"/>
  </cols>
  <sheetData>
    <row r="1" spans="1:12" ht="40.700000000000003" customHeight="1">
      <c r="A1" s="764" t="s">
        <v>2260</v>
      </c>
      <c r="B1" s="343" t="s">
        <v>1446</v>
      </c>
      <c r="C1" s="759" t="s">
        <v>3089</v>
      </c>
    </row>
    <row r="2" spans="1:12" ht="14.25" customHeight="1">
      <c r="A2" s="764"/>
      <c r="B2" s="343"/>
      <c r="C2" s="759" t="s">
        <v>3090</v>
      </c>
    </row>
    <row r="3" spans="1:12">
      <c r="B3" s="162">
        <v>2</v>
      </c>
      <c r="C3" s="890" t="s">
        <v>3070</v>
      </c>
      <c r="D3" s="890" t="s">
        <v>526</v>
      </c>
      <c r="E3" s="890" t="s">
        <v>2740</v>
      </c>
      <c r="F3" s="891" t="s">
        <v>2741</v>
      </c>
      <c r="G3" s="890" t="s">
        <v>527</v>
      </c>
    </row>
    <row r="4" spans="1:12">
      <c r="B4" s="162">
        <v>3</v>
      </c>
      <c r="C4" s="794" t="s">
        <v>3074</v>
      </c>
      <c r="D4" s="852">
        <f>D24</f>
        <v>17727.689999999999</v>
      </c>
      <c r="E4" s="852">
        <f>E24</f>
        <v>2645706.6700000004</v>
      </c>
      <c r="F4" s="852">
        <f>F24</f>
        <v>2648242.12</v>
      </c>
      <c r="G4" s="992">
        <f>D4+E4-F4</f>
        <v>15192.240000000224</v>
      </c>
    </row>
    <row r="5" spans="1:12">
      <c r="B5" s="162">
        <v>4</v>
      </c>
      <c r="C5" s="794" t="s">
        <v>3091</v>
      </c>
      <c r="D5" s="852">
        <v>31126.2</v>
      </c>
      <c r="E5" s="852">
        <v>152920.45000000001</v>
      </c>
      <c r="F5" s="852">
        <v>157419.75</v>
      </c>
      <c r="G5" s="992">
        <f>D5+E5-F5</f>
        <v>26626.900000000023</v>
      </c>
    </row>
    <row r="6" spans="1:12">
      <c r="B6" s="162">
        <v>5</v>
      </c>
      <c r="C6" s="794" t="s">
        <v>3075</v>
      </c>
      <c r="D6" s="852"/>
      <c r="E6" s="852"/>
      <c r="F6" s="852"/>
      <c r="G6" s="992">
        <f>D6+E6-F6</f>
        <v>0</v>
      </c>
    </row>
    <row r="7" spans="1:12">
      <c r="B7" s="162">
        <v>6</v>
      </c>
      <c r="C7" s="794" t="s">
        <v>3076</v>
      </c>
      <c r="D7" s="852"/>
      <c r="E7" s="852"/>
      <c r="F7" s="852"/>
      <c r="G7" s="992">
        <f>D7+E7-F7</f>
        <v>0</v>
      </c>
    </row>
    <row r="8" spans="1:12">
      <c r="B8" s="162"/>
      <c r="C8" s="1428" t="s">
        <v>4709</v>
      </c>
      <c r="D8" s="1576"/>
      <c r="E8" s="1576"/>
      <c r="F8" s="1576"/>
      <c r="G8" s="992">
        <f>D8+E8-F8</f>
        <v>0</v>
      </c>
    </row>
    <row r="9" spans="1:12">
      <c r="B9" s="162">
        <v>7</v>
      </c>
      <c r="C9" s="891" t="s">
        <v>839</v>
      </c>
      <c r="D9" s="992">
        <f>SUM(D4:D8)</f>
        <v>48853.89</v>
      </c>
      <c r="E9" s="992">
        <f t="shared" ref="E9:G9" si="0">SUM(E4:E8)</f>
        <v>2798627.1200000006</v>
      </c>
      <c r="F9" s="992">
        <f t="shared" si="0"/>
        <v>2805661.87</v>
      </c>
      <c r="G9" s="992">
        <f t="shared" si="0"/>
        <v>41819.140000000247</v>
      </c>
    </row>
    <row r="10" spans="1:12">
      <c r="B10" s="162"/>
      <c r="C10" s="759" t="s">
        <v>3092</v>
      </c>
      <c r="H10" s="1299" t="s">
        <v>4513</v>
      </c>
    </row>
    <row r="11" spans="1:12">
      <c r="B11" s="162"/>
      <c r="C11" s="890" t="s">
        <v>366</v>
      </c>
      <c r="D11" s="890" t="s">
        <v>526</v>
      </c>
      <c r="E11" s="890" t="s">
        <v>2740</v>
      </c>
      <c r="F11" s="891" t="s">
        <v>2741</v>
      </c>
      <c r="G11" s="890" t="s">
        <v>527</v>
      </c>
      <c r="H11" s="1291"/>
      <c r="I11" s="1292" t="s">
        <v>526</v>
      </c>
      <c r="J11" s="1292" t="s">
        <v>2740</v>
      </c>
      <c r="K11" s="1293" t="s">
        <v>2741</v>
      </c>
      <c r="L11" s="1292" t="s">
        <v>527</v>
      </c>
    </row>
    <row r="12" spans="1:12">
      <c r="B12" s="162"/>
      <c r="C12" s="794" t="s">
        <v>3077</v>
      </c>
      <c r="D12" s="852">
        <f>调整分录!G13</f>
        <v>0</v>
      </c>
      <c r="E12" s="852">
        <f>2450972.45+调整分录!I13</f>
        <v>2450972.4500000002</v>
      </c>
      <c r="F12" s="852">
        <f>2450972.45</f>
        <v>2450972.4500000002</v>
      </c>
      <c r="G12" s="992">
        <f>D12+E12-F12</f>
        <v>0</v>
      </c>
      <c r="H12" s="55" t="s">
        <v>4510</v>
      </c>
      <c r="I12" s="1291"/>
      <c r="J12" s="1291"/>
      <c r="K12" s="1291"/>
      <c r="L12" s="1303">
        <f>I12+J12-K12</f>
        <v>0</v>
      </c>
    </row>
    <row r="13" spans="1:12">
      <c r="B13" s="162">
        <v>8</v>
      </c>
      <c r="C13" s="794" t="s">
        <v>3078</v>
      </c>
      <c r="D13" s="852"/>
      <c r="E13" s="852">
        <v>4035.77</v>
      </c>
      <c r="F13" s="852">
        <v>4035.77</v>
      </c>
      <c r="G13" s="992">
        <f t="shared" ref="G13:G23" si="1">D13+E13-F13</f>
        <v>0</v>
      </c>
    </row>
    <row r="14" spans="1:12">
      <c r="B14" s="162">
        <v>9</v>
      </c>
      <c r="C14" s="794" t="s">
        <v>3079</v>
      </c>
      <c r="D14" s="852">
        <f>D15+D16+D17</f>
        <v>17727.689999999999</v>
      </c>
      <c r="E14" s="852">
        <f t="shared" ref="E14:F14" si="2">E15+E16+E17</f>
        <v>86745.45</v>
      </c>
      <c r="F14" s="852">
        <f t="shared" si="2"/>
        <v>89364.900000000009</v>
      </c>
      <c r="G14" s="992">
        <f>D14+E14-F14</f>
        <v>15108.239999999991</v>
      </c>
    </row>
    <row r="15" spans="1:12">
      <c r="B15" s="162">
        <v>10</v>
      </c>
      <c r="C15" s="1429" t="s">
        <v>4710</v>
      </c>
      <c r="D15" s="852">
        <v>15828.3</v>
      </c>
      <c r="E15" s="852">
        <v>77388.92</v>
      </c>
      <c r="F15" s="852">
        <v>79720.710000000006</v>
      </c>
      <c r="G15" s="992">
        <f t="shared" si="1"/>
        <v>13496.509999999995</v>
      </c>
    </row>
    <row r="16" spans="1:12">
      <c r="B16" s="162">
        <v>11</v>
      </c>
      <c r="C16" s="794" t="s">
        <v>4711</v>
      </c>
      <c r="D16" s="852">
        <v>633.12</v>
      </c>
      <c r="E16" s="852">
        <v>3073.47</v>
      </c>
      <c r="F16" s="852">
        <v>3181.74</v>
      </c>
      <c r="G16" s="992">
        <f t="shared" si="1"/>
        <v>524.84999999999991</v>
      </c>
    </row>
    <row r="17" spans="1:14">
      <c r="B17" s="162">
        <v>12</v>
      </c>
      <c r="C17" s="794" t="s">
        <v>4712</v>
      </c>
      <c r="D17" s="852">
        <v>1266.27</v>
      </c>
      <c r="E17" s="852">
        <v>6283.06</v>
      </c>
      <c r="F17" s="852">
        <v>6462.4500000000007</v>
      </c>
      <c r="G17" s="992">
        <f t="shared" si="1"/>
        <v>1086.8799999999992</v>
      </c>
    </row>
    <row r="18" spans="1:14">
      <c r="B18" s="162">
        <v>13</v>
      </c>
      <c r="C18" s="794" t="s">
        <v>4713</v>
      </c>
      <c r="D18" s="852"/>
      <c r="E18" s="852"/>
      <c r="F18" s="852"/>
      <c r="G18" s="992">
        <f t="shared" si="1"/>
        <v>0</v>
      </c>
    </row>
    <row r="19" spans="1:14">
      <c r="B19" s="162">
        <v>14</v>
      </c>
      <c r="C19" s="794" t="s">
        <v>3080</v>
      </c>
      <c r="D19" s="852"/>
      <c r="E19" s="852">
        <v>89286</v>
      </c>
      <c r="F19" s="852">
        <v>89202</v>
      </c>
      <c r="G19" s="992">
        <f t="shared" si="1"/>
        <v>84</v>
      </c>
    </row>
    <row r="20" spans="1:14">
      <c r="B20" s="162">
        <v>15</v>
      </c>
      <c r="C20" s="794" t="s">
        <v>3081</v>
      </c>
      <c r="D20" s="992">
        <f>I21+I22</f>
        <v>0</v>
      </c>
      <c r="E20" s="992">
        <f>J21+J22</f>
        <v>0</v>
      </c>
      <c r="F20" s="992">
        <f>K21+K22</f>
        <v>0</v>
      </c>
      <c r="G20" s="992">
        <f t="shared" si="1"/>
        <v>0</v>
      </c>
      <c r="H20" s="1291"/>
      <c r="I20" s="1292" t="s">
        <v>526</v>
      </c>
      <c r="J20" s="1292" t="s">
        <v>2740</v>
      </c>
      <c r="K20" s="1293" t="s">
        <v>2741</v>
      </c>
      <c r="L20" s="1292" t="s">
        <v>527</v>
      </c>
    </row>
    <row r="21" spans="1:14">
      <c r="A21" s="764" t="s">
        <v>2260</v>
      </c>
      <c r="B21" s="162">
        <v>16</v>
      </c>
      <c r="C21" s="794" t="s">
        <v>3082</v>
      </c>
      <c r="D21" s="852"/>
      <c r="E21" s="852"/>
      <c r="F21" s="852"/>
      <c r="G21" s="992">
        <f t="shared" si="1"/>
        <v>0</v>
      </c>
      <c r="H21" s="55" t="s">
        <v>4511</v>
      </c>
      <c r="I21" s="1291"/>
      <c r="J21" s="1291"/>
      <c r="K21" s="1291"/>
      <c r="L21" s="1291">
        <f>I21+J21-K21</f>
        <v>0</v>
      </c>
    </row>
    <row r="22" spans="1:14">
      <c r="B22" s="162">
        <v>17</v>
      </c>
      <c r="C22" s="794" t="s">
        <v>3083</v>
      </c>
      <c r="D22" s="852"/>
      <c r="E22" s="852"/>
      <c r="F22" s="852"/>
      <c r="G22" s="992">
        <f t="shared" si="1"/>
        <v>0</v>
      </c>
      <c r="H22" s="55" t="s">
        <v>4512</v>
      </c>
      <c r="I22" s="1291"/>
      <c r="J22" s="1291"/>
      <c r="K22" s="1291"/>
      <c r="L22" s="1303">
        <f>I22+J22-K22</f>
        <v>0</v>
      </c>
    </row>
    <row r="23" spans="1:14">
      <c r="B23" s="162">
        <v>18</v>
      </c>
      <c r="C23" s="1429" t="s">
        <v>4714</v>
      </c>
      <c r="D23" s="852"/>
      <c r="E23" s="852">
        <v>14667</v>
      </c>
      <c r="F23" s="852">
        <v>14667</v>
      </c>
      <c r="G23" s="992">
        <f t="shared" si="1"/>
        <v>0</v>
      </c>
    </row>
    <row r="24" spans="1:14" ht="19.5" customHeight="1">
      <c r="B24" s="162">
        <v>19</v>
      </c>
      <c r="C24" s="891" t="s">
        <v>839</v>
      </c>
      <c r="D24" s="992">
        <f>D12+D13+D14+D19+D20+D21+D22+D23</f>
        <v>17727.689999999999</v>
      </c>
      <c r="E24" s="992">
        <f>E12+E13+E14+E19+E20+E21+E22+E23</f>
        <v>2645706.6700000004</v>
      </c>
      <c r="F24" s="992">
        <f>F12+F13+F14+F19+F20+F21+F22+F23</f>
        <v>2648242.12</v>
      </c>
      <c r="G24" s="992">
        <f>G12+G13+G14+G19+G20+G21+G22+G23</f>
        <v>15192.239999999991</v>
      </c>
      <c r="J24" s="1589" t="s">
        <v>5148</v>
      </c>
      <c r="K24" s="1601" t="s">
        <v>5149</v>
      </c>
      <c r="L24" s="1601" t="s">
        <v>5150</v>
      </c>
      <c r="M24" s="1601" t="s">
        <v>5151</v>
      </c>
      <c r="N24" s="1601" t="s">
        <v>5152</v>
      </c>
    </row>
    <row r="25" spans="1:14">
      <c r="B25" s="162"/>
      <c r="C25" s="781" t="s">
        <v>3093</v>
      </c>
      <c r="J25" s="1430" t="s">
        <v>5132</v>
      </c>
      <c r="K25" s="1597">
        <v>29868.57</v>
      </c>
      <c r="L25" s="1597">
        <v>144402.85</v>
      </c>
      <c r="M25" s="1597">
        <v>139462.85</v>
      </c>
      <c r="N25" s="1597">
        <v>24928.57</v>
      </c>
    </row>
    <row r="26" spans="1:14">
      <c r="B26" s="162"/>
      <c r="C26" s="890" t="s">
        <v>890</v>
      </c>
      <c r="D26" s="890" t="s">
        <v>526</v>
      </c>
      <c r="E26" s="890" t="s">
        <v>2740</v>
      </c>
      <c r="F26" s="891" t="s">
        <v>2741</v>
      </c>
      <c r="G26" s="890" t="s">
        <v>527</v>
      </c>
      <c r="J26" s="1430" t="s">
        <v>5133</v>
      </c>
      <c r="K26" s="1597">
        <v>1257.6300000000001</v>
      </c>
      <c r="L26" s="1597">
        <v>6080.15</v>
      </c>
      <c r="M26" s="1597">
        <v>5872.15</v>
      </c>
      <c r="N26" s="1597">
        <v>1049.6300000000001</v>
      </c>
    </row>
    <row r="27" spans="1:14">
      <c r="B27" s="162"/>
      <c r="C27" s="794" t="s">
        <v>3071</v>
      </c>
      <c r="D27" s="852">
        <v>29868.57</v>
      </c>
      <c r="E27" s="852">
        <v>146772.53</v>
      </c>
      <c r="F27" s="852">
        <v>151085.29</v>
      </c>
      <c r="G27" s="992">
        <f>D27+E27-F27</f>
        <v>25555.809999999998</v>
      </c>
      <c r="J27" s="1430" t="s">
        <v>5134</v>
      </c>
      <c r="K27" s="1597">
        <v>633.12</v>
      </c>
      <c r="L27" s="1597">
        <v>3061.6</v>
      </c>
      <c r="M27" s="1597">
        <v>2957.6</v>
      </c>
      <c r="N27" s="1597">
        <v>529.12</v>
      </c>
    </row>
    <row r="28" spans="1:14">
      <c r="B28" s="162"/>
      <c r="C28" s="794" t="s">
        <v>3072</v>
      </c>
      <c r="D28" s="852">
        <v>1257.6300000000001</v>
      </c>
      <c r="E28" s="852">
        <v>6147.92</v>
      </c>
      <c r="F28" s="852">
        <v>6334.46</v>
      </c>
      <c r="G28" s="992">
        <f>D28+E28-F28</f>
        <v>1071.0900000000001</v>
      </c>
      <c r="J28" s="1430" t="s">
        <v>5135</v>
      </c>
      <c r="K28" s="1597">
        <v>1266.27</v>
      </c>
      <c r="L28" s="1597">
        <v>6123.35</v>
      </c>
      <c r="M28" s="1597">
        <v>5915.35</v>
      </c>
      <c r="N28" s="1597">
        <v>1058.27</v>
      </c>
    </row>
    <row r="29" spans="1:14">
      <c r="B29" s="162"/>
      <c r="C29" s="794" t="s">
        <v>3073</v>
      </c>
      <c r="D29" s="852"/>
      <c r="E29" s="852"/>
      <c r="F29" s="852"/>
      <c r="G29" s="992">
        <f>D29+E29-F29</f>
        <v>0</v>
      </c>
      <c r="J29" s="1430" t="s">
        <v>5136</v>
      </c>
      <c r="K29" s="1597">
        <v>15828.3</v>
      </c>
      <c r="L29" s="1597">
        <v>76541.5</v>
      </c>
      <c r="M29" s="1597">
        <v>73941.5</v>
      </c>
      <c r="N29" s="1597">
        <v>13228.3</v>
      </c>
    </row>
    <row r="30" spans="1:14">
      <c r="B30" s="162">
        <v>20</v>
      </c>
      <c r="C30" s="891" t="s">
        <v>839</v>
      </c>
      <c r="D30" s="992">
        <f>SUM(D27:D29)</f>
        <v>31126.2</v>
      </c>
      <c r="E30" s="992">
        <f>SUM(E27:E29)</f>
        <v>152920.45000000001</v>
      </c>
      <c r="F30" s="992">
        <f>SUM(F27:F29)</f>
        <v>157419.75</v>
      </c>
      <c r="G30" s="992">
        <f>SUM(G27:G29)</f>
        <v>26626.899999999998</v>
      </c>
      <c r="J30" s="1430" t="s">
        <v>5137</v>
      </c>
      <c r="K30" s="1597"/>
      <c r="L30" s="1597">
        <v>88080</v>
      </c>
      <c r="M30" s="1597">
        <v>88080</v>
      </c>
      <c r="N30" s="1597"/>
    </row>
    <row r="31" spans="1:14">
      <c r="B31" s="162">
        <v>22</v>
      </c>
      <c r="C31" s="395"/>
      <c r="D31" s="395"/>
      <c r="E31" s="395"/>
      <c r="F31" s="395"/>
      <c r="G31" s="395"/>
      <c r="J31" s="1430" t="s">
        <v>5138</v>
      </c>
      <c r="K31" s="1597"/>
      <c r="L31" s="1597">
        <v>2450972.4500000002</v>
      </c>
      <c r="M31" s="1597">
        <v>2450972.4500000002</v>
      </c>
      <c r="N31" s="1597"/>
    </row>
    <row r="32" spans="1:14">
      <c r="B32" s="162">
        <v>27</v>
      </c>
      <c r="J32" s="1430" t="s">
        <v>5139</v>
      </c>
      <c r="K32" s="1597"/>
      <c r="L32" s="1597">
        <v>4035.77</v>
      </c>
      <c r="M32" s="1597">
        <v>4035.77</v>
      </c>
      <c r="N32" s="1597"/>
    </row>
    <row r="33" spans="1:14">
      <c r="B33" s="162">
        <v>28</v>
      </c>
      <c r="J33" s="1609" t="s">
        <v>5140</v>
      </c>
      <c r="K33" s="1610"/>
      <c r="L33" s="1610">
        <v>11697.2</v>
      </c>
      <c r="M33" s="1610">
        <v>12722.45</v>
      </c>
      <c r="N33" s="1610">
        <v>1025.25</v>
      </c>
    </row>
    <row r="34" spans="1:14">
      <c r="B34" s="162">
        <v>29</v>
      </c>
      <c r="C34" s="881"/>
      <c r="D34" s="881" t="s">
        <v>2504</v>
      </c>
      <c r="E34" s="881" t="s">
        <v>2505</v>
      </c>
      <c r="J34" s="1430" t="s">
        <v>5141</v>
      </c>
      <c r="K34" s="1597"/>
      <c r="L34" s="1597">
        <v>6682.44</v>
      </c>
      <c r="M34" s="1597">
        <v>7309.68</v>
      </c>
      <c r="N34" s="1597">
        <v>627.24</v>
      </c>
    </row>
    <row r="35" spans="1:14">
      <c r="B35" s="162">
        <v>30</v>
      </c>
      <c r="C35" s="881" t="s">
        <v>1319</v>
      </c>
      <c r="D35" s="406">
        <f>审定资产负债表!D71</f>
        <v>48853.89</v>
      </c>
      <c r="E35" s="406">
        <f>审定资产负债表!C71</f>
        <v>41819.14</v>
      </c>
      <c r="J35" s="1430" t="s">
        <v>5142</v>
      </c>
      <c r="K35" s="1597"/>
      <c r="L35" s="1597">
        <v>254.31</v>
      </c>
      <c r="M35" s="1597">
        <v>275.77</v>
      </c>
      <c r="N35" s="1597">
        <v>21.46</v>
      </c>
    </row>
    <row r="36" spans="1:14">
      <c r="B36" s="162">
        <v>31</v>
      </c>
      <c r="C36" s="881" t="s">
        <v>1320</v>
      </c>
      <c r="D36" s="406">
        <f>D9-D35</f>
        <v>0</v>
      </c>
      <c r="E36" s="406">
        <f>G9-E35</f>
        <v>2.4738255888223648E-10</v>
      </c>
      <c r="J36" s="1430" t="s">
        <v>5143</v>
      </c>
      <c r="K36" s="1597"/>
      <c r="L36" s="1597">
        <v>120.14</v>
      </c>
      <c r="M36" s="1597">
        <v>115.87</v>
      </c>
      <c r="N36" s="1597">
        <v>-4.2699999999999996</v>
      </c>
    </row>
    <row r="37" spans="1:14">
      <c r="B37" s="162"/>
      <c r="C37" s="881" t="s">
        <v>3084</v>
      </c>
      <c r="D37" s="406">
        <f>D4-D24</f>
        <v>0</v>
      </c>
      <c r="E37" s="406">
        <f>E4-E24</f>
        <v>0</v>
      </c>
      <c r="F37" s="406">
        <f>F4-F24</f>
        <v>0</v>
      </c>
      <c r="G37" s="406">
        <f>G4-G24</f>
        <v>2.3283064365386963E-10</v>
      </c>
      <c r="J37" s="1430" t="s">
        <v>5144</v>
      </c>
      <c r="K37" s="1597"/>
      <c r="L37" s="1597">
        <v>339.1</v>
      </c>
      <c r="M37" s="1597">
        <v>367.71</v>
      </c>
      <c r="N37" s="1597">
        <v>28.61</v>
      </c>
    </row>
    <row r="38" spans="1:14">
      <c r="B38" s="162">
        <v>32</v>
      </c>
      <c r="C38" s="889" t="s">
        <v>3085</v>
      </c>
      <c r="D38" s="406">
        <f>D5-D30</f>
        <v>0</v>
      </c>
      <c r="E38" s="406">
        <f>E5-E30</f>
        <v>0</v>
      </c>
      <c r="F38" s="406">
        <f>F5-F30</f>
        <v>0</v>
      </c>
      <c r="G38" s="406">
        <f>G5-G30</f>
        <v>0</v>
      </c>
      <c r="J38" s="1430" t="s">
        <v>5145</v>
      </c>
      <c r="K38" s="1597"/>
      <c r="L38" s="1597">
        <v>3179.21</v>
      </c>
      <c r="M38" s="1597">
        <v>3447.42</v>
      </c>
      <c r="N38" s="1597">
        <v>268.20999999999998</v>
      </c>
    </row>
    <row r="39" spans="1:14">
      <c r="B39" s="162">
        <v>33</v>
      </c>
      <c r="C39" s="884" t="s">
        <v>3086</v>
      </c>
      <c r="D39" s="884" t="s">
        <v>2505</v>
      </c>
      <c r="E39" s="884" t="s">
        <v>2504</v>
      </c>
      <c r="J39" s="1430" t="s">
        <v>5146</v>
      </c>
      <c r="K39" s="1597"/>
      <c r="L39" s="1597">
        <v>1122</v>
      </c>
      <c r="M39" s="1597">
        <v>1206</v>
      </c>
      <c r="N39" s="1597">
        <v>84</v>
      </c>
    </row>
    <row r="40" spans="1:14">
      <c r="A40" s="764" t="s">
        <v>2260</v>
      </c>
      <c r="B40" s="162">
        <v>34</v>
      </c>
      <c r="C40" s="881" t="s">
        <v>3094</v>
      </c>
      <c r="D40" s="405">
        <f>审定资产负债表!C72</f>
        <v>0</v>
      </c>
      <c r="E40" s="405">
        <f>审定资产负债表!D72</f>
        <v>0</v>
      </c>
      <c r="J40" s="1430" t="s">
        <v>5147</v>
      </c>
      <c r="K40" s="1597"/>
      <c r="L40" s="1597">
        <v>14667</v>
      </c>
      <c r="M40" s="1597">
        <v>14667</v>
      </c>
      <c r="N40" s="1597"/>
    </row>
    <row r="41" spans="1:14">
      <c r="B41" s="162">
        <v>35</v>
      </c>
      <c r="C41" s="881" t="s">
        <v>3095</v>
      </c>
      <c r="D41" s="405">
        <f>审定资产负债表!C73</f>
        <v>0</v>
      </c>
      <c r="E41" s="405">
        <f>审定资产负债表!D73</f>
        <v>0</v>
      </c>
      <c r="J41" s="1589" t="s">
        <v>5055</v>
      </c>
      <c r="K41" s="1598">
        <f>SUM(K25:K32)+SUM(K34:K40)</f>
        <v>48853.89</v>
      </c>
      <c r="L41" s="1598">
        <f t="shared" ref="L41:N41" si="3">SUM(L25:L32)+SUM(L34:L40)</f>
        <v>2805661.8700000006</v>
      </c>
      <c r="M41" s="1598">
        <f t="shared" si="3"/>
        <v>2798627.1200000006</v>
      </c>
      <c r="N41" s="1598">
        <f t="shared" si="3"/>
        <v>41819.14</v>
      </c>
    </row>
    <row r="42" spans="1:14">
      <c r="B42" s="162">
        <v>36</v>
      </c>
      <c r="C42" s="881"/>
      <c r="D42" s="998"/>
      <c r="E42" s="998"/>
      <c r="K42" s="1594"/>
      <c r="L42" s="1594"/>
      <c r="M42" s="1594"/>
      <c r="N42" s="1594"/>
    </row>
    <row r="43" spans="1:14">
      <c r="B43" s="162">
        <v>37</v>
      </c>
      <c r="C43" s="881" t="s">
        <v>3087</v>
      </c>
      <c r="D43" s="405">
        <f>G12-D40</f>
        <v>0</v>
      </c>
      <c r="E43" s="405">
        <f>D12-E40</f>
        <v>0</v>
      </c>
      <c r="K43" s="1594"/>
      <c r="L43" s="1594"/>
      <c r="M43" s="1594"/>
      <c r="N43" s="1594"/>
    </row>
    <row r="44" spans="1:14">
      <c r="B44" s="162">
        <v>38</v>
      </c>
      <c r="C44" s="881" t="s">
        <v>1657</v>
      </c>
      <c r="D44" s="405">
        <f>G13-D41</f>
        <v>0</v>
      </c>
      <c r="E44" s="405">
        <f>D13-E41</f>
        <v>0</v>
      </c>
      <c r="K44" s="1594"/>
      <c r="L44" s="1594"/>
      <c r="M44" s="1594"/>
      <c r="N44" s="1594"/>
    </row>
    <row r="45" spans="1:14">
      <c r="C45" s="357" t="s">
        <v>4453</v>
      </c>
      <c r="D45" s="405" t="str">
        <f>IF(F9+长期应付职工薪酬!F7&gt;=审定现金流量表!C26,"","请核实数据勾稽关系")</f>
        <v>请核实数据勾稽关系</v>
      </c>
      <c r="E45" s="405"/>
    </row>
    <row r="46" spans="1:14">
      <c r="A46" s="344" t="s">
        <v>3088</v>
      </c>
    </row>
    <row r="49" spans="4:8">
      <c r="D49" s="1585"/>
      <c r="E49" s="1585"/>
      <c r="F49" s="1585"/>
      <c r="G49" s="1585"/>
    </row>
    <row r="51" spans="4:8">
      <c r="E51" s="1585"/>
      <c r="F51" s="1585"/>
      <c r="G51" s="1585"/>
      <c r="H51" s="1585"/>
    </row>
  </sheetData>
  <sheetProtection formatCells="0" formatColumns="0" formatRows="0" autoFilter="0"/>
  <autoFilter ref="J24:N41" xr:uid="{00000000-0009-0000-0000-000038000000}"/>
  <phoneticPr fontId="5" type="noConversion"/>
  <hyperlinks>
    <hyperlink ref="A1" location="附注填写封面!B3" display="返回目录" xr:uid="{00000000-0004-0000-3800-000000000000}"/>
    <hyperlink ref="A21" location="附注填写封面!B3" display="返回目录" xr:uid="{00000000-0004-0000-3800-000001000000}"/>
    <hyperlink ref="A40" location="附注填写封面!B3" display="返回目录" xr:uid="{00000000-0004-0000-3800-000002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39">
    <tabColor rgb="FFFFC000"/>
  </sheetPr>
  <dimension ref="A1:M42"/>
  <sheetViews>
    <sheetView showGridLines="0" showZeros="0" workbookViewId="0">
      <pane xSplit="3" ySplit="2" topLeftCell="D6" activePane="bottomRight" state="frozen"/>
      <selection activeCell="A5" sqref="A5:A6"/>
      <selection pane="topRight" activeCell="A5" sqref="A5:A6"/>
      <selection pane="bottomLeft" activeCell="A5" sqref="A5:A6"/>
      <selection pane="bottomRight" activeCell="F7" sqref="F7"/>
    </sheetView>
  </sheetViews>
  <sheetFormatPr defaultColWidth="11.625" defaultRowHeight="12.75"/>
  <cols>
    <col min="1" max="1" width="9.875" style="162" customWidth="1"/>
    <col min="2" max="2" width="2.125" style="162" hidden="1" customWidth="1"/>
    <col min="3" max="3" width="11.625" style="843" customWidth="1"/>
    <col min="4" max="7" width="9" style="344" customWidth="1"/>
    <col min="8" max="8" width="1.75" style="344" hidden="1" customWidth="1"/>
    <col min="9" max="9" width="20" style="344" customWidth="1"/>
    <col min="10" max="16384" width="11.625" style="344"/>
  </cols>
  <sheetData>
    <row r="1" spans="1:13" ht="26.45" customHeight="1">
      <c r="A1" s="860" t="s">
        <v>2260</v>
      </c>
      <c r="B1" s="343" t="s">
        <v>2940</v>
      </c>
      <c r="C1" s="759" t="s">
        <v>3102</v>
      </c>
    </row>
    <row r="2" spans="1:13">
      <c r="B2" s="162">
        <v>2</v>
      </c>
      <c r="C2" s="889" t="s">
        <v>1013</v>
      </c>
      <c r="D2" s="881" t="s">
        <v>978</v>
      </c>
      <c r="E2" s="881" t="s">
        <v>3097</v>
      </c>
      <c r="F2" s="881" t="s">
        <v>3096</v>
      </c>
      <c r="G2" s="881" t="s">
        <v>2810</v>
      </c>
      <c r="I2" s="1571" t="s">
        <v>5035</v>
      </c>
      <c r="J2" s="1608" t="s">
        <v>5149</v>
      </c>
      <c r="K2" s="1608" t="s">
        <v>5150</v>
      </c>
      <c r="L2" s="1608" t="s">
        <v>5151</v>
      </c>
      <c r="M2" s="1608" t="s">
        <v>5152</v>
      </c>
    </row>
    <row r="3" spans="1:13">
      <c r="B3" s="162">
        <v>3</v>
      </c>
      <c r="C3" s="338" t="s">
        <v>386</v>
      </c>
      <c r="D3" s="400">
        <v>0</v>
      </c>
      <c r="E3" s="400">
        <f>52217.33+调整分录!I81</f>
        <v>312594.68000000011</v>
      </c>
      <c r="F3" s="400">
        <f>ROUND(K4,2)</f>
        <v>52217.33</v>
      </c>
      <c r="G3" s="406">
        <f>D3+E3-F3</f>
        <v>260377.35000000009</v>
      </c>
      <c r="I3" s="344" t="s">
        <v>5153</v>
      </c>
      <c r="J3" s="1585">
        <v>934105.48</v>
      </c>
      <c r="K3" s="1585">
        <v>1352682.79</v>
      </c>
      <c r="L3" s="1585">
        <v>352312.52</v>
      </c>
      <c r="M3" s="1585">
        <v>-66264.789999999994</v>
      </c>
    </row>
    <row r="4" spans="1:13">
      <c r="B4" s="162">
        <v>4</v>
      </c>
      <c r="C4" s="338" t="s">
        <v>389</v>
      </c>
      <c r="D4" s="400"/>
      <c r="E4" s="400"/>
      <c r="F4" s="400"/>
      <c r="G4" s="406">
        <f t="shared" ref="G4:G13" si="0">D4+E4-F4</f>
        <v>0</v>
      </c>
      <c r="I4" s="781" t="s">
        <v>5154</v>
      </c>
      <c r="J4" s="796">
        <v>-86363.63</v>
      </c>
      <c r="K4" s="796">
        <v>52217.33</v>
      </c>
      <c r="L4" s="796"/>
      <c r="M4" s="796">
        <v>-138580.96</v>
      </c>
    </row>
    <row r="5" spans="1:13">
      <c r="B5" s="162">
        <v>5</v>
      </c>
      <c r="C5" s="338" t="s">
        <v>387</v>
      </c>
      <c r="D5" s="400"/>
      <c r="E5" s="400"/>
      <c r="F5" s="400"/>
      <c r="G5" s="406">
        <f t="shared" si="0"/>
        <v>0</v>
      </c>
      <c r="I5" s="344" t="s">
        <v>5155</v>
      </c>
      <c r="J5" s="1585">
        <v>428456.55</v>
      </c>
      <c r="K5" s="1585">
        <v>51937.33</v>
      </c>
      <c r="L5" s="1585"/>
      <c r="M5" s="1585">
        <v>480393.88</v>
      </c>
    </row>
    <row r="6" spans="1:13">
      <c r="B6" s="162">
        <v>6</v>
      </c>
      <c r="C6" s="338" t="s">
        <v>1079</v>
      </c>
      <c r="D6" s="400"/>
      <c r="E6" s="400"/>
      <c r="F6" s="400"/>
      <c r="G6" s="406">
        <f t="shared" si="0"/>
        <v>0</v>
      </c>
      <c r="I6" s="344" t="s">
        <v>5156</v>
      </c>
      <c r="J6" s="1585">
        <v>428456.55</v>
      </c>
      <c r="K6" s="1585">
        <v>51616.15</v>
      </c>
      <c r="L6" s="1585"/>
      <c r="M6" s="1585">
        <v>480072.7</v>
      </c>
    </row>
    <row r="7" spans="1:13">
      <c r="B7" s="162">
        <v>7</v>
      </c>
      <c r="C7" s="338" t="s">
        <v>1080</v>
      </c>
      <c r="D7" s="400">
        <f>ROUND(941433.12,2)</f>
        <v>941433.12</v>
      </c>
      <c r="E7" s="400">
        <f>ROUND(26323.3,2)+调整分录!I103</f>
        <v>110497.96</v>
      </c>
      <c r="F7" s="400">
        <f>ROUND(967756.42,2)</f>
        <v>967756.42</v>
      </c>
      <c r="G7" s="406">
        <f t="shared" si="0"/>
        <v>84174.660000000033</v>
      </c>
      <c r="I7" s="344" t="s">
        <v>5157</v>
      </c>
      <c r="J7" s="1585"/>
      <c r="K7" s="1585">
        <v>321.18</v>
      </c>
      <c r="L7" s="1585"/>
      <c r="M7" s="1585">
        <v>321.18</v>
      </c>
    </row>
    <row r="8" spans="1:13" ht="24">
      <c r="B8" s="162">
        <v>8</v>
      </c>
      <c r="C8" s="338" t="s">
        <v>1081</v>
      </c>
      <c r="D8" s="400">
        <f>ROUND(调整分录!I71,2)</f>
        <v>0</v>
      </c>
      <c r="E8" s="400">
        <f>ROUND(调整分录!I85,2)</f>
        <v>13018.87</v>
      </c>
      <c r="F8" s="400"/>
      <c r="G8" s="406">
        <f t="shared" si="0"/>
        <v>13018.87</v>
      </c>
      <c r="I8" s="344" t="s">
        <v>5158</v>
      </c>
      <c r="J8" s="1585">
        <v>-2550528.71</v>
      </c>
      <c r="K8" s="1585"/>
      <c r="L8" s="1585"/>
      <c r="M8" s="1585">
        <v>-2550528.71</v>
      </c>
    </row>
    <row r="9" spans="1:13">
      <c r="B9" s="162">
        <v>9</v>
      </c>
      <c r="C9" s="338" t="s">
        <v>1082</v>
      </c>
      <c r="D9" s="400"/>
      <c r="E9" s="400"/>
      <c r="F9" s="400"/>
      <c r="G9" s="406">
        <f t="shared" si="0"/>
        <v>0</v>
      </c>
      <c r="I9" s="344" t="s">
        <v>5159</v>
      </c>
      <c r="J9" s="1585">
        <v>-1380</v>
      </c>
      <c r="K9" s="1585">
        <v>280</v>
      </c>
      <c r="L9" s="1585"/>
      <c r="M9" s="1585">
        <v>-1660</v>
      </c>
    </row>
    <row r="10" spans="1:13">
      <c r="B10" s="162">
        <v>10</v>
      </c>
      <c r="C10" s="338" t="s">
        <v>1083</v>
      </c>
      <c r="D10" s="400"/>
      <c r="E10" s="400"/>
      <c r="F10" s="400"/>
      <c r="G10" s="406">
        <f t="shared" si="0"/>
        <v>0</v>
      </c>
      <c r="I10" s="344" t="s">
        <v>5160</v>
      </c>
      <c r="J10" s="1585">
        <v>2894001.63</v>
      </c>
      <c r="K10" s="1585"/>
      <c r="L10" s="1585"/>
      <c r="M10" s="1585">
        <v>2894001.63</v>
      </c>
    </row>
    <row r="11" spans="1:13">
      <c r="B11" s="162">
        <v>11</v>
      </c>
      <c r="C11" s="338" t="s">
        <v>1084</v>
      </c>
      <c r="D11" s="400">
        <f>ROUND(79035.99,2)</f>
        <v>79035.990000000005</v>
      </c>
      <c r="E11" s="400">
        <f>ROUND(325989.22,2)</f>
        <v>325989.21999999997</v>
      </c>
      <c r="F11" s="400">
        <f>ROUND(332709.04,2)</f>
        <v>332709.03999999998</v>
      </c>
      <c r="G11" s="406">
        <f t="shared" si="0"/>
        <v>72316.169999999984</v>
      </c>
      <c r="I11" s="781" t="s">
        <v>5161</v>
      </c>
      <c r="J11" s="796">
        <v>941433.12</v>
      </c>
      <c r="K11" s="796">
        <v>967756.42</v>
      </c>
      <c r="L11" s="796">
        <v>26323.3</v>
      </c>
      <c r="M11" s="796"/>
    </row>
    <row r="12" spans="1:13">
      <c r="B12" s="162">
        <v>12</v>
      </c>
      <c r="C12" s="338" t="s">
        <v>1085</v>
      </c>
      <c r="D12" s="400">
        <f>ROUND(调整分录!G72,2)</f>
        <v>0</v>
      </c>
      <c r="E12" s="400">
        <f>ROUND(调整分录!I86,2)</f>
        <v>13018.87</v>
      </c>
      <c r="F12" s="400"/>
      <c r="G12" s="406">
        <f t="shared" si="0"/>
        <v>13018.87</v>
      </c>
      <c r="I12" s="781" t="s">
        <v>5162</v>
      </c>
      <c r="J12" s="796">
        <v>79035.990000000005</v>
      </c>
      <c r="K12" s="796">
        <v>332709.03999999998</v>
      </c>
      <c r="L12" s="796">
        <v>325989.21999999997</v>
      </c>
      <c r="M12" s="796">
        <v>72316.17</v>
      </c>
    </row>
    <row r="13" spans="1:13">
      <c r="B13" s="162">
        <v>13</v>
      </c>
      <c r="C13" s="338" t="s">
        <v>1086</v>
      </c>
      <c r="D13" s="400"/>
      <c r="E13" s="400">
        <v>2197.7200000000003</v>
      </c>
      <c r="F13" s="400">
        <v>895.82999999999993</v>
      </c>
      <c r="G13" s="406">
        <f t="shared" si="0"/>
        <v>1301.8900000000003</v>
      </c>
    </row>
    <row r="14" spans="1:13">
      <c r="B14" s="162">
        <v>14</v>
      </c>
      <c r="C14" s="889" t="s">
        <v>823</v>
      </c>
      <c r="D14" s="406">
        <f>SUM(D3:D13)</f>
        <v>1020469.11</v>
      </c>
      <c r="E14" s="406">
        <f>SUM(E3:E13)</f>
        <v>777317.32000000007</v>
      </c>
      <c r="F14" s="406">
        <f>SUM(F3:F13)</f>
        <v>1353578.62</v>
      </c>
      <c r="G14" s="406">
        <f>SUM(G3:G13)</f>
        <v>444207.81000000011</v>
      </c>
      <c r="I14" s="345">
        <f>E8/0.05</f>
        <v>260377.4</v>
      </c>
    </row>
    <row r="15" spans="1:13">
      <c r="B15" s="162">
        <v>15</v>
      </c>
      <c r="C15" s="395"/>
      <c r="I15" s="344">
        <v>84174.66</v>
      </c>
      <c r="J15" s="344">
        <f>I15/0.25</f>
        <v>336698.64</v>
      </c>
    </row>
    <row r="16" spans="1:13">
      <c r="A16" s="860" t="s">
        <v>2260</v>
      </c>
      <c r="B16" s="162">
        <v>16</v>
      </c>
      <c r="C16" s="888" t="s">
        <v>3099</v>
      </c>
      <c r="D16" s="881" t="s">
        <v>978</v>
      </c>
      <c r="E16" s="881" t="s">
        <v>3097</v>
      </c>
      <c r="F16" s="881" t="s">
        <v>3096</v>
      </c>
      <c r="G16" s="881" t="s">
        <v>2810</v>
      </c>
    </row>
    <row r="17" spans="2:11">
      <c r="B17" s="162">
        <v>17</v>
      </c>
      <c r="C17" s="55" t="s">
        <v>4812</v>
      </c>
      <c r="D17" s="888"/>
      <c r="E17" s="888">
        <f>调整分录!H94</f>
        <v>1301.8900000000001</v>
      </c>
      <c r="F17" s="888"/>
      <c r="G17" s="406">
        <f>D17+E17-F17</f>
        <v>1301.8900000000001</v>
      </c>
      <c r="K17" s="1594"/>
    </row>
    <row r="18" spans="2:11">
      <c r="B18" s="162">
        <v>18</v>
      </c>
      <c r="C18" s="55" t="s">
        <v>4813</v>
      </c>
      <c r="D18" s="888"/>
      <c r="E18" s="888"/>
      <c r="F18" s="888"/>
      <c r="G18" s="406">
        <f>D18+E18-F18</f>
        <v>0</v>
      </c>
    </row>
    <row r="19" spans="2:11">
      <c r="B19" s="162">
        <v>19</v>
      </c>
      <c r="C19" s="55" t="s">
        <v>4814</v>
      </c>
      <c r="D19" s="888"/>
      <c r="E19" s="888"/>
      <c r="F19" s="888"/>
      <c r="G19" s="406">
        <f>D19+E19-F19</f>
        <v>0</v>
      </c>
    </row>
    <row r="20" spans="2:11">
      <c r="B20" s="162">
        <v>20</v>
      </c>
      <c r="C20" s="55" t="s">
        <v>4820</v>
      </c>
      <c r="D20" s="888"/>
      <c r="E20" s="888"/>
      <c r="F20" s="888"/>
      <c r="G20" s="406">
        <f>D20+E20-F20</f>
        <v>0</v>
      </c>
    </row>
    <row r="21" spans="2:11">
      <c r="B21" s="162">
        <v>21</v>
      </c>
      <c r="C21" s="55" t="s">
        <v>5176</v>
      </c>
      <c r="D21" s="888"/>
      <c r="E21" s="888">
        <v>895.82999999999993</v>
      </c>
      <c r="F21" s="888">
        <v>895.82999999999993</v>
      </c>
      <c r="G21" s="406">
        <f>D21+E21-F21</f>
        <v>0</v>
      </c>
    </row>
    <row r="22" spans="2:11" ht="24">
      <c r="B22" s="162">
        <v>22</v>
      </c>
      <c r="C22" s="889" t="s">
        <v>3100</v>
      </c>
      <c r="D22" s="406">
        <f>SUM(D17:D21)-D13</f>
        <v>0</v>
      </c>
      <c r="E22" s="406">
        <f>SUM(E17:E21)-E13</f>
        <v>0</v>
      </c>
      <c r="F22" s="406">
        <f>SUM(F17:F21)-F13</f>
        <v>0</v>
      </c>
      <c r="G22" s="406">
        <f>SUM(G17:G21)-G13</f>
        <v>0</v>
      </c>
    </row>
    <row r="23" spans="2:11">
      <c r="C23" s="395"/>
      <c r="D23" s="503"/>
      <c r="E23" s="503"/>
      <c r="F23" s="503"/>
      <c r="G23" s="503"/>
    </row>
    <row r="24" spans="2:11">
      <c r="B24" s="162">
        <v>23</v>
      </c>
    </row>
    <row r="25" spans="2:11">
      <c r="B25" s="162">
        <v>24</v>
      </c>
      <c r="C25" s="881"/>
      <c r="D25" s="881" t="s">
        <v>2504</v>
      </c>
      <c r="E25" s="881" t="s">
        <v>2505</v>
      </c>
      <c r="H25" s="345"/>
    </row>
    <row r="26" spans="2:11">
      <c r="B26" s="162">
        <v>25</v>
      </c>
      <c r="C26" s="881" t="s">
        <v>1319</v>
      </c>
      <c r="D26" s="405">
        <f>审定资产负债表!D75</f>
        <v>1020469.11</v>
      </c>
      <c r="E26" s="405">
        <f>审定资产负债表!C75</f>
        <v>444207.81</v>
      </c>
    </row>
    <row r="27" spans="2:11">
      <c r="B27" s="162">
        <v>26</v>
      </c>
      <c r="C27" s="881" t="s">
        <v>1320</v>
      </c>
      <c r="D27" s="405">
        <f>D14-D26</f>
        <v>0</v>
      </c>
      <c r="E27" s="405">
        <f>G14-E26</f>
        <v>0</v>
      </c>
    </row>
    <row r="28" spans="2:11">
      <c r="B28" s="162">
        <v>27</v>
      </c>
      <c r="D28" s="999"/>
      <c r="E28" s="999"/>
    </row>
    <row r="29" spans="2:11">
      <c r="B29" s="162">
        <v>24</v>
      </c>
      <c r="J29" s="344" t="s">
        <v>5312</v>
      </c>
    </row>
    <row r="30" spans="2:11">
      <c r="B30" s="162">
        <v>25</v>
      </c>
      <c r="C30" s="953" t="s">
        <v>3086</v>
      </c>
      <c r="D30" s="881" t="s">
        <v>2505</v>
      </c>
      <c r="E30" s="881" t="s">
        <v>2504</v>
      </c>
    </row>
    <row r="31" spans="2:11">
      <c r="B31" s="162">
        <v>26</v>
      </c>
      <c r="C31" s="953" t="s">
        <v>3101</v>
      </c>
      <c r="D31" s="405">
        <f>审定资产负债表!C76</f>
        <v>431188.94</v>
      </c>
      <c r="E31" s="405">
        <f>审定资产负债表!D76</f>
        <v>1020469.11</v>
      </c>
    </row>
    <row r="32" spans="2:11">
      <c r="B32" s="162">
        <v>27</v>
      </c>
      <c r="C32" s="344"/>
    </row>
    <row r="33" spans="1:5">
      <c r="A33" s="860" t="s">
        <v>2260</v>
      </c>
      <c r="B33" s="162">
        <v>28</v>
      </c>
      <c r="C33" s="888"/>
      <c r="D33" s="998"/>
      <c r="E33" s="998"/>
    </row>
    <row r="34" spans="1:5">
      <c r="B34" s="162">
        <v>29</v>
      </c>
      <c r="C34" s="953" t="s">
        <v>3098</v>
      </c>
      <c r="D34" s="405">
        <f>SUM(G3:G13)-D31-G12-G20</f>
        <v>1.1095835361629725E-10</v>
      </c>
      <c r="E34" s="405">
        <f>SUM(D3:D13)-E31-D12-D20</f>
        <v>0</v>
      </c>
    </row>
    <row r="35" spans="1:5" ht="24">
      <c r="C35" s="1285" t="s">
        <v>4452</v>
      </c>
      <c r="D35" s="405" t="str">
        <f>IF(F14-F11&gt;=审定现金流量表!C27,"","请核实数据")</f>
        <v/>
      </c>
      <c r="E35" s="405"/>
    </row>
    <row r="39" spans="1:5">
      <c r="D39" s="843"/>
      <c r="E39" s="843"/>
    </row>
    <row r="40" spans="1:5">
      <c r="D40" s="843"/>
      <c r="E40" s="843"/>
    </row>
    <row r="41" spans="1:5">
      <c r="D41" s="843"/>
      <c r="E41" s="843"/>
    </row>
    <row r="42" spans="1:5">
      <c r="D42" s="843"/>
      <c r="E42" s="843"/>
    </row>
  </sheetData>
  <sheetProtection formatCells="0" formatColumns="0" formatRows="0" autoFilter="0"/>
  <phoneticPr fontId="5" type="noConversion"/>
  <hyperlinks>
    <hyperlink ref="A1" location="附注填写封面!B3" display="返回目录" xr:uid="{00000000-0004-0000-3900-000000000000}"/>
    <hyperlink ref="A16" location="附注填写封面!B3" display="返回目录" xr:uid="{00000000-0004-0000-3900-000001000000}"/>
    <hyperlink ref="A33" location="附注填写封面!B3" display="返回目录" xr:uid="{00000000-0004-0000-3900-000002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71"/>
  <dimension ref="A1:I15"/>
  <sheetViews>
    <sheetView showGridLines="0" showZeros="0" workbookViewId="0"/>
  </sheetViews>
  <sheetFormatPr defaultColWidth="11.625" defaultRowHeight="12.75"/>
  <cols>
    <col min="1" max="1" width="5.625" style="162" customWidth="1"/>
    <col min="2" max="2" width="5.625" style="162" hidden="1" customWidth="1"/>
    <col min="3" max="3" width="35.875" style="344" customWidth="1"/>
    <col min="4" max="5" width="11.625" style="344"/>
    <col min="6" max="6" width="22.875" style="344" customWidth="1"/>
    <col min="7" max="7" width="24.125" style="344" customWidth="1"/>
    <col min="8" max="8" width="13.875" style="344" customWidth="1"/>
    <col min="9" max="16384" width="11.625" style="344"/>
  </cols>
  <sheetData>
    <row r="1" spans="1:9" ht="35.25" customHeight="1">
      <c r="A1" s="860" t="s">
        <v>2260</v>
      </c>
      <c r="B1" s="343" t="s">
        <v>1446</v>
      </c>
      <c r="C1" s="759" t="s">
        <v>3104</v>
      </c>
    </row>
    <row r="2" spans="1:9">
      <c r="B2" s="162">
        <v>2</v>
      </c>
      <c r="C2" s="881" t="s">
        <v>811</v>
      </c>
      <c r="D2" s="881" t="s">
        <v>527</v>
      </c>
      <c r="E2" s="881" t="s">
        <v>526</v>
      </c>
      <c r="G2" s="781" t="s">
        <v>3105</v>
      </c>
      <c r="H2" s="853"/>
      <c r="I2" s="853"/>
    </row>
    <row r="3" spans="1:9">
      <c r="A3" s="162">
        <v>1</v>
      </c>
      <c r="B3" s="162">
        <v>3</v>
      </c>
      <c r="C3" s="821" t="s">
        <v>1088</v>
      </c>
      <c r="D3" s="400"/>
      <c r="E3" s="400"/>
      <c r="G3" s="890" t="s">
        <v>3106</v>
      </c>
      <c r="H3" s="890" t="s">
        <v>3107</v>
      </c>
      <c r="I3" s="890" t="s">
        <v>2588</v>
      </c>
    </row>
    <row r="4" spans="1:9">
      <c r="A4" s="162">
        <v>2</v>
      </c>
      <c r="B4" s="162">
        <v>4</v>
      </c>
      <c r="C4" s="821" t="s">
        <v>1089</v>
      </c>
      <c r="D4" s="400"/>
      <c r="E4" s="400"/>
      <c r="G4" s="854"/>
      <c r="H4" s="854"/>
      <c r="I4" s="854"/>
    </row>
    <row r="5" spans="1:9">
      <c r="A5" s="162">
        <v>3</v>
      </c>
      <c r="B5" s="162">
        <v>5</v>
      </c>
      <c r="C5" s="821" t="s">
        <v>1090</v>
      </c>
      <c r="D5" s="400"/>
      <c r="E5" s="400"/>
      <c r="G5" s="854"/>
      <c r="H5" s="854"/>
      <c r="I5" s="854"/>
    </row>
    <row r="6" spans="1:9">
      <c r="A6" s="162">
        <v>4</v>
      </c>
      <c r="B6" s="162">
        <v>6</v>
      </c>
      <c r="C6" s="821" t="s">
        <v>4441</v>
      </c>
      <c r="D6" s="400"/>
      <c r="E6" s="400"/>
      <c r="G6" s="854"/>
      <c r="H6" s="888"/>
      <c r="I6" s="888"/>
    </row>
    <row r="7" spans="1:9">
      <c r="A7" s="162">
        <v>5</v>
      </c>
      <c r="B7" s="162">
        <v>7</v>
      </c>
      <c r="C7" s="821" t="s">
        <v>4442</v>
      </c>
      <c r="D7" s="400"/>
      <c r="E7" s="400"/>
      <c r="G7" s="854"/>
      <c r="H7" s="888"/>
      <c r="I7" s="888"/>
    </row>
    <row r="8" spans="1:9">
      <c r="A8" s="162">
        <v>6</v>
      </c>
      <c r="B8" s="162">
        <v>8</v>
      </c>
      <c r="C8" s="821" t="s">
        <v>4443</v>
      </c>
      <c r="D8" s="400"/>
      <c r="E8" s="400"/>
      <c r="G8" s="854"/>
      <c r="H8" s="888"/>
      <c r="I8" s="888"/>
    </row>
    <row r="9" spans="1:9">
      <c r="A9" s="162">
        <v>7</v>
      </c>
      <c r="B9" s="162">
        <v>9</v>
      </c>
      <c r="C9" s="821" t="s">
        <v>4444</v>
      </c>
      <c r="D9" s="400"/>
      <c r="E9" s="400"/>
      <c r="G9" s="890" t="s">
        <v>3108</v>
      </c>
      <c r="H9" s="890">
        <f>SUM(H4:H8)</f>
        <v>0</v>
      </c>
      <c r="I9" s="890" t="s">
        <v>217</v>
      </c>
    </row>
    <row r="10" spans="1:9">
      <c r="A10" s="162">
        <v>8</v>
      </c>
      <c r="B10" s="162">
        <v>10</v>
      </c>
      <c r="C10" s="821" t="s">
        <v>4445</v>
      </c>
      <c r="D10" s="400"/>
      <c r="E10" s="400"/>
    </row>
    <row r="11" spans="1:9">
      <c r="B11" s="162">
        <v>11</v>
      </c>
      <c r="C11" s="881" t="s">
        <v>1096</v>
      </c>
      <c r="D11" s="406">
        <f>SUM(D3:D10)</f>
        <v>0</v>
      </c>
      <c r="E11" s="406">
        <f>SUM(E3:E10)</f>
        <v>0</v>
      </c>
    </row>
    <row r="12" spans="1:9" ht="24">
      <c r="A12" s="860" t="s">
        <v>2260</v>
      </c>
      <c r="B12" s="162">
        <v>12</v>
      </c>
    </row>
    <row r="13" spans="1:9">
      <c r="B13" s="162">
        <v>13</v>
      </c>
      <c r="C13" s="881"/>
      <c r="D13" s="881" t="s">
        <v>3109</v>
      </c>
      <c r="E13" s="881" t="s">
        <v>2505</v>
      </c>
    </row>
    <row r="14" spans="1:9">
      <c r="B14" s="162">
        <v>14</v>
      </c>
      <c r="C14" s="881" t="s">
        <v>3110</v>
      </c>
      <c r="D14" s="406">
        <f>审定资产负债表!D77</f>
        <v>0</v>
      </c>
      <c r="E14" s="406">
        <f>审定资产负债表!C77</f>
        <v>0</v>
      </c>
    </row>
    <row r="15" spans="1:9">
      <c r="B15" s="162">
        <v>15</v>
      </c>
      <c r="C15" s="881" t="s">
        <v>3111</v>
      </c>
      <c r="D15" s="406">
        <f>E11-D14</f>
        <v>0</v>
      </c>
      <c r="E15" s="406">
        <f>D11-E14</f>
        <v>0</v>
      </c>
    </row>
  </sheetData>
  <sheetProtection formatCells="0" formatColumns="0" formatRows="0" autoFilter="0"/>
  <phoneticPr fontId="5" type="noConversion"/>
  <hyperlinks>
    <hyperlink ref="A1" location="附注填写封面!B3" display="返回目录" xr:uid="{00000000-0004-0000-3A00-000000000000}"/>
    <hyperlink ref="A12" location="附注填写封面!B3" display="返回目录" xr:uid="{00000000-0004-0000-3A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72"/>
  <dimension ref="A1:K23"/>
  <sheetViews>
    <sheetView showGridLines="0" showZeros="0" workbookViewId="0">
      <pane xSplit="3" ySplit="2" topLeftCell="D3" activePane="bottomRight" state="frozen"/>
      <selection activeCell="A5" sqref="A5:A6"/>
      <selection pane="topRight" activeCell="A5" sqref="A5:A6"/>
      <selection pane="bottomLeft" activeCell="A5" sqref="A5:A6"/>
      <selection pane="bottomRight" activeCell="J12" sqref="J12"/>
    </sheetView>
  </sheetViews>
  <sheetFormatPr defaultColWidth="11.625" defaultRowHeight="12.75"/>
  <cols>
    <col min="1" max="1" width="6" style="344" customWidth="1"/>
    <col min="2" max="2" width="6" style="344" hidden="1" customWidth="1"/>
    <col min="3" max="3" width="35.875" style="344" customWidth="1"/>
    <col min="4" max="5" width="11.625" style="344" customWidth="1"/>
    <col min="6" max="6" width="22.875" style="344" customWidth="1"/>
    <col min="7" max="8" width="11.625" style="344"/>
    <col min="9" max="9" width="30.5" style="344" bestFit="1" customWidth="1"/>
    <col min="10" max="16384" width="11.625" style="344"/>
  </cols>
  <sheetData>
    <row r="1" spans="1:11" ht="30.75" customHeight="1">
      <c r="A1" s="764" t="s">
        <v>2260</v>
      </c>
      <c r="B1" s="343" t="s">
        <v>1446</v>
      </c>
      <c r="C1" s="759" t="s">
        <v>3112</v>
      </c>
    </row>
    <row r="2" spans="1:11">
      <c r="B2" s="162">
        <v>2</v>
      </c>
      <c r="C2" s="881" t="s">
        <v>3113</v>
      </c>
      <c r="D2" s="881" t="s">
        <v>527</v>
      </c>
      <c r="E2" s="881" t="s">
        <v>526</v>
      </c>
      <c r="F2" s="881" t="s">
        <v>3114</v>
      </c>
      <c r="G2" s="893" t="s">
        <v>4446</v>
      </c>
    </row>
    <row r="3" spans="1:11">
      <c r="A3" s="162">
        <v>1</v>
      </c>
      <c r="B3" s="162">
        <v>3</v>
      </c>
      <c r="C3" s="338"/>
      <c r="D3" s="400"/>
      <c r="E3" s="400"/>
      <c r="F3" s="1000"/>
      <c r="G3" s="893"/>
    </row>
    <row r="4" spans="1:11">
      <c r="A4" s="162">
        <v>2</v>
      </c>
      <c r="B4" s="162">
        <v>4</v>
      </c>
      <c r="C4" s="338"/>
      <c r="D4" s="400"/>
      <c r="E4" s="400"/>
      <c r="F4" s="1000"/>
      <c r="G4" s="893"/>
    </row>
    <row r="5" spans="1:11">
      <c r="A5" s="162">
        <v>3</v>
      </c>
      <c r="B5" s="162">
        <v>5</v>
      </c>
      <c r="C5" s="338"/>
      <c r="D5" s="400"/>
      <c r="E5" s="400"/>
      <c r="F5" s="1000"/>
      <c r="G5" s="893"/>
    </row>
    <row r="6" spans="1:11">
      <c r="A6" s="162">
        <v>4</v>
      </c>
      <c r="B6" s="162">
        <v>6</v>
      </c>
      <c r="C6" s="338"/>
      <c r="D6" s="400"/>
      <c r="E6" s="400"/>
      <c r="F6" s="1000"/>
      <c r="G6" s="893"/>
    </row>
    <row r="7" spans="1:11">
      <c r="A7" s="162">
        <v>5</v>
      </c>
      <c r="B7" s="162">
        <v>7</v>
      </c>
      <c r="C7" s="338"/>
      <c r="D7" s="400"/>
      <c r="E7" s="400"/>
      <c r="F7" s="1000"/>
      <c r="G7" s="893"/>
    </row>
    <row r="8" spans="1:11">
      <c r="A8" s="162">
        <v>6</v>
      </c>
      <c r="B8" s="162">
        <v>8</v>
      </c>
      <c r="C8" s="338"/>
      <c r="D8" s="400"/>
      <c r="E8" s="400"/>
      <c r="F8" s="1000"/>
      <c r="G8" s="893"/>
      <c r="I8" s="1432" t="s">
        <v>4715</v>
      </c>
      <c r="J8" s="1432" t="s">
        <v>4683</v>
      </c>
      <c r="K8" s="1432" t="s">
        <v>4684</v>
      </c>
    </row>
    <row r="9" spans="1:11">
      <c r="A9" s="162">
        <v>7</v>
      </c>
      <c r="B9" s="162">
        <v>9</v>
      </c>
      <c r="C9" s="338"/>
      <c r="D9" s="400"/>
      <c r="E9" s="400"/>
      <c r="F9" s="1000"/>
      <c r="G9" s="893"/>
      <c r="I9" s="1431" t="s">
        <v>4716</v>
      </c>
      <c r="J9" s="1430"/>
      <c r="K9" s="1430"/>
    </row>
    <row r="10" spans="1:11">
      <c r="A10" s="162">
        <v>8</v>
      </c>
      <c r="B10" s="162">
        <v>10</v>
      </c>
      <c r="C10" s="338"/>
      <c r="D10" s="400"/>
      <c r="E10" s="400"/>
      <c r="F10" s="1000"/>
      <c r="G10" s="893"/>
      <c r="I10" s="1433" t="s">
        <v>4717</v>
      </c>
      <c r="J10" s="1430"/>
      <c r="K10" s="1430"/>
    </row>
    <row r="11" spans="1:11">
      <c r="A11" s="162">
        <v>9</v>
      </c>
      <c r="B11" s="162">
        <v>11</v>
      </c>
      <c r="C11" s="338"/>
      <c r="D11" s="400"/>
      <c r="E11" s="400"/>
      <c r="F11" s="1000"/>
      <c r="G11" s="893"/>
      <c r="I11" s="1431" t="s">
        <v>4675</v>
      </c>
      <c r="J11" s="1430"/>
      <c r="K11" s="1430"/>
    </row>
    <row r="12" spans="1:11">
      <c r="A12" s="162">
        <v>10</v>
      </c>
      <c r="B12" s="162">
        <v>12</v>
      </c>
      <c r="C12" s="338"/>
      <c r="D12" s="400"/>
      <c r="E12" s="400"/>
      <c r="F12" s="1000"/>
      <c r="G12" s="893"/>
      <c r="I12" s="1431" t="s">
        <v>4718</v>
      </c>
      <c r="J12" s="406">
        <f>SUM(J9:J11)</f>
        <v>0</v>
      </c>
      <c r="K12" s="406">
        <f>SUM(K9:K11)</f>
        <v>0</v>
      </c>
    </row>
    <row r="13" spans="1:11">
      <c r="A13" s="162">
        <v>11</v>
      </c>
      <c r="B13" s="162">
        <v>13</v>
      </c>
      <c r="C13" s="338"/>
      <c r="D13" s="400"/>
      <c r="E13" s="400"/>
      <c r="F13" s="1000"/>
      <c r="G13" s="893"/>
    </row>
    <row r="14" spans="1:11">
      <c r="A14" s="162">
        <v>12</v>
      </c>
      <c r="B14" s="162">
        <v>14</v>
      </c>
      <c r="C14" s="338"/>
      <c r="D14" s="400"/>
      <c r="E14" s="400"/>
      <c r="F14" s="1000"/>
      <c r="G14" s="893"/>
    </row>
    <row r="15" spans="1:11">
      <c r="A15" s="162">
        <v>13</v>
      </c>
      <c r="B15" s="162">
        <v>15</v>
      </c>
      <c r="C15" s="338"/>
      <c r="D15" s="400"/>
      <c r="E15" s="400"/>
      <c r="F15" s="1000"/>
      <c r="G15" s="893"/>
    </row>
    <row r="16" spans="1:11">
      <c r="A16" s="162">
        <v>14</v>
      </c>
      <c r="B16" s="162">
        <v>16</v>
      </c>
      <c r="C16" s="338"/>
      <c r="D16" s="400"/>
      <c r="E16" s="400"/>
      <c r="F16" s="1000"/>
      <c r="G16" s="893"/>
    </row>
    <row r="17" spans="1:7">
      <c r="A17" s="162">
        <v>15</v>
      </c>
      <c r="B17" s="162">
        <v>17</v>
      </c>
      <c r="C17" s="338"/>
      <c r="D17" s="400"/>
      <c r="E17" s="400"/>
      <c r="F17" s="1000"/>
      <c r="G17" s="893"/>
    </row>
    <row r="18" spans="1:7">
      <c r="B18" s="162">
        <v>18</v>
      </c>
      <c r="C18" s="881" t="s">
        <v>1096</v>
      </c>
      <c r="D18" s="406">
        <f>SUM(D3:D17)</f>
        <v>0</v>
      </c>
      <c r="E18" s="406">
        <f>SUM(E3:E17)</f>
        <v>0</v>
      </c>
      <c r="F18" s="1000"/>
      <c r="G18" s="893"/>
    </row>
    <row r="19" spans="1:7">
      <c r="B19" s="162">
        <v>19</v>
      </c>
    </row>
    <row r="20" spans="1:7" ht="24">
      <c r="A20" s="764" t="s">
        <v>2260</v>
      </c>
      <c r="B20" s="162">
        <v>20</v>
      </c>
      <c r="C20" s="881"/>
      <c r="D20" s="881" t="s">
        <v>2504</v>
      </c>
      <c r="E20" s="881" t="s">
        <v>2505</v>
      </c>
    </row>
    <row r="21" spans="1:7">
      <c r="B21" s="162">
        <v>21</v>
      </c>
      <c r="C21" s="881" t="s">
        <v>1319</v>
      </c>
      <c r="D21" s="406">
        <f>审定资产负债表!D78</f>
        <v>0</v>
      </c>
      <c r="E21" s="406">
        <f>审定资产负债表!C78</f>
        <v>0</v>
      </c>
    </row>
    <row r="22" spans="1:7">
      <c r="B22" s="162">
        <v>22</v>
      </c>
      <c r="C22" s="881" t="s">
        <v>1320</v>
      </c>
      <c r="D22" s="406">
        <f>E18-D21</f>
        <v>0</v>
      </c>
      <c r="E22" s="406">
        <f>D18-E21</f>
        <v>0</v>
      </c>
    </row>
    <row r="23" spans="1:7">
      <c r="D23" s="406">
        <f>D21-K12</f>
        <v>0</v>
      </c>
      <c r="E23" s="406">
        <f>E21-J12</f>
        <v>0</v>
      </c>
    </row>
  </sheetData>
  <sheetProtection formatCells="0" formatColumns="0" formatRows="0" autoFilter="0"/>
  <phoneticPr fontId="5" type="noConversion"/>
  <hyperlinks>
    <hyperlink ref="A1" location="附注填写封面!B3" display="返回目录" xr:uid="{00000000-0004-0000-3B00-000000000000}"/>
    <hyperlink ref="A20" location="附注填写封面!B3" display="返回目录" xr:uid="{00000000-0004-0000-3B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ignoredErrors>
    <ignoredError sqref="J12:K12 D23:E23" unlockedFormula="1"/>
  </ignoredErrors>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40">
    <tabColor rgb="FFFFC000"/>
  </sheetPr>
  <dimension ref="A1:L57"/>
  <sheetViews>
    <sheetView showGridLines="0" showZeros="0" workbookViewId="0">
      <selection activeCell="D5" sqref="D5"/>
    </sheetView>
  </sheetViews>
  <sheetFormatPr defaultColWidth="11.625" defaultRowHeight="12.75"/>
  <cols>
    <col min="1" max="1" width="7.625" style="344" customWidth="1"/>
    <col min="2" max="2" width="5.375" style="344" hidden="1" customWidth="1"/>
    <col min="3" max="3" width="35.875" style="843" customWidth="1"/>
    <col min="4" max="4" width="11.625" style="1002" customWidth="1"/>
    <col min="5" max="5" width="11.625" style="843" customWidth="1"/>
    <col min="6" max="7" width="11.625" style="344"/>
    <col min="8" max="8" width="28.25" style="344" bestFit="1" customWidth="1"/>
    <col min="9" max="16384" width="11.625" style="344"/>
  </cols>
  <sheetData>
    <row r="1" spans="1:12" ht="35.25" customHeight="1">
      <c r="A1" s="764" t="s">
        <v>2260</v>
      </c>
      <c r="B1" s="343" t="s">
        <v>1446</v>
      </c>
      <c r="C1" s="759" t="s">
        <v>3119</v>
      </c>
    </row>
    <row r="2" spans="1:12">
      <c r="B2" s="162">
        <v>2</v>
      </c>
      <c r="C2" s="970" t="s">
        <v>3115</v>
      </c>
      <c r="G2" s="1536" t="s">
        <v>4932</v>
      </c>
    </row>
    <row r="3" spans="1:12">
      <c r="B3" s="162">
        <v>3</v>
      </c>
      <c r="C3" s="889" t="s">
        <v>943</v>
      </c>
      <c r="D3" s="889" t="s">
        <v>527</v>
      </c>
      <c r="E3" s="889" t="s">
        <v>526</v>
      </c>
    </row>
    <row r="4" spans="1:12">
      <c r="B4" s="162">
        <v>4</v>
      </c>
      <c r="C4" s="359" t="s">
        <v>5169</v>
      </c>
      <c r="D4" s="400">
        <v>28749.53</v>
      </c>
      <c r="E4" s="400">
        <v>31046.67</v>
      </c>
    </row>
    <row r="5" spans="1:12">
      <c r="B5" s="162">
        <v>5</v>
      </c>
      <c r="C5" s="359" t="s">
        <v>5252</v>
      </c>
      <c r="D5" s="400">
        <v>9631.5300000000007</v>
      </c>
      <c r="E5" s="400">
        <v>9631.5300000000007</v>
      </c>
      <c r="H5" s="1571" t="s">
        <v>5035</v>
      </c>
      <c r="I5" s="1608" t="s">
        <v>5149</v>
      </c>
      <c r="J5" s="1608" t="s">
        <v>5150</v>
      </c>
      <c r="K5" s="1608" t="s">
        <v>5151</v>
      </c>
      <c r="L5" s="1608" t="s">
        <v>5152</v>
      </c>
    </row>
    <row r="6" spans="1:12">
      <c r="B6" s="162">
        <v>6</v>
      </c>
      <c r="C6" s="359"/>
      <c r="D6" s="400"/>
      <c r="E6" s="400"/>
      <c r="H6" s="344" t="s">
        <v>5163</v>
      </c>
      <c r="I6" s="1585"/>
      <c r="J6" s="1585">
        <v>308000000</v>
      </c>
      <c r="K6" s="1585">
        <v>308000000</v>
      </c>
      <c r="L6" s="1585"/>
    </row>
    <row r="7" spans="1:12">
      <c r="B7" s="162"/>
      <c r="C7" s="359"/>
      <c r="D7" s="400"/>
      <c r="E7" s="400"/>
      <c r="H7" s="344" t="s">
        <v>5164</v>
      </c>
      <c r="I7" s="1585">
        <v>19446.32</v>
      </c>
      <c r="J7" s="1585">
        <v>60801.2</v>
      </c>
      <c r="K7" s="1585">
        <v>58721.2</v>
      </c>
      <c r="L7" s="1585">
        <v>17366.32</v>
      </c>
    </row>
    <row r="8" spans="1:12">
      <c r="B8" s="162"/>
      <c r="C8" s="359"/>
      <c r="D8" s="400"/>
      <c r="E8" s="400"/>
      <c r="H8" s="344" t="s">
        <v>5165</v>
      </c>
      <c r="I8" s="1585">
        <v>507.62</v>
      </c>
      <c r="J8" s="1585">
        <v>1520</v>
      </c>
      <c r="K8" s="1585">
        <v>1468</v>
      </c>
      <c r="L8" s="1585">
        <v>455.62</v>
      </c>
    </row>
    <row r="9" spans="1:12">
      <c r="B9" s="162"/>
      <c r="C9" s="359"/>
      <c r="D9" s="400"/>
      <c r="E9" s="400"/>
      <c r="H9" s="344" t="s">
        <v>5166</v>
      </c>
      <c r="I9" s="1585">
        <v>4909.74</v>
      </c>
      <c r="J9" s="1585">
        <v>15452.3</v>
      </c>
      <c r="K9" s="1585">
        <v>14926.3</v>
      </c>
      <c r="L9" s="1585">
        <v>4383.74</v>
      </c>
    </row>
    <row r="10" spans="1:12">
      <c r="B10" s="162"/>
      <c r="C10" s="338"/>
      <c r="D10" s="400"/>
      <c r="E10" s="400"/>
      <c r="H10" s="344" t="s">
        <v>5167</v>
      </c>
      <c r="I10" s="1585">
        <v>5854</v>
      </c>
      <c r="J10" s="1585">
        <v>88080</v>
      </c>
      <c r="K10" s="1585">
        <v>88080</v>
      </c>
      <c r="L10" s="1585">
        <v>5854</v>
      </c>
    </row>
    <row r="11" spans="1:12">
      <c r="B11" s="162"/>
      <c r="C11" s="338"/>
      <c r="D11" s="400"/>
      <c r="E11" s="400"/>
      <c r="H11" s="344" t="s">
        <v>5170</v>
      </c>
      <c r="I11" s="1585">
        <v>9631.5300000000007</v>
      </c>
      <c r="J11" s="1585"/>
      <c r="K11" s="1585"/>
      <c r="L11" s="1585">
        <v>9631.5300000000007</v>
      </c>
    </row>
    <row r="12" spans="1:12">
      <c r="B12" s="162"/>
      <c r="C12" s="338"/>
      <c r="D12" s="400"/>
      <c r="E12" s="400"/>
      <c r="H12" s="344" t="s">
        <v>5168</v>
      </c>
      <c r="I12" s="1585">
        <v>328.99</v>
      </c>
      <c r="J12" s="1585">
        <v>5026.08</v>
      </c>
      <c r="K12" s="1585">
        <v>5386.94</v>
      </c>
      <c r="L12" s="1585">
        <v>689.85</v>
      </c>
    </row>
    <row r="13" spans="1:12">
      <c r="B13" s="162"/>
      <c r="C13" s="338"/>
      <c r="D13" s="400"/>
      <c r="E13" s="400"/>
      <c r="H13" s="1571" t="s">
        <v>5055</v>
      </c>
      <c r="I13" s="1595">
        <f>SUM(I6:I12)</f>
        <v>40678.199999999997</v>
      </c>
      <c r="J13" s="1595">
        <f t="shared" ref="J13:L13" si="0">SUM(J6:J12)</f>
        <v>308170879.57999998</v>
      </c>
      <c r="K13" s="1595">
        <f t="shared" si="0"/>
        <v>308168582.44</v>
      </c>
      <c r="L13" s="1595">
        <f t="shared" si="0"/>
        <v>38381.06</v>
      </c>
    </row>
    <row r="14" spans="1:12">
      <c r="B14" s="162"/>
      <c r="C14" s="338"/>
      <c r="D14" s="400"/>
      <c r="E14" s="400"/>
    </row>
    <row r="15" spans="1:12">
      <c r="B15" s="162"/>
      <c r="C15" s="338"/>
      <c r="D15" s="400"/>
      <c r="E15" s="400"/>
      <c r="I15" s="1594"/>
      <c r="L15" s="1594"/>
    </row>
    <row r="16" spans="1:12">
      <c r="B16" s="162"/>
      <c r="C16" s="338"/>
      <c r="D16" s="400"/>
      <c r="E16" s="400"/>
    </row>
    <row r="17" spans="1:6">
      <c r="B17" s="162"/>
      <c r="C17" s="338"/>
      <c r="D17" s="400"/>
      <c r="E17" s="400"/>
    </row>
    <row r="18" spans="1:6">
      <c r="B18" s="162"/>
      <c r="C18" s="338"/>
      <c r="D18" s="400"/>
      <c r="E18" s="400"/>
    </row>
    <row r="19" spans="1:6">
      <c r="B19" s="162"/>
      <c r="C19" s="338"/>
      <c r="D19" s="400"/>
      <c r="E19" s="400"/>
    </row>
    <row r="20" spans="1:6">
      <c r="B20" s="162"/>
      <c r="C20" s="338"/>
      <c r="D20" s="400"/>
      <c r="E20" s="400"/>
    </row>
    <row r="21" spans="1:6">
      <c r="B21" s="162"/>
      <c r="C21" s="338"/>
      <c r="D21" s="400"/>
      <c r="E21" s="400"/>
    </row>
    <row r="22" spans="1:6">
      <c r="B22" s="162"/>
      <c r="C22" s="338"/>
      <c r="D22" s="400"/>
      <c r="E22" s="400"/>
    </row>
    <row r="23" spans="1:6">
      <c r="B23" s="162">
        <v>7</v>
      </c>
      <c r="C23" s="338"/>
      <c r="D23" s="400"/>
      <c r="E23" s="400"/>
    </row>
    <row r="24" spans="1:6">
      <c r="B24" s="162">
        <v>8</v>
      </c>
      <c r="C24" s="889" t="s">
        <v>839</v>
      </c>
      <c r="D24" s="406">
        <f>SUM(D4:D23)</f>
        <v>38381.06</v>
      </c>
      <c r="E24" s="406">
        <f>SUM(E4:E23)</f>
        <v>40678.199999999997</v>
      </c>
    </row>
    <row r="25" spans="1:6">
      <c r="A25" s="764" t="s">
        <v>2260</v>
      </c>
      <c r="B25" s="162">
        <v>9</v>
      </c>
    </row>
    <row r="26" spans="1:6">
      <c r="B26" s="162">
        <v>10</v>
      </c>
      <c r="C26" s="970" t="s">
        <v>3116</v>
      </c>
    </row>
    <row r="27" spans="1:6">
      <c r="B27" s="162">
        <v>11</v>
      </c>
      <c r="C27" s="889" t="s">
        <v>3056</v>
      </c>
      <c r="D27" s="985" t="s">
        <v>3117</v>
      </c>
      <c r="E27" s="357" t="s">
        <v>4516</v>
      </c>
      <c r="F27" s="1304" t="s">
        <v>3057</v>
      </c>
    </row>
    <row r="28" spans="1:6">
      <c r="A28" s="162">
        <v>1</v>
      </c>
      <c r="B28" s="162">
        <v>12</v>
      </c>
      <c r="C28" s="338"/>
      <c r="D28" s="400"/>
      <c r="E28" s="400"/>
      <c r="F28" s="400"/>
    </row>
    <row r="29" spans="1:6">
      <c r="A29" s="162">
        <v>2</v>
      </c>
      <c r="B29" s="162">
        <v>13</v>
      </c>
      <c r="C29" s="338"/>
      <c r="D29" s="400"/>
      <c r="E29" s="400"/>
      <c r="F29" s="400"/>
    </row>
    <row r="30" spans="1:6">
      <c r="A30" s="162">
        <v>3</v>
      </c>
      <c r="B30" s="162">
        <v>14</v>
      </c>
      <c r="C30" s="338"/>
      <c r="D30" s="400"/>
      <c r="E30" s="400"/>
      <c r="F30" s="400"/>
    </row>
    <row r="31" spans="1:6">
      <c r="A31" s="162">
        <v>4</v>
      </c>
      <c r="B31" s="162">
        <v>15</v>
      </c>
      <c r="C31" s="338"/>
      <c r="D31" s="400"/>
      <c r="E31" s="400"/>
      <c r="F31" s="400"/>
    </row>
    <row r="32" spans="1:6">
      <c r="A32" s="162">
        <v>5</v>
      </c>
      <c r="B32" s="162">
        <v>16</v>
      </c>
      <c r="C32" s="338"/>
      <c r="D32" s="400"/>
      <c r="E32" s="400"/>
      <c r="F32" s="400"/>
    </row>
    <row r="33" spans="1:6">
      <c r="A33" s="162">
        <v>6</v>
      </c>
      <c r="B33" s="162">
        <v>17</v>
      </c>
      <c r="C33" s="338"/>
      <c r="D33" s="400"/>
      <c r="E33" s="400"/>
      <c r="F33" s="400"/>
    </row>
    <row r="34" spans="1:6">
      <c r="A34" s="162">
        <v>7</v>
      </c>
      <c r="B34" s="162">
        <v>18</v>
      </c>
      <c r="C34" s="338"/>
      <c r="D34" s="400"/>
      <c r="E34" s="400"/>
      <c r="F34" s="400"/>
    </row>
    <row r="35" spans="1:6">
      <c r="A35" s="162">
        <v>8</v>
      </c>
      <c r="B35" s="162">
        <v>19</v>
      </c>
      <c r="C35" s="338"/>
      <c r="D35" s="400"/>
      <c r="E35" s="400"/>
      <c r="F35" s="400"/>
    </row>
    <row r="36" spans="1:6">
      <c r="A36" s="162">
        <v>9</v>
      </c>
      <c r="B36" s="162">
        <v>20</v>
      </c>
      <c r="C36" s="338"/>
      <c r="D36" s="400"/>
      <c r="E36" s="400"/>
      <c r="F36" s="400"/>
    </row>
    <row r="37" spans="1:6">
      <c r="A37" s="162">
        <v>10</v>
      </c>
      <c r="B37" s="162">
        <v>21</v>
      </c>
      <c r="C37" s="338"/>
      <c r="D37" s="400"/>
      <c r="E37" s="400"/>
      <c r="F37" s="400"/>
    </row>
    <row r="38" spans="1:6">
      <c r="A38" s="162">
        <v>11</v>
      </c>
      <c r="B38" s="162">
        <v>22</v>
      </c>
      <c r="C38" s="338"/>
      <c r="D38" s="400"/>
      <c r="E38" s="400"/>
      <c r="F38" s="400"/>
    </row>
    <row r="39" spans="1:6">
      <c r="A39" s="162">
        <v>12</v>
      </c>
      <c r="B39" s="162">
        <v>23</v>
      </c>
      <c r="C39" s="338"/>
      <c r="D39" s="400"/>
      <c r="E39" s="400"/>
      <c r="F39" s="400"/>
    </row>
    <row r="40" spans="1:6">
      <c r="A40" s="162">
        <v>13</v>
      </c>
      <c r="B40" s="162">
        <v>24</v>
      </c>
      <c r="C40" s="338"/>
      <c r="D40" s="400"/>
      <c r="E40" s="400"/>
      <c r="F40" s="400"/>
    </row>
    <row r="41" spans="1:6">
      <c r="A41" s="162">
        <v>14</v>
      </c>
      <c r="B41" s="162">
        <v>25</v>
      </c>
      <c r="C41" s="338"/>
      <c r="D41" s="400"/>
      <c r="E41" s="400"/>
      <c r="F41" s="400"/>
    </row>
    <row r="42" spans="1:6">
      <c r="A42" s="162">
        <v>15</v>
      </c>
      <c r="B42" s="162">
        <v>26</v>
      </c>
      <c r="C42" s="338"/>
      <c r="D42" s="400"/>
      <c r="E42" s="400"/>
      <c r="F42" s="400"/>
    </row>
    <row r="43" spans="1:6">
      <c r="A43" s="162">
        <v>16</v>
      </c>
      <c r="B43" s="162">
        <v>27</v>
      </c>
      <c r="C43" s="338"/>
      <c r="D43" s="400"/>
      <c r="E43" s="400"/>
      <c r="F43" s="400"/>
    </row>
    <row r="44" spans="1:6">
      <c r="A44" s="162">
        <v>17</v>
      </c>
      <c r="B44" s="162">
        <v>28</v>
      </c>
      <c r="C44" s="338"/>
      <c r="D44" s="400"/>
      <c r="E44" s="400"/>
      <c r="F44" s="400"/>
    </row>
    <row r="45" spans="1:6">
      <c r="A45" s="162">
        <v>18</v>
      </c>
      <c r="B45" s="162">
        <v>29</v>
      </c>
      <c r="C45" s="338"/>
      <c r="D45" s="400"/>
      <c r="E45" s="400"/>
      <c r="F45" s="400"/>
    </row>
    <row r="46" spans="1:6">
      <c r="A46" s="162">
        <v>19</v>
      </c>
      <c r="B46" s="162">
        <v>30</v>
      </c>
      <c r="C46" s="338"/>
      <c r="D46" s="400"/>
      <c r="E46" s="400"/>
      <c r="F46" s="400"/>
    </row>
    <row r="47" spans="1:6">
      <c r="A47" s="162">
        <v>20</v>
      </c>
      <c r="B47" s="162">
        <v>31</v>
      </c>
      <c r="C47" s="338"/>
      <c r="D47" s="400"/>
      <c r="E47" s="400"/>
      <c r="F47" s="400"/>
    </row>
    <row r="48" spans="1:6">
      <c r="B48" s="162">
        <v>32</v>
      </c>
      <c r="C48" s="889" t="s">
        <v>823</v>
      </c>
      <c r="D48" s="406">
        <f>SUM(D28:D47)</f>
        <v>0</v>
      </c>
      <c r="E48" s="400"/>
      <c r="F48" s="400"/>
    </row>
    <row r="49" spans="1:5">
      <c r="A49" s="1001" t="str">
        <f>HYPERLINK("#C1","置顶")</f>
        <v>置顶</v>
      </c>
      <c r="B49" s="162">
        <v>33</v>
      </c>
      <c r="C49" s="395"/>
      <c r="D49" s="835"/>
      <c r="E49" s="952"/>
    </row>
    <row r="50" spans="1:5">
      <c r="B50" s="162">
        <v>34</v>
      </c>
      <c r="C50" s="1003" t="s">
        <v>3118</v>
      </c>
      <c r="D50" s="961" t="str">
        <f>IF(D48&gt;(D24),FALSE,"ok")</f>
        <v>ok</v>
      </c>
      <c r="E50" s="952"/>
    </row>
    <row r="51" spans="1:5">
      <c r="A51" s="764"/>
      <c r="B51" s="162">
        <v>35</v>
      </c>
    </row>
    <row r="52" spans="1:5">
      <c r="A52" s="1001" t="str">
        <f>HYPERLINK("#C1","置顶")</f>
        <v>置顶</v>
      </c>
      <c r="B52" s="162">
        <v>59</v>
      </c>
      <c r="C52" s="834"/>
      <c r="D52" s="835"/>
      <c r="E52" s="949"/>
    </row>
    <row r="53" spans="1:5">
      <c r="B53" s="162">
        <v>61</v>
      </c>
    </row>
    <row r="54" spans="1:5">
      <c r="B54" s="162">
        <v>62</v>
      </c>
      <c r="C54" s="881"/>
      <c r="D54" s="881" t="s">
        <v>2504</v>
      </c>
      <c r="E54" s="881" t="s">
        <v>2505</v>
      </c>
    </row>
    <row r="55" spans="1:5">
      <c r="B55" s="162">
        <v>63</v>
      </c>
      <c r="C55" s="881" t="s">
        <v>1319</v>
      </c>
      <c r="D55" s="406">
        <f>审定资产负债表!D79</f>
        <v>40678.199999999997</v>
      </c>
      <c r="E55" s="406">
        <f>审定资产负债表!C79</f>
        <v>38381.06</v>
      </c>
    </row>
    <row r="56" spans="1:5">
      <c r="A56" s="764"/>
      <c r="B56" s="162">
        <v>64</v>
      </c>
      <c r="C56" s="881" t="s">
        <v>1320</v>
      </c>
      <c r="D56" s="406">
        <f>E24-D55</f>
        <v>0</v>
      </c>
      <c r="E56" s="406">
        <f>D24-E55</f>
        <v>0</v>
      </c>
    </row>
    <row r="57" spans="1:5">
      <c r="A57" s="764" t="s">
        <v>2260</v>
      </c>
    </row>
  </sheetData>
  <sheetProtection formatCells="0" formatColumns="0" formatRows="0" autoFilter="0"/>
  <phoneticPr fontId="5" type="noConversion"/>
  <hyperlinks>
    <hyperlink ref="A1" location="附注填写封面!B3" display="返回目录" xr:uid="{00000000-0004-0000-3C00-000000000000}"/>
    <hyperlink ref="A25" location="附注填写封面!B3" display="返回目录" xr:uid="{00000000-0004-0000-3C00-000001000000}"/>
    <hyperlink ref="A57" location="附注填写封面!B3" display="返回目录" xr:uid="{00000000-0004-0000-3C00-000002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105"/>
  <dimension ref="A1:G23"/>
  <sheetViews>
    <sheetView showZeros="0" workbookViewId="0">
      <selection activeCell="C18" sqref="C18"/>
    </sheetView>
  </sheetViews>
  <sheetFormatPr defaultColWidth="11.625" defaultRowHeight="12.75"/>
  <cols>
    <col min="1" max="1" width="7.875" style="344" customWidth="1"/>
    <col min="2" max="2" width="5.875" style="344" hidden="1" customWidth="1"/>
    <col min="3" max="3" width="35.875" style="344" customWidth="1"/>
    <col min="4" max="16384" width="11.625" style="344"/>
  </cols>
  <sheetData>
    <row r="1" spans="1:7" ht="27.95" customHeight="1">
      <c r="A1" s="764" t="s">
        <v>2260</v>
      </c>
      <c r="B1" s="765" t="s">
        <v>1446</v>
      </c>
      <c r="C1" s="1344" t="s">
        <v>4719</v>
      </c>
    </row>
    <row r="2" spans="1:7">
      <c r="B2" s="162">
        <v>2</v>
      </c>
      <c r="C2" s="889" t="s">
        <v>2798</v>
      </c>
      <c r="D2" s="357" t="s">
        <v>4546</v>
      </c>
      <c r="E2" s="357" t="s">
        <v>4720</v>
      </c>
      <c r="F2" s="357" t="s">
        <v>4721</v>
      </c>
      <c r="G2" s="357" t="s">
        <v>4722</v>
      </c>
    </row>
    <row r="3" spans="1:7">
      <c r="A3" s="162">
        <v>1</v>
      </c>
      <c r="B3" s="162">
        <v>3</v>
      </c>
      <c r="C3" s="338"/>
      <c r="D3" s="400"/>
      <c r="E3" s="400"/>
      <c r="F3" s="400"/>
      <c r="G3" s="400"/>
    </row>
    <row r="4" spans="1:7">
      <c r="A4" s="162">
        <v>2</v>
      </c>
      <c r="B4" s="162">
        <v>4</v>
      </c>
      <c r="C4" s="338"/>
      <c r="D4" s="400"/>
      <c r="E4" s="400"/>
      <c r="F4" s="400"/>
      <c r="G4" s="400"/>
    </row>
    <row r="5" spans="1:7">
      <c r="A5" s="162">
        <v>3</v>
      </c>
      <c r="B5" s="162">
        <v>5</v>
      </c>
      <c r="C5" s="338"/>
      <c r="D5" s="400"/>
      <c r="E5" s="400"/>
      <c r="F5" s="400"/>
      <c r="G5" s="400"/>
    </row>
    <row r="6" spans="1:7">
      <c r="A6" s="162">
        <v>4</v>
      </c>
      <c r="B6" s="162">
        <v>6</v>
      </c>
      <c r="C6" s="338"/>
      <c r="D6" s="400"/>
      <c r="E6" s="400"/>
      <c r="F6" s="400"/>
      <c r="G6" s="400"/>
    </row>
    <row r="7" spans="1:7">
      <c r="A7" s="162">
        <v>5</v>
      </c>
      <c r="B7" s="162">
        <v>7</v>
      </c>
      <c r="C7" s="338"/>
      <c r="D7" s="400"/>
      <c r="E7" s="400"/>
      <c r="F7" s="400"/>
      <c r="G7" s="400"/>
    </row>
    <row r="8" spans="1:7">
      <c r="A8" s="162">
        <v>6</v>
      </c>
      <c r="B8" s="162">
        <v>8</v>
      </c>
      <c r="C8" s="338"/>
      <c r="D8" s="400"/>
      <c r="E8" s="400"/>
      <c r="F8" s="400"/>
      <c r="G8" s="400"/>
    </row>
    <row r="9" spans="1:7">
      <c r="A9" s="162">
        <v>7</v>
      </c>
      <c r="B9" s="162">
        <v>9</v>
      </c>
      <c r="C9" s="338"/>
      <c r="D9" s="400"/>
      <c r="E9" s="400"/>
      <c r="F9" s="400"/>
      <c r="G9" s="400"/>
    </row>
    <row r="10" spans="1:7">
      <c r="A10" s="162">
        <v>8</v>
      </c>
      <c r="B10" s="162">
        <v>10</v>
      </c>
      <c r="C10" s="338"/>
      <c r="D10" s="400"/>
      <c r="E10" s="400"/>
      <c r="F10" s="400"/>
      <c r="G10" s="400"/>
    </row>
    <row r="11" spans="1:7">
      <c r="A11" s="162">
        <v>9</v>
      </c>
      <c r="B11" s="162">
        <v>11</v>
      </c>
      <c r="C11" s="338"/>
      <c r="D11" s="400"/>
      <c r="E11" s="400"/>
      <c r="F11" s="400"/>
      <c r="G11" s="400"/>
    </row>
    <row r="12" spans="1:7">
      <c r="A12" s="162">
        <v>10</v>
      </c>
      <c r="B12" s="162">
        <v>12</v>
      </c>
      <c r="C12" s="338"/>
      <c r="D12" s="400"/>
      <c r="E12" s="400"/>
      <c r="F12" s="400"/>
      <c r="G12" s="400"/>
    </row>
    <row r="13" spans="1:7">
      <c r="A13" s="162">
        <v>11</v>
      </c>
      <c r="B13" s="162">
        <v>13</v>
      </c>
      <c r="C13" s="338"/>
      <c r="D13" s="400"/>
      <c r="E13" s="400"/>
      <c r="F13" s="400"/>
      <c r="G13" s="400"/>
    </row>
    <row r="14" spans="1:7">
      <c r="A14" s="162">
        <v>12</v>
      </c>
      <c r="B14" s="162">
        <v>14</v>
      </c>
      <c r="C14" s="338"/>
      <c r="D14" s="400"/>
      <c r="E14" s="400"/>
      <c r="F14" s="400"/>
      <c r="G14" s="400"/>
    </row>
    <row r="15" spans="1:7">
      <c r="A15" s="162">
        <v>13</v>
      </c>
      <c r="B15" s="162">
        <v>15</v>
      </c>
      <c r="C15" s="338"/>
      <c r="D15" s="400"/>
      <c r="E15" s="400"/>
      <c r="F15" s="400"/>
      <c r="G15" s="400"/>
    </row>
    <row r="16" spans="1:7">
      <c r="A16" s="162">
        <v>14</v>
      </c>
      <c r="B16" s="162">
        <v>16</v>
      </c>
      <c r="C16" s="760"/>
      <c r="D16" s="400"/>
      <c r="E16" s="400"/>
      <c r="F16" s="400"/>
      <c r="G16" s="400"/>
    </row>
    <row r="17" spans="1:7">
      <c r="A17" s="162">
        <v>15</v>
      </c>
      <c r="B17" s="162">
        <v>17</v>
      </c>
      <c r="C17" s="338"/>
      <c r="D17" s="400"/>
      <c r="E17" s="400"/>
      <c r="F17" s="400"/>
      <c r="G17" s="400"/>
    </row>
    <row r="18" spans="1:7">
      <c r="B18" s="162">
        <v>18</v>
      </c>
      <c r="C18" s="401" t="s">
        <v>2801</v>
      </c>
      <c r="D18" s="406">
        <f>SUM(D3:D17)</f>
        <v>0</v>
      </c>
      <c r="E18" s="406">
        <f>SUM(E3:E17)</f>
        <v>0</v>
      </c>
      <c r="F18" s="406">
        <f t="shared" ref="F18" si="0">SUM(F3:F17)</f>
        <v>0</v>
      </c>
      <c r="G18" s="406"/>
    </row>
    <row r="19" spans="1:7">
      <c r="B19" s="162">
        <v>19</v>
      </c>
    </row>
    <row r="20" spans="1:7">
      <c r="A20" s="764" t="s">
        <v>2260</v>
      </c>
      <c r="B20" s="162">
        <v>20</v>
      </c>
      <c r="C20" s="881"/>
      <c r="D20" s="881" t="s">
        <v>2591</v>
      </c>
      <c r="E20" s="881" t="s">
        <v>2592</v>
      </c>
    </row>
    <row r="21" spans="1:7">
      <c r="B21" s="162">
        <v>21</v>
      </c>
      <c r="C21" s="881" t="s">
        <v>3120</v>
      </c>
      <c r="D21" s="406">
        <f>审定资产负债表!C84</f>
        <v>0</v>
      </c>
      <c r="E21" s="406">
        <f>审定资产负债表!D84</f>
        <v>0</v>
      </c>
    </row>
    <row r="22" spans="1:7">
      <c r="B22" s="162">
        <v>22</v>
      </c>
      <c r="C22" s="881" t="s">
        <v>1320</v>
      </c>
      <c r="D22" s="406">
        <f>D18-D21</f>
        <v>0</v>
      </c>
      <c r="E22" s="406"/>
    </row>
    <row r="23" spans="1:7">
      <c r="B23" s="162">
        <v>23</v>
      </c>
    </row>
  </sheetData>
  <sheetProtection formatCells="0" formatColumns="0" formatRows="0" autoFilter="0"/>
  <phoneticPr fontId="5" type="noConversion"/>
  <hyperlinks>
    <hyperlink ref="A1" location="附注填写封面!B3" display="返回目录" xr:uid="{00000000-0004-0000-3D00-000000000000}"/>
    <hyperlink ref="A20" location="附注填写封面!B3" display="返回目录" xr:uid="{00000000-0004-0000-3D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43"/>
  <dimension ref="A1:E15"/>
  <sheetViews>
    <sheetView showGridLines="0" showZeros="0" workbookViewId="0">
      <selection activeCell="D11" sqref="D11"/>
    </sheetView>
  </sheetViews>
  <sheetFormatPr defaultColWidth="11.625" defaultRowHeight="12.75"/>
  <cols>
    <col min="1" max="1" width="8.625" style="344" customWidth="1"/>
    <col min="2" max="2" width="5" style="344" hidden="1" customWidth="1"/>
    <col min="3" max="3" width="35.875" style="843" customWidth="1"/>
    <col min="4" max="16384" width="11.625" style="344"/>
  </cols>
  <sheetData>
    <row r="1" spans="1:5" ht="38.25" customHeight="1">
      <c r="A1" s="764" t="s">
        <v>2260</v>
      </c>
      <c r="B1" s="343" t="s">
        <v>1446</v>
      </c>
      <c r="C1" s="759" t="s">
        <v>3121</v>
      </c>
    </row>
    <row r="2" spans="1:5">
      <c r="B2" s="162">
        <v>2</v>
      </c>
      <c r="C2" s="889" t="s">
        <v>890</v>
      </c>
      <c r="D2" s="881" t="s">
        <v>2729</v>
      </c>
      <c r="E2" s="881" t="s">
        <v>978</v>
      </c>
    </row>
    <row r="3" spans="1:5">
      <c r="B3" s="162">
        <v>3</v>
      </c>
      <c r="C3" s="340" t="s">
        <v>3122</v>
      </c>
      <c r="D3" s="961">
        <f>SUM(D4:D7)</f>
        <v>0</v>
      </c>
      <c r="E3" s="961">
        <f>SUM(E4:E7)</f>
        <v>0</v>
      </c>
    </row>
    <row r="4" spans="1:5">
      <c r="B4" s="162">
        <v>4</v>
      </c>
      <c r="C4" s="340" t="s">
        <v>3125</v>
      </c>
      <c r="D4" s="761"/>
      <c r="E4" s="761"/>
    </row>
    <row r="5" spans="1:5">
      <c r="B5" s="162">
        <v>5</v>
      </c>
      <c r="C5" s="340" t="s">
        <v>1103</v>
      </c>
      <c r="D5" s="761"/>
      <c r="E5" s="761"/>
    </row>
    <row r="6" spans="1:5">
      <c r="B6" s="162">
        <v>6</v>
      </c>
      <c r="C6" s="340" t="s">
        <v>1104</v>
      </c>
      <c r="D6" s="761"/>
      <c r="E6" s="761"/>
    </row>
    <row r="7" spans="1:5">
      <c r="B7" s="162">
        <v>7</v>
      </c>
      <c r="C7" s="340" t="s">
        <v>1105</v>
      </c>
      <c r="D7" s="761"/>
      <c r="E7" s="761"/>
    </row>
    <row r="8" spans="1:5">
      <c r="B8" s="162">
        <v>8</v>
      </c>
      <c r="C8" s="340" t="s">
        <v>3123</v>
      </c>
      <c r="D8" s="761"/>
      <c r="E8" s="761"/>
    </row>
    <row r="9" spans="1:5">
      <c r="B9" s="162">
        <v>9</v>
      </c>
      <c r="C9" s="340" t="s">
        <v>3124</v>
      </c>
      <c r="D9" s="761"/>
      <c r="E9" s="761"/>
    </row>
    <row r="10" spans="1:5">
      <c r="B10" s="162">
        <v>10</v>
      </c>
      <c r="C10" s="340" t="s">
        <v>1108</v>
      </c>
      <c r="D10" s="761"/>
      <c r="E10" s="761"/>
    </row>
    <row r="11" spans="1:5">
      <c r="B11" s="162">
        <v>11</v>
      </c>
      <c r="C11" s="889" t="s">
        <v>839</v>
      </c>
      <c r="D11" s="961">
        <f>D3+D8+D9+D10</f>
        <v>0</v>
      </c>
      <c r="E11" s="961">
        <f>E3+E8+E9+E10</f>
        <v>0</v>
      </c>
    </row>
    <row r="12" spans="1:5">
      <c r="B12" s="162">
        <v>12</v>
      </c>
    </row>
    <row r="13" spans="1:5">
      <c r="B13" s="162">
        <v>13</v>
      </c>
      <c r="C13" s="881"/>
      <c r="D13" s="881" t="s">
        <v>2591</v>
      </c>
      <c r="E13" s="881" t="s">
        <v>2733</v>
      </c>
    </row>
    <row r="14" spans="1:5">
      <c r="A14" s="764" t="s">
        <v>2260</v>
      </c>
      <c r="B14" s="162">
        <v>14</v>
      </c>
      <c r="C14" s="881" t="s">
        <v>1319</v>
      </c>
      <c r="D14" s="406">
        <f>审定资产负债表!C85</f>
        <v>0</v>
      </c>
      <c r="E14" s="406">
        <f>审定资产负债表!D85</f>
        <v>0</v>
      </c>
    </row>
    <row r="15" spans="1:5">
      <c r="B15" s="162">
        <v>15</v>
      </c>
      <c r="C15" s="881" t="s">
        <v>1320</v>
      </c>
      <c r="D15" s="406">
        <f>D11-D14</f>
        <v>0</v>
      </c>
      <c r="E15" s="406">
        <f>E11-E14</f>
        <v>0</v>
      </c>
    </row>
  </sheetData>
  <sheetProtection formatCells="0" formatColumns="0" formatRows="0" autoFilter="0"/>
  <phoneticPr fontId="5" type="noConversion"/>
  <hyperlinks>
    <hyperlink ref="A1" location="附注填写封面!B3" display="返回目录" xr:uid="{00000000-0004-0000-3E00-000000000000}"/>
    <hyperlink ref="A14" location="附注填写封面!B3" display="返回目录" xr:uid="{00000000-0004-0000-3E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42"/>
  <dimension ref="A1:G17"/>
  <sheetViews>
    <sheetView showGridLines="0" showZeros="0" workbookViewId="0">
      <pane xSplit="3" ySplit="2" topLeftCell="D3" activePane="bottomRight" state="frozen"/>
      <selection activeCell="A5" sqref="A5:A6"/>
      <selection pane="topRight" activeCell="A5" sqref="A5:A6"/>
      <selection pane="bottomLeft" activeCell="A5" sqref="A5:A6"/>
      <selection pane="bottomRight" activeCell="G3" sqref="G3"/>
    </sheetView>
  </sheetViews>
  <sheetFormatPr defaultColWidth="11.625" defaultRowHeight="12.75"/>
  <cols>
    <col min="1" max="1" width="8.125" style="344" customWidth="1"/>
    <col min="2" max="2" width="5.125" style="344" hidden="1" customWidth="1"/>
    <col min="3" max="3" width="35.875" style="843" customWidth="1"/>
    <col min="4" max="16384" width="11.625" style="344"/>
  </cols>
  <sheetData>
    <row r="1" spans="1:7" ht="33.75" customHeight="1">
      <c r="A1" s="764" t="s">
        <v>2260</v>
      </c>
      <c r="B1" s="343" t="s">
        <v>1446</v>
      </c>
      <c r="C1" s="759" t="s">
        <v>3126</v>
      </c>
    </row>
    <row r="2" spans="1:7">
      <c r="B2" s="162">
        <v>2</v>
      </c>
      <c r="C2" s="889" t="s">
        <v>1013</v>
      </c>
      <c r="D2" s="881" t="s">
        <v>2810</v>
      </c>
      <c r="E2" s="881" t="s">
        <v>978</v>
      </c>
      <c r="G2" s="1536" t="s">
        <v>4933</v>
      </c>
    </row>
    <row r="3" spans="1:7">
      <c r="A3" s="162">
        <v>1</v>
      </c>
      <c r="B3" s="162">
        <v>3</v>
      </c>
      <c r="C3" s="1434" t="s">
        <v>4723</v>
      </c>
      <c r="D3" s="400"/>
      <c r="E3" s="400"/>
    </row>
    <row r="4" spans="1:7">
      <c r="A4" s="162">
        <v>2</v>
      </c>
      <c r="B4" s="162">
        <v>4</v>
      </c>
      <c r="C4" s="340"/>
      <c r="D4" s="761"/>
      <c r="E4" s="761"/>
    </row>
    <row r="5" spans="1:7">
      <c r="A5" s="162">
        <v>3</v>
      </c>
      <c r="B5" s="162">
        <v>5</v>
      </c>
      <c r="C5" s="340"/>
      <c r="D5" s="761"/>
      <c r="E5" s="761"/>
    </row>
    <row r="6" spans="1:7">
      <c r="A6" s="162">
        <v>4</v>
      </c>
      <c r="B6" s="162">
        <v>6</v>
      </c>
      <c r="C6" s="340"/>
      <c r="D6" s="761"/>
      <c r="E6" s="761"/>
    </row>
    <row r="7" spans="1:7">
      <c r="A7" s="162">
        <v>5</v>
      </c>
      <c r="B7" s="162">
        <v>7</v>
      </c>
      <c r="C7" s="340"/>
      <c r="D7" s="761"/>
      <c r="E7" s="761"/>
    </row>
    <row r="8" spans="1:7">
      <c r="A8" s="162">
        <v>6</v>
      </c>
      <c r="B8" s="162">
        <v>8</v>
      </c>
      <c r="C8" s="340"/>
      <c r="D8" s="761"/>
      <c r="E8" s="761"/>
    </row>
    <row r="9" spans="1:7">
      <c r="A9" s="162">
        <v>7</v>
      </c>
      <c r="B9" s="162">
        <v>9</v>
      </c>
      <c r="C9" s="340"/>
      <c r="D9" s="761"/>
      <c r="E9" s="761"/>
    </row>
    <row r="10" spans="1:7">
      <c r="A10" s="162">
        <v>8</v>
      </c>
      <c r="B10" s="162">
        <v>10</v>
      </c>
      <c r="C10" s="340"/>
      <c r="D10" s="761"/>
      <c r="E10" s="761"/>
    </row>
    <row r="11" spans="1:7">
      <c r="A11" s="162">
        <v>9</v>
      </c>
      <c r="B11" s="162">
        <v>11</v>
      </c>
      <c r="C11" s="340"/>
      <c r="D11" s="761"/>
      <c r="E11" s="761"/>
    </row>
    <row r="12" spans="1:7">
      <c r="A12" s="162">
        <v>10</v>
      </c>
      <c r="B12" s="162">
        <v>12</v>
      </c>
      <c r="C12" s="340"/>
      <c r="D12" s="761"/>
      <c r="E12" s="761"/>
    </row>
    <row r="13" spans="1:7">
      <c r="B13" s="162">
        <v>13</v>
      </c>
      <c r="C13" s="337" t="s">
        <v>1115</v>
      </c>
      <c r="D13" s="406">
        <f>SUM(D3:D12)</f>
        <v>0</v>
      </c>
      <c r="E13" s="406">
        <f>SUM(E3:E12)</f>
        <v>0</v>
      </c>
    </row>
    <row r="14" spans="1:7">
      <c r="B14" s="162">
        <v>14</v>
      </c>
    </row>
    <row r="15" spans="1:7">
      <c r="A15" s="764" t="s">
        <v>2260</v>
      </c>
      <c r="B15" s="162">
        <v>15</v>
      </c>
      <c r="C15" s="881"/>
      <c r="D15" s="881" t="s">
        <v>2591</v>
      </c>
      <c r="E15" s="881" t="s">
        <v>2592</v>
      </c>
    </row>
    <row r="16" spans="1:7">
      <c r="B16" s="162">
        <v>16</v>
      </c>
      <c r="C16" s="881" t="s">
        <v>1319</v>
      </c>
      <c r="D16" s="406">
        <f>审定资产负债表!C86</f>
        <v>0</v>
      </c>
      <c r="E16" s="406">
        <f>审定资产负债表!D86</f>
        <v>0</v>
      </c>
    </row>
    <row r="17" spans="2:5">
      <c r="B17" s="162">
        <v>17</v>
      </c>
      <c r="C17" s="881" t="s">
        <v>1320</v>
      </c>
      <c r="D17" s="406">
        <f>D13-D16</f>
        <v>0</v>
      </c>
      <c r="E17" s="406">
        <f>E13-E16</f>
        <v>0</v>
      </c>
    </row>
  </sheetData>
  <sheetProtection formatCells="0" formatColumns="0" formatRows="0" autoFilter="0"/>
  <phoneticPr fontId="5" type="noConversion"/>
  <hyperlinks>
    <hyperlink ref="A1" location="附注填写封面!B3" display="返回目录" xr:uid="{00000000-0004-0000-3F00-000000000000}"/>
    <hyperlink ref="A15" location="附注填写封面!B3" display="返回目录" xr:uid="{00000000-0004-0000-3F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44"/>
  <dimension ref="A1:J77"/>
  <sheetViews>
    <sheetView showGridLines="0" showZeros="0" workbookViewId="0">
      <selection activeCell="C24" sqref="C24"/>
    </sheetView>
  </sheetViews>
  <sheetFormatPr defaultColWidth="11.625" defaultRowHeight="12.75"/>
  <cols>
    <col min="1" max="1" width="8.5" style="813" customWidth="1"/>
    <col min="2" max="2" width="4.625" style="344" hidden="1" customWidth="1"/>
    <col min="3" max="3" width="35.875" style="843" customWidth="1"/>
    <col min="4" max="7" width="11.625" style="344"/>
    <col min="8" max="8" width="12.125" style="344" customWidth="1"/>
    <col min="9" max="16384" width="11.625" style="344"/>
  </cols>
  <sheetData>
    <row r="1" spans="1:10" ht="34.5" customHeight="1">
      <c r="A1" s="963" t="s">
        <v>2260</v>
      </c>
      <c r="B1" s="343" t="s">
        <v>3134</v>
      </c>
      <c r="C1" s="759" t="s">
        <v>3127</v>
      </c>
    </row>
    <row r="2" spans="1:10">
      <c r="B2" s="162">
        <v>2</v>
      </c>
      <c r="C2" s="970" t="s">
        <v>1117</v>
      </c>
    </row>
    <row r="3" spans="1:10">
      <c r="B3" s="162">
        <v>3</v>
      </c>
      <c r="C3" s="889" t="s">
        <v>1118</v>
      </c>
      <c r="D3" s="881" t="s">
        <v>3135</v>
      </c>
      <c r="E3" s="881" t="s">
        <v>3136</v>
      </c>
      <c r="F3" s="1284" t="s">
        <v>4448</v>
      </c>
    </row>
    <row r="4" spans="1:10">
      <c r="B4" s="162">
        <v>4</v>
      </c>
      <c r="C4" s="340" t="s">
        <v>1037</v>
      </c>
      <c r="D4" s="761"/>
      <c r="E4" s="761"/>
      <c r="F4" s="1284"/>
    </row>
    <row r="5" spans="1:10">
      <c r="B5" s="162">
        <v>5</v>
      </c>
      <c r="C5" s="340" t="s">
        <v>1038</v>
      </c>
      <c r="D5" s="761"/>
      <c r="E5" s="761"/>
      <c r="F5" s="1284"/>
    </row>
    <row r="6" spans="1:10">
      <c r="B6" s="162">
        <v>6</v>
      </c>
      <c r="C6" s="340" t="s">
        <v>1039</v>
      </c>
      <c r="D6" s="761"/>
      <c r="E6" s="761"/>
      <c r="F6" s="1284"/>
    </row>
    <row r="7" spans="1:10">
      <c r="B7" s="162">
        <v>7</v>
      </c>
      <c r="C7" s="340" t="s">
        <v>1040</v>
      </c>
      <c r="D7" s="761"/>
      <c r="E7" s="761"/>
      <c r="F7" s="1284"/>
    </row>
    <row r="8" spans="1:10">
      <c r="B8" s="162">
        <v>8</v>
      </c>
      <c r="C8" s="889" t="s">
        <v>836</v>
      </c>
      <c r="D8" s="961">
        <f>SUM(D4:D7)</f>
        <v>0</v>
      </c>
      <c r="E8" s="961">
        <f>SUM(E4:E7)</f>
        <v>0</v>
      </c>
      <c r="F8" s="1284"/>
    </row>
    <row r="9" spans="1:10">
      <c r="B9" s="162">
        <v>9</v>
      </c>
      <c r="C9" s="340" t="s">
        <v>1119</v>
      </c>
      <c r="D9" s="761"/>
      <c r="E9" s="761"/>
      <c r="F9" s="1284"/>
    </row>
    <row r="10" spans="1:10">
      <c r="B10" s="162">
        <v>10</v>
      </c>
      <c r="C10" s="889" t="s">
        <v>1005</v>
      </c>
      <c r="D10" s="961">
        <f>D8-D9</f>
        <v>0</v>
      </c>
      <c r="E10" s="961">
        <f>E8-E9</f>
        <v>0</v>
      </c>
      <c r="F10" s="1284"/>
    </row>
    <row r="11" spans="1:10">
      <c r="A11" s="963" t="s">
        <v>2260</v>
      </c>
      <c r="B11" s="162">
        <v>11</v>
      </c>
    </row>
    <row r="12" spans="1:10">
      <c r="B12" s="162">
        <v>12</v>
      </c>
      <c r="C12" s="970" t="s">
        <v>3133</v>
      </c>
    </row>
    <row r="13" spans="1:10" ht="24">
      <c r="B13" s="162">
        <v>13</v>
      </c>
      <c r="C13" s="889" t="s">
        <v>3034</v>
      </c>
      <c r="D13" s="889" t="s">
        <v>3128</v>
      </c>
      <c r="E13" s="889" t="s">
        <v>3129</v>
      </c>
      <c r="F13" s="889" t="s">
        <v>1118</v>
      </c>
      <c r="G13" s="889" t="s">
        <v>3130</v>
      </c>
      <c r="H13" s="889" t="s">
        <v>3035</v>
      </c>
      <c r="I13" s="889" t="s">
        <v>3131</v>
      </c>
      <c r="J13" s="888" t="s">
        <v>3132</v>
      </c>
    </row>
    <row r="14" spans="1:10">
      <c r="A14" s="810">
        <v>1</v>
      </c>
      <c r="B14" s="162">
        <v>14</v>
      </c>
      <c r="C14" s="987"/>
      <c r="D14" s="761"/>
      <c r="E14" s="1004"/>
      <c r="F14" s="889"/>
      <c r="G14" s="889"/>
      <c r="H14" s="889"/>
      <c r="I14" s="889"/>
      <c r="J14" s="888"/>
    </row>
    <row r="15" spans="1:10">
      <c r="A15" s="810">
        <v>2</v>
      </c>
      <c r="B15" s="162">
        <v>15</v>
      </c>
      <c r="C15" s="987"/>
      <c r="D15" s="761"/>
      <c r="E15" s="1004"/>
      <c r="F15" s="889"/>
      <c r="G15" s="889"/>
      <c r="H15" s="889"/>
      <c r="I15" s="889"/>
      <c r="J15" s="888"/>
    </row>
    <row r="16" spans="1:10">
      <c r="A16" s="810">
        <v>3</v>
      </c>
      <c r="B16" s="162">
        <v>16</v>
      </c>
      <c r="C16" s="987"/>
      <c r="D16" s="761"/>
      <c r="E16" s="1004"/>
      <c r="F16" s="889"/>
      <c r="G16" s="889"/>
      <c r="H16" s="889"/>
      <c r="I16" s="889"/>
      <c r="J16" s="888"/>
    </row>
    <row r="17" spans="1:10">
      <c r="A17" s="810">
        <v>4</v>
      </c>
      <c r="B17" s="162">
        <v>17</v>
      </c>
      <c r="C17" s="987"/>
      <c r="D17" s="761"/>
      <c r="E17" s="1004"/>
      <c r="F17" s="889"/>
      <c r="G17" s="889"/>
      <c r="H17" s="889"/>
      <c r="I17" s="889"/>
      <c r="J17" s="888"/>
    </row>
    <row r="18" spans="1:10">
      <c r="A18" s="810">
        <v>5</v>
      </c>
      <c r="B18" s="162">
        <v>18</v>
      </c>
      <c r="C18" s="987"/>
      <c r="D18" s="761"/>
      <c r="E18" s="1004"/>
      <c r="F18" s="889"/>
      <c r="G18" s="889"/>
      <c r="H18" s="889"/>
      <c r="I18" s="889"/>
      <c r="J18" s="888"/>
    </row>
    <row r="19" spans="1:10">
      <c r="A19" s="810">
        <v>6</v>
      </c>
      <c r="B19" s="162">
        <v>19</v>
      </c>
      <c r="C19" s="987"/>
      <c r="D19" s="761"/>
      <c r="E19" s="1004"/>
      <c r="F19" s="889"/>
      <c r="G19" s="889"/>
      <c r="H19" s="889"/>
      <c r="I19" s="889"/>
      <c r="J19" s="888"/>
    </row>
    <row r="20" spans="1:10">
      <c r="A20" s="810">
        <v>7</v>
      </c>
      <c r="B20" s="162">
        <v>20</v>
      </c>
      <c r="C20" s="987"/>
      <c r="D20" s="761"/>
      <c r="E20" s="1004"/>
      <c r="F20" s="889"/>
      <c r="G20" s="889"/>
      <c r="H20" s="889"/>
      <c r="I20" s="889"/>
      <c r="J20" s="888"/>
    </row>
    <row r="21" spans="1:10">
      <c r="A21" s="810">
        <v>8</v>
      </c>
      <c r="B21" s="162">
        <v>21</v>
      </c>
      <c r="C21" s="987"/>
      <c r="D21" s="761"/>
      <c r="E21" s="1004"/>
      <c r="F21" s="889"/>
      <c r="G21" s="889"/>
      <c r="H21" s="889"/>
      <c r="I21" s="889"/>
      <c r="J21" s="888"/>
    </row>
    <row r="22" spans="1:10">
      <c r="A22" s="810">
        <v>9</v>
      </c>
      <c r="B22" s="162">
        <v>22</v>
      </c>
      <c r="C22" s="987"/>
      <c r="D22" s="761"/>
      <c r="E22" s="1004"/>
      <c r="F22" s="889"/>
      <c r="G22" s="889"/>
      <c r="H22" s="889"/>
      <c r="I22" s="889"/>
      <c r="J22" s="888"/>
    </row>
    <row r="23" spans="1:10">
      <c r="A23" s="810">
        <v>10</v>
      </c>
      <c r="B23" s="162">
        <v>23</v>
      </c>
      <c r="C23" s="987"/>
      <c r="D23" s="761"/>
      <c r="E23" s="1004"/>
      <c r="F23" s="889"/>
      <c r="G23" s="889"/>
      <c r="H23" s="889"/>
      <c r="I23" s="889"/>
      <c r="J23" s="888"/>
    </row>
    <row r="24" spans="1:10">
      <c r="A24" s="811" t="str">
        <f>HYPERLINK("#C1","置顶")</f>
        <v>置顶</v>
      </c>
      <c r="B24" s="162">
        <v>24</v>
      </c>
      <c r="C24" s="337" t="s">
        <v>836</v>
      </c>
      <c r="D24" s="961">
        <f>SUM(D14:D23)</f>
        <v>0</v>
      </c>
      <c r="E24" s="1004"/>
      <c r="F24" s="889"/>
      <c r="G24" s="889"/>
      <c r="H24" s="889"/>
      <c r="I24" s="889"/>
      <c r="J24" s="888"/>
    </row>
    <row r="25" spans="1:10">
      <c r="B25" s="162">
        <v>25</v>
      </c>
    </row>
    <row r="26" spans="1:10">
      <c r="A26" s="963"/>
      <c r="B26" s="162">
        <v>26</v>
      </c>
    </row>
    <row r="27" spans="1:10" s="395" customFormat="1" hidden="1">
      <c r="A27" s="963" t="s">
        <v>2260</v>
      </c>
      <c r="B27" s="162">
        <v>27</v>
      </c>
      <c r="C27" s="952" t="s">
        <v>3042</v>
      </c>
    </row>
    <row r="28" spans="1:10" s="395" customFormat="1" hidden="1">
      <c r="A28" s="813"/>
      <c r="B28" s="162">
        <v>28</v>
      </c>
      <c r="C28" s="881" t="s">
        <v>3034</v>
      </c>
      <c r="D28" s="881" t="s">
        <v>3036</v>
      </c>
      <c r="E28" s="881" t="s">
        <v>3037</v>
      </c>
    </row>
    <row r="29" spans="1:10" s="395" customFormat="1" hidden="1">
      <c r="A29" s="988">
        <v>1</v>
      </c>
      <c r="B29" s="162">
        <v>29</v>
      </c>
      <c r="C29" s="989"/>
      <c r="D29" s="989"/>
      <c r="E29" s="989"/>
    </row>
    <row r="30" spans="1:10" s="395" customFormat="1" hidden="1">
      <c r="A30" s="988">
        <v>2</v>
      </c>
      <c r="B30" s="162">
        <v>30</v>
      </c>
      <c r="C30" s="989"/>
      <c r="D30" s="989"/>
      <c r="E30" s="989"/>
    </row>
    <row r="31" spans="1:10" s="395" customFormat="1" hidden="1">
      <c r="A31" s="988">
        <v>3</v>
      </c>
      <c r="B31" s="162">
        <v>31</v>
      </c>
      <c r="C31" s="989"/>
      <c r="D31" s="989"/>
      <c r="E31" s="989"/>
    </row>
    <row r="32" spans="1:10" s="395" customFormat="1" hidden="1">
      <c r="A32" s="988">
        <v>4</v>
      </c>
      <c r="B32" s="162">
        <v>32</v>
      </c>
      <c r="C32" s="989"/>
      <c r="D32" s="989"/>
      <c r="E32" s="989"/>
    </row>
    <row r="33" spans="1:5" s="395" customFormat="1" hidden="1">
      <c r="A33" s="988">
        <v>5</v>
      </c>
      <c r="B33" s="162">
        <v>33</v>
      </c>
      <c r="C33" s="989"/>
      <c r="D33" s="989"/>
      <c r="E33" s="989"/>
    </row>
    <row r="34" spans="1:5" s="395" customFormat="1" hidden="1">
      <c r="A34" s="988">
        <v>6</v>
      </c>
      <c r="B34" s="162">
        <v>34</v>
      </c>
      <c r="C34" s="989"/>
      <c r="D34" s="989"/>
      <c r="E34" s="989"/>
    </row>
    <row r="35" spans="1:5" s="395" customFormat="1" hidden="1">
      <c r="A35" s="988">
        <v>7</v>
      </c>
      <c r="B35" s="162">
        <v>35</v>
      </c>
      <c r="C35" s="989"/>
      <c r="D35" s="989"/>
      <c r="E35" s="989"/>
    </row>
    <row r="36" spans="1:5" s="395" customFormat="1" hidden="1">
      <c r="A36" s="988">
        <v>8</v>
      </c>
      <c r="B36" s="162">
        <v>36</v>
      </c>
      <c r="C36" s="989"/>
      <c r="D36" s="989"/>
      <c r="E36" s="989"/>
    </row>
    <row r="37" spans="1:5" s="395" customFormat="1" hidden="1">
      <c r="A37" s="988">
        <v>9</v>
      </c>
      <c r="B37" s="162">
        <v>37</v>
      </c>
      <c r="C37" s="989"/>
      <c r="D37" s="989"/>
      <c r="E37" s="989"/>
    </row>
    <row r="38" spans="1:5" s="395" customFormat="1" hidden="1">
      <c r="A38" s="988">
        <v>10</v>
      </c>
      <c r="B38" s="162">
        <v>38</v>
      </c>
      <c r="C38" s="989"/>
      <c r="D38" s="989"/>
      <c r="E38" s="989"/>
    </row>
    <row r="39" spans="1:5" s="395" customFormat="1" hidden="1">
      <c r="A39" s="811" t="str">
        <f>HYPERLINK("#C1","置顶")</f>
        <v>置顶</v>
      </c>
      <c r="B39" s="162">
        <v>39</v>
      </c>
      <c r="C39" s="337" t="s">
        <v>836</v>
      </c>
      <c r="D39" s="990">
        <f>SUM(D29:D38)</f>
        <v>0</v>
      </c>
      <c r="E39" s="991" t="s">
        <v>265</v>
      </c>
    </row>
    <row r="40" spans="1:5" s="395" customFormat="1" hidden="1">
      <c r="A40" s="988"/>
      <c r="B40" s="162">
        <v>40</v>
      </c>
    </row>
    <row r="41" spans="1:5" s="395" customFormat="1" hidden="1">
      <c r="A41" s="963" t="s">
        <v>2260</v>
      </c>
      <c r="B41" s="162">
        <v>41</v>
      </c>
      <c r="C41" s="952" t="s">
        <v>3043</v>
      </c>
    </row>
    <row r="42" spans="1:5" s="395" customFormat="1" hidden="1">
      <c r="A42" s="813"/>
      <c r="B42" s="162">
        <v>42</v>
      </c>
      <c r="C42" s="881" t="s">
        <v>3034</v>
      </c>
      <c r="D42" s="881" t="s">
        <v>3036</v>
      </c>
      <c r="E42" s="881" t="s">
        <v>3038</v>
      </c>
    </row>
    <row r="43" spans="1:5" s="395" customFormat="1" hidden="1">
      <c r="A43" s="988">
        <v>1</v>
      </c>
      <c r="B43" s="162">
        <v>43</v>
      </c>
      <c r="C43" s="989"/>
      <c r="D43" s="989"/>
      <c r="E43" s="989"/>
    </row>
    <row r="44" spans="1:5" s="395" customFormat="1" hidden="1">
      <c r="A44" s="988">
        <v>2</v>
      </c>
      <c r="B44" s="162">
        <v>44</v>
      </c>
      <c r="C44" s="989"/>
      <c r="D44" s="989"/>
      <c r="E44" s="989"/>
    </row>
    <row r="45" spans="1:5" s="395" customFormat="1" hidden="1">
      <c r="A45" s="988">
        <v>3</v>
      </c>
      <c r="B45" s="162">
        <v>45</v>
      </c>
      <c r="C45" s="989"/>
      <c r="D45" s="989"/>
      <c r="E45" s="989"/>
    </row>
    <row r="46" spans="1:5" s="395" customFormat="1" hidden="1">
      <c r="A46" s="988">
        <v>4</v>
      </c>
      <c r="B46" s="162">
        <v>46</v>
      </c>
      <c r="C46" s="989"/>
      <c r="D46" s="989"/>
      <c r="E46" s="989"/>
    </row>
    <row r="47" spans="1:5" s="395" customFormat="1" hidden="1">
      <c r="A47" s="988">
        <v>5</v>
      </c>
      <c r="B47" s="162">
        <v>47</v>
      </c>
      <c r="C47" s="989"/>
      <c r="D47" s="989"/>
      <c r="E47" s="989"/>
    </row>
    <row r="48" spans="1:5" s="395" customFormat="1" hidden="1">
      <c r="A48" s="988">
        <v>6</v>
      </c>
      <c r="B48" s="162">
        <v>48</v>
      </c>
      <c r="C48" s="989"/>
      <c r="D48" s="989"/>
      <c r="E48" s="989"/>
    </row>
    <row r="49" spans="1:5" s="395" customFormat="1" hidden="1">
      <c r="A49" s="988">
        <v>7</v>
      </c>
      <c r="B49" s="162">
        <v>49</v>
      </c>
      <c r="C49" s="989"/>
      <c r="D49" s="989"/>
      <c r="E49" s="989"/>
    </row>
    <row r="50" spans="1:5" s="395" customFormat="1" hidden="1">
      <c r="A50" s="988">
        <v>8</v>
      </c>
      <c r="B50" s="162">
        <v>50</v>
      </c>
      <c r="C50" s="989"/>
      <c r="D50" s="989"/>
      <c r="E50" s="989"/>
    </row>
    <row r="51" spans="1:5" s="395" customFormat="1" hidden="1">
      <c r="A51" s="988">
        <v>9</v>
      </c>
      <c r="B51" s="162">
        <v>51</v>
      </c>
      <c r="C51" s="989"/>
      <c r="D51" s="989"/>
      <c r="E51" s="989"/>
    </row>
    <row r="52" spans="1:5" s="395" customFormat="1" hidden="1">
      <c r="A52" s="988">
        <v>10</v>
      </c>
      <c r="B52" s="162">
        <v>52</v>
      </c>
      <c r="C52" s="989"/>
      <c r="D52" s="989"/>
      <c r="E52" s="989"/>
    </row>
    <row r="53" spans="1:5" s="395" customFormat="1" hidden="1">
      <c r="A53" s="811" t="str">
        <f>HYPERLINK("#C1","置顶")</f>
        <v>置顶</v>
      </c>
      <c r="B53" s="162">
        <v>53</v>
      </c>
      <c r="C53" s="337" t="s">
        <v>836</v>
      </c>
      <c r="D53" s="990">
        <f>SUM(D43:D52)</f>
        <v>0</v>
      </c>
      <c r="E53" s="991" t="s">
        <v>265</v>
      </c>
    </row>
    <row r="54" spans="1:5" s="395" customFormat="1" hidden="1">
      <c r="A54" s="988"/>
      <c r="B54" s="162">
        <v>54</v>
      </c>
    </row>
    <row r="55" spans="1:5" s="395" customFormat="1" hidden="1">
      <c r="A55" s="963" t="s">
        <v>2260</v>
      </c>
      <c r="B55" s="162">
        <v>55</v>
      </c>
      <c r="C55" s="952" t="s">
        <v>3044</v>
      </c>
    </row>
    <row r="56" spans="1:5" s="395" customFormat="1" hidden="1">
      <c r="A56" s="813"/>
      <c r="B56" s="162">
        <v>56</v>
      </c>
      <c r="C56" s="881" t="s">
        <v>3034</v>
      </c>
      <c r="D56" s="881" t="s">
        <v>3036</v>
      </c>
      <c r="E56" s="881" t="s">
        <v>3039</v>
      </c>
    </row>
    <row r="57" spans="1:5" s="395" customFormat="1" hidden="1">
      <c r="A57" s="988">
        <v>1</v>
      </c>
      <c r="B57" s="162">
        <v>57</v>
      </c>
      <c r="C57" s="989"/>
      <c r="D57" s="989"/>
      <c r="E57" s="989"/>
    </row>
    <row r="58" spans="1:5" s="395" customFormat="1" hidden="1">
      <c r="A58" s="988">
        <v>2</v>
      </c>
      <c r="B58" s="162">
        <v>58</v>
      </c>
      <c r="C58" s="989"/>
      <c r="D58" s="989"/>
      <c r="E58" s="989"/>
    </row>
    <row r="59" spans="1:5" s="395" customFormat="1" hidden="1">
      <c r="A59" s="988">
        <v>3</v>
      </c>
      <c r="B59" s="162">
        <v>59</v>
      </c>
      <c r="C59" s="989"/>
      <c r="D59" s="989"/>
      <c r="E59" s="989"/>
    </row>
    <row r="60" spans="1:5" s="395" customFormat="1" hidden="1">
      <c r="A60" s="988">
        <v>4</v>
      </c>
      <c r="B60" s="162">
        <v>60</v>
      </c>
      <c r="C60" s="989"/>
      <c r="D60" s="989"/>
      <c r="E60" s="989"/>
    </row>
    <row r="61" spans="1:5" s="395" customFormat="1" hidden="1">
      <c r="A61" s="988">
        <v>5</v>
      </c>
      <c r="B61" s="162">
        <v>61</v>
      </c>
      <c r="C61" s="989"/>
      <c r="D61" s="989"/>
      <c r="E61" s="989"/>
    </row>
    <row r="62" spans="1:5" s="395" customFormat="1" hidden="1">
      <c r="A62" s="988">
        <v>6</v>
      </c>
      <c r="B62" s="162">
        <v>62</v>
      </c>
      <c r="C62" s="989"/>
      <c r="D62" s="989"/>
      <c r="E62" s="989"/>
    </row>
    <row r="63" spans="1:5" s="395" customFormat="1" hidden="1">
      <c r="A63" s="988">
        <v>7</v>
      </c>
      <c r="B63" s="162">
        <v>63</v>
      </c>
      <c r="C63" s="989"/>
      <c r="D63" s="989"/>
      <c r="E63" s="989"/>
    </row>
    <row r="64" spans="1:5" s="395" customFormat="1" hidden="1">
      <c r="A64" s="988">
        <v>8</v>
      </c>
      <c r="B64" s="162">
        <v>64</v>
      </c>
      <c r="C64" s="989"/>
      <c r="D64" s="989"/>
      <c r="E64" s="989"/>
    </row>
    <row r="65" spans="1:5" s="395" customFormat="1" hidden="1">
      <c r="A65" s="988">
        <v>9</v>
      </c>
      <c r="B65" s="162">
        <v>65</v>
      </c>
      <c r="C65" s="989"/>
      <c r="D65" s="989"/>
      <c r="E65" s="989"/>
    </row>
    <row r="66" spans="1:5" s="395" customFormat="1" hidden="1">
      <c r="A66" s="988">
        <v>10</v>
      </c>
      <c r="B66" s="162">
        <v>66</v>
      </c>
      <c r="C66" s="989"/>
      <c r="D66" s="989"/>
      <c r="E66" s="989"/>
    </row>
    <row r="67" spans="1:5" s="395" customFormat="1" hidden="1">
      <c r="A67" s="988"/>
      <c r="B67" s="162">
        <v>67</v>
      </c>
      <c r="C67" s="337" t="s">
        <v>836</v>
      </c>
      <c r="D67" s="990">
        <f>SUM(D57:D66)</f>
        <v>0</v>
      </c>
      <c r="E67" s="991" t="s">
        <v>265</v>
      </c>
    </row>
    <row r="68" spans="1:5">
      <c r="B68" s="162">
        <v>68</v>
      </c>
    </row>
    <row r="69" spans="1:5">
      <c r="A69" s="811" t="str">
        <f>HYPERLINK("#C1","置顶")</f>
        <v>置顶</v>
      </c>
      <c r="B69" s="162">
        <v>69</v>
      </c>
      <c r="C69" s="881"/>
      <c r="D69" s="881" t="s">
        <v>2732</v>
      </c>
      <c r="E69" s="881" t="s">
        <v>2592</v>
      </c>
    </row>
    <row r="70" spans="1:5">
      <c r="B70" s="162">
        <v>70</v>
      </c>
      <c r="C70" s="881" t="s">
        <v>1319</v>
      </c>
      <c r="D70" s="406">
        <f>审定资产负债表!C89</f>
        <v>0</v>
      </c>
      <c r="E70" s="406">
        <f>审定资产负债表!D89</f>
        <v>0</v>
      </c>
    </row>
    <row r="71" spans="1:5">
      <c r="B71" s="162">
        <v>71</v>
      </c>
      <c r="C71" s="881" t="s">
        <v>1320</v>
      </c>
      <c r="D71" s="406">
        <f>D10-D70</f>
        <v>0</v>
      </c>
      <c r="E71" s="406">
        <f>E10-E70</f>
        <v>0</v>
      </c>
    </row>
    <row r="72" spans="1:5">
      <c r="B72" s="162">
        <v>72</v>
      </c>
    </row>
    <row r="73" spans="1:5">
      <c r="B73" s="162">
        <v>73</v>
      </c>
    </row>
    <row r="74" spans="1:5">
      <c r="B74" s="162">
        <v>74</v>
      </c>
      <c r="C74" s="344"/>
    </row>
    <row r="75" spans="1:5">
      <c r="B75" s="162">
        <v>75</v>
      </c>
      <c r="C75" s="344"/>
    </row>
    <row r="76" spans="1:5">
      <c r="A76" s="963" t="s">
        <v>2260</v>
      </c>
      <c r="B76" s="162">
        <v>76</v>
      </c>
      <c r="C76" s="344"/>
    </row>
    <row r="77" spans="1:5">
      <c r="B77" s="162">
        <v>77</v>
      </c>
      <c r="C77" s="344"/>
    </row>
  </sheetData>
  <sheetProtection formatCells="0" formatColumns="0" formatRows="0" autoFilter="0"/>
  <phoneticPr fontId="5" type="noConversion"/>
  <hyperlinks>
    <hyperlink ref="A1" location="附注填写封面!B3" display="返回目录" xr:uid="{00000000-0004-0000-4000-000000000000}"/>
    <hyperlink ref="A11" location="附注填写封面!B3" display="返回目录" xr:uid="{00000000-0004-0000-4000-000001000000}"/>
    <hyperlink ref="A27" location="附注填写封面!B3" display="返回目录" xr:uid="{00000000-0004-0000-4000-000002000000}"/>
    <hyperlink ref="A41" location="附注填写封面!B3" display="返回目录" xr:uid="{00000000-0004-0000-4000-000003000000}"/>
    <hyperlink ref="A55" location="附注填写封面!B3" display="返回目录" xr:uid="{00000000-0004-0000-4000-000004000000}"/>
    <hyperlink ref="A76" location="附注填写封面!B3" display="返回目录" xr:uid="{00000000-0004-0000-4000-000005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73"/>
  <dimension ref="A1:M30"/>
  <sheetViews>
    <sheetView showGridLines="0" showZeros="0" workbookViewId="0">
      <pane xSplit="3" ySplit="3" topLeftCell="D7" activePane="bottomRight" state="frozen"/>
      <selection sqref="A1:XFD1048576"/>
      <selection pane="topRight" sqref="A1:XFD1048576"/>
      <selection pane="bottomLeft" sqref="A1:XFD1048576"/>
      <selection pane="bottomRight" activeCell="D25" sqref="D25"/>
    </sheetView>
  </sheetViews>
  <sheetFormatPr defaultColWidth="11.625" defaultRowHeight="12.75"/>
  <cols>
    <col min="1" max="1" width="7.625" style="344" customWidth="1"/>
    <col min="2" max="2" width="4.625" style="344" hidden="1" customWidth="1"/>
    <col min="3" max="3" width="35.875" style="843" customWidth="1"/>
    <col min="4" max="16384" width="11.625" style="344"/>
  </cols>
  <sheetData>
    <row r="1" spans="1:13" ht="24.95" customHeight="1">
      <c r="A1" s="764" t="s">
        <v>2260</v>
      </c>
      <c r="B1" s="343" t="s">
        <v>1446</v>
      </c>
      <c r="C1" s="759" t="s">
        <v>3192</v>
      </c>
    </row>
    <row r="2" spans="1:13" ht="12.75" customHeight="1">
      <c r="A2" s="764"/>
      <c r="B2" s="343"/>
      <c r="C2" s="759" t="s">
        <v>3193</v>
      </c>
    </row>
    <row r="3" spans="1:13" ht="12.75" customHeight="1">
      <c r="A3" s="764"/>
      <c r="B3" s="343"/>
      <c r="C3" s="891" t="s">
        <v>1013</v>
      </c>
      <c r="D3" s="891" t="s">
        <v>527</v>
      </c>
      <c r="E3" s="891" t="s">
        <v>526</v>
      </c>
    </row>
    <row r="4" spans="1:13" ht="12.75" customHeight="1">
      <c r="A4" s="764"/>
      <c r="B4" s="343"/>
      <c r="C4" s="815"/>
      <c r="D4" s="795"/>
      <c r="E4" s="795"/>
    </row>
    <row r="5" spans="1:13" ht="12.75" customHeight="1">
      <c r="A5" s="764"/>
      <c r="B5" s="343"/>
      <c r="C5" s="815"/>
      <c r="D5" s="795"/>
      <c r="E5" s="795"/>
    </row>
    <row r="6" spans="1:13" ht="12.75" customHeight="1">
      <c r="A6" s="764"/>
      <c r="B6" s="343"/>
      <c r="C6" s="815"/>
      <c r="D6" s="795"/>
      <c r="E6" s="795"/>
    </row>
    <row r="7" spans="1:13" ht="12.75" customHeight="1">
      <c r="A7" s="764"/>
      <c r="B7" s="343"/>
      <c r="C7" s="815"/>
      <c r="D7" s="795"/>
      <c r="E7" s="795"/>
    </row>
    <row r="8" spans="1:13" ht="12.75" customHeight="1">
      <c r="A8" s="764"/>
      <c r="B8" s="343"/>
      <c r="C8" s="815"/>
      <c r="D8" s="795"/>
      <c r="E8" s="795"/>
    </row>
    <row r="9" spans="1:13" ht="12.75" customHeight="1">
      <c r="A9" s="764"/>
      <c r="B9" s="343"/>
      <c r="C9" s="891" t="s">
        <v>823</v>
      </c>
      <c r="D9" s="795">
        <f>SUM(D4:D8)</f>
        <v>0</v>
      </c>
      <c r="E9" s="795">
        <f>SUM(E4:E8)</f>
        <v>0</v>
      </c>
    </row>
    <row r="10" spans="1:13" ht="12.75" customHeight="1">
      <c r="A10" s="764"/>
      <c r="B10" s="343"/>
      <c r="C10" s="759"/>
    </row>
    <row r="11" spans="1:13" ht="12.75" customHeight="1">
      <c r="A11" s="764"/>
      <c r="B11" s="343"/>
      <c r="C11" s="759" t="s">
        <v>3201</v>
      </c>
    </row>
    <row r="12" spans="1:13" ht="24">
      <c r="B12" s="162">
        <v>2</v>
      </c>
      <c r="C12" s="889" t="s">
        <v>3137</v>
      </c>
      <c r="D12" s="337" t="s">
        <v>3202</v>
      </c>
      <c r="E12" s="337" t="s">
        <v>3203</v>
      </c>
      <c r="F12" s="337" t="s">
        <v>3204</v>
      </c>
      <c r="G12" s="337" t="s">
        <v>3138</v>
      </c>
      <c r="H12" s="337" t="s">
        <v>3139</v>
      </c>
      <c r="I12" s="337" t="s">
        <v>3140</v>
      </c>
      <c r="J12" s="337" t="s">
        <v>3141</v>
      </c>
      <c r="K12" s="337" t="s">
        <v>3142</v>
      </c>
      <c r="L12" s="337" t="s">
        <v>3143</v>
      </c>
      <c r="M12" s="337" t="s">
        <v>527</v>
      </c>
    </row>
    <row r="13" spans="1:13">
      <c r="A13" s="162">
        <v>1</v>
      </c>
      <c r="B13" s="162">
        <v>3</v>
      </c>
      <c r="C13" s="916" t="s">
        <v>3144</v>
      </c>
      <c r="D13" s="400"/>
      <c r="E13" s="337"/>
      <c r="F13" s="337"/>
      <c r="G13" s="400"/>
      <c r="H13" s="400"/>
      <c r="I13" s="400"/>
      <c r="J13" s="400"/>
      <c r="K13" s="400"/>
      <c r="L13" s="400"/>
      <c r="M13" s="400"/>
    </row>
    <row r="14" spans="1:13">
      <c r="A14" s="162">
        <v>2</v>
      </c>
      <c r="B14" s="162">
        <v>4</v>
      </c>
      <c r="C14" s="916"/>
      <c r="D14" s="400"/>
      <c r="E14" s="337"/>
      <c r="F14" s="337"/>
      <c r="G14" s="400"/>
      <c r="H14" s="400"/>
      <c r="I14" s="400"/>
      <c r="J14" s="400"/>
      <c r="K14" s="400"/>
      <c r="L14" s="400"/>
      <c r="M14" s="400"/>
    </row>
    <row r="15" spans="1:13">
      <c r="A15" s="162">
        <v>3</v>
      </c>
      <c r="B15" s="162">
        <v>5</v>
      </c>
      <c r="C15" s="916"/>
      <c r="D15" s="400"/>
      <c r="E15" s="337"/>
      <c r="F15" s="337"/>
      <c r="G15" s="400"/>
      <c r="H15" s="400"/>
      <c r="I15" s="400"/>
      <c r="J15" s="400"/>
      <c r="K15" s="400"/>
      <c r="L15" s="400"/>
      <c r="M15" s="400"/>
    </row>
    <row r="16" spans="1:13">
      <c r="A16" s="162">
        <v>4</v>
      </c>
      <c r="B16" s="162">
        <v>6</v>
      </c>
      <c r="C16" s="916"/>
      <c r="D16" s="400"/>
      <c r="E16" s="337"/>
      <c r="F16" s="337"/>
      <c r="G16" s="400"/>
      <c r="H16" s="400"/>
      <c r="I16" s="400"/>
      <c r="J16" s="400"/>
      <c r="K16" s="400"/>
      <c r="L16" s="400"/>
      <c r="M16" s="400"/>
    </row>
    <row r="17" spans="1:13">
      <c r="A17" s="162">
        <v>5</v>
      </c>
      <c r="B17" s="162">
        <v>7</v>
      </c>
      <c r="C17" s="916"/>
      <c r="D17" s="400"/>
      <c r="E17" s="337"/>
      <c r="F17" s="337"/>
      <c r="G17" s="400"/>
      <c r="H17" s="400"/>
      <c r="I17" s="400"/>
      <c r="J17" s="400"/>
      <c r="K17" s="400"/>
      <c r="L17" s="400"/>
      <c r="M17" s="400"/>
    </row>
    <row r="18" spans="1:13">
      <c r="A18" s="162">
        <v>6</v>
      </c>
      <c r="B18" s="162">
        <v>8</v>
      </c>
      <c r="C18" s="916"/>
      <c r="D18" s="400"/>
      <c r="E18" s="337"/>
      <c r="F18" s="337"/>
      <c r="G18" s="400"/>
      <c r="H18" s="400"/>
      <c r="I18" s="400"/>
      <c r="J18" s="400"/>
      <c r="K18" s="400"/>
      <c r="L18" s="400"/>
      <c r="M18" s="400"/>
    </row>
    <row r="19" spans="1:13">
      <c r="A19" s="162">
        <v>7</v>
      </c>
      <c r="B19" s="162">
        <v>9</v>
      </c>
      <c r="C19" s="916"/>
      <c r="D19" s="400"/>
      <c r="E19" s="337"/>
      <c r="F19" s="337"/>
      <c r="G19" s="400"/>
      <c r="H19" s="400"/>
      <c r="I19" s="400"/>
      <c r="J19" s="400"/>
      <c r="K19" s="400"/>
      <c r="L19" s="400"/>
      <c r="M19" s="400"/>
    </row>
    <row r="20" spans="1:13">
      <c r="A20" s="162">
        <v>8</v>
      </c>
      <c r="B20" s="162">
        <v>10</v>
      </c>
      <c r="C20" s="916"/>
      <c r="D20" s="400"/>
      <c r="E20" s="337"/>
      <c r="F20" s="337"/>
      <c r="G20" s="400"/>
      <c r="H20" s="400"/>
      <c r="I20" s="400"/>
      <c r="J20" s="400"/>
      <c r="K20" s="400"/>
      <c r="L20" s="400"/>
      <c r="M20" s="400"/>
    </row>
    <row r="21" spans="1:13">
      <c r="A21" s="162">
        <v>9</v>
      </c>
      <c r="B21" s="162">
        <v>11</v>
      </c>
      <c r="C21" s="916"/>
      <c r="D21" s="400"/>
      <c r="E21" s="337"/>
      <c r="F21" s="337"/>
      <c r="G21" s="400"/>
      <c r="H21" s="400"/>
      <c r="I21" s="400"/>
      <c r="J21" s="400"/>
      <c r="K21" s="400"/>
      <c r="L21" s="400"/>
      <c r="M21" s="400"/>
    </row>
    <row r="22" spans="1:13">
      <c r="A22" s="162">
        <v>10</v>
      </c>
      <c r="B22" s="162">
        <v>12</v>
      </c>
      <c r="C22" s="916"/>
      <c r="D22" s="400"/>
      <c r="E22" s="337"/>
      <c r="F22" s="337"/>
      <c r="G22" s="400"/>
      <c r="H22" s="400"/>
      <c r="I22" s="400"/>
      <c r="J22" s="400"/>
      <c r="K22" s="400"/>
      <c r="L22" s="400"/>
      <c r="M22" s="400"/>
    </row>
    <row r="23" spans="1:13">
      <c r="B23" s="162">
        <v>13</v>
      </c>
      <c r="C23" s="889" t="s">
        <v>3194</v>
      </c>
      <c r="D23" s="337"/>
      <c r="E23" s="337"/>
      <c r="F23" s="337"/>
      <c r="G23" s="406">
        <f t="shared" ref="G23:M23" si="0">SUM(G13:G22)</f>
        <v>0</v>
      </c>
      <c r="H23" s="406">
        <f>SUM(H13:H22)</f>
        <v>0</v>
      </c>
      <c r="I23" s="406">
        <f t="shared" si="0"/>
        <v>0</v>
      </c>
      <c r="J23" s="406">
        <f t="shared" si="0"/>
        <v>0</v>
      </c>
      <c r="K23" s="406">
        <f t="shared" si="0"/>
        <v>0</v>
      </c>
      <c r="L23" s="406">
        <f t="shared" si="0"/>
        <v>0</v>
      </c>
      <c r="M23" s="406">
        <f t="shared" si="0"/>
        <v>0</v>
      </c>
    </row>
    <row r="24" spans="1:13">
      <c r="B24" s="162">
        <v>14</v>
      </c>
      <c r="C24" s="338" t="s">
        <v>3145</v>
      </c>
      <c r="D24" s="400"/>
      <c r="E24" s="337"/>
      <c r="F24" s="337"/>
      <c r="G24" s="400"/>
      <c r="H24" s="400"/>
      <c r="I24" s="400"/>
      <c r="J24" s="400"/>
      <c r="K24" s="400"/>
      <c r="L24" s="400"/>
      <c r="M24" s="400"/>
    </row>
    <row r="25" spans="1:13">
      <c r="B25" s="162">
        <v>15</v>
      </c>
      <c r="C25" s="889" t="s">
        <v>823</v>
      </c>
      <c r="D25" s="400"/>
      <c r="E25" s="337"/>
      <c r="F25" s="337"/>
      <c r="G25" s="406">
        <f t="shared" ref="G25:M25" si="1">G23-G24</f>
        <v>0</v>
      </c>
      <c r="H25" s="406">
        <f>H23-H24</f>
        <v>0</v>
      </c>
      <c r="I25" s="406">
        <f t="shared" si="1"/>
        <v>0</v>
      </c>
      <c r="J25" s="406">
        <f t="shared" si="1"/>
        <v>0</v>
      </c>
      <c r="K25" s="406">
        <f t="shared" si="1"/>
        <v>0</v>
      </c>
      <c r="L25" s="406">
        <f t="shared" si="1"/>
        <v>0</v>
      </c>
      <c r="M25" s="406">
        <f t="shared" si="1"/>
        <v>0</v>
      </c>
    </row>
    <row r="26" spans="1:13">
      <c r="A26" s="764" t="s">
        <v>2260</v>
      </c>
      <c r="B26" s="162">
        <v>16</v>
      </c>
    </row>
    <row r="27" spans="1:13">
      <c r="B27" s="162">
        <v>17</v>
      </c>
      <c r="C27" s="881"/>
      <c r="D27" s="881" t="s">
        <v>2504</v>
      </c>
      <c r="E27" s="881" t="s">
        <v>2505</v>
      </c>
    </row>
    <row r="28" spans="1:13">
      <c r="B28" s="162">
        <v>18</v>
      </c>
      <c r="C28" s="881" t="s">
        <v>1319</v>
      </c>
      <c r="D28" s="406">
        <f>审定资产负债表!D90</f>
        <v>0</v>
      </c>
      <c r="E28" s="406">
        <f>审定资产负债表!C90</f>
        <v>0</v>
      </c>
    </row>
    <row r="29" spans="1:13">
      <c r="B29" s="162">
        <v>19</v>
      </c>
      <c r="C29" s="881" t="s">
        <v>2730</v>
      </c>
      <c r="D29" s="406">
        <f>H25-D28</f>
        <v>0</v>
      </c>
      <c r="E29" s="406">
        <f>M25-E28</f>
        <v>0</v>
      </c>
    </row>
    <row r="30" spans="1:13">
      <c r="C30" s="1288" t="s">
        <v>2507</v>
      </c>
      <c r="D30" s="406">
        <f>D28-E9</f>
        <v>0</v>
      </c>
      <c r="E30" s="406">
        <f>E28-D9</f>
        <v>0</v>
      </c>
    </row>
  </sheetData>
  <sheetProtection formatCells="0" formatColumns="0" formatRows="0" autoFilter="0"/>
  <phoneticPr fontId="5" type="noConversion"/>
  <hyperlinks>
    <hyperlink ref="A1" location="附注填写封面!B3" display="返回目录" xr:uid="{00000000-0004-0000-4100-000000000000}"/>
    <hyperlink ref="A26" location="附注填写封面!B3" display="返回目录" xr:uid="{00000000-0004-0000-41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106"/>
  <dimension ref="A1:L57"/>
  <sheetViews>
    <sheetView showGridLines="0" showZeros="0" topLeftCell="A22" workbookViewId="0">
      <selection activeCell="D46" sqref="D46"/>
    </sheetView>
  </sheetViews>
  <sheetFormatPr defaultColWidth="11.625" defaultRowHeight="12.75"/>
  <cols>
    <col min="1" max="1" width="7.625" style="344" customWidth="1"/>
    <col min="2" max="2" width="4.625" style="344" hidden="1" customWidth="1"/>
    <col min="3" max="3" width="35.875" style="843" customWidth="1"/>
    <col min="4" max="9" width="11.625" style="344"/>
    <col min="10" max="10" width="13.125" style="344" customWidth="1"/>
    <col min="11" max="16384" width="11.625" style="344"/>
  </cols>
  <sheetData>
    <row r="1" spans="1:12" ht="24.95" customHeight="1">
      <c r="A1" s="764" t="s">
        <v>2260</v>
      </c>
      <c r="B1" s="343" t="s">
        <v>1446</v>
      </c>
      <c r="C1" s="759" t="s">
        <v>3165</v>
      </c>
    </row>
    <row r="2" spans="1:12">
      <c r="A2" s="764"/>
      <c r="B2" s="343"/>
      <c r="C2" s="781" t="s">
        <v>3166</v>
      </c>
    </row>
    <row r="3" spans="1:12" ht="24">
      <c r="B3" s="162">
        <v>2</v>
      </c>
      <c r="C3" s="889" t="s">
        <v>3167</v>
      </c>
      <c r="D3" s="889" t="s">
        <v>3168</v>
      </c>
      <c r="E3" s="889" t="s">
        <v>3169</v>
      </c>
      <c r="F3" s="889" t="s">
        <v>3170</v>
      </c>
      <c r="G3" s="889" t="s">
        <v>3171</v>
      </c>
      <c r="H3" s="889" t="s">
        <v>3172</v>
      </c>
      <c r="I3" s="889" t="s">
        <v>3173</v>
      </c>
      <c r="J3" s="889" t="s">
        <v>3174</v>
      </c>
      <c r="K3" s="889" t="s">
        <v>3175</v>
      </c>
      <c r="L3" s="889" t="s">
        <v>3176</v>
      </c>
    </row>
    <row r="4" spans="1:12">
      <c r="A4" s="162">
        <v>1</v>
      </c>
      <c r="B4" s="162">
        <v>3</v>
      </c>
      <c r="C4" s="916"/>
      <c r="D4" s="400"/>
      <c r="E4" s="337"/>
      <c r="F4" s="337"/>
      <c r="G4" s="400"/>
      <c r="H4" s="400"/>
      <c r="I4" s="400"/>
      <c r="J4" s="400"/>
      <c r="K4" s="400"/>
      <c r="L4" s="400"/>
    </row>
    <row r="5" spans="1:12">
      <c r="A5" s="162">
        <v>2</v>
      </c>
      <c r="B5" s="162">
        <v>4</v>
      </c>
      <c r="C5" s="916"/>
      <c r="D5" s="400"/>
      <c r="E5" s="337"/>
      <c r="F5" s="337"/>
      <c r="G5" s="400"/>
      <c r="H5" s="400"/>
      <c r="I5" s="400"/>
      <c r="J5" s="400"/>
      <c r="K5" s="400"/>
      <c r="L5" s="400"/>
    </row>
    <row r="6" spans="1:12">
      <c r="A6" s="162">
        <v>3</v>
      </c>
      <c r="B6" s="162">
        <v>5</v>
      </c>
      <c r="C6" s="916"/>
      <c r="D6" s="400"/>
      <c r="E6" s="337"/>
      <c r="F6" s="337"/>
      <c r="G6" s="400"/>
      <c r="H6" s="400"/>
      <c r="I6" s="400"/>
      <c r="J6" s="400"/>
      <c r="K6" s="400"/>
      <c r="L6" s="400"/>
    </row>
    <row r="7" spans="1:12">
      <c r="A7" s="162">
        <v>4</v>
      </c>
      <c r="B7" s="162">
        <v>6</v>
      </c>
      <c r="C7" s="916"/>
      <c r="D7" s="400"/>
      <c r="E7" s="337"/>
      <c r="F7" s="337"/>
      <c r="G7" s="400"/>
      <c r="H7" s="400"/>
      <c r="I7" s="400"/>
      <c r="J7" s="400"/>
      <c r="K7" s="400"/>
      <c r="L7" s="400"/>
    </row>
    <row r="8" spans="1:12">
      <c r="A8" s="162">
        <v>5</v>
      </c>
      <c r="B8" s="162">
        <v>7</v>
      </c>
      <c r="C8" s="916"/>
      <c r="D8" s="400"/>
      <c r="E8" s="337"/>
      <c r="F8" s="337"/>
      <c r="G8" s="400"/>
      <c r="H8" s="400"/>
      <c r="I8" s="400"/>
      <c r="J8" s="400"/>
      <c r="K8" s="400"/>
      <c r="L8" s="400"/>
    </row>
    <row r="9" spans="1:12">
      <c r="A9" s="162">
        <v>6</v>
      </c>
      <c r="B9" s="162">
        <v>8</v>
      </c>
      <c r="C9" s="916"/>
      <c r="D9" s="400"/>
      <c r="E9" s="337"/>
      <c r="F9" s="337"/>
      <c r="G9" s="400"/>
      <c r="H9" s="400"/>
      <c r="I9" s="400"/>
      <c r="J9" s="400"/>
      <c r="K9" s="400"/>
      <c r="L9" s="400"/>
    </row>
    <row r="10" spans="1:12">
      <c r="A10" s="162">
        <v>7</v>
      </c>
      <c r="B10" s="162">
        <v>9</v>
      </c>
      <c r="C10" s="916"/>
      <c r="D10" s="400"/>
      <c r="E10" s="337"/>
      <c r="F10" s="337"/>
      <c r="G10" s="400"/>
      <c r="H10" s="400"/>
      <c r="I10" s="400"/>
      <c r="J10" s="400"/>
      <c r="K10" s="400"/>
      <c r="L10" s="400"/>
    </row>
    <row r="11" spans="1:12">
      <c r="A11" s="162">
        <v>8</v>
      </c>
      <c r="B11" s="162">
        <v>10</v>
      </c>
      <c r="C11" s="916"/>
      <c r="D11" s="400"/>
      <c r="E11" s="337"/>
      <c r="F11" s="337"/>
      <c r="G11" s="400"/>
      <c r="H11" s="400"/>
      <c r="I11" s="400"/>
      <c r="J11" s="400"/>
      <c r="K11" s="400"/>
      <c r="L11" s="400"/>
    </row>
    <row r="12" spans="1:12">
      <c r="A12" s="162">
        <v>9</v>
      </c>
      <c r="B12" s="162">
        <v>11</v>
      </c>
      <c r="C12" s="916"/>
      <c r="D12" s="400"/>
      <c r="E12" s="337"/>
      <c r="F12" s="337"/>
      <c r="G12" s="400"/>
      <c r="H12" s="400"/>
      <c r="I12" s="400"/>
      <c r="J12" s="400"/>
      <c r="K12" s="400"/>
      <c r="L12" s="400"/>
    </row>
    <row r="13" spans="1:12">
      <c r="A13" s="162">
        <v>10</v>
      </c>
      <c r="B13" s="162">
        <v>12</v>
      </c>
      <c r="C13" s="916"/>
      <c r="D13" s="400"/>
      <c r="E13" s="337"/>
      <c r="F13" s="337"/>
      <c r="G13" s="400"/>
      <c r="H13" s="400"/>
      <c r="I13" s="400"/>
      <c r="J13" s="400"/>
      <c r="K13" s="400"/>
      <c r="L13" s="400"/>
    </row>
    <row r="14" spans="1:12">
      <c r="B14" s="162">
        <v>13</v>
      </c>
      <c r="C14" s="889" t="s">
        <v>2680</v>
      </c>
      <c r="D14" s="337"/>
      <c r="E14" s="337"/>
      <c r="F14" s="337"/>
      <c r="G14" s="337"/>
      <c r="H14" s="337"/>
      <c r="I14" s="406">
        <f>SUM(I4:I13)</f>
        <v>0</v>
      </c>
      <c r="J14" s="337"/>
      <c r="K14" s="337"/>
      <c r="L14" s="337"/>
    </row>
    <row r="15" spans="1:12">
      <c r="B15" s="162"/>
      <c r="C15" s="395"/>
      <c r="D15" s="1012"/>
      <c r="E15" s="1012"/>
      <c r="F15" s="1012"/>
      <c r="G15" s="1012"/>
      <c r="H15" s="1012"/>
      <c r="I15" s="1012"/>
      <c r="J15" s="1012"/>
      <c r="K15" s="1012"/>
      <c r="L15" s="1012"/>
    </row>
    <row r="16" spans="1:12">
      <c r="B16" s="162"/>
      <c r="C16" s="395"/>
      <c r="D16" s="1012"/>
      <c r="E16" s="1012"/>
      <c r="F16" s="1012"/>
      <c r="G16" s="1012"/>
      <c r="H16" s="889" t="s">
        <v>1319</v>
      </c>
      <c r="I16" s="406">
        <f>审定资产负债表!C111</f>
        <v>0</v>
      </c>
      <c r="J16" s="1012"/>
      <c r="K16" s="1012"/>
      <c r="L16" s="1012"/>
    </row>
    <row r="17" spans="1:12">
      <c r="B17" s="162"/>
      <c r="C17" s="395"/>
      <c r="D17" s="1012"/>
      <c r="E17" s="1012"/>
      <c r="F17" s="1012"/>
      <c r="G17" s="1012"/>
      <c r="H17" s="889" t="s">
        <v>3177</v>
      </c>
      <c r="I17" s="406">
        <f>I14-I16</f>
        <v>0</v>
      </c>
      <c r="J17" s="1012"/>
      <c r="K17" s="1012"/>
      <c r="L17" s="1012"/>
    </row>
    <row r="18" spans="1:12">
      <c r="B18" s="162"/>
      <c r="C18" s="395"/>
      <c r="D18" s="1012"/>
      <c r="E18" s="1012"/>
      <c r="F18" s="1012"/>
      <c r="G18" s="1012"/>
      <c r="H18" s="1012"/>
      <c r="I18" s="1012"/>
      <c r="J18" s="1012"/>
      <c r="K18" s="1012"/>
      <c r="L18" s="1012"/>
    </row>
    <row r="19" spans="1:12">
      <c r="B19" s="162"/>
      <c r="C19" s="781" t="s">
        <v>3178</v>
      </c>
      <c r="D19" s="1012"/>
      <c r="E19" s="1012"/>
      <c r="F19" s="1012"/>
      <c r="G19" s="1012"/>
      <c r="H19" s="1012"/>
      <c r="I19" s="1012"/>
      <c r="J19" s="1012"/>
      <c r="K19" s="1012"/>
      <c r="L19" s="1012"/>
    </row>
    <row r="20" spans="1:12">
      <c r="B20" s="162"/>
      <c r="C20" s="889"/>
      <c r="D20" s="337"/>
      <c r="E20" s="337"/>
      <c r="F20" s="337"/>
      <c r="G20" s="337"/>
      <c r="H20" s="337"/>
      <c r="I20" s="337"/>
      <c r="J20" s="337"/>
      <c r="K20" s="337"/>
      <c r="L20" s="337"/>
    </row>
    <row r="21" spans="1:12">
      <c r="B21" s="162"/>
      <c r="C21" s="889"/>
      <c r="D21" s="337"/>
      <c r="E21" s="337"/>
      <c r="F21" s="337"/>
      <c r="G21" s="337"/>
      <c r="H21" s="337"/>
      <c r="I21" s="337"/>
      <c r="J21" s="337"/>
      <c r="K21" s="337"/>
      <c r="L21" s="337"/>
    </row>
    <row r="22" spans="1:12">
      <c r="B22" s="162"/>
      <c r="C22" s="889"/>
      <c r="D22" s="337"/>
      <c r="E22" s="337"/>
      <c r="F22" s="337"/>
      <c r="G22" s="337"/>
      <c r="H22" s="337"/>
      <c r="I22" s="337"/>
      <c r="J22" s="337"/>
      <c r="K22" s="337"/>
      <c r="L22" s="337"/>
    </row>
    <row r="23" spans="1:12">
      <c r="B23" s="162"/>
      <c r="C23" s="395"/>
      <c r="D23" s="1012"/>
      <c r="E23" s="1012"/>
      <c r="F23" s="1012"/>
      <c r="G23" s="1012"/>
      <c r="H23" s="1012"/>
      <c r="I23" s="1012"/>
      <c r="J23" s="1012"/>
      <c r="K23" s="1012"/>
      <c r="L23" s="1012"/>
    </row>
    <row r="24" spans="1:12">
      <c r="B24" s="162"/>
      <c r="C24" s="781" t="s">
        <v>3179</v>
      </c>
      <c r="D24" s="1012"/>
      <c r="E24" s="1012"/>
      <c r="F24" s="1012"/>
      <c r="G24" s="1012"/>
      <c r="H24" s="1012"/>
      <c r="I24" s="1012"/>
      <c r="J24" s="1012"/>
      <c r="K24" s="1012"/>
      <c r="L24" s="1012"/>
    </row>
    <row r="25" spans="1:12">
      <c r="B25" s="162"/>
      <c r="C25" s="1868" t="s">
        <v>3167</v>
      </c>
      <c r="D25" s="1870" t="s">
        <v>824</v>
      </c>
      <c r="E25" s="1871"/>
      <c r="F25" s="1870" t="s">
        <v>3180</v>
      </c>
      <c r="G25" s="1871"/>
      <c r="H25" s="1870" t="s">
        <v>3181</v>
      </c>
      <c r="I25" s="1871"/>
      <c r="J25" s="1870" t="s">
        <v>3182</v>
      </c>
      <c r="K25" s="1871"/>
      <c r="L25" s="1012"/>
    </row>
    <row r="26" spans="1:12">
      <c r="A26" s="162"/>
      <c r="B26" s="162"/>
      <c r="C26" s="1869"/>
      <c r="D26" s="337" t="s">
        <v>3172</v>
      </c>
      <c r="E26" s="337" t="s">
        <v>870</v>
      </c>
      <c r="F26" s="337" t="s">
        <v>3172</v>
      </c>
      <c r="G26" s="337" t="s">
        <v>870</v>
      </c>
      <c r="H26" s="337" t="s">
        <v>3172</v>
      </c>
      <c r="I26" s="337" t="s">
        <v>870</v>
      </c>
      <c r="J26" s="337" t="s">
        <v>3172</v>
      </c>
      <c r="K26" s="337" t="s">
        <v>870</v>
      </c>
      <c r="L26" s="1012"/>
    </row>
    <row r="27" spans="1:12">
      <c r="A27" s="162">
        <v>1</v>
      </c>
      <c r="B27" s="162"/>
      <c r="C27" s="889"/>
      <c r="D27" s="337"/>
      <c r="E27" s="337"/>
      <c r="F27" s="337"/>
      <c r="G27" s="337"/>
      <c r="H27" s="337"/>
      <c r="I27" s="337"/>
      <c r="J27" s="337"/>
      <c r="K27" s="337"/>
      <c r="L27" s="1012"/>
    </row>
    <row r="28" spans="1:12">
      <c r="A28" s="162">
        <v>2</v>
      </c>
      <c r="B28" s="162"/>
      <c r="C28" s="889"/>
      <c r="D28" s="337"/>
      <c r="E28" s="337"/>
      <c r="F28" s="337"/>
      <c r="G28" s="337"/>
      <c r="H28" s="337"/>
      <c r="I28" s="337"/>
      <c r="J28" s="337"/>
      <c r="K28" s="337"/>
      <c r="L28" s="1012"/>
    </row>
    <row r="29" spans="1:12">
      <c r="A29" s="162">
        <v>3</v>
      </c>
      <c r="B29" s="162"/>
      <c r="C29" s="889"/>
      <c r="D29" s="337"/>
      <c r="E29" s="337"/>
      <c r="F29" s="337"/>
      <c r="G29" s="337"/>
      <c r="H29" s="337"/>
      <c r="I29" s="337"/>
      <c r="J29" s="337"/>
      <c r="K29" s="337"/>
      <c r="L29" s="1012"/>
    </row>
    <row r="30" spans="1:12">
      <c r="A30" s="162">
        <v>4</v>
      </c>
      <c r="B30" s="162"/>
      <c r="C30" s="889"/>
      <c r="D30" s="337"/>
      <c r="E30" s="337"/>
      <c r="F30" s="337"/>
      <c r="G30" s="337"/>
      <c r="H30" s="337"/>
      <c r="I30" s="337"/>
      <c r="J30" s="337"/>
      <c r="K30" s="337"/>
      <c r="L30" s="1012"/>
    </row>
    <row r="31" spans="1:12">
      <c r="A31" s="162">
        <v>5</v>
      </c>
      <c r="B31" s="162"/>
      <c r="C31" s="889"/>
      <c r="D31" s="337"/>
      <c r="E31" s="337"/>
      <c r="F31" s="337"/>
      <c r="G31" s="337"/>
      <c r="H31" s="337"/>
      <c r="I31" s="337"/>
      <c r="J31" s="337"/>
      <c r="K31" s="337"/>
      <c r="L31" s="1012"/>
    </row>
    <row r="32" spans="1:12">
      <c r="A32" s="162">
        <v>6</v>
      </c>
      <c r="B32" s="162"/>
      <c r="C32" s="889"/>
      <c r="D32" s="337"/>
      <c r="E32" s="337"/>
      <c r="F32" s="337"/>
      <c r="G32" s="337"/>
      <c r="H32" s="337"/>
      <c r="I32" s="337"/>
      <c r="J32" s="337"/>
      <c r="K32" s="337"/>
      <c r="L32" s="1012"/>
    </row>
    <row r="33" spans="1:12">
      <c r="A33" s="162">
        <v>7</v>
      </c>
      <c r="B33" s="162"/>
      <c r="C33" s="889"/>
      <c r="D33" s="337"/>
      <c r="E33" s="337"/>
      <c r="F33" s="337"/>
      <c r="G33" s="337"/>
      <c r="H33" s="337"/>
      <c r="I33" s="337"/>
      <c r="J33" s="337"/>
      <c r="K33" s="337"/>
      <c r="L33" s="1012"/>
    </row>
    <row r="34" spans="1:12">
      <c r="A34" s="162">
        <v>8</v>
      </c>
      <c r="B34" s="162"/>
      <c r="C34" s="889"/>
      <c r="D34" s="337"/>
      <c r="E34" s="337"/>
      <c r="F34" s="337"/>
      <c r="G34" s="337"/>
      <c r="H34" s="337"/>
      <c r="I34" s="337"/>
      <c r="J34" s="337"/>
      <c r="K34" s="337"/>
      <c r="L34" s="1012"/>
    </row>
    <row r="35" spans="1:12">
      <c r="A35" s="162">
        <v>9</v>
      </c>
      <c r="B35" s="162"/>
      <c r="C35" s="889"/>
      <c r="D35" s="337"/>
      <c r="E35" s="337"/>
      <c r="F35" s="337"/>
      <c r="G35" s="337"/>
      <c r="H35" s="337"/>
      <c r="I35" s="337"/>
      <c r="J35" s="337"/>
      <c r="K35" s="337"/>
      <c r="L35" s="1012"/>
    </row>
    <row r="36" spans="1:12">
      <c r="A36" s="162">
        <v>10</v>
      </c>
      <c r="B36" s="162"/>
      <c r="C36" s="889"/>
      <c r="D36" s="337"/>
      <c r="E36" s="337"/>
      <c r="F36" s="337"/>
      <c r="G36" s="337"/>
      <c r="H36" s="337"/>
      <c r="I36" s="337"/>
      <c r="J36" s="337"/>
      <c r="K36" s="337"/>
      <c r="L36" s="1012"/>
    </row>
    <row r="37" spans="1:12">
      <c r="B37" s="162"/>
      <c r="C37" s="889" t="s">
        <v>2680</v>
      </c>
      <c r="D37" s="337"/>
      <c r="E37" s="406">
        <f>SUM(E27:E36)</f>
        <v>0</v>
      </c>
      <c r="F37" s="337"/>
      <c r="G37" s="406">
        <f>SUM(G27:G36)</f>
        <v>0</v>
      </c>
      <c r="H37" s="337"/>
      <c r="I37" s="406">
        <f>SUM(I27:I36)</f>
        <v>0</v>
      </c>
      <c r="J37" s="337"/>
      <c r="K37" s="406">
        <f>SUM(K27:K36)</f>
        <v>0</v>
      </c>
      <c r="L37" s="1012"/>
    </row>
    <row r="38" spans="1:12">
      <c r="B38" s="162"/>
      <c r="C38" s="395"/>
      <c r="D38" s="1012"/>
      <c r="E38" s="1012"/>
      <c r="F38" s="1012"/>
      <c r="G38" s="1012"/>
      <c r="H38" s="1012"/>
      <c r="I38" s="1012"/>
      <c r="J38" s="1012"/>
      <c r="K38" s="1012"/>
      <c r="L38" s="1012"/>
    </row>
    <row r="39" spans="1:12">
      <c r="A39" s="764" t="s">
        <v>2260</v>
      </c>
      <c r="B39" s="162">
        <v>16</v>
      </c>
      <c r="C39" s="881"/>
      <c r="D39" s="881" t="s">
        <v>2504</v>
      </c>
      <c r="E39" s="881" t="s">
        <v>2505</v>
      </c>
    </row>
    <row r="40" spans="1:12">
      <c r="B40" s="162">
        <v>17</v>
      </c>
      <c r="C40" s="881" t="s">
        <v>1319</v>
      </c>
      <c r="D40" s="406">
        <f>审定资产负债表!D111</f>
        <v>0</v>
      </c>
      <c r="E40" s="406">
        <f>审定资产负债表!C111</f>
        <v>0</v>
      </c>
    </row>
    <row r="41" spans="1:12">
      <c r="B41" s="162">
        <v>18</v>
      </c>
      <c r="C41" s="881" t="s">
        <v>1320</v>
      </c>
      <c r="D41" s="406">
        <f>E37-D40</f>
        <v>0</v>
      </c>
      <c r="E41" s="406">
        <f>K37-E40</f>
        <v>0</v>
      </c>
    </row>
    <row r="42" spans="1:12">
      <c r="B42" s="162">
        <v>19</v>
      </c>
      <c r="C42" s="344"/>
    </row>
    <row r="43" spans="1:12">
      <c r="B43" s="162"/>
      <c r="C43" s="781" t="s">
        <v>3183</v>
      </c>
      <c r="D43" s="1012"/>
      <c r="E43" s="1012"/>
      <c r="F43" s="1012"/>
      <c r="G43" s="1012"/>
      <c r="H43" s="1012"/>
      <c r="I43" s="1012"/>
      <c r="J43" s="1012"/>
      <c r="K43" s="1012"/>
      <c r="L43" s="1012"/>
    </row>
    <row r="44" spans="1:12">
      <c r="B44" s="162"/>
      <c r="C44" s="395"/>
      <c r="D44" s="1012"/>
      <c r="E44" s="1012"/>
      <c r="F44" s="1012"/>
      <c r="G44" s="1012"/>
      <c r="H44" s="1012"/>
      <c r="I44" s="1012"/>
      <c r="J44" s="1012"/>
      <c r="K44" s="1012"/>
      <c r="L44" s="1012"/>
    </row>
    <row r="45" spans="1:12">
      <c r="B45" s="162"/>
      <c r="C45" s="781" t="s">
        <v>3184</v>
      </c>
      <c r="D45" s="1012"/>
      <c r="E45" s="1012"/>
      <c r="F45" s="1012"/>
      <c r="G45" s="1012"/>
      <c r="H45" s="1012"/>
      <c r="I45" s="1012"/>
      <c r="J45" s="1012"/>
      <c r="K45" s="1012"/>
      <c r="L45" s="1012"/>
    </row>
    <row r="46" spans="1:12">
      <c r="B46" s="162"/>
      <c r="C46" s="889" t="s">
        <v>2884</v>
      </c>
      <c r="D46" s="337" t="s">
        <v>2546</v>
      </c>
      <c r="E46" s="337" t="s">
        <v>3185</v>
      </c>
      <c r="F46" s="1012"/>
      <c r="G46" s="337" t="s">
        <v>2551</v>
      </c>
      <c r="H46" s="337" t="s">
        <v>2505</v>
      </c>
      <c r="I46" s="337" t="s">
        <v>2504</v>
      </c>
      <c r="J46" s="1012"/>
      <c r="K46" s="1012"/>
      <c r="L46" s="1012"/>
    </row>
    <row r="47" spans="1:12">
      <c r="B47" s="162"/>
      <c r="C47" s="338" t="s">
        <v>3186</v>
      </c>
      <c r="D47" s="406">
        <f>D48+D49</f>
        <v>0</v>
      </c>
      <c r="E47" s="406">
        <f>E48+E49</f>
        <v>0</v>
      </c>
      <c r="F47" s="1012"/>
      <c r="G47" s="337" t="s">
        <v>1319</v>
      </c>
      <c r="H47" s="406">
        <f>审定资产负债表!C127</f>
        <v>6996985.0199999996</v>
      </c>
      <c r="I47" s="406">
        <f>审定资产负债表!D127</f>
        <v>6921834.7999999998</v>
      </c>
      <c r="J47" s="1012"/>
      <c r="K47" s="1012"/>
      <c r="L47" s="1012"/>
    </row>
    <row r="48" spans="1:12">
      <c r="B48" s="162"/>
      <c r="C48" s="338" t="s">
        <v>3197</v>
      </c>
      <c r="D48" s="337"/>
      <c r="E48" s="337"/>
      <c r="F48" s="1012"/>
      <c r="G48" s="337" t="s">
        <v>3177</v>
      </c>
      <c r="H48" s="406">
        <f>H47-D47</f>
        <v>6996985.0199999996</v>
      </c>
      <c r="I48" s="406">
        <f>I47-E47</f>
        <v>6921834.7999999998</v>
      </c>
      <c r="J48" s="1012"/>
      <c r="K48" s="1012"/>
      <c r="L48" s="1012"/>
    </row>
    <row r="49" spans="2:12">
      <c r="B49" s="162"/>
      <c r="C49" s="338" t="s">
        <v>3198</v>
      </c>
      <c r="D49" s="337"/>
      <c r="E49" s="337"/>
      <c r="F49" s="1012"/>
      <c r="J49" s="1012"/>
      <c r="K49" s="1012"/>
      <c r="L49" s="1012"/>
    </row>
    <row r="50" spans="2:12">
      <c r="B50" s="162"/>
      <c r="C50" s="338" t="s">
        <v>3187</v>
      </c>
      <c r="D50" s="337"/>
      <c r="E50" s="337"/>
      <c r="F50" s="1012"/>
      <c r="G50" s="1012"/>
      <c r="H50" s="1012"/>
      <c r="I50" s="1012"/>
      <c r="J50" s="1012"/>
      <c r="K50" s="1012"/>
      <c r="L50" s="1012"/>
    </row>
    <row r="51" spans="2:12">
      <c r="B51" s="162"/>
      <c r="C51" s="338" t="s">
        <v>3188</v>
      </c>
      <c r="D51" s="337"/>
      <c r="E51" s="337"/>
      <c r="F51" s="1012"/>
      <c r="G51" s="1012"/>
      <c r="H51" s="1012"/>
      <c r="I51" s="1012"/>
      <c r="J51" s="1012"/>
      <c r="K51" s="1012"/>
      <c r="L51" s="1012"/>
    </row>
    <row r="52" spans="2:12">
      <c r="B52" s="162"/>
      <c r="C52" s="338" t="s">
        <v>3189</v>
      </c>
      <c r="D52" s="337"/>
      <c r="E52" s="337"/>
      <c r="F52" s="1012"/>
      <c r="G52" s="1012"/>
      <c r="H52" s="1012"/>
      <c r="I52" s="1012"/>
      <c r="J52" s="1012"/>
      <c r="K52" s="1012"/>
      <c r="L52" s="1012"/>
    </row>
    <row r="53" spans="2:12">
      <c r="B53" s="162"/>
      <c r="C53" s="338" t="s">
        <v>3190</v>
      </c>
      <c r="D53" s="337"/>
      <c r="E53" s="337"/>
      <c r="F53" s="1012"/>
      <c r="G53" s="1012"/>
      <c r="H53" s="1012"/>
      <c r="I53" s="1012"/>
      <c r="J53" s="1012"/>
      <c r="K53" s="1012"/>
      <c r="L53" s="1012"/>
    </row>
    <row r="54" spans="2:12">
      <c r="B54" s="162"/>
      <c r="C54" s="338" t="s">
        <v>3191</v>
      </c>
      <c r="D54" s="406">
        <f>D55+D56</f>
        <v>0</v>
      </c>
      <c r="E54" s="406">
        <f>E55+E56</f>
        <v>0</v>
      </c>
      <c r="F54" s="1012"/>
      <c r="G54" s="337" t="s">
        <v>2551</v>
      </c>
      <c r="H54" s="337" t="s">
        <v>2505</v>
      </c>
      <c r="I54" s="337" t="s">
        <v>2504</v>
      </c>
      <c r="J54" s="1012"/>
      <c r="K54" s="1012"/>
      <c r="L54" s="1012"/>
    </row>
    <row r="55" spans="2:12">
      <c r="B55" s="162"/>
      <c r="C55" s="338" t="s">
        <v>3199</v>
      </c>
      <c r="D55" s="337"/>
      <c r="E55" s="337"/>
      <c r="F55" s="1012"/>
      <c r="G55" s="337" t="s">
        <v>1319</v>
      </c>
      <c r="H55" s="406">
        <f>审定资产负债表!C128</f>
        <v>0</v>
      </c>
      <c r="I55" s="406">
        <f>审定资产负债表!D128</f>
        <v>0</v>
      </c>
      <c r="J55" s="1012"/>
      <c r="K55" s="1012"/>
      <c r="L55" s="1012"/>
    </row>
    <row r="56" spans="2:12">
      <c r="B56" s="162"/>
      <c r="C56" s="338" t="s">
        <v>3200</v>
      </c>
      <c r="D56" s="337"/>
      <c r="E56" s="337"/>
      <c r="F56" s="1012"/>
      <c r="G56" s="337" t="s">
        <v>3177</v>
      </c>
      <c r="H56" s="406">
        <f>H55-D54</f>
        <v>0</v>
      </c>
      <c r="I56" s="406">
        <f>I55-E54</f>
        <v>0</v>
      </c>
      <c r="J56" s="1012"/>
      <c r="K56" s="1012"/>
      <c r="L56" s="1012"/>
    </row>
    <row r="57" spans="2:12">
      <c r="B57" s="162"/>
      <c r="C57" s="395"/>
      <c r="D57" s="1012"/>
      <c r="E57" s="1012"/>
      <c r="F57" s="1012"/>
      <c r="G57" s="1012"/>
      <c r="H57" s="1012"/>
      <c r="I57" s="1012"/>
      <c r="J57" s="1012"/>
      <c r="K57" s="1012"/>
      <c r="L57" s="1012"/>
    </row>
  </sheetData>
  <sheetProtection formatCells="0" formatColumns="0" formatRows="0" autoFilter="0"/>
  <mergeCells count="5">
    <mergeCell ref="D25:E25"/>
    <mergeCell ref="F25:G25"/>
    <mergeCell ref="H25:I25"/>
    <mergeCell ref="J25:K25"/>
    <mergeCell ref="C25:C26"/>
  </mergeCells>
  <phoneticPr fontId="5" type="noConversion"/>
  <hyperlinks>
    <hyperlink ref="A1" location="附注填写封面!B3" display="返回目录" xr:uid="{00000000-0004-0000-4200-000000000000}"/>
    <hyperlink ref="A39" location="附注填写封面!B3" display="返回目录" xr:uid="{00000000-0004-0000-42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45"/>
  <dimension ref="A1:E20"/>
  <sheetViews>
    <sheetView showGridLines="0" showZeros="0" workbookViewId="0"/>
  </sheetViews>
  <sheetFormatPr defaultColWidth="11.625" defaultRowHeight="12.75" customHeight="1"/>
  <cols>
    <col min="1" max="1" width="9.125" style="344" customWidth="1"/>
    <col min="2" max="2" width="5.625" style="344" hidden="1" customWidth="1"/>
    <col min="3" max="3" width="35.875" style="843" customWidth="1"/>
    <col min="4" max="16384" width="11.625" style="344"/>
  </cols>
  <sheetData>
    <row r="1" spans="1:5" ht="21.75" customHeight="1">
      <c r="A1" s="764" t="s">
        <v>2260</v>
      </c>
      <c r="B1" s="343" t="s">
        <v>1446</v>
      </c>
      <c r="C1" s="759" t="s">
        <v>3164</v>
      </c>
    </row>
    <row r="2" spans="1:5" ht="12.75" customHeight="1">
      <c r="B2" s="162">
        <v>2</v>
      </c>
      <c r="C2" s="825" t="s">
        <v>1121</v>
      </c>
    </row>
    <row r="3" spans="1:5" ht="12.75" customHeight="1">
      <c r="B3" s="162">
        <v>3</v>
      </c>
      <c r="C3" s="889" t="s">
        <v>1013</v>
      </c>
      <c r="D3" s="337" t="s">
        <v>2810</v>
      </c>
      <c r="E3" s="337" t="s">
        <v>978</v>
      </c>
    </row>
    <row r="4" spans="1:5" ht="12.75" customHeight="1">
      <c r="B4" s="162">
        <v>4</v>
      </c>
      <c r="C4" s="889" t="s">
        <v>823</v>
      </c>
      <c r="D4" s="961">
        <f>SUM(D5:D14)</f>
        <v>0</v>
      </c>
      <c r="E4" s="961">
        <f>SUM(E5:E14)</f>
        <v>0</v>
      </c>
    </row>
    <row r="5" spans="1:5" ht="12.75" customHeight="1">
      <c r="A5" s="162">
        <v>1</v>
      </c>
      <c r="B5" s="162">
        <v>5</v>
      </c>
      <c r="C5" s="836" t="s">
        <v>1122</v>
      </c>
      <c r="D5" s="761"/>
      <c r="E5" s="761"/>
    </row>
    <row r="6" spans="1:5" ht="12.75" customHeight="1">
      <c r="A6" s="162">
        <v>2</v>
      </c>
      <c r="B6" s="162">
        <v>6</v>
      </c>
      <c r="C6" s="836" t="s">
        <v>1123</v>
      </c>
      <c r="D6" s="761"/>
      <c r="E6" s="761"/>
    </row>
    <row r="7" spans="1:5" ht="12.75" customHeight="1">
      <c r="A7" s="162">
        <v>3</v>
      </c>
      <c r="B7" s="162">
        <v>7</v>
      </c>
      <c r="C7" s="836" t="s">
        <v>1124</v>
      </c>
      <c r="D7" s="761"/>
      <c r="E7" s="761"/>
    </row>
    <row r="8" spans="1:5" ht="12.75" customHeight="1">
      <c r="A8" s="162">
        <v>4</v>
      </c>
      <c r="B8" s="162">
        <v>8</v>
      </c>
      <c r="C8" s="836" t="s">
        <v>1125</v>
      </c>
      <c r="D8" s="761"/>
      <c r="E8" s="761"/>
    </row>
    <row r="9" spans="1:5" ht="12.75" customHeight="1">
      <c r="A9" s="162">
        <v>5</v>
      </c>
      <c r="B9" s="162">
        <v>9</v>
      </c>
      <c r="C9" s="836" t="s">
        <v>1126</v>
      </c>
      <c r="D9" s="761"/>
      <c r="E9" s="761"/>
    </row>
    <row r="10" spans="1:5" ht="12.75" customHeight="1">
      <c r="A10" s="162">
        <v>6</v>
      </c>
      <c r="B10" s="162">
        <v>10</v>
      </c>
      <c r="C10" s="836" t="s">
        <v>1127</v>
      </c>
      <c r="D10" s="888"/>
      <c r="E10" s="888"/>
    </row>
    <row r="11" spans="1:5" ht="12.75" customHeight="1">
      <c r="A11" s="162">
        <v>7</v>
      </c>
      <c r="B11" s="162">
        <v>11</v>
      </c>
      <c r="C11" s="836" t="s">
        <v>1128</v>
      </c>
      <c r="D11" s="888"/>
      <c r="E11" s="888"/>
    </row>
    <row r="12" spans="1:5" ht="12.75" customHeight="1">
      <c r="A12" s="162">
        <v>8</v>
      </c>
      <c r="B12" s="162">
        <v>12</v>
      </c>
      <c r="C12" s="836" t="s">
        <v>1129</v>
      </c>
      <c r="D12" s="888"/>
      <c r="E12" s="888"/>
    </row>
    <row r="13" spans="1:5" ht="12.75" customHeight="1">
      <c r="A13" s="162">
        <v>9</v>
      </c>
      <c r="B13" s="162">
        <v>13</v>
      </c>
      <c r="C13" s="836" t="s">
        <v>1130</v>
      </c>
      <c r="D13" s="888"/>
      <c r="E13" s="888"/>
    </row>
    <row r="14" spans="1:5" ht="12.75" customHeight="1">
      <c r="A14" s="162">
        <v>10</v>
      </c>
      <c r="B14" s="162">
        <v>14</v>
      </c>
      <c r="C14" s="836" t="s">
        <v>1131</v>
      </c>
      <c r="D14" s="888"/>
      <c r="E14" s="888"/>
    </row>
    <row r="15" spans="1:5" ht="12.75" customHeight="1">
      <c r="B15" s="162">
        <v>15</v>
      </c>
    </row>
    <row r="16" spans="1:5" ht="12.75" customHeight="1">
      <c r="B16" s="162">
        <v>16</v>
      </c>
      <c r="C16" s="881"/>
      <c r="D16" s="881" t="s">
        <v>2591</v>
      </c>
      <c r="E16" s="881" t="s">
        <v>2592</v>
      </c>
    </row>
    <row r="17" spans="1:5" ht="12.75" customHeight="1">
      <c r="B17" s="162">
        <v>17</v>
      </c>
      <c r="C17" s="881" t="s">
        <v>1319</v>
      </c>
      <c r="D17" s="406">
        <f>审定资产负债表!C91</f>
        <v>0</v>
      </c>
      <c r="E17" s="406">
        <f>审定资产负债表!D91</f>
        <v>0</v>
      </c>
    </row>
    <row r="18" spans="1:5" ht="12.75" customHeight="1">
      <c r="A18" s="764" t="s">
        <v>2260</v>
      </c>
      <c r="B18" s="162">
        <v>18</v>
      </c>
      <c r="C18" s="881" t="s">
        <v>1320</v>
      </c>
      <c r="D18" s="406">
        <f>D4-D17</f>
        <v>0</v>
      </c>
      <c r="E18" s="406">
        <f>E4-E17</f>
        <v>0</v>
      </c>
    </row>
    <row r="19" spans="1:5" ht="12.75" customHeight="1">
      <c r="B19" s="162">
        <v>19</v>
      </c>
      <c r="C19" s="889" t="s">
        <v>3163</v>
      </c>
      <c r="D19" s="406">
        <f>SUM(D5:D14)</f>
        <v>0</v>
      </c>
      <c r="E19" s="406">
        <f>SUM(E5:E14)</f>
        <v>0</v>
      </c>
    </row>
    <row r="20" spans="1:5" ht="12.75" customHeight="1">
      <c r="B20" s="162">
        <v>20</v>
      </c>
      <c r="C20" s="889" t="s">
        <v>3159</v>
      </c>
      <c r="D20" s="406">
        <f>D4-D19</f>
        <v>0</v>
      </c>
      <c r="E20" s="406">
        <f>E4-E19</f>
        <v>0</v>
      </c>
    </row>
  </sheetData>
  <sheetProtection formatCells="0" formatColumns="0" formatRows="0" autoFilter="0"/>
  <phoneticPr fontId="5" type="noConversion"/>
  <hyperlinks>
    <hyperlink ref="A1" location="附注填写封面!B3" display="返回目录" xr:uid="{00000000-0004-0000-4300-000000000000}"/>
    <hyperlink ref="A18" location="附注填写封面!B3" display="返回目录" xr:uid="{00000000-0004-0000-43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09"/>
  <dimension ref="A1:G13"/>
  <sheetViews>
    <sheetView showGridLines="0" showZeros="0" workbookViewId="0">
      <selection activeCell="C4" sqref="C4:C6"/>
    </sheetView>
  </sheetViews>
  <sheetFormatPr defaultColWidth="11.625" defaultRowHeight="12.75" customHeight="1"/>
  <cols>
    <col min="1" max="1" width="9.125" style="344" customWidth="1"/>
    <col min="2" max="2" width="5.625" style="344" hidden="1" customWidth="1"/>
    <col min="3" max="3" width="35.875" style="843" customWidth="1"/>
    <col min="4" max="16384" width="11.625" style="344"/>
  </cols>
  <sheetData>
    <row r="1" spans="1:7" ht="21.75" customHeight="1">
      <c r="A1" s="764" t="s">
        <v>2260</v>
      </c>
      <c r="B1" s="343" t="s">
        <v>1446</v>
      </c>
      <c r="C1" s="759" t="s">
        <v>3160</v>
      </c>
    </row>
    <row r="2" spans="1:7" ht="12.75" customHeight="1">
      <c r="B2" s="162">
        <v>2</v>
      </c>
      <c r="C2" s="825" t="s">
        <v>1121</v>
      </c>
    </row>
    <row r="3" spans="1:7" ht="12.75" customHeight="1">
      <c r="B3" s="162">
        <v>3</v>
      </c>
      <c r="C3" s="890" t="s">
        <v>366</v>
      </c>
      <c r="D3" s="890" t="s">
        <v>526</v>
      </c>
      <c r="E3" s="890" t="s">
        <v>3161</v>
      </c>
      <c r="F3" s="890" t="s">
        <v>3162</v>
      </c>
      <c r="G3" s="890" t="s">
        <v>527</v>
      </c>
    </row>
    <row r="4" spans="1:7" ht="12.75" customHeight="1">
      <c r="B4" s="162">
        <v>4</v>
      </c>
      <c r="C4" s="1290" t="s">
        <v>4724</v>
      </c>
      <c r="D4" s="1011"/>
      <c r="E4" s="1011"/>
      <c r="F4" s="1011"/>
      <c r="G4" s="406">
        <f>D4+E4-F4</f>
        <v>0</v>
      </c>
    </row>
    <row r="5" spans="1:7" ht="12.75" customHeight="1">
      <c r="A5" s="162">
        <v>1</v>
      </c>
      <c r="B5" s="162">
        <v>5</v>
      </c>
      <c r="C5" s="1290" t="s">
        <v>4725</v>
      </c>
      <c r="D5" s="1011"/>
      <c r="E5" s="1011"/>
      <c r="F5" s="1011"/>
      <c r="G5" s="406">
        <f>D5+E5-F5</f>
        <v>0</v>
      </c>
    </row>
    <row r="6" spans="1:7" ht="12.75" customHeight="1">
      <c r="A6" s="162">
        <v>2</v>
      </c>
      <c r="B6" s="162">
        <v>6</v>
      </c>
      <c r="C6" s="1435" t="s">
        <v>4726</v>
      </c>
      <c r="D6" s="1011"/>
      <c r="E6" s="1011"/>
      <c r="F6" s="1011"/>
      <c r="G6" s="406">
        <f>D6+E6-F6</f>
        <v>0</v>
      </c>
    </row>
    <row r="7" spans="1:7" ht="12.75" customHeight="1">
      <c r="A7" s="162">
        <v>3</v>
      </c>
      <c r="B7" s="162">
        <v>7</v>
      </c>
      <c r="C7" s="890" t="s">
        <v>1005</v>
      </c>
      <c r="D7" s="406">
        <f>SUM(D4:D6)</f>
        <v>0</v>
      </c>
      <c r="E7" s="406">
        <f>SUM(E4:E6)</f>
        <v>0</v>
      </c>
      <c r="F7" s="406">
        <f>SUM(F4:F6)</f>
        <v>0</v>
      </c>
      <c r="G7" s="406">
        <f>SUM(G4:G6)</f>
        <v>0</v>
      </c>
    </row>
    <row r="8" spans="1:7" ht="12.75" customHeight="1">
      <c r="B8" s="162">
        <v>15</v>
      </c>
    </row>
    <row r="9" spans="1:7" ht="12.75" customHeight="1">
      <c r="B9" s="162">
        <v>16</v>
      </c>
      <c r="C9" s="881"/>
      <c r="D9" s="881" t="s">
        <v>2591</v>
      </c>
      <c r="E9" s="881" t="s">
        <v>2592</v>
      </c>
    </row>
    <row r="10" spans="1:7" ht="12.75" customHeight="1">
      <c r="B10" s="162">
        <v>17</v>
      </c>
      <c r="C10" s="881" t="s">
        <v>1319</v>
      </c>
      <c r="D10" s="406">
        <f>审定资产负债表!C92</f>
        <v>0</v>
      </c>
      <c r="E10" s="406">
        <f>审定资产负债表!D92</f>
        <v>0</v>
      </c>
    </row>
    <row r="11" spans="1:7" ht="12.75" customHeight="1">
      <c r="A11" s="764" t="s">
        <v>2260</v>
      </c>
      <c r="B11" s="162">
        <v>18</v>
      </c>
      <c r="C11" s="881" t="s">
        <v>1320</v>
      </c>
      <c r="D11" s="406">
        <f>G7-D10</f>
        <v>0</v>
      </c>
      <c r="E11" s="406">
        <f>D7-E10</f>
        <v>0</v>
      </c>
    </row>
    <row r="12" spans="1:7" ht="12.75" customHeight="1">
      <c r="B12" s="162">
        <v>19</v>
      </c>
      <c r="C12" s="889" t="s">
        <v>3163</v>
      </c>
      <c r="D12" s="406">
        <f>SUM(G4:G6)</f>
        <v>0</v>
      </c>
      <c r="E12" s="406">
        <f>SUM(D4:D6)</f>
        <v>0</v>
      </c>
    </row>
    <row r="13" spans="1:7" ht="12.75" customHeight="1">
      <c r="B13" s="162">
        <v>20</v>
      </c>
      <c r="C13" s="889" t="s">
        <v>3159</v>
      </c>
      <c r="D13" s="406">
        <f>D12-G7</f>
        <v>0</v>
      </c>
      <c r="E13" s="406">
        <f>E12-D7</f>
        <v>0</v>
      </c>
    </row>
  </sheetData>
  <sheetProtection formatCells="0" formatColumns="0" formatRows="0" autoFilter="0"/>
  <phoneticPr fontId="5" type="noConversion"/>
  <hyperlinks>
    <hyperlink ref="A1" location="附注填写封面!B3" display="返回目录" xr:uid="{00000000-0004-0000-4400-000000000000}"/>
    <hyperlink ref="A11" location="附注填写封面!B3" display="返回目录" xr:uid="{00000000-0004-0000-44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46"/>
  <dimension ref="A1:G18"/>
  <sheetViews>
    <sheetView showGridLines="0" showZeros="0" workbookViewId="0">
      <selection activeCell="C14" sqref="C14"/>
    </sheetView>
  </sheetViews>
  <sheetFormatPr defaultColWidth="11.625" defaultRowHeight="12.75"/>
  <cols>
    <col min="1" max="1" width="10" style="344" customWidth="1"/>
    <col min="2" max="2" width="6.625" style="344" hidden="1" customWidth="1"/>
    <col min="3" max="3" width="35.875" style="843" customWidth="1"/>
    <col min="4" max="16384" width="11.625" style="344"/>
  </cols>
  <sheetData>
    <row r="1" spans="1:7" ht="21" customHeight="1">
      <c r="A1" s="764" t="s">
        <v>2260</v>
      </c>
      <c r="B1" s="343" t="s">
        <v>1446</v>
      </c>
      <c r="C1" s="759" t="s">
        <v>3157</v>
      </c>
    </row>
    <row r="2" spans="1:7">
      <c r="B2" s="162">
        <v>2</v>
      </c>
      <c r="C2" s="825" t="s">
        <v>1121</v>
      </c>
    </row>
    <row r="3" spans="1:7">
      <c r="B3" s="162">
        <v>3</v>
      </c>
      <c r="C3" s="889" t="s">
        <v>1013</v>
      </c>
      <c r="D3" s="889" t="s">
        <v>978</v>
      </c>
      <c r="E3" s="889" t="s">
        <v>2740</v>
      </c>
      <c r="F3" s="889" t="s">
        <v>2741</v>
      </c>
      <c r="G3" s="889" t="s">
        <v>2810</v>
      </c>
    </row>
    <row r="4" spans="1:7">
      <c r="B4" s="162">
        <v>4</v>
      </c>
      <c r="C4" s="889" t="s">
        <v>823</v>
      </c>
      <c r="D4" s="961">
        <f>SUM(D5:D14)</f>
        <v>0</v>
      </c>
      <c r="E4" s="961">
        <f>SUM(E5:E14)</f>
        <v>0</v>
      </c>
      <c r="F4" s="961">
        <f>SUM(F5:F14)</f>
        <v>0</v>
      </c>
      <c r="G4" s="961">
        <f>SUM(G5:G14)</f>
        <v>0</v>
      </c>
    </row>
    <row r="5" spans="1:7">
      <c r="A5" s="162">
        <v>1</v>
      </c>
      <c r="B5" s="162">
        <v>5</v>
      </c>
      <c r="C5" s="916" t="s">
        <v>3158</v>
      </c>
      <c r="D5" s="761"/>
      <c r="E5" s="761"/>
      <c r="F5" s="761"/>
      <c r="G5" s="961">
        <f>D5+E5-F5</f>
        <v>0</v>
      </c>
    </row>
    <row r="6" spans="1:7">
      <c r="A6" s="162">
        <v>2</v>
      </c>
      <c r="B6" s="162">
        <v>6</v>
      </c>
      <c r="C6" s="1010"/>
      <c r="D6" s="761"/>
      <c r="E6" s="761"/>
      <c r="F6" s="761"/>
      <c r="G6" s="961">
        <f t="shared" ref="G6:G14" si="0">D6+E6-F6</f>
        <v>0</v>
      </c>
    </row>
    <row r="7" spans="1:7">
      <c r="A7" s="162">
        <v>3</v>
      </c>
      <c r="B7" s="162">
        <v>7</v>
      </c>
      <c r="C7" s="1010"/>
      <c r="D7" s="761"/>
      <c r="E7" s="761"/>
      <c r="F7" s="761"/>
      <c r="G7" s="961">
        <f t="shared" si="0"/>
        <v>0</v>
      </c>
    </row>
    <row r="8" spans="1:7">
      <c r="A8" s="162">
        <v>4</v>
      </c>
      <c r="B8" s="162">
        <v>8</v>
      </c>
      <c r="C8" s="1010"/>
      <c r="D8" s="761"/>
      <c r="E8" s="761"/>
      <c r="F8" s="761"/>
      <c r="G8" s="961">
        <f t="shared" si="0"/>
        <v>0</v>
      </c>
    </row>
    <row r="9" spans="1:7">
      <c r="A9" s="162">
        <v>5</v>
      </c>
      <c r="B9" s="162">
        <v>9</v>
      </c>
      <c r="C9" s="1010"/>
      <c r="D9" s="761"/>
      <c r="E9" s="761"/>
      <c r="F9" s="761"/>
      <c r="G9" s="961">
        <f t="shared" si="0"/>
        <v>0</v>
      </c>
    </row>
    <row r="10" spans="1:7">
      <c r="A10" s="162">
        <v>6</v>
      </c>
      <c r="B10" s="162">
        <v>10</v>
      </c>
      <c r="C10" s="1010"/>
      <c r="D10" s="761"/>
      <c r="E10" s="761"/>
      <c r="F10" s="761"/>
      <c r="G10" s="961">
        <f t="shared" si="0"/>
        <v>0</v>
      </c>
    </row>
    <row r="11" spans="1:7">
      <c r="A11" s="162">
        <v>7</v>
      </c>
      <c r="B11" s="162">
        <v>11</v>
      </c>
      <c r="C11" s="1010"/>
      <c r="D11" s="761"/>
      <c r="E11" s="761"/>
      <c r="F11" s="761"/>
      <c r="G11" s="961">
        <f t="shared" si="0"/>
        <v>0</v>
      </c>
    </row>
    <row r="12" spans="1:7">
      <c r="A12" s="162">
        <v>8</v>
      </c>
      <c r="B12" s="162">
        <v>12</v>
      </c>
      <c r="C12" s="1010"/>
      <c r="D12" s="761"/>
      <c r="E12" s="761"/>
      <c r="F12" s="761"/>
      <c r="G12" s="961">
        <f t="shared" si="0"/>
        <v>0</v>
      </c>
    </row>
    <row r="13" spans="1:7">
      <c r="A13" s="162">
        <v>9</v>
      </c>
      <c r="B13" s="162">
        <v>13</v>
      </c>
      <c r="C13" s="1010"/>
      <c r="D13" s="761"/>
      <c r="E13" s="761"/>
      <c r="F13" s="761"/>
      <c r="G13" s="961">
        <f t="shared" si="0"/>
        <v>0</v>
      </c>
    </row>
    <row r="14" spans="1:7">
      <c r="A14" s="162">
        <v>10</v>
      </c>
      <c r="B14" s="162">
        <v>14</v>
      </c>
      <c r="C14" s="1010"/>
      <c r="D14" s="761"/>
      <c r="E14" s="761"/>
      <c r="F14" s="761"/>
      <c r="G14" s="961">
        <f t="shared" si="0"/>
        <v>0</v>
      </c>
    </row>
    <row r="15" spans="1:7">
      <c r="B15" s="162">
        <v>15</v>
      </c>
      <c r="C15" s="344"/>
    </row>
    <row r="16" spans="1:7">
      <c r="B16" s="162">
        <v>16</v>
      </c>
      <c r="C16" s="889" t="s">
        <v>1319</v>
      </c>
      <c r="D16" s="961">
        <f>审定资产负债表!D93</f>
        <v>0</v>
      </c>
      <c r="E16" s="400"/>
      <c r="F16" s="400"/>
      <c r="G16" s="961">
        <f>审定资产负债表!C93</f>
        <v>0</v>
      </c>
    </row>
    <row r="17" spans="1:7">
      <c r="A17" s="764" t="s">
        <v>2260</v>
      </c>
      <c r="B17" s="162">
        <v>17</v>
      </c>
      <c r="C17" s="889" t="s">
        <v>2551</v>
      </c>
      <c r="D17" s="961">
        <f>D4-D16</f>
        <v>0</v>
      </c>
      <c r="E17" s="400"/>
      <c r="F17" s="400"/>
      <c r="G17" s="961">
        <f>G4-G16</f>
        <v>0</v>
      </c>
    </row>
    <row r="18" spans="1:7">
      <c r="B18" s="162">
        <v>18</v>
      </c>
      <c r="C18" s="889" t="s">
        <v>3212</v>
      </c>
      <c r="D18" s="406">
        <f>SUM(D5:D14)-D4</f>
        <v>0</v>
      </c>
      <c r="E18" s="406">
        <f>SUM(E5:E14)-E4</f>
        <v>0</v>
      </c>
      <c r="F18" s="406">
        <f>SUM(F5:F14)-F4</f>
        <v>0</v>
      </c>
      <c r="G18" s="406">
        <f>SUM(G5:G14)-G4</f>
        <v>0</v>
      </c>
    </row>
  </sheetData>
  <sheetProtection formatCells="0" formatColumns="0" formatRows="0" autoFilter="0"/>
  <phoneticPr fontId="5" type="noConversion"/>
  <hyperlinks>
    <hyperlink ref="A1" location="附注填写封面!B3" display="返回目录" xr:uid="{00000000-0004-0000-4500-000000000000}"/>
    <hyperlink ref="A17" location="附注填写封面!B3" display="返回目录" xr:uid="{00000000-0004-0000-45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41"/>
  <dimension ref="A1:G16"/>
  <sheetViews>
    <sheetView showGridLines="0" showZeros="0" workbookViewId="0">
      <selection activeCell="C3" sqref="C3:C11"/>
    </sheetView>
  </sheetViews>
  <sheetFormatPr defaultColWidth="11.625" defaultRowHeight="12.75"/>
  <cols>
    <col min="1" max="1" width="9.625" style="344" customWidth="1"/>
    <col min="2" max="2" width="4.625" style="344" hidden="1" customWidth="1"/>
    <col min="3" max="3" width="35.875" style="843" customWidth="1"/>
    <col min="4" max="8" width="11.625" style="344"/>
    <col min="9" max="9" width="19.5" style="344" customWidth="1"/>
    <col min="10" max="16384" width="11.625" style="344"/>
  </cols>
  <sheetData>
    <row r="1" spans="1:7" ht="25.7" customHeight="1">
      <c r="A1" s="764" t="s">
        <v>2260</v>
      </c>
      <c r="B1" s="343" t="s">
        <v>1446</v>
      </c>
      <c r="C1" s="759" t="s">
        <v>3156</v>
      </c>
    </row>
    <row r="2" spans="1:7">
      <c r="B2" s="162">
        <v>2</v>
      </c>
      <c r="C2" s="889" t="s">
        <v>1013</v>
      </c>
      <c r="D2" s="881" t="s">
        <v>978</v>
      </c>
      <c r="E2" s="881" t="s">
        <v>3211</v>
      </c>
      <c r="F2" s="881" t="s">
        <v>2932</v>
      </c>
      <c r="G2" s="881" t="s">
        <v>2810</v>
      </c>
    </row>
    <row r="3" spans="1:7">
      <c r="B3" s="162">
        <v>3</v>
      </c>
      <c r="C3" s="338" t="s">
        <v>1133</v>
      </c>
      <c r="D3" s="761"/>
      <c r="E3" s="761"/>
      <c r="F3" s="761"/>
      <c r="G3" s="961">
        <f>D3+E3-F3</f>
        <v>0</v>
      </c>
    </row>
    <row r="4" spans="1:7">
      <c r="B4" s="162">
        <v>4</v>
      </c>
      <c r="C4" s="338" t="s">
        <v>1134</v>
      </c>
      <c r="D4" s="761"/>
      <c r="E4" s="761"/>
      <c r="F4" s="761"/>
      <c r="G4" s="961">
        <f t="shared" ref="G4:G11" si="0">D4+E4-F4</f>
        <v>0</v>
      </c>
    </row>
    <row r="5" spans="1:7">
      <c r="B5" s="162">
        <v>5</v>
      </c>
      <c r="C5" s="1395" t="s">
        <v>1136</v>
      </c>
      <c r="D5" s="761"/>
      <c r="E5" s="761"/>
      <c r="F5" s="761"/>
      <c r="G5" s="961">
        <f t="shared" si="0"/>
        <v>0</v>
      </c>
    </row>
    <row r="6" spans="1:7">
      <c r="B6" s="162">
        <v>6</v>
      </c>
      <c r="C6" s="1395" t="s">
        <v>1137</v>
      </c>
      <c r="D6" s="761"/>
      <c r="E6" s="761"/>
      <c r="F6" s="761"/>
      <c r="G6" s="961">
        <f t="shared" si="0"/>
        <v>0</v>
      </c>
    </row>
    <row r="7" spans="1:7">
      <c r="B7" s="162">
        <v>7</v>
      </c>
      <c r="C7" s="1395" t="s">
        <v>1138</v>
      </c>
      <c r="D7" s="761"/>
      <c r="E7" s="761"/>
      <c r="F7" s="761"/>
      <c r="G7" s="961">
        <f t="shared" si="0"/>
        <v>0</v>
      </c>
    </row>
    <row r="8" spans="1:7">
      <c r="B8" s="162">
        <v>8</v>
      </c>
      <c r="C8" s="1395" t="s">
        <v>1140</v>
      </c>
      <c r="D8" s="761"/>
      <c r="E8" s="761"/>
      <c r="F8" s="761"/>
      <c r="G8" s="961">
        <f t="shared" si="0"/>
        <v>0</v>
      </c>
    </row>
    <row r="9" spans="1:7">
      <c r="B9" s="162">
        <v>9</v>
      </c>
      <c r="C9" s="359" t="s">
        <v>4474</v>
      </c>
      <c r="D9" s="761"/>
      <c r="E9" s="761"/>
      <c r="F9" s="761"/>
      <c r="G9" s="961">
        <f t="shared" si="0"/>
        <v>0</v>
      </c>
    </row>
    <row r="10" spans="1:7">
      <c r="B10" s="162">
        <v>10</v>
      </c>
      <c r="C10" s="1395"/>
      <c r="D10" s="761"/>
      <c r="E10" s="761"/>
      <c r="F10" s="761"/>
      <c r="G10" s="961">
        <f t="shared" si="0"/>
        <v>0</v>
      </c>
    </row>
    <row r="11" spans="1:7">
      <c r="B11" s="162">
        <v>11</v>
      </c>
      <c r="C11" s="338"/>
      <c r="D11" s="761"/>
      <c r="E11" s="761"/>
      <c r="F11" s="761"/>
      <c r="G11" s="961">
        <f t="shared" si="0"/>
        <v>0</v>
      </c>
    </row>
    <row r="12" spans="1:7">
      <c r="B12" s="162">
        <v>12</v>
      </c>
      <c r="C12" s="401" t="s">
        <v>1141</v>
      </c>
      <c r="D12" s="961">
        <f>SUM(D3:D11)</f>
        <v>0</v>
      </c>
      <c r="E12" s="961">
        <f>SUM(E3:E11)</f>
        <v>0</v>
      </c>
      <c r="F12" s="961">
        <f>SUM(F3:F11)</f>
        <v>0</v>
      </c>
      <c r="G12" s="961">
        <f>SUM(G3:G11)</f>
        <v>0</v>
      </c>
    </row>
    <row r="13" spans="1:7">
      <c r="A13" s="764" t="s">
        <v>2260</v>
      </c>
      <c r="B13" s="162">
        <v>13</v>
      </c>
    </row>
    <row r="14" spans="1:7">
      <c r="B14" s="162">
        <v>14</v>
      </c>
      <c r="C14" s="881"/>
      <c r="D14" s="881" t="s">
        <v>2504</v>
      </c>
      <c r="E14" s="881" t="s">
        <v>2505</v>
      </c>
    </row>
    <row r="15" spans="1:7">
      <c r="B15" s="162">
        <v>15</v>
      </c>
      <c r="C15" s="881" t="s">
        <v>1319</v>
      </c>
      <c r="D15" s="406">
        <f>审定资产负债表!D94</f>
        <v>0</v>
      </c>
      <c r="E15" s="406">
        <f>审定资产负债表!C94</f>
        <v>0</v>
      </c>
    </row>
    <row r="16" spans="1:7">
      <c r="B16" s="162">
        <v>16</v>
      </c>
      <c r="C16" s="881" t="s">
        <v>1320</v>
      </c>
      <c r="D16" s="406">
        <f>D12-D15</f>
        <v>0</v>
      </c>
      <c r="E16" s="406">
        <f>G12-E15</f>
        <v>0</v>
      </c>
    </row>
  </sheetData>
  <sheetProtection formatCells="0" formatColumns="0" formatRows="0" autoFilter="0"/>
  <phoneticPr fontId="5" type="noConversion"/>
  <hyperlinks>
    <hyperlink ref="A1" location="附注填写封面!B3" display="返回目录" xr:uid="{00000000-0004-0000-4600-000000000000}"/>
    <hyperlink ref="A13" location="附注填写封面!B3" display="返回目录" xr:uid="{00000000-0004-0000-46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07"/>
  <dimension ref="A1:J25"/>
  <sheetViews>
    <sheetView showGridLines="0" showZeros="0" topLeftCell="A2" workbookViewId="0">
      <selection activeCell="I2" sqref="I2:J19"/>
    </sheetView>
  </sheetViews>
  <sheetFormatPr defaultColWidth="11.625" defaultRowHeight="12.75"/>
  <cols>
    <col min="1" max="1" width="8.625" style="162" customWidth="1"/>
    <col min="2" max="2" width="6" style="162" hidden="1" customWidth="1"/>
    <col min="3" max="3" width="35.875" style="843" customWidth="1"/>
    <col min="4" max="8" width="11.625" style="344"/>
    <col min="9" max="9" width="13.375" style="344" bestFit="1" customWidth="1"/>
    <col min="10" max="16384" width="11.625" style="344"/>
  </cols>
  <sheetData>
    <row r="1" spans="1:10" ht="25.7" customHeight="1">
      <c r="A1" s="860" t="s">
        <v>2260</v>
      </c>
      <c r="B1" s="343" t="s">
        <v>1446</v>
      </c>
      <c r="C1" s="759" t="s">
        <v>3153</v>
      </c>
    </row>
    <row r="2" spans="1:10">
      <c r="A2" s="860"/>
      <c r="B2" s="343"/>
      <c r="C2" s="1824" t="s">
        <v>3196</v>
      </c>
      <c r="D2" s="1824" t="s">
        <v>526</v>
      </c>
      <c r="E2" s="1824" t="s">
        <v>2740</v>
      </c>
      <c r="F2" s="1824" t="s">
        <v>3210</v>
      </c>
      <c r="G2" s="1824"/>
      <c r="H2" s="1824" t="s">
        <v>2810</v>
      </c>
      <c r="I2" s="1872" t="s">
        <v>4934</v>
      </c>
      <c r="J2" s="1873" t="s">
        <v>4935</v>
      </c>
    </row>
    <row r="3" spans="1:10">
      <c r="B3" s="162">
        <v>16</v>
      </c>
      <c r="C3" s="1824"/>
      <c r="D3" s="1824"/>
      <c r="E3" s="1824"/>
      <c r="F3" s="881" t="s">
        <v>3154</v>
      </c>
      <c r="G3" s="881" t="s">
        <v>3155</v>
      </c>
      <c r="H3" s="1824"/>
      <c r="I3" s="1872"/>
      <c r="J3" s="1874"/>
    </row>
    <row r="4" spans="1:10">
      <c r="A4" s="162">
        <v>1</v>
      </c>
      <c r="B4" s="162">
        <v>18</v>
      </c>
      <c r="C4" s="976"/>
      <c r="D4" s="400"/>
      <c r="E4" s="400"/>
      <c r="F4" s="400"/>
      <c r="G4" s="400"/>
      <c r="H4" s="406">
        <f>D4+E4-F4-G4</f>
        <v>0</v>
      </c>
      <c r="I4" s="400"/>
      <c r="J4" s="400"/>
    </row>
    <row r="5" spans="1:10">
      <c r="A5" s="162">
        <v>2</v>
      </c>
      <c r="B5" s="162">
        <v>19</v>
      </c>
      <c r="C5" s="976"/>
      <c r="D5" s="400"/>
      <c r="E5" s="400"/>
      <c r="F5" s="400"/>
      <c r="G5" s="400"/>
      <c r="H5" s="406">
        <f t="shared" ref="H5:H18" si="0">D5+E5-F5-G5</f>
        <v>0</v>
      </c>
      <c r="I5" s="400"/>
      <c r="J5" s="400"/>
    </row>
    <row r="6" spans="1:10">
      <c r="A6" s="162">
        <v>3</v>
      </c>
      <c r="B6" s="162">
        <v>20</v>
      </c>
      <c r="C6" s="976"/>
      <c r="D6" s="400"/>
      <c r="E6" s="400"/>
      <c r="F6" s="400"/>
      <c r="G6" s="400"/>
      <c r="H6" s="406">
        <f t="shared" si="0"/>
        <v>0</v>
      </c>
      <c r="I6" s="400"/>
      <c r="J6" s="400"/>
    </row>
    <row r="7" spans="1:10">
      <c r="A7" s="162">
        <v>4</v>
      </c>
      <c r="B7" s="162">
        <v>21</v>
      </c>
      <c r="C7" s="976"/>
      <c r="D7" s="400"/>
      <c r="E7" s="400"/>
      <c r="F7" s="400"/>
      <c r="G7" s="400"/>
      <c r="H7" s="406">
        <f t="shared" si="0"/>
        <v>0</v>
      </c>
      <c r="I7" s="400"/>
      <c r="J7" s="400"/>
    </row>
    <row r="8" spans="1:10">
      <c r="A8" s="162">
        <v>5</v>
      </c>
      <c r="B8" s="162">
        <v>22</v>
      </c>
      <c r="C8" s="400"/>
      <c r="D8" s="400"/>
      <c r="E8" s="400"/>
      <c r="F8" s="400"/>
      <c r="G8" s="400"/>
      <c r="H8" s="406">
        <f t="shared" si="0"/>
        <v>0</v>
      </c>
      <c r="I8" s="400"/>
      <c r="J8" s="400"/>
    </row>
    <row r="9" spans="1:10">
      <c r="A9" s="162">
        <v>6</v>
      </c>
      <c r="B9" s="162">
        <v>23</v>
      </c>
      <c r="C9" s="976"/>
      <c r="D9" s="400"/>
      <c r="E9" s="400"/>
      <c r="F9" s="400"/>
      <c r="G9" s="400"/>
      <c r="H9" s="406">
        <f t="shared" si="0"/>
        <v>0</v>
      </c>
      <c r="I9" s="400"/>
      <c r="J9" s="400"/>
    </row>
    <row r="10" spans="1:10">
      <c r="A10" s="162">
        <v>7</v>
      </c>
      <c r="B10" s="162">
        <v>24</v>
      </c>
      <c r="C10" s="976"/>
      <c r="D10" s="400"/>
      <c r="E10" s="400"/>
      <c r="F10" s="400"/>
      <c r="G10" s="400"/>
      <c r="H10" s="406">
        <f t="shared" si="0"/>
        <v>0</v>
      </c>
      <c r="I10" s="400"/>
      <c r="J10" s="400"/>
    </row>
    <row r="11" spans="1:10">
      <c r="A11" s="162">
        <v>8</v>
      </c>
      <c r="B11" s="162">
        <v>25</v>
      </c>
      <c r="C11" s="976"/>
      <c r="D11" s="400"/>
      <c r="E11" s="400"/>
      <c r="F11" s="400"/>
      <c r="G11" s="400"/>
      <c r="H11" s="406">
        <f t="shared" si="0"/>
        <v>0</v>
      </c>
      <c r="I11" s="400"/>
      <c r="J11" s="400"/>
    </row>
    <row r="12" spans="1:10">
      <c r="A12" s="162">
        <v>9</v>
      </c>
      <c r="B12" s="162">
        <v>26</v>
      </c>
      <c r="C12" s="976"/>
      <c r="D12" s="400"/>
      <c r="E12" s="400"/>
      <c r="F12" s="400"/>
      <c r="G12" s="400"/>
      <c r="H12" s="406">
        <f t="shared" si="0"/>
        <v>0</v>
      </c>
      <c r="I12" s="400"/>
      <c r="J12" s="400"/>
    </row>
    <row r="13" spans="1:10">
      <c r="A13" s="162">
        <v>10</v>
      </c>
      <c r="B13" s="162">
        <v>27</v>
      </c>
      <c r="C13" s="976"/>
      <c r="D13" s="400"/>
      <c r="E13" s="400"/>
      <c r="F13" s="400"/>
      <c r="G13" s="400"/>
      <c r="H13" s="406">
        <f t="shared" si="0"/>
        <v>0</v>
      </c>
      <c r="I13" s="400"/>
      <c r="J13" s="400"/>
    </row>
    <row r="14" spans="1:10">
      <c r="A14" s="162">
        <v>11</v>
      </c>
      <c r="B14" s="162">
        <v>28</v>
      </c>
      <c r="C14" s="976"/>
      <c r="D14" s="400"/>
      <c r="E14" s="400"/>
      <c r="F14" s="400"/>
      <c r="G14" s="400"/>
      <c r="H14" s="406">
        <f t="shared" si="0"/>
        <v>0</v>
      </c>
      <c r="I14" s="400"/>
      <c r="J14" s="400"/>
    </row>
    <row r="15" spans="1:10">
      <c r="A15" s="162">
        <v>12</v>
      </c>
      <c r="B15" s="162">
        <v>29</v>
      </c>
      <c r="C15" s="976"/>
      <c r="D15" s="400"/>
      <c r="E15" s="400"/>
      <c r="F15" s="400"/>
      <c r="G15" s="400"/>
      <c r="H15" s="406">
        <f t="shared" si="0"/>
        <v>0</v>
      </c>
      <c r="I15" s="400"/>
      <c r="J15" s="400"/>
    </row>
    <row r="16" spans="1:10">
      <c r="A16" s="162">
        <v>13</v>
      </c>
      <c r="B16" s="162">
        <v>30</v>
      </c>
      <c r="C16" s="976"/>
      <c r="D16" s="400"/>
      <c r="E16" s="400"/>
      <c r="F16" s="400"/>
      <c r="G16" s="400"/>
      <c r="H16" s="406">
        <f t="shared" si="0"/>
        <v>0</v>
      </c>
      <c r="I16" s="400"/>
      <c r="J16" s="400"/>
    </row>
    <row r="17" spans="1:10">
      <c r="A17" s="162">
        <v>14</v>
      </c>
      <c r="B17" s="162">
        <v>31</v>
      </c>
      <c r="C17" s="976"/>
      <c r="D17" s="400"/>
      <c r="E17" s="400"/>
      <c r="F17" s="400"/>
      <c r="G17" s="400"/>
      <c r="H17" s="406">
        <f t="shared" si="0"/>
        <v>0</v>
      </c>
      <c r="I17" s="400"/>
      <c r="J17" s="400"/>
    </row>
    <row r="18" spans="1:10">
      <c r="A18" s="162">
        <v>15</v>
      </c>
      <c r="B18" s="162">
        <v>32</v>
      </c>
      <c r="C18" s="976"/>
      <c r="D18" s="400"/>
      <c r="E18" s="400"/>
      <c r="F18" s="400"/>
      <c r="G18" s="400"/>
      <c r="H18" s="406">
        <f t="shared" si="0"/>
        <v>0</v>
      </c>
      <c r="I18" s="400"/>
      <c r="J18" s="400"/>
    </row>
    <row r="19" spans="1:10">
      <c r="B19" s="162">
        <v>33</v>
      </c>
      <c r="C19" s="919" t="s">
        <v>1005</v>
      </c>
      <c r="D19" s="406">
        <f>SUM(D4:D18)</f>
        <v>0</v>
      </c>
      <c r="E19" s="406">
        <f>SUM(E4:E18)</f>
        <v>0</v>
      </c>
      <c r="F19" s="406">
        <f>SUM(F4:F18)</f>
        <v>0</v>
      </c>
      <c r="G19" s="406">
        <f>SUM(G4:G18)</f>
        <v>0</v>
      </c>
      <c r="H19" s="406">
        <f>SUM(H4:H18)</f>
        <v>0</v>
      </c>
      <c r="I19" s="400"/>
      <c r="J19" s="400"/>
    </row>
    <row r="20" spans="1:10">
      <c r="B20" s="162">
        <v>34</v>
      </c>
      <c r="C20" s="1008"/>
      <c r="D20" s="1009"/>
      <c r="E20" s="1009"/>
      <c r="F20" s="1009"/>
      <c r="G20" s="1009"/>
      <c r="H20" s="1009"/>
      <c r="I20" s="509"/>
    </row>
    <row r="21" spans="1:10">
      <c r="A21" s="1001" t="str">
        <f>HYPERLINK("#C1","置顶")</f>
        <v>置顶</v>
      </c>
      <c r="B21" s="162">
        <v>35</v>
      </c>
    </row>
    <row r="22" spans="1:10">
      <c r="A22" s="860" t="s">
        <v>2260</v>
      </c>
      <c r="B22" s="162">
        <v>36</v>
      </c>
      <c r="C22" s="881"/>
      <c r="D22" s="881" t="s">
        <v>2504</v>
      </c>
      <c r="E22" s="881" t="s">
        <v>2505</v>
      </c>
    </row>
    <row r="23" spans="1:10">
      <c r="B23" s="162">
        <v>37</v>
      </c>
      <c r="C23" s="881" t="s">
        <v>1319</v>
      </c>
      <c r="D23" s="406">
        <f>审定资产负债表!D95</f>
        <v>0</v>
      </c>
      <c r="E23" s="406">
        <f>审定资产负债表!C95</f>
        <v>0</v>
      </c>
    </row>
    <row r="24" spans="1:10">
      <c r="B24" s="162">
        <v>38</v>
      </c>
      <c r="C24" s="881" t="s">
        <v>1320</v>
      </c>
      <c r="D24" s="406">
        <f>D19-D23</f>
        <v>0</v>
      </c>
      <c r="E24" s="406">
        <f>H19-E23</f>
        <v>0</v>
      </c>
    </row>
    <row r="25" spans="1:10" ht="14.25">
      <c r="A25" s="860" t="s">
        <v>2260</v>
      </c>
      <c r="B25" s="162">
        <v>39</v>
      </c>
      <c r="C25"/>
      <c r="D25"/>
      <c r="E25"/>
      <c r="F25"/>
    </row>
  </sheetData>
  <sheetProtection formatCells="0" formatColumns="0" formatRows="0" autoFilter="0"/>
  <mergeCells count="7">
    <mergeCell ref="I2:I3"/>
    <mergeCell ref="J2:J3"/>
    <mergeCell ref="C2:C3"/>
    <mergeCell ref="D2:D3"/>
    <mergeCell ref="E2:E3"/>
    <mergeCell ref="F2:G2"/>
    <mergeCell ref="H2:H3"/>
  </mergeCells>
  <phoneticPr fontId="5" type="noConversion"/>
  <hyperlinks>
    <hyperlink ref="A1" location="附注填写封面!B3" display="返回目录" xr:uid="{00000000-0004-0000-4700-000000000000}"/>
    <hyperlink ref="A25" location="附注填写封面!B3" display="返回目录" xr:uid="{00000000-0004-0000-4700-000001000000}"/>
    <hyperlink ref="A22" location="附注填写封面!B3" display="返回目录" xr:uid="{00000000-0004-0000-4700-000002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2"/>
  <dimension ref="A1:K46"/>
  <sheetViews>
    <sheetView workbookViewId="0"/>
  </sheetViews>
  <sheetFormatPr defaultColWidth="10.875" defaultRowHeight="12.75"/>
  <cols>
    <col min="1" max="1" width="10.875" style="1347"/>
    <col min="2" max="2" width="0" style="1347" hidden="1" customWidth="1"/>
    <col min="3" max="3" width="21.625" style="1347" customWidth="1"/>
    <col min="4" max="4" width="14.5" style="1347" customWidth="1"/>
    <col min="5" max="5" width="12.875" style="1347" customWidth="1"/>
    <col min="6" max="6" width="15.125" style="1347" customWidth="1"/>
    <col min="7" max="10" width="10.875" style="1347"/>
    <col min="11" max="11" width="14.5" style="1347" customWidth="1"/>
    <col min="12" max="16384" width="10.875" style="1347"/>
  </cols>
  <sheetData>
    <row r="1" spans="1:11">
      <c r="A1" s="1347" t="s">
        <v>2260</v>
      </c>
      <c r="B1" s="1348" t="s">
        <v>305</v>
      </c>
      <c r="C1" s="1349" t="s">
        <v>4566</v>
      </c>
    </row>
    <row r="2" spans="1:11">
      <c r="B2" s="1347">
        <v>2</v>
      </c>
      <c r="C2" s="1350" t="s">
        <v>4567</v>
      </c>
    </row>
    <row r="3" spans="1:11">
      <c r="B3" s="1347">
        <v>3</v>
      </c>
      <c r="C3" s="1875" t="s">
        <v>4568</v>
      </c>
      <c r="D3" s="1876" t="s">
        <v>829</v>
      </c>
      <c r="E3" s="1876" t="s">
        <v>4569</v>
      </c>
      <c r="F3" s="1876"/>
      <c r="G3" s="1876" t="s">
        <v>4570</v>
      </c>
      <c r="H3" s="1876"/>
      <c r="I3" s="1876"/>
      <c r="J3" s="1876"/>
      <c r="K3" s="1876" t="s">
        <v>4571</v>
      </c>
    </row>
    <row r="4" spans="1:11">
      <c r="B4" s="1347">
        <v>4</v>
      </c>
      <c r="C4" s="1875"/>
      <c r="D4" s="1876"/>
      <c r="E4" s="1351" t="s">
        <v>997</v>
      </c>
      <c r="F4" s="1351" t="s">
        <v>4572</v>
      </c>
      <c r="G4" s="1351" t="s">
        <v>4573</v>
      </c>
      <c r="H4" s="1351" t="s">
        <v>4574</v>
      </c>
      <c r="I4" s="1351" t="s">
        <v>1563</v>
      </c>
      <c r="J4" s="1352" t="s">
        <v>4575</v>
      </c>
      <c r="K4" s="1876"/>
    </row>
    <row r="5" spans="1:11" ht="13.5">
      <c r="A5" s="1347">
        <v>1</v>
      </c>
      <c r="B5" s="1347">
        <v>5</v>
      </c>
      <c r="C5" s="1353"/>
      <c r="D5" s="1354"/>
      <c r="E5" s="1355"/>
      <c r="F5" s="1355"/>
      <c r="G5" s="1355"/>
      <c r="H5" s="1354"/>
      <c r="I5" s="1355"/>
      <c r="J5" s="1355"/>
      <c r="K5" s="1356"/>
    </row>
    <row r="6" spans="1:11">
      <c r="A6" s="1347">
        <v>2</v>
      </c>
      <c r="B6" s="1347">
        <v>6</v>
      </c>
      <c r="C6" s="1357"/>
      <c r="D6" s="1355"/>
      <c r="E6" s="1355"/>
      <c r="F6" s="1355"/>
      <c r="G6" s="1355"/>
      <c r="H6" s="1355"/>
      <c r="I6" s="1355"/>
      <c r="J6" s="1355"/>
      <c r="K6" s="1358"/>
    </row>
    <row r="7" spans="1:11">
      <c r="A7" s="1347">
        <v>3</v>
      </c>
      <c r="B7" s="1347">
        <v>7</v>
      </c>
      <c r="C7" s="1357"/>
      <c r="D7" s="1355"/>
      <c r="E7" s="1355"/>
      <c r="F7" s="1355"/>
      <c r="G7" s="1355"/>
      <c r="H7" s="1355"/>
      <c r="I7" s="1355"/>
      <c r="J7" s="1355"/>
      <c r="K7" s="1358"/>
    </row>
    <row r="8" spans="1:11">
      <c r="A8" s="1347">
        <v>4</v>
      </c>
      <c r="B8" s="1347">
        <v>7</v>
      </c>
      <c r="C8" s="1357"/>
      <c r="D8" s="1355"/>
      <c r="E8" s="1355"/>
      <c r="F8" s="1355"/>
      <c r="G8" s="1355"/>
      <c r="H8" s="1355"/>
      <c r="I8" s="1355"/>
      <c r="J8" s="1355"/>
      <c r="K8" s="1358"/>
    </row>
    <row r="9" spans="1:11">
      <c r="A9" s="1347">
        <v>5</v>
      </c>
      <c r="B9" s="1347">
        <v>7</v>
      </c>
      <c r="C9" s="1357"/>
      <c r="D9" s="1355"/>
      <c r="E9" s="1355"/>
      <c r="F9" s="1355"/>
      <c r="G9" s="1355"/>
      <c r="H9" s="1355"/>
      <c r="I9" s="1355"/>
      <c r="J9" s="1355"/>
      <c r="K9" s="1358"/>
    </row>
    <row r="10" spans="1:11">
      <c r="A10" s="1347">
        <v>6</v>
      </c>
      <c r="B10" s="1347">
        <v>7</v>
      </c>
      <c r="C10" s="1357"/>
      <c r="D10" s="1355"/>
      <c r="E10" s="1355"/>
      <c r="F10" s="1355"/>
      <c r="G10" s="1355"/>
      <c r="H10" s="1355"/>
      <c r="I10" s="1355"/>
      <c r="J10" s="1355"/>
      <c r="K10" s="1358"/>
    </row>
    <row r="11" spans="1:11">
      <c r="A11" s="1347">
        <v>7</v>
      </c>
      <c r="B11" s="1347">
        <v>7</v>
      </c>
      <c r="C11" s="1357"/>
      <c r="D11" s="1355"/>
      <c r="E11" s="1355"/>
      <c r="F11" s="1355"/>
      <c r="G11" s="1355"/>
      <c r="H11" s="1355"/>
      <c r="I11" s="1355"/>
      <c r="J11" s="1355"/>
      <c r="K11" s="1358"/>
    </row>
    <row r="12" spans="1:11">
      <c r="A12" s="1347">
        <v>8</v>
      </c>
      <c r="B12" s="1347">
        <v>7</v>
      </c>
      <c r="C12" s="1357"/>
      <c r="D12" s="1355"/>
      <c r="E12" s="1355"/>
      <c r="F12" s="1355"/>
      <c r="G12" s="1355"/>
      <c r="H12" s="1355"/>
      <c r="I12" s="1355"/>
      <c r="J12" s="1355"/>
      <c r="K12" s="1358"/>
    </row>
    <row r="13" spans="1:11">
      <c r="A13" s="1347">
        <v>9</v>
      </c>
      <c r="C13" s="1357"/>
      <c r="D13" s="1355"/>
      <c r="E13" s="1355"/>
      <c r="F13" s="1355"/>
      <c r="G13" s="1355"/>
      <c r="H13" s="1355"/>
      <c r="I13" s="1355"/>
      <c r="J13" s="1355"/>
      <c r="K13" s="1358"/>
    </row>
    <row r="14" spans="1:11">
      <c r="A14" s="1347">
        <v>10</v>
      </c>
      <c r="C14" s="1357"/>
      <c r="D14" s="1355"/>
      <c r="E14" s="1355"/>
      <c r="F14" s="1355"/>
      <c r="G14" s="1355"/>
      <c r="H14" s="1355"/>
      <c r="I14" s="1355"/>
      <c r="J14" s="1355"/>
      <c r="K14" s="1358"/>
    </row>
    <row r="15" spans="1:11">
      <c r="A15" s="1347">
        <v>11</v>
      </c>
      <c r="C15" s="1357"/>
      <c r="D15" s="1355"/>
      <c r="E15" s="1355"/>
      <c r="F15" s="1355"/>
      <c r="G15" s="1355"/>
      <c r="H15" s="1355"/>
      <c r="I15" s="1355"/>
      <c r="J15" s="1355"/>
      <c r="K15" s="1358"/>
    </row>
    <row r="16" spans="1:11">
      <c r="A16" s="1347">
        <v>12</v>
      </c>
      <c r="B16" s="1347">
        <v>7</v>
      </c>
      <c r="C16" s="1357"/>
      <c r="D16" s="1355"/>
      <c r="E16" s="1355"/>
      <c r="F16" s="1355"/>
      <c r="G16" s="1355"/>
      <c r="H16" s="1355"/>
      <c r="I16" s="1355"/>
      <c r="J16" s="1355"/>
      <c r="K16" s="1358"/>
    </row>
    <row r="17" spans="1:11">
      <c r="A17" s="1347">
        <v>13</v>
      </c>
      <c r="B17" s="1347">
        <v>7</v>
      </c>
      <c r="C17" s="1357"/>
      <c r="D17" s="1355"/>
      <c r="E17" s="1355"/>
      <c r="F17" s="1355"/>
      <c r="G17" s="1355"/>
      <c r="H17" s="1355"/>
      <c r="I17" s="1355"/>
      <c r="J17" s="1355"/>
      <c r="K17" s="1358"/>
    </row>
    <row r="18" spans="1:11">
      <c r="A18" s="1347">
        <v>14</v>
      </c>
      <c r="B18" s="1347">
        <v>8</v>
      </c>
      <c r="C18" s="1357"/>
      <c r="D18" s="1355"/>
      <c r="E18" s="1355"/>
      <c r="F18" s="1355"/>
      <c r="G18" s="1355"/>
      <c r="H18" s="1355"/>
      <c r="I18" s="1355"/>
      <c r="J18" s="1355"/>
      <c r="K18" s="1358"/>
    </row>
    <row r="19" spans="1:11">
      <c r="A19" s="1347">
        <v>15</v>
      </c>
      <c r="B19" s="1347">
        <v>9</v>
      </c>
      <c r="C19" s="1357"/>
      <c r="D19" s="1355"/>
      <c r="E19" s="1355"/>
      <c r="F19" s="1355"/>
      <c r="G19" s="1355"/>
      <c r="H19" s="1355"/>
      <c r="I19" s="1355"/>
      <c r="J19" s="1355"/>
      <c r="K19" s="1358"/>
    </row>
    <row r="20" spans="1:11">
      <c r="A20" s="1347">
        <v>16</v>
      </c>
      <c r="B20" s="1347">
        <v>10</v>
      </c>
      <c r="C20" s="1352" t="s">
        <v>823</v>
      </c>
      <c r="D20" s="1359">
        <f>SUM(D5:D19)</f>
        <v>0</v>
      </c>
      <c r="E20" s="1359">
        <f t="shared" ref="E20:J20" si="0">SUM(E5:E19)</f>
        <v>0</v>
      </c>
      <c r="F20" s="1359">
        <f t="shared" si="0"/>
        <v>0</v>
      </c>
      <c r="G20" s="1359">
        <f t="shared" si="0"/>
        <v>0</v>
      </c>
      <c r="H20" s="1359">
        <f t="shared" si="0"/>
        <v>0</v>
      </c>
      <c r="I20" s="1359">
        <f t="shared" si="0"/>
        <v>0</v>
      </c>
      <c r="J20" s="1359">
        <f t="shared" si="0"/>
        <v>0</v>
      </c>
      <c r="K20" s="1351" t="s">
        <v>177</v>
      </c>
    </row>
    <row r="21" spans="1:11">
      <c r="B21" s="1347">
        <v>11</v>
      </c>
    </row>
    <row r="22" spans="1:11">
      <c r="B22" s="1347">
        <v>12</v>
      </c>
      <c r="C22" s="1350" t="s">
        <v>4576</v>
      </c>
    </row>
    <row r="23" spans="1:11">
      <c r="A23" s="1347" t="str">
        <f>HYPERLINK("#C1","置顶")</f>
        <v>置顶</v>
      </c>
      <c r="B23" s="1347">
        <v>13</v>
      </c>
    </row>
    <row r="24" spans="1:11">
      <c r="B24" s="1347">
        <v>14</v>
      </c>
      <c r="C24" s="1352" t="s">
        <v>4577</v>
      </c>
      <c r="D24" s="1352" t="s">
        <v>4578</v>
      </c>
      <c r="E24" s="1351" t="s">
        <v>4579</v>
      </c>
      <c r="F24" s="1351" t="s">
        <v>4580</v>
      </c>
      <c r="G24" s="1352" t="s">
        <v>4575</v>
      </c>
    </row>
    <row r="25" spans="1:11">
      <c r="B25" s="1347">
        <v>15</v>
      </c>
      <c r="C25" s="1357"/>
      <c r="D25" s="1360"/>
      <c r="E25" s="1361"/>
      <c r="F25" s="1361"/>
      <c r="G25" s="1361"/>
    </row>
    <row r="26" spans="1:11">
      <c r="C26" s="1353"/>
      <c r="D26" s="1360"/>
      <c r="E26" s="1361"/>
      <c r="F26" s="1361"/>
      <c r="G26" s="1361"/>
    </row>
    <row r="27" spans="1:11">
      <c r="C27" s="1357"/>
      <c r="D27" s="1361"/>
      <c r="E27" s="1361"/>
      <c r="F27" s="1361"/>
      <c r="G27" s="1361"/>
    </row>
    <row r="28" spans="1:11">
      <c r="C28" s="1357"/>
      <c r="D28" s="1361"/>
      <c r="E28" s="1361"/>
      <c r="F28" s="1361"/>
      <c r="G28" s="1361"/>
    </row>
    <row r="29" spans="1:11">
      <c r="C29" s="1357"/>
      <c r="D29" s="1361"/>
      <c r="E29" s="1361"/>
      <c r="F29" s="1361"/>
      <c r="G29" s="1361"/>
    </row>
    <row r="30" spans="1:11">
      <c r="C30" s="1357"/>
      <c r="D30" s="1361"/>
      <c r="E30" s="1361"/>
      <c r="F30" s="1361"/>
      <c r="G30" s="1361"/>
    </row>
    <row r="31" spans="1:11">
      <c r="C31" s="1357"/>
      <c r="D31" s="1361"/>
      <c r="E31" s="1361"/>
      <c r="F31" s="1361"/>
      <c r="G31" s="1361"/>
    </row>
    <row r="32" spans="1:11">
      <c r="C32" s="1357"/>
      <c r="D32" s="1361"/>
      <c r="E32" s="1361"/>
      <c r="F32" s="1361"/>
      <c r="G32" s="1361"/>
    </row>
    <row r="33" spans="1:7">
      <c r="C33" s="1357"/>
      <c r="D33" s="1361"/>
      <c r="E33" s="1361"/>
      <c r="F33" s="1361"/>
      <c r="G33" s="1361"/>
    </row>
    <row r="34" spans="1:7">
      <c r="C34" s="1357"/>
      <c r="D34" s="1361"/>
      <c r="E34" s="1361"/>
      <c r="F34" s="1361"/>
      <c r="G34" s="1361"/>
    </row>
    <row r="35" spans="1:7">
      <c r="C35" s="1357"/>
      <c r="D35" s="1361"/>
      <c r="E35" s="1361"/>
      <c r="F35" s="1361"/>
      <c r="G35" s="1361"/>
    </row>
    <row r="36" spans="1:7">
      <c r="A36" s="1347" t="s">
        <v>2260</v>
      </c>
      <c r="B36" s="1347">
        <v>16</v>
      </c>
      <c r="C36" s="1357"/>
      <c r="D36" s="1361"/>
      <c r="E36" s="1361"/>
      <c r="F36" s="1361"/>
      <c r="G36" s="1361"/>
    </row>
    <row r="37" spans="1:7">
      <c r="B37" s="1347">
        <v>17</v>
      </c>
      <c r="C37" s="1357"/>
      <c r="D37" s="1361"/>
      <c r="E37" s="1361"/>
      <c r="F37" s="1361"/>
      <c r="G37" s="1361"/>
    </row>
    <row r="38" spans="1:7">
      <c r="B38" s="1347">
        <v>18</v>
      </c>
      <c r="C38" s="1357"/>
      <c r="D38" s="1360"/>
      <c r="E38" s="1361"/>
      <c r="F38" s="1361"/>
      <c r="G38" s="1361"/>
    </row>
    <row r="39" spans="1:7">
      <c r="A39" s="1347" t="s">
        <v>2260</v>
      </c>
      <c r="B39" s="1347">
        <v>19</v>
      </c>
      <c r="C39" s="1353"/>
      <c r="D39" s="1360"/>
      <c r="E39" s="1361"/>
      <c r="F39" s="1361"/>
      <c r="G39" s="1361"/>
    </row>
    <row r="40" spans="1:7">
      <c r="B40" s="1347">
        <v>20</v>
      </c>
      <c r="C40" s="1352" t="s">
        <v>823</v>
      </c>
      <c r="D40" s="1359">
        <f>SUM(D25:D39)</f>
        <v>0</v>
      </c>
      <c r="E40" s="1359">
        <f>SUM(E25:E39)</f>
        <v>0</v>
      </c>
      <c r="F40" s="1359">
        <f t="shared" ref="F40:G40" si="1">SUM(F25:F39)</f>
        <v>0</v>
      </c>
      <c r="G40" s="1359">
        <f t="shared" si="1"/>
        <v>0</v>
      </c>
    </row>
    <row r="41" spans="1:7">
      <c r="B41" s="1347">
        <v>21</v>
      </c>
    </row>
    <row r="42" spans="1:7">
      <c r="B42" s="1347">
        <v>22</v>
      </c>
    </row>
    <row r="43" spans="1:7">
      <c r="B43" s="1347">
        <v>23</v>
      </c>
      <c r="C43" s="1362"/>
      <c r="D43" s="1363" t="s">
        <v>4581</v>
      </c>
      <c r="E43" s="1363" t="s">
        <v>48</v>
      </c>
    </row>
    <row r="44" spans="1:7">
      <c r="B44" s="1347">
        <v>24</v>
      </c>
      <c r="C44" s="1362" t="s">
        <v>1319</v>
      </c>
      <c r="D44" s="1359">
        <f>审定利润表!C39</f>
        <v>0</v>
      </c>
      <c r="E44" s="1359">
        <f>审定利润表!C44</f>
        <v>0</v>
      </c>
    </row>
    <row r="45" spans="1:7">
      <c r="B45" s="1347">
        <v>25</v>
      </c>
      <c r="C45" s="1362" t="s">
        <v>1320</v>
      </c>
      <c r="D45" s="1359">
        <f>D44-E40</f>
        <v>0</v>
      </c>
      <c r="E45" s="1359">
        <f>E44-F40</f>
        <v>0</v>
      </c>
    </row>
    <row r="46" spans="1:7" ht="14.25">
      <c r="C46"/>
      <c r="D46"/>
      <c r="E46"/>
      <c r="F46"/>
      <c r="G46"/>
    </row>
  </sheetData>
  <mergeCells count="5">
    <mergeCell ref="C3:C4"/>
    <mergeCell ref="D3:D4"/>
    <mergeCell ref="E3:F3"/>
    <mergeCell ref="G3:J3"/>
    <mergeCell ref="K3:K4"/>
  </mergeCells>
  <phoneticPr fontId="5" type="noConversion"/>
  <hyperlinks>
    <hyperlink ref="A1" location="附注填写封面!B3" display="返回目录" xr:uid="{00000000-0004-0000-4800-000000000000}"/>
    <hyperlink ref="A39" location="附注填写封面!B3" display="返回目录" xr:uid="{00000000-0004-0000-4800-000001000000}"/>
    <hyperlink ref="A36" location="附注填写封面!B3" display="返回目录" xr:uid="{00000000-0004-0000-4800-000002000000}"/>
  </hyperlinks>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47"/>
  <dimension ref="A1:J19"/>
  <sheetViews>
    <sheetView showGridLines="0" showZeros="0" workbookViewId="0">
      <selection activeCell="G19" sqref="G19"/>
    </sheetView>
  </sheetViews>
  <sheetFormatPr defaultColWidth="11.625" defaultRowHeight="12.75"/>
  <cols>
    <col min="1" max="1" width="8.625" style="810" customWidth="1"/>
    <col min="2" max="2" width="6" style="162" hidden="1" customWidth="1"/>
    <col min="3" max="3" width="35.875" style="843" customWidth="1"/>
    <col min="4" max="16384" width="11.625" style="344"/>
  </cols>
  <sheetData>
    <row r="1" spans="1:10" ht="25.7" customHeight="1">
      <c r="A1" s="957" t="s">
        <v>2260</v>
      </c>
      <c r="B1" s="343" t="s">
        <v>1446</v>
      </c>
      <c r="C1" s="759" t="s">
        <v>3208</v>
      </c>
    </row>
    <row r="2" spans="1:10">
      <c r="B2" s="162">
        <v>2</v>
      </c>
      <c r="C2" s="889" t="s">
        <v>3209</v>
      </c>
      <c r="D2" s="881" t="s">
        <v>978</v>
      </c>
      <c r="E2" s="881" t="s">
        <v>2931</v>
      </c>
      <c r="F2" s="881" t="s">
        <v>2932</v>
      </c>
      <c r="G2" s="881" t="s">
        <v>2810</v>
      </c>
      <c r="H2" s="881" t="s">
        <v>3151</v>
      </c>
    </row>
    <row r="3" spans="1:10">
      <c r="A3" s="810">
        <v>1</v>
      </c>
      <c r="B3" s="162">
        <v>4</v>
      </c>
      <c r="C3" s="340"/>
      <c r="D3" s="400"/>
      <c r="E3" s="400"/>
      <c r="F3" s="400"/>
      <c r="G3" s="406">
        <f>D3+E3-F3</f>
        <v>0</v>
      </c>
      <c r="H3" s="881"/>
    </row>
    <row r="4" spans="1:10">
      <c r="A4" s="810">
        <v>2</v>
      </c>
      <c r="B4" s="162">
        <v>5</v>
      </c>
      <c r="C4" s="340"/>
      <c r="D4" s="400"/>
      <c r="E4" s="400"/>
      <c r="F4" s="400"/>
      <c r="G4" s="406">
        <f t="shared" ref="G4:G12" si="0">D4+E4-F4</f>
        <v>0</v>
      </c>
      <c r="H4" s="881"/>
    </row>
    <row r="5" spans="1:10">
      <c r="A5" s="810">
        <v>3</v>
      </c>
      <c r="B5" s="162">
        <v>6</v>
      </c>
      <c r="C5" s="889"/>
      <c r="D5" s="400"/>
      <c r="E5" s="400"/>
      <c r="F5" s="400"/>
      <c r="G5" s="406">
        <f t="shared" si="0"/>
        <v>0</v>
      </c>
      <c r="H5" s="881"/>
    </row>
    <row r="6" spans="1:10">
      <c r="A6" s="810">
        <v>4</v>
      </c>
      <c r="B6" s="162">
        <v>7</v>
      </c>
      <c r="C6" s="889"/>
      <c r="D6" s="400"/>
      <c r="E6" s="400"/>
      <c r="F6" s="400"/>
      <c r="G6" s="406">
        <f t="shared" si="0"/>
        <v>0</v>
      </c>
      <c r="H6" s="881"/>
    </row>
    <row r="7" spans="1:10">
      <c r="A7" s="810">
        <v>5</v>
      </c>
      <c r="B7" s="162">
        <v>8</v>
      </c>
      <c r="C7" s="889"/>
      <c r="D7" s="400"/>
      <c r="E7" s="400"/>
      <c r="F7" s="400"/>
      <c r="G7" s="406">
        <f t="shared" si="0"/>
        <v>0</v>
      </c>
      <c r="H7" s="881"/>
      <c r="J7" s="1006"/>
    </row>
    <row r="8" spans="1:10">
      <c r="A8" s="810">
        <v>6</v>
      </c>
      <c r="B8" s="162">
        <v>9</v>
      </c>
      <c r="C8" s="889"/>
      <c r="D8" s="400"/>
      <c r="E8" s="400"/>
      <c r="F8" s="400"/>
      <c r="G8" s="406">
        <f t="shared" si="0"/>
        <v>0</v>
      </c>
      <c r="H8" s="881"/>
      <c r="J8" s="1007"/>
    </row>
    <row r="9" spans="1:10">
      <c r="A9" s="810">
        <v>7</v>
      </c>
      <c r="B9" s="162">
        <v>10</v>
      </c>
      <c r="C9" s="889"/>
      <c r="D9" s="400"/>
      <c r="E9" s="400"/>
      <c r="F9" s="400"/>
      <c r="G9" s="406">
        <f t="shared" si="0"/>
        <v>0</v>
      </c>
      <c r="H9" s="881"/>
    </row>
    <row r="10" spans="1:10">
      <c r="A10" s="810">
        <v>8</v>
      </c>
      <c r="B10" s="162">
        <v>11</v>
      </c>
      <c r="C10" s="889"/>
      <c r="D10" s="400"/>
      <c r="E10" s="400"/>
      <c r="F10" s="400"/>
      <c r="G10" s="406">
        <f t="shared" si="0"/>
        <v>0</v>
      </c>
      <c r="H10" s="881"/>
    </row>
    <row r="11" spans="1:10">
      <c r="A11" s="810">
        <v>9</v>
      </c>
      <c r="B11" s="162">
        <v>12</v>
      </c>
      <c r="C11" s="889"/>
      <c r="D11" s="400"/>
      <c r="E11" s="400"/>
      <c r="F11" s="400"/>
      <c r="G11" s="406">
        <f t="shared" si="0"/>
        <v>0</v>
      </c>
      <c r="H11" s="881"/>
    </row>
    <row r="12" spans="1:10">
      <c r="A12" s="810">
        <v>10</v>
      </c>
      <c r="B12" s="162">
        <v>13</v>
      </c>
      <c r="C12" s="889"/>
      <c r="D12" s="400"/>
      <c r="E12" s="400"/>
      <c r="F12" s="400"/>
      <c r="G12" s="406">
        <f t="shared" si="0"/>
        <v>0</v>
      </c>
      <c r="H12" s="881"/>
    </row>
    <row r="13" spans="1:10">
      <c r="A13" s="811" t="str">
        <f>HYPERLINK("#C1","置顶")</f>
        <v>置顶</v>
      </c>
      <c r="B13" s="162">
        <v>14</v>
      </c>
      <c r="C13" s="401" t="s">
        <v>1141</v>
      </c>
      <c r="D13" s="406">
        <f>SUM(D3:D12)</f>
        <v>0</v>
      </c>
      <c r="E13" s="406">
        <f>SUM(E3:E12)</f>
        <v>0</v>
      </c>
      <c r="F13" s="406">
        <f>SUM(F3:F12)</f>
        <v>0</v>
      </c>
      <c r="G13" s="406">
        <f>SUM(G3:G12)</f>
        <v>0</v>
      </c>
      <c r="H13" s="881"/>
    </row>
    <row r="14" spans="1:10">
      <c r="B14" s="162">
        <v>34</v>
      </c>
      <c r="C14" s="1008"/>
      <c r="D14" s="1009"/>
      <c r="E14" s="1009"/>
      <c r="F14" s="1009"/>
      <c r="G14" s="1009"/>
      <c r="H14" s="1009"/>
      <c r="I14" s="509"/>
    </row>
    <row r="15" spans="1:10">
      <c r="B15" s="162">
        <v>35</v>
      </c>
    </row>
    <row r="16" spans="1:10">
      <c r="A16" s="957" t="s">
        <v>2260</v>
      </c>
      <c r="B16" s="162">
        <v>36</v>
      </c>
      <c r="C16" s="881"/>
      <c r="D16" s="881" t="s">
        <v>2504</v>
      </c>
      <c r="E16" s="881" t="s">
        <v>2505</v>
      </c>
    </row>
    <row r="17" spans="1:7">
      <c r="B17" s="162">
        <v>37</v>
      </c>
      <c r="C17" s="881" t="s">
        <v>1319</v>
      </c>
      <c r="D17" s="406">
        <f>审定资产负债表!D97</f>
        <v>0</v>
      </c>
      <c r="E17" s="406">
        <f>审定资产负债表!C97</f>
        <v>0</v>
      </c>
    </row>
    <row r="18" spans="1:7">
      <c r="B18" s="162">
        <v>38</v>
      </c>
      <c r="C18" s="881" t="s">
        <v>1320</v>
      </c>
      <c r="D18" s="406">
        <f>D13-D17</f>
        <v>0</v>
      </c>
      <c r="E18" s="406">
        <f>G13-E17</f>
        <v>0</v>
      </c>
    </row>
    <row r="19" spans="1:7">
      <c r="A19" s="957" t="s">
        <v>2260</v>
      </c>
      <c r="B19" s="162">
        <v>40</v>
      </c>
      <c r="C19" s="889" t="s">
        <v>3152</v>
      </c>
      <c r="D19" s="406">
        <f>SUM(D3:D12)-D13</f>
        <v>0</v>
      </c>
      <c r="E19" s="406">
        <f>SUM(E3:E12)-E13</f>
        <v>0</v>
      </c>
      <c r="F19" s="406">
        <f>SUM(F3:F12)-F13</f>
        <v>0</v>
      </c>
      <c r="G19" s="406">
        <f>SUM(G3:G12)-G13</f>
        <v>0</v>
      </c>
    </row>
  </sheetData>
  <sheetProtection formatCells="0" formatColumns="0" formatRows="0" autoFilter="0"/>
  <phoneticPr fontId="5" type="noConversion"/>
  <hyperlinks>
    <hyperlink ref="A1" location="附注填写封面!B3" display="返回目录" xr:uid="{00000000-0004-0000-4900-000000000000}"/>
    <hyperlink ref="A19" location="附注填写封面!B3" display="返回目录" xr:uid="{00000000-0004-0000-4900-000001000000}"/>
    <hyperlink ref="A16" location="附注填写封面!B3" display="返回目录" xr:uid="{00000000-0004-0000-4900-000002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48">
    <tabColor rgb="FFFFC000"/>
  </sheetPr>
  <dimension ref="A1:I21"/>
  <sheetViews>
    <sheetView showGridLines="0" showZeros="0" workbookViewId="0">
      <pane xSplit="3" ySplit="3" topLeftCell="D4" activePane="bottomRight" state="frozen"/>
      <selection sqref="A1:XFD1048576"/>
      <selection pane="topRight" sqref="A1:XFD1048576"/>
      <selection pane="bottomLeft" sqref="A1:XFD1048576"/>
      <selection pane="bottomRight" activeCell="J24" sqref="J24"/>
    </sheetView>
  </sheetViews>
  <sheetFormatPr defaultColWidth="11.625" defaultRowHeight="12.75"/>
  <cols>
    <col min="1" max="1" width="8.625" style="344" customWidth="1"/>
    <col min="2" max="2" width="6.125" style="344" hidden="1" customWidth="1"/>
    <col min="3" max="3" width="35.875" style="843" customWidth="1"/>
    <col min="4" max="16384" width="11.625" style="344"/>
  </cols>
  <sheetData>
    <row r="1" spans="1:9" ht="27.95" customHeight="1">
      <c r="A1" s="764" t="s">
        <v>2260</v>
      </c>
      <c r="B1" s="343" t="s">
        <v>1446</v>
      </c>
      <c r="C1" s="759" t="s">
        <v>3146</v>
      </c>
    </row>
    <row r="2" spans="1:9">
      <c r="B2" s="162">
        <v>2</v>
      </c>
      <c r="C2" s="1833" t="s">
        <v>3147</v>
      </c>
      <c r="D2" s="1877" t="s">
        <v>2997</v>
      </c>
      <c r="E2" s="1877"/>
      <c r="F2" s="1824" t="s">
        <v>2740</v>
      </c>
      <c r="G2" s="1824" t="s">
        <v>2741</v>
      </c>
      <c r="H2" s="1877" t="s">
        <v>527</v>
      </c>
      <c r="I2" s="1877"/>
    </row>
    <row r="3" spans="1:9" ht="24.75">
      <c r="B3" s="162">
        <v>3</v>
      </c>
      <c r="C3" s="1833"/>
      <c r="D3" s="919" t="s">
        <v>3148</v>
      </c>
      <c r="E3" s="919" t="s">
        <v>3195</v>
      </c>
      <c r="F3" s="1824"/>
      <c r="G3" s="1824"/>
      <c r="H3" s="919" t="s">
        <v>3148</v>
      </c>
      <c r="I3" s="919" t="s">
        <v>3195</v>
      </c>
    </row>
    <row r="4" spans="1:9">
      <c r="A4" s="162">
        <v>1</v>
      </c>
      <c r="B4" s="162">
        <v>4</v>
      </c>
      <c r="C4" s="1577" t="s">
        <v>5016</v>
      </c>
      <c r="D4" s="400">
        <v>6500</v>
      </c>
      <c r="E4" s="819">
        <f>ROUND(IF($D$14&lt;&gt;0,D4/$D$14*100,0),2)</f>
        <v>65</v>
      </c>
      <c r="F4" s="400"/>
      <c r="G4" s="400"/>
      <c r="H4" s="406">
        <f>D4+F4-G4</f>
        <v>6500</v>
      </c>
      <c r="I4" s="819">
        <f>ROUND(IF($H$14&lt;&gt;0,H4/$H$14*100,0),2)</f>
        <v>65</v>
      </c>
    </row>
    <row r="5" spans="1:9">
      <c r="A5" s="162">
        <v>2</v>
      </c>
      <c r="B5" s="162">
        <v>5</v>
      </c>
      <c r="C5" s="1577" t="s">
        <v>5017</v>
      </c>
      <c r="D5" s="400">
        <v>3500</v>
      </c>
      <c r="E5" s="819">
        <f t="shared" ref="E5:E13" si="0">ROUND(IF($D$14&lt;&gt;0,D5/$D$14*100,0),2)</f>
        <v>35</v>
      </c>
      <c r="F5" s="400"/>
      <c r="G5" s="400"/>
      <c r="H5" s="406">
        <f t="shared" ref="H5:H13" si="1">D5+F5-G5</f>
        <v>3500</v>
      </c>
      <c r="I5" s="819">
        <f t="shared" ref="I5:I13" si="2">ROUND(IF($H$14&lt;&gt;0,H5/$H$14*100,0),2)</f>
        <v>35</v>
      </c>
    </row>
    <row r="6" spans="1:9">
      <c r="A6" s="162">
        <v>3</v>
      </c>
      <c r="B6" s="162">
        <v>6</v>
      </c>
      <c r="C6" s="916"/>
      <c r="D6" s="400"/>
      <c r="E6" s="819">
        <f t="shared" si="0"/>
        <v>0</v>
      </c>
      <c r="F6" s="400"/>
      <c r="G6" s="400"/>
      <c r="H6" s="406">
        <f t="shared" si="1"/>
        <v>0</v>
      </c>
      <c r="I6" s="819">
        <f t="shared" si="2"/>
        <v>0</v>
      </c>
    </row>
    <row r="7" spans="1:9">
      <c r="A7" s="162">
        <v>4</v>
      </c>
      <c r="B7" s="162">
        <v>7</v>
      </c>
      <c r="C7" s="916"/>
      <c r="D7" s="400"/>
      <c r="E7" s="819">
        <f t="shared" si="0"/>
        <v>0</v>
      </c>
      <c r="F7" s="400"/>
      <c r="G7" s="400"/>
      <c r="H7" s="406">
        <f t="shared" si="1"/>
        <v>0</v>
      </c>
      <c r="I7" s="819">
        <f t="shared" si="2"/>
        <v>0</v>
      </c>
    </row>
    <row r="8" spans="1:9">
      <c r="A8" s="162">
        <v>5</v>
      </c>
      <c r="B8" s="162">
        <v>8</v>
      </c>
      <c r="C8" s="916"/>
      <c r="D8" s="400"/>
      <c r="E8" s="819">
        <f t="shared" si="0"/>
        <v>0</v>
      </c>
      <c r="F8" s="400"/>
      <c r="G8" s="400"/>
      <c r="H8" s="406">
        <f t="shared" si="1"/>
        <v>0</v>
      </c>
      <c r="I8" s="819">
        <f t="shared" si="2"/>
        <v>0</v>
      </c>
    </row>
    <row r="9" spans="1:9">
      <c r="A9" s="162">
        <v>6</v>
      </c>
      <c r="B9" s="162">
        <v>9</v>
      </c>
      <c r="C9" s="916"/>
      <c r="D9" s="400"/>
      <c r="E9" s="819">
        <f t="shared" si="0"/>
        <v>0</v>
      </c>
      <c r="F9" s="400"/>
      <c r="G9" s="400"/>
      <c r="H9" s="406">
        <f t="shared" si="1"/>
        <v>0</v>
      </c>
      <c r="I9" s="819">
        <f t="shared" si="2"/>
        <v>0</v>
      </c>
    </row>
    <row r="10" spans="1:9">
      <c r="A10" s="162">
        <v>7</v>
      </c>
      <c r="B10" s="162">
        <v>10</v>
      </c>
      <c r="C10" s="916"/>
      <c r="D10" s="400"/>
      <c r="E10" s="819">
        <f t="shared" si="0"/>
        <v>0</v>
      </c>
      <c r="F10" s="400"/>
      <c r="G10" s="400"/>
      <c r="H10" s="406">
        <f t="shared" si="1"/>
        <v>0</v>
      </c>
      <c r="I10" s="819">
        <f t="shared" si="2"/>
        <v>0</v>
      </c>
    </row>
    <row r="11" spans="1:9">
      <c r="A11" s="162">
        <v>8</v>
      </c>
      <c r="B11" s="162">
        <v>11</v>
      </c>
      <c r="C11" s="916"/>
      <c r="D11" s="400"/>
      <c r="E11" s="819">
        <f t="shared" si="0"/>
        <v>0</v>
      </c>
      <c r="F11" s="400"/>
      <c r="G11" s="400"/>
      <c r="H11" s="406">
        <f t="shared" si="1"/>
        <v>0</v>
      </c>
      <c r="I11" s="819">
        <f t="shared" si="2"/>
        <v>0</v>
      </c>
    </row>
    <row r="12" spans="1:9">
      <c r="A12" s="162">
        <v>9</v>
      </c>
      <c r="B12" s="162">
        <v>12</v>
      </c>
      <c r="C12" s="916"/>
      <c r="D12" s="400"/>
      <c r="E12" s="819">
        <f t="shared" si="0"/>
        <v>0</v>
      </c>
      <c r="F12" s="400"/>
      <c r="G12" s="400"/>
      <c r="H12" s="406">
        <f t="shared" si="1"/>
        <v>0</v>
      </c>
      <c r="I12" s="819">
        <f t="shared" si="2"/>
        <v>0</v>
      </c>
    </row>
    <row r="13" spans="1:9">
      <c r="A13" s="162">
        <v>10</v>
      </c>
      <c r="B13" s="162">
        <v>13</v>
      </c>
      <c r="C13" s="916"/>
      <c r="D13" s="400"/>
      <c r="E13" s="819">
        <f t="shared" si="0"/>
        <v>0</v>
      </c>
      <c r="F13" s="400"/>
      <c r="G13" s="400"/>
      <c r="H13" s="406">
        <f t="shared" si="1"/>
        <v>0</v>
      </c>
      <c r="I13" s="819">
        <f t="shared" si="2"/>
        <v>0</v>
      </c>
    </row>
    <row r="14" spans="1:9">
      <c r="B14" s="162">
        <v>14</v>
      </c>
      <c r="C14" s="919" t="s">
        <v>877</v>
      </c>
      <c r="D14" s="406">
        <f t="shared" ref="D14:I14" si="3">SUM(D4:D13)</f>
        <v>10000</v>
      </c>
      <c r="E14" s="406">
        <f>SUM(E4:E13)</f>
        <v>100</v>
      </c>
      <c r="F14" s="406">
        <f t="shared" si="3"/>
        <v>0</v>
      </c>
      <c r="G14" s="406">
        <f t="shared" si="3"/>
        <v>0</v>
      </c>
      <c r="H14" s="406">
        <f t="shared" si="3"/>
        <v>10000</v>
      </c>
      <c r="I14" s="406">
        <f t="shared" si="3"/>
        <v>100</v>
      </c>
    </row>
    <row r="15" spans="1:9">
      <c r="B15" s="162">
        <v>15</v>
      </c>
    </row>
    <row r="16" spans="1:9">
      <c r="B16" s="162">
        <v>16</v>
      </c>
      <c r="C16" s="881"/>
      <c r="D16" s="881" t="s">
        <v>2504</v>
      </c>
      <c r="E16" s="881" t="s">
        <v>2966</v>
      </c>
      <c r="F16" s="881" t="s">
        <v>3149</v>
      </c>
      <c r="G16" s="881" t="s">
        <v>3207</v>
      </c>
    </row>
    <row r="17" spans="1:7">
      <c r="A17" s="764" t="s">
        <v>2260</v>
      </c>
      <c r="B17" s="162">
        <v>17</v>
      </c>
      <c r="C17" s="881" t="s">
        <v>1319</v>
      </c>
      <c r="D17" s="406">
        <f>审定资产负债表!D102</f>
        <v>10000</v>
      </c>
      <c r="E17" s="406">
        <f>审定资产负债表!C102</f>
        <v>10000</v>
      </c>
      <c r="F17" s="406">
        <f>E14</f>
        <v>100</v>
      </c>
      <c r="G17" s="406">
        <f>I14</f>
        <v>100</v>
      </c>
    </row>
    <row r="18" spans="1:7">
      <c r="B18" s="162">
        <v>18</v>
      </c>
      <c r="C18" s="881" t="s">
        <v>1320</v>
      </c>
      <c r="D18" s="406">
        <f>D14-D17</f>
        <v>0</v>
      </c>
      <c r="E18" s="406">
        <f>H14-E17</f>
        <v>0</v>
      </c>
      <c r="F18" s="406">
        <f>IF(D14&lt;&gt;0,100-E14,0)</f>
        <v>0</v>
      </c>
      <c r="G18" s="406">
        <f>IF(H14&lt;&gt;0,100-I14,0)</f>
        <v>0</v>
      </c>
    </row>
    <row r="21" spans="1:7">
      <c r="A21" s="344" t="s">
        <v>3150</v>
      </c>
    </row>
  </sheetData>
  <sheetProtection formatCells="0" formatColumns="0" formatRows="0" autoFilter="0"/>
  <mergeCells count="5">
    <mergeCell ref="C2:C3"/>
    <mergeCell ref="D2:E2"/>
    <mergeCell ref="H2:I2"/>
    <mergeCell ref="F2:F3"/>
    <mergeCell ref="G2:G3"/>
  </mergeCells>
  <phoneticPr fontId="5" type="noConversion"/>
  <hyperlinks>
    <hyperlink ref="A1" location="附注填写封面!B3" display="返回目录" xr:uid="{00000000-0004-0000-4A00-000000000000}"/>
    <hyperlink ref="A17" location="附注填写封面!B3" display="返回目录" xr:uid="{00000000-0004-0000-4A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49"/>
  <dimension ref="A1:G19"/>
  <sheetViews>
    <sheetView showGridLines="0" showZeros="0" workbookViewId="0">
      <selection activeCell="C3" sqref="C3:C13"/>
    </sheetView>
  </sheetViews>
  <sheetFormatPr defaultColWidth="11.625" defaultRowHeight="12.75"/>
  <cols>
    <col min="1" max="1" width="8.375" style="344" customWidth="1"/>
    <col min="2" max="2" width="5.875" style="344" hidden="1" customWidth="1"/>
    <col min="3" max="3" width="35.875" style="843" customWidth="1"/>
    <col min="4" max="16384" width="11.625" style="344"/>
  </cols>
  <sheetData>
    <row r="1" spans="1:7" ht="27.2" customHeight="1">
      <c r="A1" s="764" t="s">
        <v>2260</v>
      </c>
      <c r="B1" s="343" t="s">
        <v>2731</v>
      </c>
      <c r="C1" s="759" t="s">
        <v>3205</v>
      </c>
    </row>
    <row r="2" spans="1:7">
      <c r="B2" s="162">
        <v>2</v>
      </c>
      <c r="C2" s="889" t="s">
        <v>1013</v>
      </c>
      <c r="D2" s="881" t="s">
        <v>978</v>
      </c>
      <c r="E2" s="881" t="s">
        <v>2740</v>
      </c>
      <c r="F2" s="881" t="s">
        <v>2741</v>
      </c>
      <c r="G2" s="881" t="s">
        <v>2810</v>
      </c>
    </row>
    <row r="3" spans="1:7">
      <c r="B3" s="162">
        <v>3</v>
      </c>
      <c r="C3" s="976" t="s">
        <v>1143</v>
      </c>
      <c r="D3" s="400"/>
      <c r="E3" s="400"/>
      <c r="F3" s="400"/>
      <c r="G3" s="406">
        <f>D3+E3-F3</f>
        <v>0</v>
      </c>
    </row>
    <row r="4" spans="1:7">
      <c r="B4" s="162">
        <v>4</v>
      </c>
      <c r="C4" s="976" t="s">
        <v>1144</v>
      </c>
      <c r="D4" s="406">
        <f>SUM(D5:D12)</f>
        <v>0</v>
      </c>
      <c r="E4" s="406">
        <f>SUM(E5:E12)</f>
        <v>0</v>
      </c>
      <c r="F4" s="406">
        <f>SUM(F5:F12)</f>
        <v>0</v>
      </c>
      <c r="G4" s="406">
        <f t="shared" ref="G4:G13" si="0">D4+E4-F4</f>
        <v>0</v>
      </c>
    </row>
    <row r="5" spans="1:7">
      <c r="B5" s="162">
        <v>5</v>
      </c>
      <c r="C5" s="976" t="s">
        <v>1145</v>
      </c>
      <c r="D5" s="400"/>
      <c r="E5" s="400"/>
      <c r="F5" s="400"/>
      <c r="G5" s="406">
        <f t="shared" si="0"/>
        <v>0</v>
      </c>
    </row>
    <row r="6" spans="1:7">
      <c r="B6" s="162">
        <v>6</v>
      </c>
      <c r="C6" s="820" t="s">
        <v>1146</v>
      </c>
      <c r="D6" s="400"/>
      <c r="E6" s="400"/>
      <c r="F6" s="400"/>
      <c r="G6" s="406">
        <f t="shared" si="0"/>
        <v>0</v>
      </c>
    </row>
    <row r="7" spans="1:7">
      <c r="B7" s="162">
        <v>7</v>
      </c>
      <c r="C7" s="1464" t="s">
        <v>4793</v>
      </c>
      <c r="D7" s="400"/>
      <c r="E7" s="400"/>
      <c r="F7" s="400"/>
      <c r="G7" s="406">
        <f t="shared" si="0"/>
        <v>0</v>
      </c>
    </row>
    <row r="8" spans="1:7">
      <c r="B8" s="162">
        <v>8</v>
      </c>
      <c r="C8" s="1005"/>
      <c r="D8" s="400"/>
      <c r="E8" s="400"/>
      <c r="F8" s="400"/>
      <c r="G8" s="406">
        <f t="shared" si="0"/>
        <v>0</v>
      </c>
    </row>
    <row r="9" spans="1:7">
      <c r="B9" s="162">
        <v>9</v>
      </c>
      <c r="C9" s="1005"/>
      <c r="D9" s="400"/>
      <c r="E9" s="400"/>
      <c r="F9" s="400"/>
      <c r="G9" s="406">
        <f t="shared" si="0"/>
        <v>0</v>
      </c>
    </row>
    <row r="10" spans="1:7">
      <c r="B10" s="162">
        <v>10</v>
      </c>
      <c r="C10" s="1005"/>
      <c r="D10" s="400"/>
      <c r="E10" s="400"/>
      <c r="F10" s="400"/>
      <c r="G10" s="406">
        <f t="shared" si="0"/>
        <v>0</v>
      </c>
    </row>
    <row r="11" spans="1:7">
      <c r="B11" s="162">
        <v>11</v>
      </c>
      <c r="C11" s="1005"/>
      <c r="D11" s="400"/>
      <c r="E11" s="400"/>
      <c r="F11" s="400"/>
      <c r="G11" s="406">
        <f t="shared" si="0"/>
        <v>0</v>
      </c>
    </row>
    <row r="12" spans="1:7">
      <c r="B12" s="162">
        <v>12</v>
      </c>
      <c r="C12" s="1005"/>
      <c r="D12" s="400"/>
      <c r="E12" s="400"/>
      <c r="F12" s="400"/>
      <c r="G12" s="406">
        <f t="shared" si="0"/>
        <v>0</v>
      </c>
    </row>
    <row r="13" spans="1:7">
      <c r="B13" s="162">
        <v>13</v>
      </c>
      <c r="C13" s="976" t="s">
        <v>3206</v>
      </c>
      <c r="D13" s="400"/>
      <c r="E13" s="400"/>
      <c r="F13" s="400"/>
      <c r="G13" s="406">
        <f t="shared" si="0"/>
        <v>0</v>
      </c>
    </row>
    <row r="14" spans="1:7">
      <c r="B14" s="162">
        <v>14</v>
      </c>
      <c r="C14" s="889" t="s">
        <v>823</v>
      </c>
      <c r="D14" s="406">
        <f>D3+D4+D13</f>
        <v>0</v>
      </c>
      <c r="E14" s="406">
        <f>E3+E4+E13</f>
        <v>0</v>
      </c>
      <c r="F14" s="406">
        <f>F3+F4+F13</f>
        <v>0</v>
      </c>
      <c r="G14" s="406">
        <f>G3+G4+G13</f>
        <v>0</v>
      </c>
    </row>
    <row r="15" spans="1:7">
      <c r="B15" s="162">
        <v>15</v>
      </c>
      <c r="C15" s="1285" t="s">
        <v>4449</v>
      </c>
      <c r="D15" s="892"/>
      <c r="E15" s="892"/>
      <c r="F15" s="892"/>
      <c r="G15" s="892"/>
    </row>
    <row r="16" spans="1:7">
      <c r="B16" s="162"/>
      <c r="C16" s="503"/>
      <c r="D16" s="503"/>
      <c r="E16" s="503"/>
      <c r="F16" s="503"/>
      <c r="G16" s="503"/>
    </row>
    <row r="17" spans="1:5">
      <c r="B17" s="162">
        <v>16</v>
      </c>
      <c r="C17" s="893"/>
      <c r="D17" s="893" t="s">
        <v>2504</v>
      </c>
      <c r="E17" s="893" t="s">
        <v>2505</v>
      </c>
    </row>
    <row r="18" spans="1:5">
      <c r="A18" s="764" t="s">
        <v>2260</v>
      </c>
      <c r="B18" s="162">
        <v>17</v>
      </c>
      <c r="C18" s="893" t="s">
        <v>1319</v>
      </c>
      <c r="D18" s="406">
        <f>审定资产负债表!D114</f>
        <v>0</v>
      </c>
      <c r="E18" s="406">
        <f>审定资产负债表!C114</f>
        <v>0</v>
      </c>
    </row>
    <row r="19" spans="1:5">
      <c r="B19" s="162">
        <v>18</v>
      </c>
      <c r="C19" s="881" t="s">
        <v>1320</v>
      </c>
      <c r="D19" s="406">
        <f>D14-D18</f>
        <v>0</v>
      </c>
      <c r="E19" s="406">
        <f>G14-E18</f>
        <v>0</v>
      </c>
    </row>
  </sheetData>
  <sheetProtection formatCells="0" formatColumns="0" formatRows="0" autoFilter="0"/>
  <phoneticPr fontId="5" type="noConversion"/>
  <hyperlinks>
    <hyperlink ref="A1" location="附注填写封面!B3" display="返回目录" xr:uid="{00000000-0004-0000-4B00-000000000000}"/>
    <hyperlink ref="A18" location="附注填写封面!B3" display="返回目录" xr:uid="{00000000-0004-0000-4B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74"/>
  <dimension ref="A1:H20"/>
  <sheetViews>
    <sheetView showGridLines="0" showZeros="0" workbookViewId="0">
      <pane xSplit="3" ySplit="2" topLeftCell="D3" activePane="bottomRight" state="frozen"/>
      <selection activeCell="J26" sqref="J26"/>
      <selection pane="topRight" activeCell="J26" sqref="J26"/>
      <selection pane="bottomLeft" activeCell="J26" sqref="J26"/>
      <selection pane="bottomRight"/>
    </sheetView>
  </sheetViews>
  <sheetFormatPr defaultColWidth="11.625" defaultRowHeight="12.75"/>
  <cols>
    <col min="1" max="1" width="10.125" style="344" customWidth="1"/>
    <col min="2" max="2" width="3.625" style="344" hidden="1" customWidth="1"/>
    <col min="3" max="3" width="35.875" style="344" customWidth="1"/>
    <col min="4" max="7" width="11.625" style="344" customWidth="1"/>
    <col min="8" max="8" width="15.125" style="344" customWidth="1"/>
    <col min="9" max="16384" width="11.625" style="344"/>
  </cols>
  <sheetData>
    <row r="1" spans="1:8" ht="26.45" customHeight="1">
      <c r="A1" s="764" t="s">
        <v>2260</v>
      </c>
      <c r="B1" s="343" t="s">
        <v>2731</v>
      </c>
      <c r="C1" s="759" t="s">
        <v>3213</v>
      </c>
    </row>
    <row r="2" spans="1:8">
      <c r="B2" s="162">
        <v>2</v>
      </c>
      <c r="C2" s="881" t="s">
        <v>890</v>
      </c>
      <c r="D2" s="881" t="s">
        <v>3295</v>
      </c>
      <c r="E2" s="881" t="s">
        <v>3211</v>
      </c>
      <c r="F2" s="881" t="s">
        <v>3296</v>
      </c>
      <c r="G2" s="881" t="s">
        <v>2810</v>
      </c>
      <c r="H2" s="881" t="s">
        <v>3151</v>
      </c>
    </row>
    <row r="3" spans="1:8">
      <c r="A3" s="162">
        <v>1</v>
      </c>
      <c r="B3" s="162">
        <v>3</v>
      </c>
      <c r="C3" s="821" t="s">
        <v>1154</v>
      </c>
      <c r="D3" s="400"/>
      <c r="E3" s="400"/>
      <c r="F3" s="400"/>
      <c r="G3" s="406">
        <f>D3+E3-F3</f>
        <v>0</v>
      </c>
      <c r="H3" s="338"/>
    </row>
    <row r="4" spans="1:8">
      <c r="A4" s="162">
        <v>2</v>
      </c>
      <c r="B4" s="162">
        <v>4</v>
      </c>
      <c r="C4" s="821" t="s">
        <v>1155</v>
      </c>
      <c r="D4" s="761"/>
      <c r="E4" s="761"/>
      <c r="F4" s="761"/>
      <c r="G4" s="406">
        <f>D4+E4-F4</f>
        <v>0</v>
      </c>
      <c r="H4" s="338"/>
    </row>
    <row r="5" spans="1:8" ht="12.75" customHeight="1">
      <c r="A5" s="162">
        <v>3</v>
      </c>
      <c r="B5" s="162">
        <v>5</v>
      </c>
      <c r="C5" s="821" t="s">
        <v>1156</v>
      </c>
      <c r="D5" s="761"/>
      <c r="E5" s="761"/>
      <c r="F5" s="761"/>
      <c r="G5" s="406">
        <f>D5+E5-F5</f>
        <v>0</v>
      </c>
      <c r="H5" s="338"/>
    </row>
    <row r="6" spans="1:8">
      <c r="A6" s="162">
        <v>4</v>
      </c>
      <c r="B6" s="162">
        <v>6</v>
      </c>
      <c r="C6" s="821" t="s">
        <v>1157</v>
      </c>
      <c r="D6" s="761"/>
      <c r="E6" s="761"/>
      <c r="F6" s="761"/>
      <c r="G6" s="406">
        <f>D6+E6-F6</f>
        <v>0</v>
      </c>
      <c r="H6" s="338"/>
    </row>
    <row r="7" spans="1:8">
      <c r="A7" s="162">
        <v>5</v>
      </c>
      <c r="B7" s="162">
        <v>7</v>
      </c>
      <c r="C7" s="821" t="s">
        <v>1158</v>
      </c>
      <c r="D7" s="761"/>
      <c r="E7" s="761"/>
      <c r="F7" s="761"/>
      <c r="G7" s="406">
        <f>D7+E7-F7</f>
        <v>0</v>
      </c>
      <c r="H7" s="338"/>
    </row>
    <row r="8" spans="1:8">
      <c r="B8" s="162">
        <v>8</v>
      </c>
      <c r="C8" s="881" t="s">
        <v>823</v>
      </c>
      <c r="D8" s="406">
        <f>SUM(D3:D7)</f>
        <v>0</v>
      </c>
      <c r="E8" s="406">
        <f>SUM(E3:E7)</f>
        <v>0</v>
      </c>
      <c r="F8" s="406">
        <f>SUM(F3:F7)</f>
        <v>0</v>
      </c>
      <c r="G8" s="406">
        <f>SUM(G3:G7)</f>
        <v>0</v>
      </c>
      <c r="H8" s="338"/>
    </row>
    <row r="9" spans="1:8">
      <c r="B9" s="162">
        <v>9</v>
      </c>
    </row>
    <row r="10" spans="1:8">
      <c r="A10" s="764" t="s">
        <v>2260</v>
      </c>
      <c r="B10" s="162">
        <v>10</v>
      </c>
      <c r="C10" s="881"/>
      <c r="D10" s="881" t="s">
        <v>3103</v>
      </c>
      <c r="E10" s="881" t="s">
        <v>2966</v>
      </c>
      <c r="F10" s="881" t="s">
        <v>2931</v>
      </c>
      <c r="G10" s="881" t="s">
        <v>3210</v>
      </c>
    </row>
    <row r="11" spans="1:8">
      <c r="B11" s="162">
        <v>11</v>
      </c>
      <c r="C11" s="881" t="s">
        <v>1319</v>
      </c>
      <c r="D11" s="406">
        <f>审定资产负债表!D118</f>
        <v>0</v>
      </c>
      <c r="E11" s="406">
        <f>审定资产负债表!C118</f>
        <v>0</v>
      </c>
      <c r="F11" s="406">
        <f>审定所有者权益变动表!G20</f>
        <v>0</v>
      </c>
      <c r="G11" s="406">
        <f>审定所有者权益变动表!G21</f>
        <v>0</v>
      </c>
    </row>
    <row r="12" spans="1:8">
      <c r="B12" s="162">
        <v>12</v>
      </c>
      <c r="C12" s="881" t="s">
        <v>1320</v>
      </c>
      <c r="D12" s="406">
        <f>D8-D11</f>
        <v>0</v>
      </c>
      <c r="E12" s="406">
        <f>G8-E11</f>
        <v>0</v>
      </c>
      <c r="F12" s="406">
        <f>F11-E8</f>
        <v>0</v>
      </c>
      <c r="G12" s="406">
        <f>G11+F8</f>
        <v>0</v>
      </c>
    </row>
    <row r="13" spans="1:8">
      <c r="B13" s="162"/>
    </row>
    <row r="16" spans="1:8">
      <c r="C16" s="1013"/>
      <c r="D16" s="1013"/>
      <c r="E16" s="1013"/>
      <c r="F16" s="1013"/>
      <c r="G16" s="1013"/>
    </row>
    <row r="17" spans="3:7">
      <c r="C17" s="1013"/>
      <c r="D17" s="1013"/>
      <c r="E17" s="1013"/>
      <c r="F17" s="1013"/>
      <c r="G17" s="1013"/>
    </row>
    <row r="18" spans="3:7">
      <c r="C18" s="1013"/>
      <c r="D18" s="1013"/>
      <c r="E18" s="1013"/>
      <c r="F18" s="1013"/>
      <c r="G18" s="1013"/>
    </row>
    <row r="19" spans="3:7">
      <c r="C19" s="887"/>
      <c r="D19" s="1013"/>
      <c r="E19" s="1013"/>
      <c r="F19" s="1013"/>
      <c r="G19" s="1013"/>
    </row>
    <row r="20" spans="3:7">
      <c r="C20" s="1013"/>
      <c r="D20" s="1013"/>
      <c r="E20" s="1013"/>
      <c r="F20" s="1013"/>
      <c r="G20" s="1013"/>
    </row>
  </sheetData>
  <sheetProtection formatCells="0" formatColumns="0" formatRows="0" autoFilter="0"/>
  <phoneticPr fontId="5" type="noConversion"/>
  <hyperlinks>
    <hyperlink ref="A1" location="附注填写封面!B3" display="返回目录" xr:uid="{00000000-0004-0000-4C00-000000000000}"/>
    <hyperlink ref="A10" location="附注填写封面!B3" display="返回目录" xr:uid="{00000000-0004-0000-4C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50">
    <tabColor rgb="FFFFC000"/>
  </sheetPr>
  <dimension ref="A1:H20"/>
  <sheetViews>
    <sheetView showGridLines="0" showZeros="0" workbookViewId="0">
      <selection activeCell="D4" sqref="D4"/>
    </sheetView>
  </sheetViews>
  <sheetFormatPr defaultColWidth="11.625" defaultRowHeight="12.75"/>
  <cols>
    <col min="1" max="1" width="8" style="344" customWidth="1"/>
    <col min="2" max="2" width="6.125" style="344" hidden="1" customWidth="1"/>
    <col min="3" max="3" width="32" style="843" customWidth="1"/>
    <col min="4" max="7" width="11.625" style="344" customWidth="1"/>
    <col min="8" max="8" width="31.5" style="344" customWidth="1"/>
    <col min="9" max="16384" width="11.625" style="344"/>
  </cols>
  <sheetData>
    <row r="1" spans="1:8" ht="29.25" customHeight="1">
      <c r="A1" s="764" t="s">
        <v>2260</v>
      </c>
      <c r="B1" s="343" t="s">
        <v>1446</v>
      </c>
      <c r="C1" s="759" t="s">
        <v>3272</v>
      </c>
    </row>
    <row r="2" spans="1:8">
      <c r="B2" s="162">
        <v>2</v>
      </c>
      <c r="C2" s="889" t="s">
        <v>1160</v>
      </c>
      <c r="D2" s="881" t="s">
        <v>774</v>
      </c>
      <c r="E2" s="881" t="s">
        <v>2740</v>
      </c>
      <c r="F2" s="881" t="s">
        <v>2741</v>
      </c>
      <c r="G2" s="881" t="s">
        <v>2535</v>
      </c>
      <c r="H2" s="881" t="s">
        <v>3273</v>
      </c>
    </row>
    <row r="3" spans="1:8">
      <c r="B3" s="162">
        <v>3</v>
      </c>
      <c r="C3" s="338" t="s">
        <v>1161</v>
      </c>
      <c r="D3" s="400">
        <v>3513183.49</v>
      </c>
      <c r="E3" s="400"/>
      <c r="F3" s="400"/>
      <c r="G3" s="406">
        <f t="shared" ref="G3:G8" si="0">D3+E3-F3</f>
        <v>3513183.49</v>
      </c>
      <c r="H3" s="338"/>
    </row>
    <row r="4" spans="1:8">
      <c r="B4" s="162">
        <v>4</v>
      </c>
      <c r="C4" s="338" t="s">
        <v>1162</v>
      </c>
      <c r="D4" s="400"/>
      <c r="E4" s="400"/>
      <c r="F4" s="400"/>
      <c r="G4" s="406">
        <f t="shared" si="0"/>
        <v>0</v>
      </c>
      <c r="H4" s="338"/>
    </row>
    <row r="5" spans="1:8">
      <c r="B5" s="162">
        <v>5</v>
      </c>
      <c r="C5" s="338" t="s">
        <v>1163</v>
      </c>
      <c r="D5" s="400"/>
      <c r="E5" s="400"/>
      <c r="F5" s="400"/>
      <c r="G5" s="406">
        <f t="shared" si="0"/>
        <v>0</v>
      </c>
      <c r="H5" s="338"/>
    </row>
    <row r="6" spans="1:8">
      <c r="B6" s="162">
        <v>6</v>
      </c>
      <c r="C6" s="338" t="s">
        <v>1164</v>
      </c>
      <c r="D6" s="400"/>
      <c r="E6" s="400"/>
      <c r="F6" s="400"/>
      <c r="G6" s="406">
        <f t="shared" si="0"/>
        <v>0</v>
      </c>
      <c r="H6" s="338"/>
    </row>
    <row r="7" spans="1:8">
      <c r="B7" s="162">
        <v>7</v>
      </c>
      <c r="C7" s="338" t="s">
        <v>1165</v>
      </c>
      <c r="D7" s="400"/>
      <c r="E7" s="400"/>
      <c r="F7" s="400"/>
      <c r="G7" s="406">
        <f t="shared" si="0"/>
        <v>0</v>
      </c>
      <c r="H7" s="338"/>
    </row>
    <row r="8" spans="1:8">
      <c r="B8" s="162">
        <v>8</v>
      </c>
      <c r="C8" s="338" t="s">
        <v>1166</v>
      </c>
      <c r="D8" s="400"/>
      <c r="E8" s="400"/>
      <c r="F8" s="400"/>
      <c r="G8" s="406">
        <f t="shared" si="0"/>
        <v>0</v>
      </c>
      <c r="H8" s="338"/>
    </row>
    <row r="9" spans="1:8">
      <c r="B9" s="162">
        <v>9</v>
      </c>
      <c r="C9" s="889" t="s">
        <v>1167</v>
      </c>
      <c r="D9" s="406">
        <f>SUM(D3:D8)</f>
        <v>3513183.49</v>
      </c>
      <c r="E9" s="406">
        <f>SUM(E3:E8)</f>
        <v>0</v>
      </c>
      <c r="F9" s="406">
        <f>SUM(F3:F8)</f>
        <v>0</v>
      </c>
      <c r="G9" s="406">
        <f>SUM(G3:G8)</f>
        <v>3513183.49</v>
      </c>
      <c r="H9" s="338"/>
    </row>
    <row r="10" spans="1:8">
      <c r="B10" s="162">
        <v>10</v>
      </c>
    </row>
    <row r="11" spans="1:8">
      <c r="B11" s="162">
        <v>11</v>
      </c>
      <c r="C11" s="881"/>
      <c r="D11" s="881" t="s">
        <v>2504</v>
      </c>
      <c r="E11" s="881" t="s">
        <v>2505</v>
      </c>
    </row>
    <row r="12" spans="1:8">
      <c r="B12" s="162">
        <v>12</v>
      </c>
      <c r="C12" s="881" t="s">
        <v>1319</v>
      </c>
      <c r="D12" s="406">
        <f>审定资产负债表!D119</f>
        <v>3513183.49</v>
      </c>
      <c r="E12" s="406">
        <f>审定资产负债表!C119</f>
        <v>3513183.49</v>
      </c>
    </row>
    <row r="13" spans="1:8">
      <c r="B13" s="162">
        <v>13</v>
      </c>
      <c r="C13" s="881" t="s">
        <v>1320</v>
      </c>
      <c r="D13" s="406">
        <f>D9-D12</f>
        <v>0</v>
      </c>
      <c r="E13" s="406">
        <f>G9-E12</f>
        <v>0</v>
      </c>
    </row>
    <row r="14" spans="1:8">
      <c r="B14" s="162">
        <v>14</v>
      </c>
    </row>
    <row r="15" spans="1:8">
      <c r="B15" s="162">
        <v>15</v>
      </c>
      <c r="C15" s="338" t="s">
        <v>3275</v>
      </c>
      <c r="D15" s="881" t="s">
        <v>3274</v>
      </c>
      <c r="E15" s="881" t="s">
        <v>2505</v>
      </c>
    </row>
    <row r="16" spans="1:8">
      <c r="A16" s="764" t="s">
        <v>2260</v>
      </c>
      <c r="B16" s="162">
        <v>16</v>
      </c>
      <c r="C16" s="954" t="s">
        <v>3276</v>
      </c>
      <c r="D16" s="406">
        <f>审定资产负债表!D120-D3</f>
        <v>0</v>
      </c>
      <c r="E16" s="406">
        <f>审定资产负债表!C120-G3</f>
        <v>0</v>
      </c>
    </row>
    <row r="17" spans="2:5">
      <c r="B17" s="162">
        <v>17</v>
      </c>
      <c r="C17" s="954" t="s">
        <v>3301</v>
      </c>
      <c r="D17" s="406">
        <f>审定资产负债表!D121-D4</f>
        <v>0</v>
      </c>
      <c r="E17" s="406">
        <f>审定资产负债表!C121-G4</f>
        <v>0</v>
      </c>
    </row>
    <row r="18" spans="2:5">
      <c r="B18" s="162">
        <v>18</v>
      </c>
      <c r="C18" s="954" t="s">
        <v>3294</v>
      </c>
      <c r="D18" s="406">
        <f>审定资产负债表!D122-D5</f>
        <v>0</v>
      </c>
      <c r="E18" s="406">
        <f>审定资产负债表!C122-G5</f>
        <v>0</v>
      </c>
    </row>
    <row r="19" spans="2:5">
      <c r="B19" s="162">
        <v>19</v>
      </c>
      <c r="C19" s="954" t="s">
        <v>3278</v>
      </c>
      <c r="D19" s="406">
        <f>审定资产负债表!D123-D6</f>
        <v>0</v>
      </c>
      <c r="E19" s="406">
        <f>审定资产负债表!C123-G6</f>
        <v>0</v>
      </c>
    </row>
    <row r="20" spans="2:5">
      <c r="B20" s="162">
        <v>20</v>
      </c>
      <c r="C20" s="954" t="s">
        <v>3279</v>
      </c>
      <c r="D20" s="406">
        <f>审定资产负债表!D124-D7</f>
        <v>0</v>
      </c>
      <c r="E20" s="406">
        <f>审定资产负债表!C124-G7</f>
        <v>0</v>
      </c>
    </row>
  </sheetData>
  <sheetProtection formatCells="0" formatColumns="0" formatRows="0" autoFilter="0"/>
  <phoneticPr fontId="5" type="noConversion"/>
  <hyperlinks>
    <hyperlink ref="A1" location="附注填写封面!B3" display="返回目录" xr:uid="{00000000-0004-0000-4D00-000000000000}"/>
    <hyperlink ref="A16" location="附注填写封面!B3" display="返回目录" xr:uid="{00000000-0004-0000-4D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51">
    <tabColor rgb="FFFFC000"/>
  </sheetPr>
  <dimension ref="A1:G17"/>
  <sheetViews>
    <sheetView showGridLines="0" showZeros="0" workbookViewId="0">
      <selection activeCell="E10" sqref="E10"/>
    </sheetView>
  </sheetViews>
  <sheetFormatPr defaultColWidth="11.625" defaultRowHeight="12.75"/>
  <cols>
    <col min="1" max="1" width="8.875" style="344" customWidth="1"/>
    <col min="2" max="2" width="5.625" style="344" hidden="1" customWidth="1"/>
    <col min="3" max="3" width="35.875" style="843" customWidth="1"/>
    <col min="4" max="16384" width="11.625" style="344"/>
  </cols>
  <sheetData>
    <row r="1" spans="1:7" ht="27.2" customHeight="1">
      <c r="A1" s="764" t="s">
        <v>2260</v>
      </c>
      <c r="B1" s="343" t="s">
        <v>1446</v>
      </c>
      <c r="C1" s="759" t="s">
        <v>3269</v>
      </c>
    </row>
    <row r="2" spans="1:7">
      <c r="B2" s="162">
        <v>2</v>
      </c>
      <c r="C2" s="401" t="s">
        <v>1169</v>
      </c>
      <c r="D2" s="889" t="s">
        <v>3270</v>
      </c>
      <c r="E2" s="889" t="s">
        <v>3271</v>
      </c>
    </row>
    <row r="3" spans="1:7">
      <c r="B3" s="162">
        <v>3</v>
      </c>
      <c r="C3" s="338" t="s">
        <v>1170</v>
      </c>
      <c r="D3" s="406">
        <f>E13</f>
        <v>3398651.3100000005</v>
      </c>
      <c r="E3" s="400">
        <v>14903062.09</v>
      </c>
    </row>
    <row r="4" spans="1:7">
      <c r="B4" s="162">
        <v>4</v>
      </c>
      <c r="C4" s="338" t="s">
        <v>1171</v>
      </c>
      <c r="D4" s="406">
        <f>D5+D6</f>
        <v>75150.22</v>
      </c>
      <c r="E4" s="406">
        <f>E5+E6</f>
        <v>3772876.91</v>
      </c>
    </row>
    <row r="5" spans="1:7">
      <c r="B5" s="162">
        <v>5</v>
      </c>
      <c r="C5" s="338" t="s">
        <v>1172</v>
      </c>
      <c r="D5" s="406">
        <f>审定利润表!C53</f>
        <v>75150.22</v>
      </c>
      <c r="E5" s="406">
        <f>审定利润表!D53</f>
        <v>3772876.91</v>
      </c>
    </row>
    <row r="6" spans="1:7">
      <c r="B6" s="162">
        <v>6</v>
      </c>
      <c r="C6" s="820" t="s">
        <v>1173</v>
      </c>
      <c r="D6" s="400"/>
      <c r="E6" s="400"/>
    </row>
    <row r="7" spans="1:7">
      <c r="B7" s="162">
        <v>7</v>
      </c>
      <c r="C7" s="338" t="s">
        <v>1174</v>
      </c>
      <c r="D7" s="406">
        <f>SUM(D8:D12)</f>
        <v>0</v>
      </c>
      <c r="E7" s="406">
        <f>SUM(E8:E12)</f>
        <v>15277287.689999999</v>
      </c>
    </row>
    <row r="8" spans="1:7">
      <c r="B8" s="162">
        <v>8</v>
      </c>
      <c r="C8" s="338" t="s">
        <v>1175</v>
      </c>
      <c r="D8" s="400"/>
      <c r="E8" s="400">
        <v>377287.69</v>
      </c>
    </row>
    <row r="9" spans="1:7">
      <c r="B9" s="162">
        <v>9</v>
      </c>
      <c r="C9" s="820" t="s">
        <v>1176</v>
      </c>
      <c r="D9" s="400"/>
      <c r="E9" s="400"/>
    </row>
    <row r="10" spans="1:7">
      <c r="B10" s="162">
        <v>10</v>
      </c>
      <c r="C10" s="820" t="s">
        <v>1177</v>
      </c>
      <c r="D10" s="400"/>
      <c r="E10" s="400">
        <v>14900000</v>
      </c>
    </row>
    <row r="11" spans="1:7">
      <c r="B11" s="162">
        <v>11</v>
      </c>
      <c r="C11" s="820" t="s">
        <v>1178</v>
      </c>
      <c r="D11" s="400"/>
      <c r="E11" s="400"/>
    </row>
    <row r="12" spans="1:7">
      <c r="B12" s="162">
        <v>12</v>
      </c>
      <c r="C12" s="820" t="s">
        <v>1179</v>
      </c>
      <c r="D12" s="400"/>
      <c r="E12" s="400"/>
      <c r="G12" s="345"/>
    </row>
    <row r="13" spans="1:7">
      <c r="B13" s="162">
        <v>13</v>
      </c>
      <c r="C13" s="338" t="s">
        <v>1180</v>
      </c>
      <c r="D13" s="406">
        <f>D3+D4-D7</f>
        <v>3473801.5300000007</v>
      </c>
      <c r="E13" s="406">
        <f>E3+E4-E7</f>
        <v>3398651.3100000005</v>
      </c>
    </row>
    <row r="14" spans="1:7">
      <c r="A14" s="764" t="s">
        <v>2260</v>
      </c>
      <c r="B14" s="162">
        <v>14</v>
      </c>
    </row>
    <row r="15" spans="1:7">
      <c r="B15" s="162">
        <v>15</v>
      </c>
      <c r="C15" s="881"/>
      <c r="D15" s="881" t="s">
        <v>2504</v>
      </c>
      <c r="E15" s="881" t="s">
        <v>2505</v>
      </c>
    </row>
    <row r="16" spans="1:7">
      <c r="B16" s="162">
        <v>16</v>
      </c>
      <c r="C16" s="881" t="s">
        <v>1319</v>
      </c>
      <c r="D16" s="406">
        <f>审定资产负债表!D126</f>
        <v>3398651.31</v>
      </c>
      <c r="E16" s="406">
        <f>审定资产负债表!C126</f>
        <v>3473801.53</v>
      </c>
    </row>
    <row r="17" spans="2:5">
      <c r="B17" s="162">
        <v>17</v>
      </c>
      <c r="C17" s="881" t="s">
        <v>1320</v>
      </c>
      <c r="D17" s="406">
        <f>E13-D16</f>
        <v>0</v>
      </c>
      <c r="E17" s="406">
        <f>D13-E16</f>
        <v>0</v>
      </c>
    </row>
  </sheetData>
  <sheetProtection formatCells="0" formatColumns="0" formatRows="0" autoFilter="0"/>
  <phoneticPr fontId="5" type="noConversion"/>
  <hyperlinks>
    <hyperlink ref="A1" location="附注填写封面!B3" display="返回目录" xr:uid="{00000000-0004-0000-4E00-000000000000}"/>
    <hyperlink ref="A14" location="附注填写封面!B3" display="返回目录" xr:uid="{00000000-0004-0000-4E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52">
    <tabColor rgb="FFFFC000"/>
  </sheetPr>
  <dimension ref="A1:O109"/>
  <sheetViews>
    <sheetView showGridLines="0" showZeros="0" workbookViewId="0">
      <selection activeCell="K96" sqref="K96"/>
    </sheetView>
  </sheetViews>
  <sheetFormatPr defaultColWidth="11.625" defaultRowHeight="12.75"/>
  <cols>
    <col min="1" max="1" width="10.375" style="810" customWidth="1"/>
    <col min="2" max="2" width="5.625" style="162" hidden="1" customWidth="1"/>
    <col min="3" max="3" width="17.125" style="843" customWidth="1"/>
    <col min="4" max="7" width="18.125" style="344" customWidth="1"/>
    <col min="8" max="11" width="7" style="390" customWidth="1"/>
    <col min="12" max="16384" width="11.625" style="344"/>
  </cols>
  <sheetData>
    <row r="1" spans="1:12" ht="25.7" customHeight="1">
      <c r="A1" s="957" t="s">
        <v>2260</v>
      </c>
      <c r="B1" s="343" t="s">
        <v>1446</v>
      </c>
      <c r="C1" s="759" t="s">
        <v>3242</v>
      </c>
    </row>
    <row r="2" spans="1:12">
      <c r="B2" s="162">
        <v>2</v>
      </c>
      <c r="C2" s="781" t="s">
        <v>3289</v>
      </c>
      <c r="L2" s="1484" t="s">
        <v>4936</v>
      </c>
    </row>
    <row r="3" spans="1:12">
      <c r="B3" s="162">
        <v>3</v>
      </c>
      <c r="C3" s="1824" t="s">
        <v>3290</v>
      </c>
      <c r="D3" s="1824" t="s">
        <v>3243</v>
      </c>
      <c r="E3" s="1824"/>
      <c r="F3" s="1824" t="s">
        <v>3244</v>
      </c>
      <c r="G3" s="1824"/>
    </row>
    <row r="4" spans="1:12">
      <c r="B4" s="162">
        <v>4</v>
      </c>
      <c r="C4" s="1824"/>
      <c r="D4" s="881" t="s">
        <v>3245</v>
      </c>
      <c r="E4" s="881" t="s">
        <v>3008</v>
      </c>
      <c r="F4" s="881" t="s">
        <v>3245</v>
      </c>
      <c r="G4" s="881" t="s">
        <v>3008</v>
      </c>
    </row>
    <row r="5" spans="1:12">
      <c r="B5" s="162">
        <v>5</v>
      </c>
      <c r="C5" s="884" t="s">
        <v>3246</v>
      </c>
      <c r="D5" s="406">
        <f>SUM(D6:D12)</f>
        <v>4339622.6500000004</v>
      </c>
      <c r="E5" s="406">
        <f>SUM(E6:E12)</f>
        <v>0</v>
      </c>
      <c r="F5" s="406">
        <f>SUM(F6:F12)</f>
        <v>16037735.91</v>
      </c>
      <c r="G5" s="406">
        <f>SUM(G6:G12)</f>
        <v>0</v>
      </c>
      <c r="H5" s="980">
        <f>D5-审定利润表!C7</f>
        <v>0</v>
      </c>
      <c r="I5" s="980">
        <f>E5-审定利润表!C14</f>
        <v>0</v>
      </c>
      <c r="J5" s="980">
        <f>F5-审定利润表!D7</f>
        <v>0</v>
      </c>
      <c r="K5" s="980">
        <f>G5-审定利润表!D14</f>
        <v>0</v>
      </c>
    </row>
    <row r="6" spans="1:12">
      <c r="A6" s="810">
        <v>1</v>
      </c>
      <c r="B6" s="162">
        <v>6</v>
      </c>
      <c r="C6" s="1578" t="s">
        <v>5018</v>
      </c>
      <c r="D6" s="400">
        <f>调整分录!I78+调整分录!I79+调整分录!I80</f>
        <v>4339622.6500000004</v>
      </c>
      <c r="E6" s="400"/>
      <c r="F6" s="400">
        <f>9433962.3+调整分录!G64</f>
        <v>9433962.3000000007</v>
      </c>
      <c r="G6" s="400"/>
    </row>
    <row r="7" spans="1:12">
      <c r="A7" s="810">
        <v>2</v>
      </c>
      <c r="B7" s="162">
        <v>7</v>
      </c>
      <c r="C7" s="1578" t="s">
        <v>5019</v>
      </c>
      <c r="D7" s="400"/>
      <c r="E7" s="400"/>
      <c r="F7" s="400">
        <v>6603773.6100000003</v>
      </c>
      <c r="G7" s="400"/>
    </row>
    <row r="8" spans="1:12">
      <c r="A8" s="810">
        <v>3</v>
      </c>
      <c r="B8" s="162">
        <v>8</v>
      </c>
      <c r="C8" s="1037"/>
      <c r="D8" s="400"/>
      <c r="E8" s="400"/>
      <c r="F8" s="400"/>
      <c r="G8" s="400"/>
    </row>
    <row r="9" spans="1:12">
      <c r="A9" s="810">
        <v>4</v>
      </c>
      <c r="B9" s="162">
        <v>9</v>
      </c>
      <c r="C9" s="1037"/>
      <c r="D9" s="400"/>
      <c r="E9" s="400"/>
      <c r="F9" s="400"/>
      <c r="G9" s="400"/>
    </row>
    <row r="10" spans="1:12">
      <c r="A10" s="810">
        <v>5</v>
      </c>
      <c r="B10" s="162">
        <v>10</v>
      </c>
      <c r="C10" s="1037"/>
      <c r="D10" s="400"/>
      <c r="E10" s="400"/>
      <c r="F10" s="400"/>
      <c r="G10" s="400"/>
    </row>
    <row r="11" spans="1:12">
      <c r="A11" s="810">
        <v>6</v>
      </c>
      <c r="B11" s="162">
        <v>11</v>
      </c>
      <c r="C11" s="1037"/>
      <c r="D11" s="400"/>
      <c r="E11" s="400"/>
      <c r="F11" s="400"/>
      <c r="G11" s="400"/>
    </row>
    <row r="12" spans="1:12">
      <c r="A12" s="810">
        <v>7</v>
      </c>
      <c r="B12" s="162">
        <v>12</v>
      </c>
      <c r="C12" s="1037"/>
      <c r="D12" s="400"/>
      <c r="E12" s="400"/>
      <c r="F12" s="400"/>
      <c r="G12" s="400"/>
    </row>
    <row r="13" spans="1:12">
      <c r="A13" s="957" t="s">
        <v>2260</v>
      </c>
      <c r="B13" s="162">
        <v>13</v>
      </c>
      <c r="C13" s="884" t="s">
        <v>3247</v>
      </c>
      <c r="D13" s="406">
        <f>SUM(D14:D20)</f>
        <v>0</v>
      </c>
      <c r="E13" s="406">
        <f>SUM(E14:E20)</f>
        <v>0</v>
      </c>
      <c r="F13" s="406">
        <f>SUM(F14:F20)</f>
        <v>0</v>
      </c>
      <c r="G13" s="406">
        <f>SUM(G14:G20)</f>
        <v>0</v>
      </c>
      <c r="H13" s="980">
        <f>D13-审定利润表!C8</f>
        <v>0</v>
      </c>
      <c r="I13" s="980">
        <f>E13-审定利润表!C15</f>
        <v>0</v>
      </c>
      <c r="J13" s="980">
        <f>F13-审定利润表!D8</f>
        <v>0</v>
      </c>
      <c r="K13" s="980">
        <f>G13-审定利润表!D15</f>
        <v>0</v>
      </c>
    </row>
    <row r="14" spans="1:12">
      <c r="A14" s="810">
        <v>1</v>
      </c>
      <c r="B14" s="162">
        <v>14</v>
      </c>
      <c r="C14" s="1036"/>
      <c r="D14" s="400"/>
      <c r="E14" s="400"/>
      <c r="F14" s="400"/>
      <c r="G14" s="400"/>
    </row>
    <row r="15" spans="1:12">
      <c r="A15" s="810">
        <v>2</v>
      </c>
      <c r="B15" s="162">
        <v>15</v>
      </c>
      <c r="C15" s="1037"/>
      <c r="D15" s="400"/>
      <c r="E15" s="400"/>
      <c r="F15" s="400"/>
      <c r="G15" s="400"/>
    </row>
    <row r="16" spans="1:12">
      <c r="A16" s="810">
        <v>3</v>
      </c>
      <c r="B16" s="162">
        <v>16</v>
      </c>
      <c r="C16" s="1037"/>
      <c r="D16" s="400"/>
      <c r="E16" s="400"/>
      <c r="F16" s="400"/>
      <c r="G16" s="400"/>
    </row>
    <row r="17" spans="1:15">
      <c r="A17" s="810">
        <v>4</v>
      </c>
      <c r="B17" s="162">
        <v>17</v>
      </c>
      <c r="C17" s="1037"/>
      <c r="D17" s="400"/>
      <c r="E17" s="400"/>
      <c r="F17" s="400"/>
      <c r="G17" s="400"/>
    </row>
    <row r="18" spans="1:15">
      <c r="A18" s="810">
        <v>5</v>
      </c>
      <c r="B18" s="162">
        <v>18</v>
      </c>
      <c r="C18" s="1037"/>
      <c r="D18" s="400"/>
      <c r="E18" s="400"/>
      <c r="F18" s="400"/>
      <c r="G18" s="400"/>
    </row>
    <row r="19" spans="1:15">
      <c r="A19" s="810">
        <v>6</v>
      </c>
      <c r="B19" s="162">
        <v>19</v>
      </c>
      <c r="C19" s="1037"/>
      <c r="D19" s="400"/>
      <c r="E19" s="400"/>
      <c r="F19" s="400"/>
      <c r="G19" s="400"/>
    </row>
    <row r="20" spans="1:15">
      <c r="A20" s="810">
        <v>7</v>
      </c>
      <c r="B20" s="162">
        <v>20</v>
      </c>
      <c r="C20" s="1038"/>
      <c r="D20" s="400"/>
      <c r="E20" s="400"/>
      <c r="F20" s="400"/>
      <c r="G20" s="400"/>
    </row>
    <row r="21" spans="1:15">
      <c r="B21" s="162">
        <v>21</v>
      </c>
      <c r="C21" s="889" t="s">
        <v>952</v>
      </c>
      <c r="D21" s="406">
        <f>D13+D5</f>
        <v>4339622.6500000004</v>
      </c>
      <c r="E21" s="406">
        <f>E13+E5</f>
        <v>0</v>
      </c>
      <c r="F21" s="406">
        <f>F13+F5</f>
        <v>16037735.91</v>
      </c>
      <c r="G21" s="406">
        <f>G13+G5</f>
        <v>0</v>
      </c>
    </row>
    <row r="22" spans="1:15">
      <c r="A22" s="811" t="str">
        <f>HYPERLINK("#C1","置顶")</f>
        <v>置顶</v>
      </c>
      <c r="B22" s="162">
        <v>22</v>
      </c>
    </row>
    <row r="23" spans="1:15">
      <c r="B23" s="162">
        <v>23</v>
      </c>
      <c r="C23" s="1014" t="s">
        <v>3291</v>
      </c>
    </row>
    <row r="24" spans="1:15">
      <c r="B24" s="162">
        <v>24</v>
      </c>
      <c r="C24" s="347" t="s">
        <v>3248</v>
      </c>
    </row>
    <row r="25" spans="1:15" s="843" customFormat="1" ht="36">
      <c r="A25" s="957" t="s">
        <v>2260</v>
      </c>
      <c r="B25" s="162">
        <v>25</v>
      </c>
      <c r="C25" s="889" t="s">
        <v>3249</v>
      </c>
      <c r="D25" s="889" t="s">
        <v>3250</v>
      </c>
      <c r="E25" s="889" t="s">
        <v>3251</v>
      </c>
      <c r="F25" s="889" t="s">
        <v>3292</v>
      </c>
      <c r="G25" s="889" t="s">
        <v>3252</v>
      </c>
      <c r="H25" s="889" t="s">
        <v>3253</v>
      </c>
      <c r="I25" s="390"/>
      <c r="J25" s="390"/>
      <c r="K25" s="390"/>
      <c r="L25" s="624"/>
      <c r="M25" s="624"/>
      <c r="N25" s="624"/>
      <c r="O25" s="624"/>
    </row>
    <row r="26" spans="1:15">
      <c r="B26" s="162">
        <v>26</v>
      </c>
      <c r="C26" s="1039" t="s">
        <v>3254</v>
      </c>
      <c r="D26" s="406">
        <f>SUM(D27:D36)</f>
        <v>0</v>
      </c>
      <c r="E26" s="406">
        <f>SUM(E27:E36)</f>
        <v>0</v>
      </c>
      <c r="F26" s="406">
        <f>SUM(F27:F36)</f>
        <v>0</v>
      </c>
      <c r="G26" s="406">
        <f>SUM(G27:G36)</f>
        <v>0</v>
      </c>
      <c r="H26" s="406">
        <f>SUM(H27:H36)</f>
        <v>0</v>
      </c>
      <c r="L26" s="390"/>
      <c r="M26" s="390"/>
      <c r="N26" s="390"/>
      <c r="O26" s="390"/>
    </row>
    <row r="27" spans="1:15">
      <c r="A27" s="810">
        <v>1</v>
      </c>
      <c r="B27" s="162">
        <v>27</v>
      </c>
      <c r="C27" s="1039" t="s">
        <v>3255</v>
      </c>
      <c r="D27" s="400"/>
      <c r="E27" s="400"/>
      <c r="F27" s="400"/>
      <c r="G27" s="400"/>
      <c r="H27" s="400"/>
      <c r="L27" s="390"/>
      <c r="M27" s="390"/>
      <c r="N27" s="390"/>
      <c r="O27" s="390"/>
    </row>
    <row r="28" spans="1:15">
      <c r="A28" s="810">
        <v>2</v>
      </c>
      <c r="B28" s="162">
        <v>28</v>
      </c>
      <c r="C28" s="1039"/>
      <c r="D28" s="400"/>
      <c r="E28" s="400"/>
      <c r="F28" s="400"/>
      <c r="G28" s="400"/>
      <c r="H28" s="400"/>
      <c r="L28" s="390"/>
      <c r="M28" s="390"/>
      <c r="N28" s="390"/>
      <c r="O28" s="390"/>
    </row>
    <row r="29" spans="1:15">
      <c r="A29" s="810">
        <v>3</v>
      </c>
      <c r="B29" s="162">
        <v>29</v>
      </c>
      <c r="C29" s="1039"/>
      <c r="D29" s="400"/>
      <c r="E29" s="400"/>
      <c r="F29" s="400"/>
      <c r="G29" s="400"/>
      <c r="H29" s="400"/>
      <c r="L29" s="390"/>
      <c r="M29" s="390"/>
      <c r="N29" s="390"/>
      <c r="O29" s="390"/>
    </row>
    <row r="30" spans="1:15">
      <c r="A30" s="810">
        <v>4</v>
      </c>
      <c r="B30" s="162">
        <v>30</v>
      </c>
      <c r="C30" s="1039"/>
      <c r="D30" s="400"/>
      <c r="E30" s="400"/>
      <c r="F30" s="400"/>
      <c r="G30" s="400"/>
      <c r="H30" s="400"/>
      <c r="L30" s="390"/>
      <c r="M30" s="390"/>
      <c r="N30" s="390"/>
      <c r="O30" s="390"/>
    </row>
    <row r="31" spans="1:15">
      <c r="A31" s="810">
        <v>5</v>
      </c>
      <c r="B31" s="162">
        <v>31</v>
      </c>
      <c r="C31" s="1039"/>
      <c r="D31" s="400"/>
      <c r="E31" s="400"/>
      <c r="F31" s="400"/>
      <c r="G31" s="400"/>
      <c r="H31" s="400"/>
      <c r="L31" s="390"/>
      <c r="M31" s="390"/>
      <c r="N31" s="390"/>
      <c r="O31" s="390"/>
    </row>
    <row r="32" spans="1:15">
      <c r="A32" s="810">
        <v>6</v>
      </c>
      <c r="B32" s="162">
        <v>32</v>
      </c>
      <c r="C32" s="1039"/>
      <c r="D32" s="400"/>
      <c r="E32" s="400"/>
      <c r="F32" s="400"/>
      <c r="G32" s="400"/>
      <c r="H32" s="400"/>
      <c r="L32" s="390"/>
      <c r="M32" s="390"/>
      <c r="N32" s="390"/>
      <c r="O32" s="390"/>
    </row>
    <row r="33" spans="1:15">
      <c r="A33" s="810">
        <v>7</v>
      </c>
      <c r="B33" s="162">
        <v>33</v>
      </c>
      <c r="C33" s="1039"/>
      <c r="D33" s="400"/>
      <c r="E33" s="400"/>
      <c r="F33" s="400"/>
      <c r="G33" s="400"/>
      <c r="H33" s="400"/>
      <c r="L33" s="390"/>
      <c r="M33" s="390"/>
      <c r="N33" s="390"/>
      <c r="O33" s="390"/>
    </row>
    <row r="34" spans="1:15">
      <c r="A34" s="810">
        <v>8</v>
      </c>
      <c r="B34" s="162">
        <v>34</v>
      </c>
      <c r="C34" s="1039"/>
      <c r="D34" s="400"/>
      <c r="E34" s="400"/>
      <c r="F34" s="400"/>
      <c r="G34" s="400"/>
      <c r="H34" s="400"/>
      <c r="L34" s="390"/>
      <c r="M34" s="390"/>
      <c r="N34" s="390"/>
      <c r="O34" s="390"/>
    </row>
    <row r="35" spans="1:15">
      <c r="A35" s="810">
        <v>9</v>
      </c>
      <c r="B35" s="162">
        <v>35</v>
      </c>
      <c r="C35" s="1039"/>
      <c r="D35" s="400"/>
      <c r="E35" s="400"/>
      <c r="F35" s="400"/>
      <c r="G35" s="400"/>
      <c r="H35" s="400"/>
      <c r="L35" s="390"/>
      <c r="M35" s="390"/>
      <c r="N35" s="390"/>
      <c r="O35" s="390"/>
    </row>
    <row r="36" spans="1:15">
      <c r="A36" s="810">
        <v>10</v>
      </c>
      <c r="B36" s="162">
        <v>36</v>
      </c>
      <c r="C36" s="1039"/>
      <c r="D36" s="400"/>
      <c r="E36" s="400"/>
      <c r="F36" s="400"/>
      <c r="G36" s="400"/>
      <c r="H36" s="400"/>
      <c r="L36" s="390"/>
      <c r="M36" s="390"/>
      <c r="N36" s="390"/>
      <c r="O36" s="390"/>
    </row>
    <row r="37" spans="1:15">
      <c r="B37" s="162">
        <v>37</v>
      </c>
      <c r="C37" s="760" t="s">
        <v>3256</v>
      </c>
      <c r="D37" s="406">
        <f>SUM(D38:D47)</f>
        <v>0</v>
      </c>
      <c r="E37" s="406">
        <f>SUM(E38:E47)</f>
        <v>0</v>
      </c>
      <c r="F37" s="406">
        <f>SUM(F38:F47)</f>
        <v>0</v>
      </c>
      <c r="G37" s="406">
        <f>SUM(G38:G47)</f>
        <v>0</v>
      </c>
      <c r="H37" s="406">
        <f>SUM(H38:H47)</f>
        <v>0</v>
      </c>
      <c r="L37" s="390"/>
      <c r="M37" s="390"/>
      <c r="N37" s="390"/>
      <c r="O37" s="390"/>
    </row>
    <row r="38" spans="1:15">
      <c r="A38" s="810">
        <v>1</v>
      </c>
      <c r="B38" s="162">
        <v>38</v>
      </c>
      <c r="C38" s="1039" t="s">
        <v>3255</v>
      </c>
      <c r="D38" s="400"/>
      <c r="E38" s="400"/>
      <c r="F38" s="400"/>
      <c r="G38" s="400"/>
      <c r="H38" s="400"/>
      <c r="L38" s="390"/>
      <c r="M38" s="390"/>
      <c r="N38" s="390"/>
      <c r="O38" s="390"/>
    </row>
    <row r="39" spans="1:15">
      <c r="A39" s="810">
        <v>2</v>
      </c>
      <c r="B39" s="162">
        <v>39</v>
      </c>
      <c r="C39" s="1039"/>
      <c r="D39" s="400"/>
      <c r="E39" s="400"/>
      <c r="F39" s="400"/>
      <c r="G39" s="400"/>
      <c r="H39" s="400"/>
      <c r="L39" s="390"/>
      <c r="M39" s="390"/>
      <c r="N39" s="390"/>
      <c r="O39" s="390"/>
    </row>
    <row r="40" spans="1:15">
      <c r="A40" s="810">
        <v>3</v>
      </c>
      <c r="B40" s="162">
        <v>40</v>
      </c>
      <c r="C40" s="1039"/>
      <c r="D40" s="400"/>
      <c r="E40" s="400"/>
      <c r="F40" s="400"/>
      <c r="G40" s="400"/>
      <c r="H40" s="400"/>
      <c r="L40" s="390"/>
      <c r="M40" s="390"/>
      <c r="N40" s="390"/>
      <c r="O40" s="390"/>
    </row>
    <row r="41" spans="1:15">
      <c r="A41" s="810">
        <v>4</v>
      </c>
      <c r="B41" s="162">
        <v>41</v>
      </c>
      <c r="C41" s="1039"/>
      <c r="D41" s="400"/>
      <c r="E41" s="400"/>
      <c r="F41" s="400"/>
      <c r="G41" s="400"/>
      <c r="H41" s="400"/>
      <c r="L41" s="390"/>
      <c r="M41" s="390"/>
      <c r="N41" s="390"/>
      <c r="O41" s="390"/>
    </row>
    <row r="42" spans="1:15">
      <c r="A42" s="810">
        <v>5</v>
      </c>
      <c r="B42" s="162">
        <v>42</v>
      </c>
      <c r="C42" s="1039"/>
      <c r="D42" s="400"/>
      <c r="E42" s="400"/>
      <c r="F42" s="400"/>
      <c r="G42" s="400"/>
      <c r="H42" s="400"/>
      <c r="L42" s="390"/>
      <c r="M42" s="390"/>
      <c r="N42" s="390"/>
      <c r="O42" s="390"/>
    </row>
    <row r="43" spans="1:15">
      <c r="A43" s="810">
        <v>6</v>
      </c>
      <c r="B43" s="162">
        <v>43</v>
      </c>
      <c r="C43" s="1039"/>
      <c r="D43" s="400"/>
      <c r="E43" s="400"/>
      <c r="F43" s="400"/>
      <c r="G43" s="400"/>
      <c r="H43" s="400"/>
      <c r="L43" s="390"/>
      <c r="M43" s="390"/>
      <c r="N43" s="390"/>
      <c r="O43" s="390"/>
    </row>
    <row r="44" spans="1:15">
      <c r="A44" s="810">
        <v>7</v>
      </c>
      <c r="B44" s="162">
        <v>44</v>
      </c>
      <c r="C44" s="1039"/>
      <c r="D44" s="400"/>
      <c r="E44" s="400"/>
      <c r="F44" s="400"/>
      <c r="G44" s="400"/>
      <c r="H44" s="400"/>
      <c r="L44" s="390"/>
      <c r="M44" s="390"/>
      <c r="N44" s="390"/>
      <c r="O44" s="390"/>
    </row>
    <row r="45" spans="1:15">
      <c r="A45" s="810">
        <v>8</v>
      </c>
      <c r="B45" s="162">
        <v>45</v>
      </c>
      <c r="C45" s="1039"/>
      <c r="D45" s="400"/>
      <c r="E45" s="400"/>
      <c r="F45" s="400"/>
      <c r="G45" s="400"/>
      <c r="H45" s="400"/>
      <c r="L45" s="390"/>
      <c r="M45" s="390"/>
      <c r="N45" s="390"/>
      <c r="O45" s="390"/>
    </row>
    <row r="46" spans="1:15">
      <c r="A46" s="810">
        <v>9</v>
      </c>
      <c r="B46" s="162">
        <v>46</v>
      </c>
      <c r="C46" s="1039"/>
      <c r="D46" s="400"/>
      <c r="E46" s="400"/>
      <c r="F46" s="400"/>
      <c r="G46" s="400"/>
      <c r="H46" s="400"/>
      <c r="L46" s="390"/>
      <c r="M46" s="390"/>
      <c r="N46" s="390"/>
      <c r="O46" s="390"/>
    </row>
    <row r="47" spans="1:15">
      <c r="A47" s="810">
        <v>10</v>
      </c>
      <c r="B47" s="162">
        <v>47</v>
      </c>
      <c r="C47" s="1039"/>
      <c r="D47" s="400"/>
      <c r="E47" s="400"/>
      <c r="F47" s="400"/>
      <c r="G47" s="400"/>
      <c r="H47" s="400"/>
      <c r="L47" s="390"/>
      <c r="M47" s="390"/>
      <c r="N47" s="390"/>
      <c r="O47" s="390"/>
    </row>
    <row r="48" spans="1:15" ht="16.5" customHeight="1">
      <c r="A48" s="811" t="str">
        <f>HYPERLINK("#C1","置顶")</f>
        <v>置顶</v>
      </c>
      <c r="B48" s="162">
        <v>48</v>
      </c>
      <c r="C48" s="843" t="s">
        <v>3257</v>
      </c>
      <c r="H48" s="344"/>
      <c r="L48" s="390"/>
      <c r="M48" s="390"/>
      <c r="N48" s="390"/>
      <c r="O48" s="390"/>
    </row>
    <row r="49" spans="1:15" ht="24.75">
      <c r="A49" s="957"/>
      <c r="B49" s="162">
        <v>49</v>
      </c>
      <c r="C49" s="889" t="s">
        <v>3249</v>
      </c>
      <c r="D49" s="889" t="s">
        <v>3293</v>
      </c>
      <c r="E49" s="889" t="s">
        <v>3258</v>
      </c>
      <c r="F49" s="889" t="s">
        <v>3259</v>
      </c>
      <c r="G49" s="889" t="s">
        <v>3260</v>
      </c>
      <c r="H49" s="955" t="s">
        <v>2551</v>
      </c>
      <c r="L49" s="390"/>
      <c r="M49" s="390"/>
      <c r="N49" s="390"/>
    </row>
    <row r="50" spans="1:15">
      <c r="A50" s="957" t="s">
        <v>2260</v>
      </c>
      <c r="B50" s="162">
        <v>50</v>
      </c>
      <c r="C50" s="1039" t="s">
        <v>3254</v>
      </c>
      <c r="D50" s="406">
        <f>SUM(D51:D60)</f>
        <v>0</v>
      </c>
      <c r="E50" s="406">
        <f>SUM(E51:E60)</f>
        <v>0</v>
      </c>
      <c r="F50" s="406">
        <f>SUM(F51:F60)</f>
        <v>0</v>
      </c>
      <c r="G50" s="406">
        <f>SUM(G51:G60)</f>
        <v>0</v>
      </c>
      <c r="H50" s="956">
        <f t="shared" ref="H50:H60" si="0">G26-H26-D50</f>
        <v>0</v>
      </c>
      <c r="L50" s="390"/>
      <c r="M50" s="390"/>
      <c r="N50" s="390"/>
      <c r="O50" s="390"/>
    </row>
    <row r="51" spans="1:15">
      <c r="A51" s="810">
        <v>1</v>
      </c>
      <c r="B51" s="162">
        <v>51</v>
      </c>
      <c r="C51" s="1039" t="s">
        <v>3255</v>
      </c>
      <c r="D51" s="888"/>
      <c r="E51" s="888"/>
      <c r="F51" s="888"/>
      <c r="G51" s="888"/>
      <c r="H51" s="956">
        <f t="shared" si="0"/>
        <v>0</v>
      </c>
      <c r="L51" s="390"/>
      <c r="M51" s="390"/>
      <c r="N51" s="390"/>
      <c r="O51" s="390"/>
    </row>
    <row r="52" spans="1:15">
      <c r="A52" s="810">
        <v>2</v>
      </c>
      <c r="B52" s="162">
        <v>52</v>
      </c>
      <c r="C52" s="1039"/>
      <c r="D52" s="888"/>
      <c r="E52" s="888"/>
      <c r="F52" s="888"/>
      <c r="G52" s="888"/>
      <c r="H52" s="956">
        <f t="shared" si="0"/>
        <v>0</v>
      </c>
      <c r="L52" s="390"/>
      <c r="M52" s="390"/>
      <c r="N52" s="390"/>
      <c r="O52" s="390"/>
    </row>
    <row r="53" spans="1:15">
      <c r="A53" s="810">
        <v>3</v>
      </c>
      <c r="B53" s="162">
        <v>53</v>
      </c>
      <c r="C53" s="1039"/>
      <c r="D53" s="888"/>
      <c r="E53" s="888"/>
      <c r="F53" s="888"/>
      <c r="G53" s="888"/>
      <c r="H53" s="956">
        <f t="shared" si="0"/>
        <v>0</v>
      </c>
      <c r="L53" s="390"/>
      <c r="M53" s="390"/>
      <c r="N53" s="390"/>
      <c r="O53" s="390"/>
    </row>
    <row r="54" spans="1:15">
      <c r="A54" s="810">
        <v>4</v>
      </c>
      <c r="B54" s="162">
        <v>54</v>
      </c>
      <c r="C54" s="1039"/>
      <c r="D54" s="888"/>
      <c r="E54" s="888"/>
      <c r="F54" s="888"/>
      <c r="G54" s="888"/>
      <c r="H54" s="956">
        <f t="shared" si="0"/>
        <v>0</v>
      </c>
      <c r="L54" s="390"/>
      <c r="M54" s="390"/>
      <c r="N54" s="390"/>
      <c r="O54" s="390"/>
    </row>
    <row r="55" spans="1:15">
      <c r="A55" s="810">
        <v>5</v>
      </c>
      <c r="B55" s="162">
        <v>55</v>
      </c>
      <c r="C55" s="1039"/>
      <c r="D55" s="888"/>
      <c r="E55" s="888"/>
      <c r="F55" s="888"/>
      <c r="G55" s="888"/>
      <c r="H55" s="956">
        <f t="shared" si="0"/>
        <v>0</v>
      </c>
      <c r="L55" s="390"/>
      <c r="M55" s="390"/>
      <c r="N55" s="390"/>
      <c r="O55" s="390"/>
    </row>
    <row r="56" spans="1:15">
      <c r="A56" s="810">
        <v>6</v>
      </c>
      <c r="B56" s="162">
        <v>56</v>
      </c>
      <c r="C56" s="1039"/>
      <c r="D56" s="888"/>
      <c r="E56" s="888"/>
      <c r="F56" s="888"/>
      <c r="G56" s="888"/>
      <c r="H56" s="956">
        <f t="shared" si="0"/>
        <v>0</v>
      </c>
      <c r="L56" s="390"/>
      <c r="M56" s="390"/>
      <c r="N56" s="390"/>
      <c r="O56" s="390"/>
    </row>
    <row r="57" spans="1:15">
      <c r="A57" s="810">
        <v>7</v>
      </c>
      <c r="B57" s="162">
        <v>57</v>
      </c>
      <c r="C57" s="1039"/>
      <c r="D57" s="888"/>
      <c r="E57" s="888"/>
      <c r="F57" s="888"/>
      <c r="G57" s="888"/>
      <c r="H57" s="956">
        <f t="shared" si="0"/>
        <v>0</v>
      </c>
      <c r="L57" s="390"/>
      <c r="M57" s="390"/>
      <c r="N57" s="390"/>
      <c r="O57" s="390"/>
    </row>
    <row r="58" spans="1:15">
      <c r="A58" s="810">
        <v>8</v>
      </c>
      <c r="B58" s="162">
        <v>58</v>
      </c>
      <c r="C58" s="1039"/>
      <c r="D58" s="888"/>
      <c r="E58" s="888"/>
      <c r="F58" s="888"/>
      <c r="G58" s="888"/>
      <c r="H58" s="956">
        <f t="shared" si="0"/>
        <v>0</v>
      </c>
      <c r="I58" s="344"/>
      <c r="J58" s="344"/>
      <c r="K58" s="344"/>
      <c r="L58" s="390"/>
      <c r="M58" s="390"/>
      <c r="N58" s="390"/>
      <c r="O58" s="390"/>
    </row>
    <row r="59" spans="1:15">
      <c r="A59" s="810">
        <v>9</v>
      </c>
      <c r="B59" s="162">
        <v>59</v>
      </c>
      <c r="C59" s="1039"/>
      <c r="D59" s="888"/>
      <c r="E59" s="888"/>
      <c r="F59" s="888"/>
      <c r="G59" s="888"/>
      <c r="H59" s="956">
        <f t="shared" si="0"/>
        <v>0</v>
      </c>
      <c r="I59" s="344"/>
      <c r="J59" s="344"/>
      <c r="K59" s="344"/>
      <c r="L59" s="390"/>
      <c r="M59" s="390"/>
      <c r="N59" s="390"/>
      <c r="O59" s="390"/>
    </row>
    <row r="60" spans="1:15">
      <c r="A60" s="810">
        <v>10</v>
      </c>
      <c r="B60" s="162">
        <v>60</v>
      </c>
      <c r="C60" s="1039"/>
      <c r="D60" s="888"/>
      <c r="E60" s="888"/>
      <c r="F60" s="888"/>
      <c r="G60" s="888"/>
      <c r="H60" s="956">
        <f t="shared" si="0"/>
        <v>0</v>
      </c>
      <c r="I60" s="344"/>
      <c r="J60" s="344"/>
      <c r="K60" s="344"/>
      <c r="L60" s="390"/>
      <c r="M60" s="390"/>
      <c r="N60" s="390"/>
      <c r="O60" s="390"/>
    </row>
    <row r="61" spans="1:15">
      <c r="A61" s="811" t="str">
        <f>HYPERLINK("#C1","置顶")</f>
        <v>置顶</v>
      </c>
      <c r="B61" s="162">
        <v>61</v>
      </c>
      <c r="C61" s="760" t="s">
        <v>3256</v>
      </c>
      <c r="D61" s="406">
        <f>SUM(D62:D71)</f>
        <v>0</v>
      </c>
      <c r="E61" s="406">
        <f>SUM(E62:E71)</f>
        <v>0</v>
      </c>
      <c r="F61" s="406">
        <f>SUM(F62:F71)</f>
        <v>0</v>
      </c>
      <c r="G61" s="406">
        <f>SUM(G62:G71)</f>
        <v>0</v>
      </c>
      <c r="H61" s="956">
        <f t="shared" ref="H61:H71" si="1">G37-H37-D61</f>
        <v>0</v>
      </c>
      <c r="I61" s="344"/>
      <c r="J61" s="344"/>
      <c r="K61" s="344"/>
      <c r="L61" s="390"/>
      <c r="M61" s="390"/>
      <c r="N61" s="390"/>
      <c r="O61" s="390"/>
    </row>
    <row r="62" spans="1:15">
      <c r="A62" s="810">
        <v>1</v>
      </c>
      <c r="B62" s="162">
        <v>62</v>
      </c>
      <c r="C62" s="1039" t="s">
        <v>3255</v>
      </c>
      <c r="D62" s="888"/>
      <c r="E62" s="888"/>
      <c r="F62" s="888"/>
      <c r="G62" s="888"/>
      <c r="H62" s="956">
        <f t="shared" si="1"/>
        <v>0</v>
      </c>
      <c r="I62" s="344"/>
      <c r="J62" s="344"/>
      <c r="K62" s="344"/>
      <c r="L62" s="390"/>
      <c r="M62" s="390"/>
      <c r="N62" s="390"/>
      <c r="O62" s="390"/>
    </row>
    <row r="63" spans="1:15">
      <c r="A63" s="810">
        <v>2</v>
      </c>
      <c r="B63" s="162">
        <v>63</v>
      </c>
      <c r="C63" s="1039"/>
      <c r="D63" s="888"/>
      <c r="E63" s="888"/>
      <c r="F63" s="888"/>
      <c r="G63" s="888"/>
      <c r="H63" s="956">
        <f t="shared" si="1"/>
        <v>0</v>
      </c>
      <c r="I63" s="344"/>
      <c r="J63" s="344"/>
      <c r="K63" s="344"/>
      <c r="L63" s="390"/>
      <c r="M63" s="390"/>
      <c r="N63" s="390"/>
      <c r="O63" s="390"/>
    </row>
    <row r="64" spans="1:15">
      <c r="A64" s="810">
        <v>3</v>
      </c>
      <c r="B64" s="162">
        <v>64</v>
      </c>
      <c r="C64" s="1039"/>
      <c r="D64" s="888"/>
      <c r="E64" s="888"/>
      <c r="F64" s="888"/>
      <c r="G64" s="888"/>
      <c r="H64" s="956">
        <f t="shared" si="1"/>
        <v>0</v>
      </c>
      <c r="I64" s="344"/>
      <c r="J64" s="344"/>
      <c r="K64" s="344"/>
      <c r="L64" s="390"/>
      <c r="M64" s="390"/>
      <c r="N64" s="390"/>
      <c r="O64" s="390"/>
    </row>
    <row r="65" spans="1:15">
      <c r="A65" s="810">
        <v>4</v>
      </c>
      <c r="B65" s="162">
        <v>65</v>
      </c>
      <c r="C65" s="1039"/>
      <c r="D65" s="888"/>
      <c r="E65" s="888"/>
      <c r="F65" s="888"/>
      <c r="G65" s="888"/>
      <c r="H65" s="956">
        <f t="shared" si="1"/>
        <v>0</v>
      </c>
      <c r="I65" s="344"/>
      <c r="J65" s="344"/>
      <c r="K65" s="344"/>
      <c r="L65" s="390"/>
      <c r="M65" s="390"/>
      <c r="N65" s="390"/>
      <c r="O65" s="390"/>
    </row>
    <row r="66" spans="1:15">
      <c r="A66" s="810">
        <v>5</v>
      </c>
      <c r="B66" s="162">
        <v>66</v>
      </c>
      <c r="C66" s="1039"/>
      <c r="D66" s="888"/>
      <c r="E66" s="888"/>
      <c r="F66" s="888"/>
      <c r="G66" s="888"/>
      <c r="H66" s="956">
        <f t="shared" si="1"/>
        <v>0</v>
      </c>
      <c r="I66" s="344"/>
      <c r="J66" s="344"/>
      <c r="K66" s="344"/>
      <c r="L66" s="390"/>
      <c r="M66" s="390"/>
      <c r="N66" s="390"/>
      <c r="O66" s="390"/>
    </row>
    <row r="67" spans="1:15">
      <c r="A67" s="810">
        <v>6</v>
      </c>
      <c r="B67" s="162">
        <v>67</v>
      </c>
      <c r="C67" s="1039"/>
      <c r="D67" s="888"/>
      <c r="E67" s="888"/>
      <c r="F67" s="888"/>
      <c r="G67" s="888"/>
      <c r="H67" s="956">
        <f t="shared" si="1"/>
        <v>0</v>
      </c>
      <c r="I67" s="344"/>
      <c r="J67" s="344"/>
      <c r="K67" s="344"/>
      <c r="L67" s="390"/>
      <c r="M67" s="390"/>
      <c r="N67" s="390"/>
      <c r="O67" s="390"/>
    </row>
    <row r="68" spans="1:15">
      <c r="A68" s="810">
        <v>7</v>
      </c>
      <c r="B68" s="162">
        <v>68</v>
      </c>
      <c r="C68" s="1039"/>
      <c r="D68" s="888"/>
      <c r="E68" s="888"/>
      <c r="F68" s="888"/>
      <c r="G68" s="888"/>
      <c r="H68" s="956">
        <f t="shared" si="1"/>
        <v>0</v>
      </c>
      <c r="I68" s="344"/>
      <c r="J68" s="344"/>
      <c r="K68" s="344"/>
      <c r="L68" s="390"/>
      <c r="M68" s="390"/>
      <c r="N68" s="390"/>
      <c r="O68" s="390"/>
    </row>
    <row r="69" spans="1:15">
      <c r="A69" s="810">
        <v>8</v>
      </c>
      <c r="B69" s="162">
        <v>69</v>
      </c>
      <c r="C69" s="1039"/>
      <c r="D69" s="888"/>
      <c r="E69" s="888"/>
      <c r="F69" s="888"/>
      <c r="G69" s="888"/>
      <c r="H69" s="956">
        <f t="shared" si="1"/>
        <v>0</v>
      </c>
      <c r="I69" s="344"/>
      <c r="J69" s="344"/>
      <c r="K69" s="344"/>
      <c r="L69" s="390"/>
      <c r="M69" s="390"/>
      <c r="N69" s="390"/>
      <c r="O69" s="390"/>
    </row>
    <row r="70" spans="1:15">
      <c r="A70" s="810">
        <v>9</v>
      </c>
      <c r="B70" s="162">
        <v>70</v>
      </c>
      <c r="C70" s="1039"/>
      <c r="D70" s="888"/>
      <c r="E70" s="888"/>
      <c r="F70" s="888"/>
      <c r="G70" s="888"/>
      <c r="H70" s="956">
        <f t="shared" si="1"/>
        <v>0</v>
      </c>
      <c r="I70" s="344"/>
      <c r="J70" s="344"/>
      <c r="K70" s="344"/>
      <c r="L70" s="390"/>
      <c r="M70" s="390"/>
      <c r="N70" s="390"/>
      <c r="O70" s="390"/>
    </row>
    <row r="71" spans="1:15">
      <c r="A71" s="810">
        <v>10</v>
      </c>
      <c r="B71" s="162">
        <v>71</v>
      </c>
      <c r="C71" s="1039"/>
      <c r="D71" s="888"/>
      <c r="E71" s="888"/>
      <c r="F71" s="888"/>
      <c r="G71" s="888"/>
      <c r="H71" s="956">
        <f t="shared" si="1"/>
        <v>0</v>
      </c>
      <c r="I71" s="344"/>
      <c r="J71" s="344"/>
      <c r="K71" s="344"/>
      <c r="L71" s="390"/>
      <c r="M71" s="390"/>
      <c r="N71" s="390"/>
      <c r="O71" s="390"/>
    </row>
    <row r="72" spans="1:15">
      <c r="B72" s="162">
        <v>72</v>
      </c>
      <c r="H72" s="344"/>
      <c r="I72" s="344"/>
      <c r="J72" s="344"/>
      <c r="K72" s="344"/>
      <c r="L72" s="390"/>
      <c r="M72" s="390"/>
      <c r="N72" s="390"/>
      <c r="O72" s="390"/>
    </row>
    <row r="73" spans="1:15">
      <c r="A73" s="957" t="s">
        <v>2260</v>
      </c>
      <c r="B73" s="162">
        <v>73</v>
      </c>
      <c r="C73" s="1014" t="s">
        <v>3261</v>
      </c>
    </row>
    <row r="74" spans="1:15">
      <c r="B74" s="162">
        <v>74</v>
      </c>
      <c r="C74" s="881" t="s">
        <v>3262</v>
      </c>
      <c r="D74" s="881" t="s">
        <v>3263</v>
      </c>
      <c r="E74" s="881" t="s">
        <v>3264</v>
      </c>
      <c r="F74" s="881" t="s">
        <v>2958</v>
      </c>
    </row>
    <row r="75" spans="1:15">
      <c r="A75" s="810">
        <v>1</v>
      </c>
      <c r="B75" s="162">
        <v>75</v>
      </c>
      <c r="C75" s="338"/>
      <c r="D75" s="400"/>
      <c r="E75" s="881"/>
      <c r="F75" s="881"/>
    </row>
    <row r="76" spans="1:15">
      <c r="A76" s="810">
        <v>2</v>
      </c>
      <c r="B76" s="162">
        <v>76</v>
      </c>
      <c r="C76" s="338"/>
      <c r="D76" s="400"/>
      <c r="E76" s="881"/>
      <c r="F76" s="881"/>
    </row>
    <row r="77" spans="1:15">
      <c r="A77" s="810">
        <v>3</v>
      </c>
      <c r="B77" s="162">
        <v>77</v>
      </c>
      <c r="C77" s="338"/>
      <c r="D77" s="400"/>
      <c r="E77" s="881"/>
      <c r="F77" s="881"/>
    </row>
    <row r="78" spans="1:15">
      <c r="A78" s="810">
        <v>4</v>
      </c>
      <c r="B78" s="162">
        <v>78</v>
      </c>
      <c r="C78" s="338"/>
      <c r="D78" s="400"/>
      <c r="E78" s="881"/>
      <c r="F78" s="881"/>
    </row>
    <row r="79" spans="1:15">
      <c r="A79" s="810">
        <v>5</v>
      </c>
      <c r="B79" s="162">
        <v>79</v>
      </c>
      <c r="C79" s="338"/>
      <c r="D79" s="400"/>
      <c r="E79" s="881"/>
      <c r="F79" s="881"/>
    </row>
    <row r="80" spans="1:15">
      <c r="A80" s="810">
        <v>6</v>
      </c>
      <c r="B80" s="162">
        <v>80</v>
      </c>
      <c r="C80" s="338"/>
      <c r="D80" s="400"/>
      <c r="E80" s="881"/>
      <c r="F80" s="881"/>
    </row>
    <row r="81" spans="1:8">
      <c r="A81" s="810">
        <v>7</v>
      </c>
      <c r="B81" s="162">
        <v>81</v>
      </c>
      <c r="C81" s="338"/>
      <c r="D81" s="400"/>
      <c r="E81" s="881"/>
      <c r="F81" s="881"/>
    </row>
    <row r="82" spans="1:8">
      <c r="A82" s="810">
        <v>8</v>
      </c>
      <c r="B82" s="162">
        <v>82</v>
      </c>
      <c r="C82" s="338"/>
      <c r="D82" s="400"/>
      <c r="E82" s="881"/>
      <c r="F82" s="881"/>
    </row>
    <row r="83" spans="1:8">
      <c r="A83" s="810">
        <v>9</v>
      </c>
      <c r="B83" s="162">
        <v>83</v>
      </c>
      <c r="C83" s="338"/>
      <c r="D83" s="400"/>
      <c r="E83" s="881"/>
      <c r="F83" s="881"/>
    </row>
    <row r="84" spans="1:8">
      <c r="A84" s="810">
        <v>10</v>
      </c>
      <c r="B84" s="162">
        <v>84</v>
      </c>
      <c r="C84" s="338"/>
      <c r="D84" s="400"/>
      <c r="E84" s="881"/>
      <c r="F84" s="881"/>
    </row>
    <row r="85" spans="1:8">
      <c r="B85" s="162">
        <v>85</v>
      </c>
      <c r="C85" s="889" t="s">
        <v>2680</v>
      </c>
      <c r="D85" s="406">
        <f>SUM(D75:D84)</f>
        <v>0</v>
      </c>
      <c r="E85" s="881"/>
      <c r="F85" s="881"/>
      <c r="H85" s="344"/>
    </row>
    <row r="86" spans="1:8">
      <c r="B86" s="162">
        <v>86</v>
      </c>
      <c r="H86" s="344"/>
    </row>
    <row r="87" spans="1:8">
      <c r="B87" s="162">
        <v>87</v>
      </c>
      <c r="C87" s="881" t="s">
        <v>2089</v>
      </c>
      <c r="D87" s="881" t="s">
        <v>3224</v>
      </c>
      <c r="E87" s="881" t="s">
        <v>3218</v>
      </c>
      <c r="H87" s="344"/>
    </row>
    <row r="88" spans="1:8">
      <c r="B88" s="162">
        <v>88</v>
      </c>
      <c r="C88" s="881" t="s">
        <v>1319</v>
      </c>
      <c r="D88" s="405">
        <f>审定利润表!C5</f>
        <v>4339622.6500000004</v>
      </c>
      <c r="E88" s="405">
        <f>审定利润表!D5</f>
        <v>16037735.91</v>
      </c>
      <c r="H88" s="344"/>
    </row>
    <row r="89" spans="1:8">
      <c r="B89" s="162">
        <v>89</v>
      </c>
      <c r="C89" s="881" t="s">
        <v>1320</v>
      </c>
      <c r="D89" s="405">
        <f>D21-D88</f>
        <v>0</v>
      </c>
      <c r="E89" s="405">
        <f>F21-E88</f>
        <v>0</v>
      </c>
      <c r="H89" s="344"/>
    </row>
    <row r="90" spans="1:8">
      <c r="A90" s="957" t="s">
        <v>2260</v>
      </c>
      <c r="B90" s="162">
        <v>90</v>
      </c>
      <c r="D90" s="887"/>
      <c r="E90" s="887"/>
      <c r="H90" s="344"/>
    </row>
    <row r="91" spans="1:8">
      <c r="B91" s="162">
        <v>91</v>
      </c>
      <c r="C91" s="881" t="s">
        <v>2091</v>
      </c>
      <c r="D91" s="886" t="s">
        <v>3224</v>
      </c>
      <c r="E91" s="886" t="s">
        <v>3218</v>
      </c>
      <c r="H91" s="344"/>
    </row>
    <row r="92" spans="1:8">
      <c r="B92" s="162">
        <v>92</v>
      </c>
      <c r="C92" s="881" t="s">
        <v>1319</v>
      </c>
      <c r="D92" s="405">
        <f>审定利润表!C13</f>
        <v>0</v>
      </c>
      <c r="E92" s="405">
        <f>审定利润表!D13</f>
        <v>0</v>
      </c>
      <c r="H92" s="344"/>
    </row>
    <row r="93" spans="1:8">
      <c r="B93" s="162">
        <v>93</v>
      </c>
      <c r="C93" s="881" t="s">
        <v>1320</v>
      </c>
      <c r="D93" s="405">
        <f>E21-D92</f>
        <v>0</v>
      </c>
      <c r="E93" s="405">
        <f>G21-E92</f>
        <v>0</v>
      </c>
      <c r="H93" s="344"/>
    </row>
    <row r="94" spans="1:8">
      <c r="B94" s="162">
        <v>94</v>
      </c>
      <c r="D94" s="887"/>
      <c r="E94" s="887"/>
    </row>
    <row r="95" spans="1:8">
      <c r="B95" s="162">
        <v>95</v>
      </c>
      <c r="C95" s="881" t="s">
        <v>3265</v>
      </c>
      <c r="D95" s="886" t="s">
        <v>3224</v>
      </c>
      <c r="E95" s="886" t="s">
        <v>3218</v>
      </c>
    </row>
    <row r="96" spans="1:8">
      <c r="A96" s="811" t="str">
        <f>HYPERLINK("#C1","置顶")</f>
        <v>置顶</v>
      </c>
      <c r="B96" s="162">
        <v>96</v>
      </c>
      <c r="C96" s="881" t="s">
        <v>1319</v>
      </c>
      <c r="D96" s="405">
        <f>审定利润表!C7</f>
        <v>4339622.6500000004</v>
      </c>
      <c r="E96" s="405">
        <f>审定利润表!D7</f>
        <v>16037735.91</v>
      </c>
    </row>
    <row r="97" spans="1:5">
      <c r="B97" s="162">
        <v>97</v>
      </c>
      <c r="C97" s="881" t="s">
        <v>1320</v>
      </c>
      <c r="D97" s="405">
        <f>D96-D5</f>
        <v>0</v>
      </c>
      <c r="E97" s="405">
        <f>E96-F5</f>
        <v>0</v>
      </c>
    </row>
    <row r="98" spans="1:5">
      <c r="B98" s="162">
        <v>98</v>
      </c>
      <c r="D98" s="887"/>
      <c r="E98" s="887"/>
    </row>
    <row r="99" spans="1:5">
      <c r="B99" s="162">
        <v>99</v>
      </c>
      <c r="C99" s="881" t="s">
        <v>3266</v>
      </c>
      <c r="D99" s="886" t="s">
        <v>3224</v>
      </c>
      <c r="E99" s="886" t="s">
        <v>3218</v>
      </c>
    </row>
    <row r="100" spans="1:5">
      <c r="B100" s="162">
        <v>100</v>
      </c>
      <c r="C100" s="881" t="s">
        <v>1319</v>
      </c>
      <c r="D100" s="405">
        <f>审定利润表!C14</f>
        <v>0</v>
      </c>
      <c r="E100" s="405">
        <f>审定利润表!D14</f>
        <v>0</v>
      </c>
    </row>
    <row r="101" spans="1:5">
      <c r="A101" s="957" t="s">
        <v>2260</v>
      </c>
      <c r="B101" s="162">
        <v>101</v>
      </c>
      <c r="C101" s="881" t="s">
        <v>1320</v>
      </c>
      <c r="D101" s="405">
        <f>D100-E5</f>
        <v>0</v>
      </c>
      <c r="E101" s="405">
        <f>E100-G5</f>
        <v>0</v>
      </c>
    </row>
    <row r="102" spans="1:5">
      <c r="B102" s="162">
        <v>102</v>
      </c>
      <c r="D102" s="887"/>
      <c r="E102" s="887"/>
    </row>
    <row r="103" spans="1:5">
      <c r="B103" s="162">
        <v>103</v>
      </c>
      <c r="C103" s="881" t="s">
        <v>3267</v>
      </c>
      <c r="D103" s="886" t="s">
        <v>3224</v>
      </c>
      <c r="E103" s="886" t="s">
        <v>3218</v>
      </c>
    </row>
    <row r="104" spans="1:5">
      <c r="A104" s="957"/>
      <c r="B104" s="162">
        <v>104</v>
      </c>
      <c r="C104" s="881" t="s">
        <v>1319</v>
      </c>
      <c r="D104" s="405">
        <f>审定利润表!C8</f>
        <v>0</v>
      </c>
      <c r="E104" s="405">
        <f>审定利润表!D8</f>
        <v>0</v>
      </c>
    </row>
    <row r="105" spans="1:5">
      <c r="A105" s="811" t="str">
        <f>HYPERLINK("#C1","置顶")</f>
        <v>置顶</v>
      </c>
      <c r="B105" s="162">
        <v>105</v>
      </c>
      <c r="C105" s="881" t="s">
        <v>1320</v>
      </c>
      <c r="D105" s="405">
        <f>D104-D13</f>
        <v>0</v>
      </c>
      <c r="E105" s="405">
        <f>E104-F13</f>
        <v>0</v>
      </c>
    </row>
    <row r="106" spans="1:5">
      <c r="B106" s="162">
        <v>106</v>
      </c>
      <c r="D106" s="887"/>
      <c r="E106" s="887"/>
    </row>
    <row r="107" spans="1:5">
      <c r="B107" s="162">
        <v>107</v>
      </c>
      <c r="C107" s="881" t="s">
        <v>3268</v>
      </c>
      <c r="D107" s="886" t="s">
        <v>3224</v>
      </c>
      <c r="E107" s="886" t="s">
        <v>3218</v>
      </c>
    </row>
    <row r="108" spans="1:5">
      <c r="B108" s="162">
        <v>108</v>
      </c>
      <c r="C108" s="881" t="s">
        <v>1319</v>
      </c>
      <c r="D108" s="405">
        <f>审定利润表!C15</f>
        <v>0</v>
      </c>
      <c r="E108" s="405">
        <f>审定利润表!D15</f>
        <v>0</v>
      </c>
    </row>
    <row r="109" spans="1:5">
      <c r="A109" s="957" t="s">
        <v>2260</v>
      </c>
      <c r="B109" s="162">
        <v>109</v>
      </c>
      <c r="C109" s="881" t="s">
        <v>1320</v>
      </c>
      <c r="D109" s="405">
        <f>D108-E13</f>
        <v>0</v>
      </c>
      <c r="E109" s="405">
        <f>E108-G13</f>
        <v>0</v>
      </c>
    </row>
  </sheetData>
  <sheetProtection formatCells="0" formatColumns="0" formatRows="0" autoFilter="0"/>
  <mergeCells count="3">
    <mergeCell ref="C3:C4"/>
    <mergeCell ref="D3:E3"/>
    <mergeCell ref="F3:G3"/>
  </mergeCells>
  <phoneticPr fontId="5" type="noConversion"/>
  <hyperlinks>
    <hyperlink ref="A1" location="附注填写封面!B3" display="返回目录" xr:uid="{00000000-0004-0000-4F00-000000000000}"/>
    <hyperlink ref="A25" location="附注填写封面!B3" display="返回目录" xr:uid="{00000000-0004-0000-4F00-000001000000}"/>
    <hyperlink ref="A73" location="附注填写封面!B3" display="返回目录" xr:uid="{00000000-0004-0000-4F00-000002000000}"/>
    <hyperlink ref="A90" location="附注填写封面!B3" display="返回目录" xr:uid="{00000000-0004-0000-4F00-000003000000}"/>
    <hyperlink ref="A101" location="附注填写封面!B3" display="返回目录" xr:uid="{00000000-0004-0000-4F00-000004000000}"/>
    <hyperlink ref="A109" location="附注填写封面!B3" display="返回目录" xr:uid="{00000000-0004-0000-4F00-000005000000}"/>
    <hyperlink ref="A13" location="附注填写封面!B3" display="返回目录" xr:uid="{00000000-0004-0000-4F00-000006000000}"/>
    <hyperlink ref="A50" location="附注填写封面!B3" display="返回目录" xr:uid="{00000000-0004-0000-4F00-000007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75">
    <tabColor rgb="FFFFC000"/>
  </sheetPr>
  <dimension ref="A1:H19"/>
  <sheetViews>
    <sheetView showGridLines="0" showZeros="0" workbookViewId="0">
      <selection activeCell="D5" sqref="D5"/>
    </sheetView>
  </sheetViews>
  <sheetFormatPr defaultColWidth="11.625" defaultRowHeight="12.75"/>
  <cols>
    <col min="1" max="1" width="10.625" style="344" customWidth="1"/>
    <col min="2" max="2" width="5.625" style="344" hidden="1" customWidth="1"/>
    <col min="3" max="3" width="35.875" style="344" customWidth="1"/>
    <col min="4" max="7" width="11.625" style="344"/>
    <col min="8" max="8" width="18.625" style="344" customWidth="1"/>
    <col min="9" max="16384" width="11.625" style="344"/>
  </cols>
  <sheetData>
    <row r="1" spans="1:8" ht="31.9" customHeight="1">
      <c r="A1" s="764" t="s">
        <v>2260</v>
      </c>
      <c r="B1" s="343" t="s">
        <v>1446</v>
      </c>
      <c r="C1" s="759" t="s">
        <v>4629</v>
      </c>
    </row>
    <row r="2" spans="1:8">
      <c r="B2" s="162">
        <v>2</v>
      </c>
      <c r="C2" s="889" t="s">
        <v>366</v>
      </c>
      <c r="D2" s="889" t="s">
        <v>3233</v>
      </c>
      <c r="E2" s="889" t="s">
        <v>3234</v>
      </c>
      <c r="F2" s="889" t="s">
        <v>3241</v>
      </c>
    </row>
    <row r="3" spans="1:8">
      <c r="B3" s="162">
        <v>3</v>
      </c>
      <c r="C3" s="1389" t="s">
        <v>4794</v>
      </c>
      <c r="D3" s="400"/>
      <c r="E3" s="400"/>
      <c r="F3" s="889"/>
    </row>
    <row r="4" spans="1:8">
      <c r="B4" s="162">
        <v>4</v>
      </c>
      <c r="C4" s="1389" t="s">
        <v>4795</v>
      </c>
      <c r="D4" s="400"/>
      <c r="E4" s="400"/>
      <c r="F4" s="889"/>
    </row>
    <row r="5" spans="1:8">
      <c r="B5" s="162">
        <v>5</v>
      </c>
      <c r="C5" s="1389" t="s">
        <v>4796</v>
      </c>
      <c r="D5" s="400">
        <f>调整分录!I85</f>
        <v>13018.87</v>
      </c>
      <c r="E5" s="400">
        <f>43871.48+调整分录!G71</f>
        <v>43871.48</v>
      </c>
      <c r="F5" s="1035"/>
    </row>
    <row r="6" spans="1:8">
      <c r="B6" s="162">
        <v>6</v>
      </c>
      <c r="C6" s="1389" t="s">
        <v>5020</v>
      </c>
      <c r="D6" s="400">
        <f>D5*0.6</f>
        <v>7811.3220000000001</v>
      </c>
      <c r="E6" s="400">
        <f>26322.88+调整分录!I72*0.6</f>
        <v>26322.880000000001</v>
      </c>
      <c r="F6" s="889"/>
      <c r="H6" s="1021"/>
    </row>
    <row r="7" spans="1:8">
      <c r="B7" s="162">
        <v>7</v>
      </c>
      <c r="C7" s="1389" t="s">
        <v>5021</v>
      </c>
      <c r="D7" s="400">
        <f>D5-D6</f>
        <v>5207.5480000000007</v>
      </c>
      <c r="E7" s="400">
        <f>17548.59+调整分录!G72*0.4</f>
        <v>17548.59</v>
      </c>
      <c r="F7" s="889"/>
      <c r="H7" s="1021"/>
    </row>
    <row r="8" spans="1:8">
      <c r="B8" s="162"/>
      <c r="C8" s="1389" t="s">
        <v>4797</v>
      </c>
      <c r="D8" s="1366"/>
      <c r="E8" s="1366"/>
      <c r="F8" s="1388"/>
      <c r="H8" s="1021"/>
    </row>
    <row r="9" spans="1:8">
      <c r="B9" s="162"/>
      <c r="C9" s="1389" t="s">
        <v>4798</v>
      </c>
      <c r="D9" s="1366"/>
      <c r="E9" s="1366"/>
      <c r="F9" s="1388"/>
      <c r="H9" s="1021"/>
    </row>
    <row r="10" spans="1:8">
      <c r="B10" s="162"/>
      <c r="C10" s="1389" t="s">
        <v>4799</v>
      </c>
      <c r="D10" s="1366"/>
      <c r="E10" s="1366"/>
      <c r="F10" s="1388"/>
      <c r="H10" s="1021"/>
    </row>
    <row r="11" spans="1:8">
      <c r="B11" s="162"/>
      <c r="C11" s="1389" t="s">
        <v>4800</v>
      </c>
      <c r="D11" s="1366"/>
      <c r="E11" s="1366"/>
      <c r="F11" s="1388"/>
      <c r="H11" s="1021"/>
    </row>
    <row r="12" spans="1:8">
      <c r="B12" s="162">
        <v>8</v>
      </c>
      <c r="C12" s="1389" t="s">
        <v>4801</v>
      </c>
      <c r="D12" s="400">
        <f>调整分录!I95</f>
        <v>1301.8900000000001</v>
      </c>
      <c r="E12" s="400">
        <v>5884.4</v>
      </c>
      <c r="F12" s="889"/>
      <c r="H12" s="1021"/>
    </row>
    <row r="13" spans="1:8">
      <c r="B13" s="162">
        <v>9</v>
      </c>
      <c r="C13" s="1389" t="s">
        <v>4474</v>
      </c>
      <c r="D13" s="400">
        <v>895.83</v>
      </c>
      <c r="E13" s="400">
        <v>43493.42</v>
      </c>
      <c r="F13" s="889"/>
      <c r="H13" s="1021"/>
    </row>
    <row r="14" spans="1:8">
      <c r="B14" s="162">
        <v>10</v>
      </c>
      <c r="C14" s="889" t="s">
        <v>1005</v>
      </c>
      <c r="D14" s="406">
        <f>SUM(D3:D13)</f>
        <v>28235.460000000006</v>
      </c>
      <c r="E14" s="406">
        <f>SUM(E3:E13)</f>
        <v>137120.76999999999</v>
      </c>
      <c r="F14" s="889"/>
      <c r="H14" s="1021"/>
    </row>
    <row r="15" spans="1:8">
      <c r="B15" s="162">
        <v>11</v>
      </c>
      <c r="H15" s="1021"/>
    </row>
    <row r="16" spans="1:8">
      <c r="A16" s="764" t="s">
        <v>2260</v>
      </c>
      <c r="B16" s="162">
        <v>12</v>
      </c>
      <c r="C16" s="881"/>
      <c r="D16" s="889" t="s">
        <v>3233</v>
      </c>
      <c r="E16" s="889" t="s">
        <v>3234</v>
      </c>
      <c r="H16" s="1021"/>
    </row>
    <row r="17" spans="2:8">
      <c r="B17" s="162">
        <v>13</v>
      </c>
      <c r="C17" s="881" t="s">
        <v>1319</v>
      </c>
      <c r="D17" s="406">
        <f>审定利润表!C23</f>
        <v>28235.46</v>
      </c>
      <c r="E17" s="406">
        <f>审定利润表!D23</f>
        <v>137120.76999999999</v>
      </c>
      <c r="H17" s="1021"/>
    </row>
    <row r="18" spans="2:8">
      <c r="B18" s="162">
        <v>14</v>
      </c>
      <c r="C18" s="881" t="s">
        <v>1320</v>
      </c>
      <c r="D18" s="406">
        <f>D14-D17</f>
        <v>0</v>
      </c>
      <c r="E18" s="406">
        <f>E14-E17</f>
        <v>0</v>
      </c>
    </row>
    <row r="19" spans="2:8">
      <c r="B19" s="162"/>
    </row>
  </sheetData>
  <sheetProtection formatCells="0" formatColumns="0" formatRows="0" autoFilter="0"/>
  <phoneticPr fontId="5" type="noConversion"/>
  <hyperlinks>
    <hyperlink ref="A1" location="附注填写封面!B3" display="返回目录" xr:uid="{00000000-0004-0000-5000-000000000000}"/>
    <hyperlink ref="A16" location="附注填写封面!B3" display="返回目录" xr:uid="{00000000-0004-0000-50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98"/>
  <dimension ref="A1:J25"/>
  <sheetViews>
    <sheetView showZeros="0" workbookViewId="0">
      <pane xSplit="3" ySplit="2" topLeftCell="D3" activePane="bottomRight" state="frozen"/>
      <selection activeCell="J26" sqref="J26"/>
      <selection pane="topRight" activeCell="J26" sqref="J26"/>
      <selection pane="bottomLeft" activeCell="J26" sqref="J26"/>
      <selection pane="bottomRight" activeCell="O28" sqref="O28"/>
    </sheetView>
  </sheetViews>
  <sheetFormatPr defaultColWidth="9" defaultRowHeight="12.75"/>
  <cols>
    <col min="1" max="1" width="9.625" style="1024" customWidth="1"/>
    <col min="2" max="2" width="7.125" style="1024" hidden="1" customWidth="1"/>
    <col min="3" max="3" width="17.875" style="1024" customWidth="1"/>
    <col min="4" max="5" width="13" style="1024" customWidth="1"/>
    <col min="6" max="9" width="9" style="1024"/>
    <col min="10" max="10" width="12.125" style="1024" customWidth="1"/>
    <col min="11" max="13" width="9" style="1024"/>
    <col min="14" max="15" width="10" style="1024" bestFit="1" customWidth="1"/>
    <col min="16" max="16384" width="9" style="1024"/>
  </cols>
  <sheetData>
    <row r="1" spans="1:10">
      <c r="A1" s="764" t="s">
        <v>2260</v>
      </c>
      <c r="B1" s="343" t="s">
        <v>1446</v>
      </c>
      <c r="C1" s="759" t="s">
        <v>3240</v>
      </c>
      <c r="G1" s="1026" t="s">
        <v>3236</v>
      </c>
      <c r="J1" s="1026" t="s">
        <v>3237</v>
      </c>
    </row>
    <row r="2" spans="1:10">
      <c r="B2" s="1025">
        <v>2</v>
      </c>
      <c r="C2" s="1027" t="s">
        <v>366</v>
      </c>
      <c r="D2" s="881" t="s">
        <v>3227</v>
      </c>
      <c r="E2" s="881" t="s">
        <v>3228</v>
      </c>
      <c r="G2" s="881" t="s">
        <v>3227</v>
      </c>
      <c r="H2" s="881" t="s">
        <v>3228</v>
      </c>
      <c r="J2" s="760" t="s">
        <v>3238</v>
      </c>
    </row>
    <row r="3" spans="1:10">
      <c r="A3" s="1025">
        <v>1</v>
      </c>
      <c r="B3" s="1025">
        <v>3</v>
      </c>
      <c r="C3" s="269" t="s">
        <v>4942</v>
      </c>
      <c r="D3" s="1034"/>
      <c r="E3" s="1034"/>
      <c r="F3" s="1025"/>
      <c r="G3" s="1029" t="str">
        <f t="shared" ref="G3:G18" si="0">IF(ISERROR(D3/$D$18),"",D3/$D$18)</f>
        <v/>
      </c>
      <c r="H3" s="1029" t="str">
        <f>IF(ISERROR(E3/$E$18),"",E3/$E$18)</f>
        <v/>
      </c>
      <c r="J3" s="1029" t="str">
        <f t="shared" ref="J3:J18" si="1">IF(ISERROR(D3/E3-1),"",D3/E3-1)</f>
        <v/>
      </c>
    </row>
    <row r="4" spans="1:10">
      <c r="A4" s="1025">
        <v>2</v>
      </c>
      <c r="B4" s="1025">
        <v>4</v>
      </c>
      <c r="C4" s="269" t="s">
        <v>4539</v>
      </c>
      <c r="D4" s="1034"/>
      <c r="E4" s="1034"/>
      <c r="F4" s="1025"/>
      <c r="G4" s="1029" t="str">
        <f t="shared" si="0"/>
        <v/>
      </c>
      <c r="H4" s="1029" t="str">
        <f t="shared" ref="H4:H18" si="2">IF(ISERROR(E4/$E$18),"",E4/$E$18)</f>
        <v/>
      </c>
      <c r="J4" s="1029" t="str">
        <f t="shared" si="1"/>
        <v/>
      </c>
    </row>
    <row r="5" spans="1:10">
      <c r="A5" s="1025">
        <v>3</v>
      </c>
      <c r="B5" s="1025">
        <v>5</v>
      </c>
      <c r="C5" s="269" t="s">
        <v>4540</v>
      </c>
      <c r="D5" s="1028"/>
      <c r="E5" s="1028"/>
      <c r="F5" s="1025"/>
      <c r="G5" s="1029" t="str">
        <f t="shared" si="0"/>
        <v/>
      </c>
      <c r="H5" s="1029" t="str">
        <f t="shared" si="2"/>
        <v/>
      </c>
      <c r="J5" s="1029" t="str">
        <f t="shared" si="1"/>
        <v/>
      </c>
    </row>
    <row r="6" spans="1:10">
      <c r="A6" s="1025">
        <v>4</v>
      </c>
      <c r="B6" s="1025">
        <v>6</v>
      </c>
      <c r="C6" s="269" t="s">
        <v>4447</v>
      </c>
      <c r="D6" s="1028"/>
      <c r="E6" s="1028"/>
      <c r="F6" s="1025"/>
      <c r="G6" s="1029" t="str">
        <f t="shared" si="0"/>
        <v/>
      </c>
      <c r="H6" s="1029" t="str">
        <f t="shared" si="2"/>
        <v/>
      </c>
      <c r="J6" s="1029" t="str">
        <f t="shared" si="1"/>
        <v/>
      </c>
    </row>
    <row r="7" spans="1:10">
      <c r="A7" s="1025">
        <v>5</v>
      </c>
      <c r="B7" s="1025">
        <v>7</v>
      </c>
      <c r="C7" s="269"/>
      <c r="D7" s="1028"/>
      <c r="E7" s="1028"/>
      <c r="F7" s="1025"/>
      <c r="G7" s="1029" t="str">
        <f t="shared" si="0"/>
        <v/>
      </c>
      <c r="H7" s="1029" t="str">
        <f t="shared" si="2"/>
        <v/>
      </c>
      <c r="J7" s="1029" t="str">
        <f t="shared" si="1"/>
        <v/>
      </c>
    </row>
    <row r="8" spans="1:10">
      <c r="A8" s="1025">
        <v>6</v>
      </c>
      <c r="B8" s="1025">
        <v>8</v>
      </c>
      <c r="C8" s="269"/>
      <c r="D8" s="1028"/>
      <c r="E8" s="1028"/>
      <c r="F8" s="1025"/>
      <c r="G8" s="1029" t="str">
        <f t="shared" si="0"/>
        <v/>
      </c>
      <c r="H8" s="1029" t="str">
        <f t="shared" si="2"/>
        <v/>
      </c>
      <c r="J8" s="1029" t="str">
        <f t="shared" si="1"/>
        <v/>
      </c>
    </row>
    <row r="9" spans="1:10">
      <c r="A9" s="1025">
        <v>7</v>
      </c>
      <c r="B9" s="1025">
        <v>9</v>
      </c>
      <c r="C9" s="269"/>
      <c r="D9" s="1028"/>
      <c r="E9" s="1028"/>
      <c r="F9" s="1025"/>
      <c r="G9" s="1029" t="str">
        <f t="shared" si="0"/>
        <v/>
      </c>
      <c r="H9" s="1029" t="str">
        <f t="shared" si="2"/>
        <v/>
      </c>
      <c r="J9" s="1029" t="str">
        <f t="shared" si="1"/>
        <v/>
      </c>
    </row>
    <row r="10" spans="1:10">
      <c r="A10" s="1025">
        <v>8</v>
      </c>
      <c r="B10" s="1025">
        <v>10</v>
      </c>
      <c r="C10" s="269"/>
      <c r="D10" s="1028"/>
      <c r="E10" s="1028"/>
      <c r="F10" s="1025"/>
      <c r="G10" s="1029" t="str">
        <f t="shared" si="0"/>
        <v/>
      </c>
      <c r="H10" s="1029" t="str">
        <f t="shared" si="2"/>
        <v/>
      </c>
      <c r="J10" s="1029" t="str">
        <f t="shared" si="1"/>
        <v/>
      </c>
    </row>
    <row r="11" spans="1:10">
      <c r="A11" s="1025">
        <v>9</v>
      </c>
      <c r="B11" s="1025">
        <v>11</v>
      </c>
      <c r="C11" s="1028"/>
      <c r="D11" s="1028"/>
      <c r="E11" s="1028"/>
      <c r="F11" s="1025"/>
      <c r="G11" s="1029" t="str">
        <f t="shared" si="0"/>
        <v/>
      </c>
      <c r="H11" s="1029" t="str">
        <f t="shared" si="2"/>
        <v/>
      </c>
      <c r="J11" s="1029" t="str">
        <f t="shared" si="1"/>
        <v/>
      </c>
    </row>
    <row r="12" spans="1:10">
      <c r="A12" s="1025">
        <v>10</v>
      </c>
      <c r="B12" s="1025">
        <v>12</v>
      </c>
      <c r="C12" s="1028"/>
      <c r="D12" s="1028"/>
      <c r="E12" s="1028"/>
      <c r="F12" s="1025"/>
      <c r="G12" s="1029" t="str">
        <f t="shared" si="0"/>
        <v/>
      </c>
      <c r="H12" s="1029" t="str">
        <f t="shared" si="2"/>
        <v/>
      </c>
      <c r="J12" s="1029" t="str">
        <f t="shared" si="1"/>
        <v/>
      </c>
    </row>
    <row r="13" spans="1:10">
      <c r="A13" s="1025">
        <v>11</v>
      </c>
      <c r="B13" s="1025">
        <v>13</v>
      </c>
      <c r="C13" s="1028"/>
      <c r="D13" s="1028"/>
      <c r="E13" s="1028"/>
      <c r="F13" s="1025"/>
      <c r="G13" s="1029" t="str">
        <f t="shared" si="0"/>
        <v/>
      </c>
      <c r="H13" s="1029" t="str">
        <f t="shared" si="2"/>
        <v/>
      </c>
      <c r="J13" s="1029" t="str">
        <f t="shared" si="1"/>
        <v/>
      </c>
    </row>
    <row r="14" spans="1:10">
      <c r="A14" s="1025">
        <v>12</v>
      </c>
      <c r="B14" s="1025">
        <v>14</v>
      </c>
      <c r="C14" s="1028"/>
      <c r="D14" s="1028"/>
      <c r="E14" s="1028"/>
      <c r="F14" s="1025"/>
      <c r="G14" s="1029" t="str">
        <f t="shared" si="0"/>
        <v/>
      </c>
      <c r="H14" s="1029" t="str">
        <f t="shared" si="2"/>
        <v/>
      </c>
      <c r="J14" s="1029" t="str">
        <f t="shared" si="1"/>
        <v/>
      </c>
    </row>
    <row r="15" spans="1:10">
      <c r="A15" s="1025">
        <v>13</v>
      </c>
      <c r="B15" s="1025">
        <v>15</v>
      </c>
      <c r="C15" s="1028"/>
      <c r="D15" s="1028"/>
      <c r="E15" s="1028"/>
      <c r="F15" s="1025"/>
      <c r="G15" s="1029" t="str">
        <f t="shared" si="0"/>
        <v/>
      </c>
      <c r="H15" s="1029" t="str">
        <f t="shared" si="2"/>
        <v/>
      </c>
      <c r="J15" s="1029" t="str">
        <f t="shared" si="1"/>
        <v/>
      </c>
    </row>
    <row r="16" spans="1:10">
      <c r="A16" s="1025">
        <v>14</v>
      </c>
      <c r="B16" s="1025">
        <v>16</v>
      </c>
      <c r="C16" s="1028"/>
      <c r="D16" s="1028"/>
      <c r="E16" s="1028"/>
      <c r="F16" s="1025"/>
      <c r="G16" s="1029" t="str">
        <f t="shared" si="0"/>
        <v/>
      </c>
      <c r="H16" s="1029" t="str">
        <f t="shared" si="2"/>
        <v/>
      </c>
      <c r="J16" s="1029" t="str">
        <f t="shared" si="1"/>
        <v/>
      </c>
    </row>
    <row r="17" spans="1:10">
      <c r="A17" s="1025">
        <v>15</v>
      </c>
      <c r="B17" s="1025">
        <v>17</v>
      </c>
      <c r="C17" s="1028"/>
      <c r="D17" s="1028"/>
      <c r="E17" s="1028"/>
      <c r="F17" s="1025"/>
      <c r="G17" s="1029" t="str">
        <f t="shared" si="0"/>
        <v/>
      </c>
      <c r="H17" s="1029" t="str">
        <f t="shared" si="2"/>
        <v/>
      </c>
      <c r="J17" s="1029" t="str">
        <f t="shared" si="1"/>
        <v/>
      </c>
    </row>
    <row r="18" spans="1:10">
      <c r="B18" s="1025">
        <v>18</v>
      </c>
      <c r="C18" s="1030" t="s">
        <v>2680</v>
      </c>
      <c r="D18" s="1031">
        <f>SUM(D3:D17)</f>
        <v>0</v>
      </c>
      <c r="E18" s="1031">
        <f>SUM(E3:E17)</f>
        <v>0</v>
      </c>
      <c r="G18" s="1032" t="str">
        <f t="shared" si="0"/>
        <v/>
      </c>
      <c r="H18" s="1032" t="str">
        <f t="shared" si="2"/>
        <v/>
      </c>
      <c r="I18" s="1033"/>
      <c r="J18" s="1032" t="str">
        <f t="shared" si="1"/>
        <v/>
      </c>
    </row>
    <row r="19" spans="1:10">
      <c r="B19" s="1025">
        <v>15</v>
      </c>
    </row>
    <row r="20" spans="1:10">
      <c r="B20" s="1025">
        <v>16</v>
      </c>
      <c r="C20" s="1027"/>
      <c r="D20" s="881" t="s">
        <v>3227</v>
      </c>
      <c r="E20" s="881" t="s">
        <v>3228</v>
      </c>
    </row>
    <row r="21" spans="1:10">
      <c r="B21" s="1025">
        <v>17</v>
      </c>
      <c r="C21" s="1027" t="s">
        <v>2734</v>
      </c>
      <c r="D21" s="1031">
        <f>审定利润表!C24</f>
        <v>0</v>
      </c>
      <c r="E21" s="1031">
        <f>审定利润表!D24</f>
        <v>0</v>
      </c>
    </row>
    <row r="22" spans="1:10">
      <c r="B22" s="1025">
        <v>18</v>
      </c>
      <c r="C22" s="1027" t="s">
        <v>1320</v>
      </c>
      <c r="D22" s="1031">
        <f>D18-D21</f>
        <v>0</v>
      </c>
      <c r="E22" s="1031">
        <f>E18-E21</f>
        <v>0</v>
      </c>
    </row>
    <row r="23" spans="1:10">
      <c r="B23" s="1025">
        <v>19</v>
      </c>
    </row>
    <row r="25" spans="1:10">
      <c r="C25" s="1024" t="s">
        <v>3288</v>
      </c>
    </row>
  </sheetData>
  <sheetProtection formatCells="0" formatColumns="0" formatRows="0" autoFilter="0"/>
  <phoneticPr fontId="5" type="noConversion"/>
  <hyperlinks>
    <hyperlink ref="A1" location="附注填写封面!B3" display="返回目录" xr:uid="{00000000-0004-0000-5100-000000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99">
    <tabColor rgb="FFFFC000"/>
  </sheetPr>
  <dimension ref="A1:O35"/>
  <sheetViews>
    <sheetView showZeros="0" workbookViewId="0">
      <selection activeCell="D3" sqref="D3:D9"/>
    </sheetView>
  </sheetViews>
  <sheetFormatPr defaultColWidth="9" defaultRowHeight="12.75"/>
  <cols>
    <col min="1" max="1" width="8.125" style="1024" customWidth="1"/>
    <col min="2" max="2" width="7" style="1024" hidden="1" customWidth="1"/>
    <col min="3" max="3" width="17.875" style="1024" customWidth="1"/>
    <col min="4" max="5" width="13" style="1024" customWidth="1"/>
    <col min="6" max="6" width="9" style="1025"/>
    <col min="7" max="7" width="15" style="1024" bestFit="1" customWidth="1"/>
    <col min="8" max="9" width="9" style="1024"/>
    <col min="10" max="10" width="12.125" style="1024" customWidth="1"/>
    <col min="11" max="16384" width="9" style="1024"/>
  </cols>
  <sheetData>
    <row r="1" spans="1:15">
      <c r="A1" s="764" t="s">
        <v>2260</v>
      </c>
      <c r="B1" s="343" t="s">
        <v>1446</v>
      </c>
      <c r="C1" s="759" t="s">
        <v>3235</v>
      </c>
      <c r="G1" s="1026" t="s">
        <v>3236</v>
      </c>
      <c r="J1" s="1026" t="s">
        <v>3300</v>
      </c>
      <c r="M1" s="1537" t="s">
        <v>4937</v>
      </c>
    </row>
    <row r="2" spans="1:15">
      <c r="B2" s="1025">
        <v>2</v>
      </c>
      <c r="C2" s="1027" t="s">
        <v>366</v>
      </c>
      <c r="D2" s="881" t="s">
        <v>3227</v>
      </c>
      <c r="E2" s="881" t="s">
        <v>3228</v>
      </c>
      <c r="G2" s="881" t="s">
        <v>3227</v>
      </c>
      <c r="H2" s="881" t="s">
        <v>3228</v>
      </c>
      <c r="J2" s="760" t="s">
        <v>3238</v>
      </c>
      <c r="M2" s="269" t="s">
        <v>4938</v>
      </c>
      <c r="N2" s="1028" t="s">
        <v>4939</v>
      </c>
      <c r="O2" s="1028" t="s">
        <v>4940</v>
      </c>
    </row>
    <row r="3" spans="1:15">
      <c r="A3" s="1025">
        <v>1</v>
      </c>
      <c r="B3" s="1025">
        <v>3</v>
      </c>
      <c r="C3" s="269" t="s">
        <v>5173</v>
      </c>
      <c r="D3" s="801">
        <f>2798627.12+调整分录!H12</f>
        <v>2798627.12</v>
      </c>
      <c r="E3" s="801">
        <f>7314721.41+调整分录!F12</f>
        <v>7314721.4100000001</v>
      </c>
      <c r="G3" s="1029">
        <f t="shared" ref="G3:G18" si="0">IF(ISERROR(D3/$D$18),"",D3/$D$18)</f>
        <v>0.70402315271382565</v>
      </c>
      <c r="H3" s="1029">
        <f>IF(ISERROR(E3/$E$18),"",E3/$E$18)</f>
        <v>0.64086684302965902</v>
      </c>
      <c r="J3" s="1029">
        <f t="shared" ref="J3:J18" si="1">IF(ISERROR(D3/E3-1),"",D3/E3-1)</f>
        <v>-0.61739798918739686</v>
      </c>
      <c r="M3" s="269"/>
      <c r="N3" s="1028"/>
      <c r="O3" s="1028"/>
    </row>
    <row r="4" spans="1:15">
      <c r="A4" s="1025">
        <v>2</v>
      </c>
      <c r="B4" s="1025">
        <v>4</v>
      </c>
      <c r="C4" s="269" t="s">
        <v>5022</v>
      </c>
      <c r="D4" s="801">
        <v>836656.77</v>
      </c>
      <c r="E4" s="801">
        <v>2322997.9300000002</v>
      </c>
      <c r="G4" s="1029">
        <f t="shared" si="0"/>
        <v>0.21046953084438275</v>
      </c>
      <c r="H4" s="1029">
        <f t="shared" ref="H4:H18" si="2">IF(ISERROR(E4/$E$18),"",E4/$E$18)</f>
        <v>0.20352550238321829</v>
      </c>
      <c r="J4" s="1029">
        <f t="shared" si="1"/>
        <v>-0.63983748793095141</v>
      </c>
      <c r="M4" s="269"/>
      <c r="N4" s="1028"/>
      <c r="O4" s="1028"/>
    </row>
    <row r="5" spans="1:15">
      <c r="A5" s="1025">
        <v>3</v>
      </c>
      <c r="B5" s="1025">
        <v>5</v>
      </c>
      <c r="C5" s="269" t="s">
        <v>5023</v>
      </c>
      <c r="D5" s="801">
        <f>190607.3</f>
        <v>190607.3</v>
      </c>
      <c r="E5" s="801">
        <f>54537.36</f>
        <v>54537.36</v>
      </c>
      <c r="G5" s="1029">
        <f t="shared" si="0"/>
        <v>4.7949207422913115E-2</v>
      </c>
      <c r="H5" s="1029">
        <f t="shared" si="2"/>
        <v>4.7781977974704582E-3</v>
      </c>
      <c r="J5" s="1029">
        <f t="shared" si="1"/>
        <v>2.4949858225627346</v>
      </c>
      <c r="M5" s="269"/>
      <c r="N5" s="1028"/>
      <c r="O5" s="1028"/>
    </row>
    <row r="6" spans="1:15">
      <c r="A6" s="1025">
        <v>4</v>
      </c>
      <c r="B6" s="1025">
        <v>6</v>
      </c>
      <c r="C6" s="269" t="s">
        <v>5024</v>
      </c>
      <c r="D6" s="801">
        <v>42143.199999999997</v>
      </c>
      <c r="E6" s="801">
        <v>175268.71</v>
      </c>
      <c r="G6" s="1029">
        <f t="shared" si="0"/>
        <v>1.0601551138205684E-2</v>
      </c>
      <c r="H6" s="1029">
        <f t="shared" si="2"/>
        <v>1.5355869152586198E-2</v>
      </c>
      <c r="J6" s="1029">
        <f t="shared" si="1"/>
        <v>-0.75955092041243422</v>
      </c>
      <c r="M6" s="269"/>
      <c r="N6" s="1028"/>
      <c r="O6" s="1028"/>
    </row>
    <row r="7" spans="1:15">
      <c r="A7" s="1025">
        <v>5</v>
      </c>
      <c r="B7" s="1025">
        <v>7</v>
      </c>
      <c r="C7" s="269" t="s">
        <v>5025</v>
      </c>
      <c r="D7" s="801">
        <v>35621.699999999997</v>
      </c>
      <c r="E7" s="801">
        <v>506183.56</v>
      </c>
      <c r="G7" s="1029">
        <f t="shared" si="0"/>
        <v>8.9610013995097999E-3</v>
      </c>
      <c r="H7" s="1029">
        <f t="shared" si="2"/>
        <v>4.4348409448270974E-2</v>
      </c>
      <c r="J7" s="1029">
        <f t="shared" si="1"/>
        <v>-0.92962691241888618</v>
      </c>
      <c r="M7" s="269"/>
      <c r="N7" s="1028"/>
      <c r="O7" s="1028"/>
    </row>
    <row r="8" spans="1:15">
      <c r="A8" s="1025">
        <v>6</v>
      </c>
      <c r="B8" s="1025">
        <v>8</v>
      </c>
      <c r="C8" s="269" t="s">
        <v>5026</v>
      </c>
      <c r="D8" s="801">
        <f>37318.95-调整分录!I58</f>
        <v>36832.35</v>
      </c>
      <c r="E8" s="801">
        <v>89376.7</v>
      </c>
      <c r="G8" s="1029">
        <f t="shared" si="0"/>
        <v>9.265552736035472E-3</v>
      </c>
      <c r="H8" s="1029">
        <f t="shared" si="2"/>
        <v>7.8305871623631559E-3</v>
      </c>
      <c r="J8" s="1029">
        <f t="shared" si="1"/>
        <v>-0.58789762880034724</v>
      </c>
      <c r="M8" s="269"/>
      <c r="N8" s="1028"/>
      <c r="O8" s="1028"/>
    </row>
    <row r="9" spans="1:15">
      <c r="A9" s="1025">
        <v>7</v>
      </c>
      <c r="B9" s="1025">
        <v>9</v>
      </c>
      <c r="C9" s="269" t="s">
        <v>5027</v>
      </c>
      <c r="D9" s="801">
        <v>4497</v>
      </c>
      <c r="E9" s="801">
        <v>775281.09</v>
      </c>
      <c r="G9" s="1029">
        <f t="shared" si="0"/>
        <v>1.1312661465790676E-3</v>
      </c>
      <c r="H9" s="1029">
        <f t="shared" si="2"/>
        <v>6.7924930665116456E-2</v>
      </c>
      <c r="J9" s="1029">
        <f t="shared" si="1"/>
        <v>-0.99419952316907412</v>
      </c>
      <c r="M9" s="269"/>
      <c r="N9" s="1028"/>
      <c r="O9" s="1028"/>
    </row>
    <row r="10" spans="1:15">
      <c r="A10" s="1025">
        <v>8</v>
      </c>
      <c r="B10" s="1025">
        <v>10</v>
      </c>
      <c r="C10" s="269" t="s">
        <v>5028</v>
      </c>
      <c r="D10" s="801">
        <f>2309.2</f>
        <v>2309.1999999999998</v>
      </c>
      <c r="E10" s="801">
        <f>19969.38</f>
        <v>19969.38</v>
      </c>
      <c r="G10" s="1029">
        <f t="shared" si="0"/>
        <v>5.8090277644660493E-4</v>
      </c>
      <c r="H10" s="1029">
        <f t="shared" si="2"/>
        <v>1.7495831762456163E-3</v>
      </c>
      <c r="J10" s="1029">
        <f t="shared" si="1"/>
        <v>-0.88436295969128742</v>
      </c>
      <c r="M10" s="269"/>
      <c r="N10" s="1028"/>
      <c r="O10" s="1028"/>
    </row>
    <row r="11" spans="1:15">
      <c r="A11" s="1025">
        <v>9</v>
      </c>
      <c r="B11" s="1025">
        <v>11</v>
      </c>
      <c r="C11" s="1579" t="s">
        <v>5029</v>
      </c>
      <c r="D11" s="801">
        <f>27897.24</f>
        <v>27897.24</v>
      </c>
      <c r="E11" s="801">
        <f>9581.38</f>
        <v>9581.3799999999992</v>
      </c>
      <c r="G11" s="1029">
        <f t="shared" si="0"/>
        <v>7.0178348221017189E-3</v>
      </c>
      <c r="H11" s="1029">
        <f t="shared" si="2"/>
        <v>8.3945627021050331E-4</v>
      </c>
      <c r="J11" s="1029">
        <f t="shared" si="1"/>
        <v>1.9116098098603755</v>
      </c>
      <c r="M11" s="269"/>
      <c r="N11" s="1028"/>
      <c r="O11" s="1028"/>
    </row>
    <row r="12" spans="1:15">
      <c r="A12" s="1025">
        <v>10</v>
      </c>
      <c r="B12" s="1025">
        <v>12</v>
      </c>
      <c r="C12" s="1579" t="s">
        <v>5174</v>
      </c>
      <c r="D12" s="1612">
        <f>895.83-调整分录!I25</f>
        <v>0</v>
      </c>
      <c r="E12" s="1612">
        <f>189368.78-调整分录!G25</f>
        <v>145875.35999999999</v>
      </c>
      <c r="G12" s="1029">
        <f t="shared" si="0"/>
        <v>0</v>
      </c>
      <c r="H12" s="1029">
        <f t="shared" si="2"/>
        <v>1.2780620914859283E-2</v>
      </c>
      <c r="J12" s="1029">
        <f t="shared" si="1"/>
        <v>-1</v>
      </c>
      <c r="M12" s="269"/>
      <c r="N12" s="1028"/>
      <c r="O12" s="1028"/>
    </row>
    <row r="13" spans="1:15">
      <c r="A13" s="1025">
        <v>11</v>
      </c>
      <c r="B13" s="1025">
        <v>13</v>
      </c>
      <c r="C13" s="1579"/>
      <c r="D13" s="801"/>
      <c r="E13" s="801"/>
      <c r="G13" s="1029">
        <f t="shared" si="0"/>
        <v>0</v>
      </c>
      <c r="H13" s="1029">
        <f t="shared" si="2"/>
        <v>0</v>
      </c>
      <c r="J13" s="1029" t="str">
        <f t="shared" si="1"/>
        <v/>
      </c>
      <c r="M13" s="269"/>
      <c r="N13" s="1028"/>
      <c r="O13" s="1028"/>
    </row>
    <row r="14" spans="1:15">
      <c r="A14" s="1025">
        <v>12</v>
      </c>
      <c r="B14" s="1025">
        <v>14</v>
      </c>
      <c r="C14" s="1028"/>
      <c r="D14" s="801"/>
      <c r="E14" s="801"/>
      <c r="G14" s="1029">
        <f t="shared" si="0"/>
        <v>0</v>
      </c>
      <c r="H14" s="1029">
        <f t="shared" si="2"/>
        <v>0</v>
      </c>
      <c r="J14" s="1029" t="str">
        <f t="shared" si="1"/>
        <v/>
      </c>
      <c r="M14" s="269"/>
      <c r="N14" s="1028"/>
      <c r="O14" s="1028"/>
    </row>
    <row r="15" spans="1:15">
      <c r="A15" s="1025">
        <v>13</v>
      </c>
      <c r="B15" s="1025">
        <v>15</v>
      </c>
      <c r="C15" s="1028"/>
      <c r="D15" s="801"/>
      <c r="E15" s="801"/>
      <c r="G15" s="1029">
        <f t="shared" si="0"/>
        <v>0</v>
      </c>
      <c r="H15" s="1029">
        <f t="shared" si="2"/>
        <v>0</v>
      </c>
      <c r="J15" s="1029" t="str">
        <f t="shared" si="1"/>
        <v/>
      </c>
      <c r="M15" s="269"/>
      <c r="N15" s="1028"/>
      <c r="O15" s="1028"/>
    </row>
    <row r="16" spans="1:15">
      <c r="A16" s="1025">
        <v>14</v>
      </c>
      <c r="B16" s="1025">
        <v>16</v>
      </c>
      <c r="C16" s="1028"/>
      <c r="D16" s="801"/>
      <c r="E16" s="801"/>
      <c r="G16" s="1029">
        <f t="shared" si="0"/>
        <v>0</v>
      </c>
      <c r="H16" s="1029">
        <f t="shared" si="2"/>
        <v>0</v>
      </c>
      <c r="J16" s="1029" t="str">
        <f t="shared" si="1"/>
        <v/>
      </c>
      <c r="M16" s="269"/>
      <c r="N16" s="1028"/>
      <c r="O16" s="1028"/>
    </row>
    <row r="17" spans="1:15">
      <c r="A17" s="1025">
        <v>15</v>
      </c>
      <c r="B17" s="1025">
        <v>17</v>
      </c>
      <c r="C17" s="1028"/>
      <c r="D17" s="801"/>
      <c r="E17" s="801"/>
      <c r="G17" s="1029">
        <f t="shared" si="0"/>
        <v>0</v>
      </c>
      <c r="H17" s="1029">
        <f t="shared" si="2"/>
        <v>0</v>
      </c>
      <c r="J17" s="1029" t="str">
        <f t="shared" si="1"/>
        <v/>
      </c>
      <c r="M17" s="269"/>
      <c r="N17" s="1028"/>
      <c r="O17" s="1028"/>
    </row>
    <row r="18" spans="1:15">
      <c r="B18" s="1025">
        <v>18</v>
      </c>
      <c r="C18" s="1030" t="s">
        <v>2680</v>
      </c>
      <c r="D18" s="405">
        <f>SUM(D3:D17)</f>
        <v>3975191.8800000008</v>
      </c>
      <c r="E18" s="405">
        <f>SUM(E3:E17)</f>
        <v>11413792.880000001</v>
      </c>
      <c r="G18" s="1032">
        <f t="shared" si="0"/>
        <v>1</v>
      </c>
      <c r="H18" s="1032">
        <f t="shared" si="2"/>
        <v>1</v>
      </c>
      <c r="I18" s="1033"/>
      <c r="J18" s="1032">
        <f t="shared" si="1"/>
        <v>-0.65172034206389062</v>
      </c>
      <c r="M18" s="269"/>
      <c r="N18" s="1028"/>
      <c r="O18" s="1028"/>
    </row>
    <row r="19" spans="1:15">
      <c r="B19" s="1025">
        <v>15</v>
      </c>
      <c r="D19" s="1553"/>
      <c r="E19" s="1553"/>
      <c r="M19" s="269"/>
      <c r="N19" s="1028"/>
      <c r="O19" s="1028"/>
    </row>
    <row r="20" spans="1:15">
      <c r="B20" s="1025">
        <v>16</v>
      </c>
      <c r="C20" s="1027"/>
      <c r="D20" s="1552" t="s">
        <v>3227</v>
      </c>
      <c r="E20" s="1552" t="s">
        <v>3228</v>
      </c>
      <c r="M20" s="269"/>
      <c r="N20" s="1028"/>
      <c r="O20" s="1028"/>
    </row>
    <row r="21" spans="1:15">
      <c r="B21" s="1025">
        <v>17</v>
      </c>
      <c r="C21" s="1027" t="s">
        <v>1319</v>
      </c>
      <c r="D21" s="405">
        <f>审定利润表!C25</f>
        <v>3975191.88</v>
      </c>
      <c r="E21" s="405">
        <f>审定利润表!D25</f>
        <v>11413792.880000001</v>
      </c>
      <c r="M21" s="1540" t="s">
        <v>4941</v>
      </c>
      <c r="N21" s="1028">
        <f>SUM(N3:N20)</f>
        <v>0</v>
      </c>
      <c r="O21" s="1028">
        <f>SUM(O3:O20)</f>
        <v>0</v>
      </c>
    </row>
    <row r="22" spans="1:15">
      <c r="B22" s="1025">
        <v>18</v>
      </c>
      <c r="C22" s="1027" t="s">
        <v>1320</v>
      </c>
      <c r="D22" s="405">
        <f>D18-D21</f>
        <v>0</v>
      </c>
      <c r="E22" s="405">
        <f>E18-E21</f>
        <v>0</v>
      </c>
    </row>
    <row r="23" spans="1:15">
      <c r="B23" s="1025"/>
      <c r="M23" s="1538" t="s">
        <v>4943</v>
      </c>
      <c r="N23" s="1539">
        <f>N21-D3</f>
        <v>-2798627.12</v>
      </c>
      <c r="O23" s="1539">
        <f>O21-E3</f>
        <v>-7314721.4100000001</v>
      </c>
    </row>
    <row r="24" spans="1:15">
      <c r="B24" s="1025">
        <v>19</v>
      </c>
      <c r="C24" s="1024" t="s">
        <v>3239</v>
      </c>
    </row>
    <row r="25" spans="1:15">
      <c r="B25" s="1025">
        <v>20</v>
      </c>
    </row>
    <row r="26" spans="1:15">
      <c r="C26" s="1024" t="s">
        <v>3288</v>
      </c>
    </row>
    <row r="30" spans="1:15">
      <c r="E30" s="1637"/>
      <c r="F30" s="1638" t="s">
        <v>5251</v>
      </c>
    </row>
    <row r="31" spans="1:15">
      <c r="G31" s="1024" t="s">
        <v>5247</v>
      </c>
      <c r="H31" s="1630">
        <v>2010.09</v>
      </c>
    </row>
    <row r="32" spans="1:15">
      <c r="G32" s="1024" t="s">
        <v>5248</v>
      </c>
      <c r="H32" s="1630">
        <v>766.96999999999991</v>
      </c>
    </row>
    <row r="33" spans="7:8">
      <c r="G33" s="1024" t="s">
        <v>5249</v>
      </c>
      <c r="H33" s="1630">
        <v>1214.56</v>
      </c>
    </row>
    <row r="34" spans="7:8">
      <c r="G34" s="1024" t="s">
        <v>5250</v>
      </c>
      <c r="H34" s="1630">
        <v>19142.699999999997</v>
      </c>
    </row>
    <row r="35" spans="7:8">
      <c r="H35" s="1637">
        <f>SUM(H31:H34)</f>
        <v>23134.319999999996</v>
      </c>
    </row>
  </sheetData>
  <sheetProtection formatCells="0" formatColumns="0" formatRows="0" autoFilter="0"/>
  <phoneticPr fontId="5" type="noConversion"/>
  <hyperlinks>
    <hyperlink ref="A1" location="附注填写封面!B3" display="返回目录" xr:uid="{00000000-0004-0000-5200-000000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81">
    <tabColor rgb="FFFFC000"/>
  </sheetPr>
  <dimension ref="A1:G24"/>
  <sheetViews>
    <sheetView showGridLines="0" showZeros="0" workbookViewId="0">
      <selection activeCell="G16" sqref="G16"/>
    </sheetView>
  </sheetViews>
  <sheetFormatPr defaultColWidth="11.625" defaultRowHeight="12.75"/>
  <cols>
    <col min="1" max="1" width="10.5" style="344" customWidth="1"/>
    <col min="2" max="2" width="5.875" style="344" hidden="1" customWidth="1"/>
    <col min="3" max="3" width="35.875" style="344" customWidth="1"/>
    <col min="4" max="6" width="11.625" style="344"/>
    <col min="7" max="7" width="29.5" style="344" customWidth="1"/>
    <col min="8" max="16384" width="11.625" style="344"/>
  </cols>
  <sheetData>
    <row r="1" spans="1:7">
      <c r="A1" s="764" t="s">
        <v>2260</v>
      </c>
      <c r="B1" s="343" t="s">
        <v>1446</v>
      </c>
      <c r="C1" s="759" t="s">
        <v>3226</v>
      </c>
    </row>
    <row r="2" spans="1:7">
      <c r="B2" s="162">
        <v>2</v>
      </c>
      <c r="C2" s="881" t="s">
        <v>366</v>
      </c>
      <c r="D2" s="881" t="s">
        <v>3227</v>
      </c>
      <c r="E2" s="881" t="s">
        <v>3228</v>
      </c>
      <c r="G2" s="1021"/>
    </row>
    <row r="3" spans="1:7">
      <c r="B3" s="162">
        <v>3</v>
      </c>
      <c r="C3" s="1434" t="s">
        <v>5030</v>
      </c>
      <c r="D3" s="400"/>
      <c r="E3" s="400"/>
      <c r="G3" s="1021"/>
    </row>
    <row r="4" spans="1:7">
      <c r="B4" s="162">
        <v>4</v>
      </c>
      <c r="C4" s="340" t="s">
        <v>1189</v>
      </c>
      <c r="D4" s="400">
        <v>3501.21</v>
      </c>
      <c r="E4" s="400">
        <v>67742.600000000006</v>
      </c>
      <c r="G4" s="1021"/>
    </row>
    <row r="5" spans="1:7" ht="17.25" customHeight="1">
      <c r="A5" s="1022"/>
      <c r="B5" s="162">
        <v>5</v>
      </c>
      <c r="C5" s="340" t="s">
        <v>1190</v>
      </c>
      <c r="D5" s="400"/>
      <c r="E5" s="400"/>
      <c r="G5" s="1021"/>
    </row>
    <row r="6" spans="1:7">
      <c r="A6" s="1023"/>
      <c r="B6" s="162">
        <v>6</v>
      </c>
      <c r="C6" s="340" t="s">
        <v>1191</v>
      </c>
      <c r="D6" s="400"/>
      <c r="E6" s="400"/>
      <c r="G6" s="1021"/>
    </row>
    <row r="7" spans="1:7">
      <c r="A7" s="1023"/>
      <c r="B7" s="162">
        <v>7</v>
      </c>
      <c r="C7" s="340" t="s">
        <v>1192</v>
      </c>
      <c r="D7" s="400"/>
      <c r="E7" s="400"/>
      <c r="G7" s="1021"/>
    </row>
    <row r="8" spans="1:7">
      <c r="A8" s="1023"/>
      <c r="B8" s="162">
        <v>8</v>
      </c>
      <c r="C8" s="340" t="s">
        <v>391</v>
      </c>
      <c r="D8" s="400">
        <v>1123</v>
      </c>
      <c r="E8" s="400">
        <v>2924.3</v>
      </c>
      <c r="G8" s="1021"/>
    </row>
    <row r="9" spans="1:7">
      <c r="B9" s="162">
        <v>9</v>
      </c>
      <c r="C9" s="889" t="s">
        <v>1005</v>
      </c>
      <c r="D9" s="406">
        <f>D3-D4-D5+D6-D7+D8</f>
        <v>-2378.21</v>
      </c>
      <c r="E9" s="406">
        <f>E3-E4-E5+E6-E7+E8</f>
        <v>-64818.3</v>
      </c>
    </row>
    <row r="10" spans="1:7">
      <c r="B10" s="162">
        <v>10</v>
      </c>
      <c r="C10" s="395"/>
      <c r="D10" s="395"/>
      <c r="E10" s="395"/>
    </row>
    <row r="11" spans="1:7">
      <c r="B11" s="162">
        <v>11</v>
      </c>
      <c r="C11" s="889" t="s">
        <v>3284</v>
      </c>
      <c r="D11" s="881" t="s">
        <v>3227</v>
      </c>
      <c r="E11" s="881" t="s">
        <v>3228</v>
      </c>
      <c r="G11" s="1021"/>
    </row>
    <row r="12" spans="1:7">
      <c r="B12" s="162">
        <v>12</v>
      </c>
      <c r="C12" s="340" t="s">
        <v>3229</v>
      </c>
      <c r="D12" s="400">
        <v>1123</v>
      </c>
      <c r="E12" s="400">
        <v>2924.3</v>
      </c>
      <c r="G12" s="1021"/>
    </row>
    <row r="13" spans="1:7">
      <c r="B13" s="162">
        <v>13</v>
      </c>
      <c r="C13" s="340" t="s">
        <v>3230</v>
      </c>
      <c r="D13" s="400"/>
      <c r="E13" s="400"/>
      <c r="G13" s="1021"/>
    </row>
    <row r="14" spans="1:7">
      <c r="B14" s="162">
        <v>14</v>
      </c>
      <c r="C14" s="340" t="s">
        <v>3231</v>
      </c>
      <c r="D14" s="400"/>
      <c r="E14" s="400"/>
      <c r="G14" s="1021"/>
    </row>
    <row r="15" spans="1:7">
      <c r="B15" s="162">
        <v>15</v>
      </c>
      <c r="C15" s="340" t="s">
        <v>1091</v>
      </c>
      <c r="D15" s="400"/>
      <c r="E15" s="400"/>
      <c r="G15" s="1021"/>
    </row>
    <row r="16" spans="1:7">
      <c r="B16" s="162">
        <v>16</v>
      </c>
      <c r="C16" s="340" t="s">
        <v>1282</v>
      </c>
      <c r="D16" s="400"/>
      <c r="E16" s="400"/>
      <c r="G16" s="1021"/>
    </row>
    <row r="17" spans="1:7">
      <c r="B17" s="162">
        <v>17</v>
      </c>
      <c r="C17" s="889" t="s">
        <v>3232</v>
      </c>
      <c r="D17" s="406">
        <f>SUM(D12:D16)-D8</f>
        <v>0</v>
      </c>
      <c r="E17" s="406">
        <f>SUM(E12:E16)-E8</f>
        <v>0</v>
      </c>
      <c r="G17" s="1021"/>
    </row>
    <row r="18" spans="1:7">
      <c r="B18" s="162">
        <v>18</v>
      </c>
      <c r="G18" s="1021"/>
    </row>
    <row r="19" spans="1:7">
      <c r="A19" s="764" t="s">
        <v>2260</v>
      </c>
      <c r="B19" s="162">
        <v>19</v>
      </c>
      <c r="C19" s="881"/>
      <c r="D19" s="889" t="s">
        <v>3233</v>
      </c>
      <c r="E19" s="889" t="s">
        <v>3234</v>
      </c>
      <c r="G19" s="1021"/>
    </row>
    <row r="20" spans="1:7">
      <c r="B20" s="162">
        <v>20</v>
      </c>
      <c r="C20" s="881" t="s">
        <v>1319</v>
      </c>
      <c r="D20" s="406">
        <f>审定利润表!C28</f>
        <v>-2378.21</v>
      </c>
      <c r="E20" s="406">
        <f>审定利润表!D28</f>
        <v>-64818.3</v>
      </c>
    </row>
    <row r="21" spans="1:7">
      <c r="B21" s="162">
        <v>21</v>
      </c>
      <c r="C21" s="881" t="s">
        <v>1320</v>
      </c>
      <c r="D21" s="406">
        <f>D9-D20</f>
        <v>0</v>
      </c>
      <c r="E21" s="406">
        <f>E9-E20</f>
        <v>0</v>
      </c>
    </row>
    <row r="22" spans="1:7">
      <c r="B22" s="162">
        <v>22</v>
      </c>
      <c r="C22" s="881" t="s">
        <v>3285</v>
      </c>
      <c r="D22" s="406">
        <f>D3-D5-审定利润表!C29</f>
        <v>0</v>
      </c>
      <c r="E22" s="406">
        <f>E3-E5-审定利润表!D29</f>
        <v>0</v>
      </c>
    </row>
    <row r="23" spans="1:7">
      <c r="B23" s="162">
        <v>23</v>
      </c>
      <c r="C23" s="881" t="s">
        <v>3286</v>
      </c>
      <c r="D23" s="406">
        <f>D4-审定利润表!C30</f>
        <v>0</v>
      </c>
      <c r="E23" s="406">
        <f>E4-审定利润表!D30</f>
        <v>0</v>
      </c>
    </row>
    <row r="24" spans="1:7">
      <c r="B24" s="162">
        <v>24</v>
      </c>
      <c r="C24" s="881" t="s">
        <v>3287</v>
      </c>
      <c r="D24" s="406">
        <f>D6-审定利润表!C31</f>
        <v>0</v>
      </c>
      <c r="E24" s="406">
        <f>E6-审定利润表!D31</f>
        <v>0</v>
      </c>
    </row>
  </sheetData>
  <sheetProtection formatCells="0" formatColumns="0" formatRows="0" autoFilter="0"/>
  <phoneticPr fontId="5" type="noConversion"/>
  <hyperlinks>
    <hyperlink ref="A1" location="附注填写封面!B3" display="返回目录" xr:uid="{00000000-0004-0000-5300-000000000000}"/>
    <hyperlink ref="A19" location="附注填写封面!B3" display="返回目录" xr:uid="{00000000-0004-0000-53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legacyDrawing r:id="rId2"/>
  <extLst>
    <ext xmlns:mx="http://schemas.microsoft.com/office/mac/excel/2008/main" uri="{64002731-A6B0-56B0-2670-7721B7C09600}">
      <mx:PLV Mode="0" OnePage="0" WScale="0"/>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56">
    <tabColor rgb="FFFFC000"/>
  </sheetPr>
  <dimension ref="A1:O36"/>
  <sheetViews>
    <sheetView showGridLines="0" showZeros="0" workbookViewId="0">
      <selection activeCell="E24" sqref="E24"/>
    </sheetView>
  </sheetViews>
  <sheetFormatPr defaultColWidth="11.625" defaultRowHeight="12.75"/>
  <cols>
    <col min="1" max="1" width="10.125" style="344" customWidth="1"/>
    <col min="2" max="2" width="5.625" style="344" hidden="1" customWidth="1"/>
    <col min="3" max="3" width="35.875" style="843" customWidth="1"/>
    <col min="4" max="16384" width="11.625" style="344"/>
  </cols>
  <sheetData>
    <row r="1" spans="1:5" ht="32.25" customHeight="1">
      <c r="A1" s="764" t="s">
        <v>2260</v>
      </c>
      <c r="B1" s="343" t="s">
        <v>1446</v>
      </c>
      <c r="C1" s="759" t="s">
        <v>3225</v>
      </c>
    </row>
    <row r="2" spans="1:5">
      <c r="B2" s="162">
        <v>2</v>
      </c>
      <c r="C2" s="889" t="s">
        <v>366</v>
      </c>
      <c r="D2" s="889" t="s">
        <v>3215</v>
      </c>
      <c r="E2" s="889" t="s">
        <v>3299</v>
      </c>
    </row>
    <row r="3" spans="1:5">
      <c r="B3" s="162">
        <v>3</v>
      </c>
      <c r="C3" s="338" t="s">
        <v>1195</v>
      </c>
      <c r="D3" s="400">
        <v>201400.6</v>
      </c>
      <c r="E3" s="400">
        <v>10213.18</v>
      </c>
    </row>
    <row r="4" spans="1:5">
      <c r="B4" s="162">
        <v>4</v>
      </c>
      <c r="C4" s="338" t="s">
        <v>1196</v>
      </c>
      <c r="D4" s="400"/>
      <c r="E4" s="400"/>
    </row>
    <row r="5" spans="1:5">
      <c r="B5" s="162">
        <v>5</v>
      </c>
      <c r="C5" s="338" t="s">
        <v>1197</v>
      </c>
      <c r="D5" s="400"/>
      <c r="E5" s="400"/>
    </row>
    <row r="6" spans="1:5">
      <c r="B6" s="162">
        <v>6</v>
      </c>
      <c r="C6" s="338" t="s">
        <v>1198</v>
      </c>
      <c r="D6" s="400"/>
      <c r="E6" s="400"/>
    </row>
    <row r="7" spans="1:5">
      <c r="B7" s="162">
        <v>7</v>
      </c>
      <c r="C7" s="338" t="s">
        <v>1199</v>
      </c>
      <c r="D7" s="400"/>
      <c r="E7" s="400"/>
    </row>
    <row r="8" spans="1:5">
      <c r="B8" s="162">
        <v>8</v>
      </c>
      <c r="C8" s="338" t="s">
        <v>1200</v>
      </c>
      <c r="D8" s="400"/>
      <c r="E8" s="400"/>
    </row>
    <row r="9" spans="1:5">
      <c r="B9" s="162">
        <v>9</v>
      </c>
      <c r="C9" s="338" t="s">
        <v>1201</v>
      </c>
      <c r="D9" s="400"/>
      <c r="E9" s="400"/>
    </row>
    <row r="10" spans="1:5">
      <c r="B10" s="162">
        <v>10</v>
      </c>
      <c r="C10" s="338" t="s">
        <v>1202</v>
      </c>
      <c r="D10" s="400"/>
      <c r="E10" s="400"/>
    </row>
    <row r="11" spans="1:5">
      <c r="B11" s="162">
        <v>11</v>
      </c>
      <c r="C11" s="338" t="s">
        <v>1203</v>
      </c>
      <c r="D11" s="400"/>
      <c r="E11" s="400"/>
    </row>
    <row r="12" spans="1:5">
      <c r="B12" s="162">
        <v>12</v>
      </c>
      <c r="C12" s="338" t="s">
        <v>1204</v>
      </c>
      <c r="D12" s="400"/>
      <c r="E12" s="400"/>
    </row>
    <row r="13" spans="1:5">
      <c r="B13" s="162">
        <v>13</v>
      </c>
      <c r="C13" s="338" t="s">
        <v>1205</v>
      </c>
      <c r="D13" s="400"/>
      <c r="E13" s="400"/>
    </row>
    <row r="14" spans="1:5">
      <c r="B14" s="162">
        <v>14</v>
      </c>
      <c r="C14" s="338" t="s">
        <v>1206</v>
      </c>
      <c r="D14" s="400"/>
      <c r="E14" s="400"/>
    </row>
    <row r="15" spans="1:5">
      <c r="B15" s="162">
        <v>15</v>
      </c>
      <c r="C15" s="338" t="s">
        <v>1207</v>
      </c>
      <c r="D15" s="400"/>
      <c r="E15" s="400"/>
    </row>
    <row r="16" spans="1:5">
      <c r="B16" s="162">
        <v>16</v>
      </c>
      <c r="C16" s="359" t="s">
        <v>4450</v>
      </c>
      <c r="D16" s="400"/>
      <c r="E16" s="400"/>
    </row>
    <row r="17" spans="1:5">
      <c r="B17" s="162">
        <v>17</v>
      </c>
      <c r="C17" s="889" t="s">
        <v>839</v>
      </c>
      <c r="D17" s="406">
        <f>SUM(D3:D16)</f>
        <v>201400.6</v>
      </c>
      <c r="E17" s="406">
        <f>SUM(E3:E16)</f>
        <v>10213.18</v>
      </c>
    </row>
    <row r="18" spans="1:5">
      <c r="B18" s="162">
        <v>18</v>
      </c>
    </row>
    <row r="19" spans="1:5">
      <c r="A19" s="764" t="s">
        <v>2260</v>
      </c>
      <c r="B19" s="162">
        <v>19</v>
      </c>
      <c r="C19" s="881"/>
      <c r="D19" s="881" t="s">
        <v>3224</v>
      </c>
      <c r="E19" s="881" t="s">
        <v>3218</v>
      </c>
    </row>
    <row r="20" spans="1:5">
      <c r="B20" s="162">
        <v>20</v>
      </c>
      <c r="C20" s="881" t="s">
        <v>1319</v>
      </c>
      <c r="D20" s="406">
        <f>审定利润表!C32</f>
        <v>201400.6</v>
      </c>
      <c r="E20" s="406">
        <f>审定利润表!D32</f>
        <v>10213.18</v>
      </c>
    </row>
    <row r="21" spans="1:5">
      <c r="B21" s="162">
        <v>21</v>
      </c>
      <c r="C21" s="881" t="s">
        <v>2730</v>
      </c>
      <c r="D21" s="406">
        <f>D17-D20</f>
        <v>0</v>
      </c>
      <c r="E21" s="406">
        <f>E17-E20</f>
        <v>0</v>
      </c>
    </row>
    <row r="24" spans="1:5">
      <c r="E24" s="1653"/>
    </row>
    <row r="36" spans="15:15">
      <c r="O36" s="1020"/>
    </row>
  </sheetData>
  <sheetProtection formatCells="0" formatColumns="0" formatRows="0" autoFilter="0"/>
  <phoneticPr fontId="5" type="noConversion"/>
  <hyperlinks>
    <hyperlink ref="A1" location="附注填写封面!B3" display="返回目录" xr:uid="{00000000-0004-0000-5400-000000000000}"/>
    <hyperlink ref="A19" location="附注填写封面!B3" display="返回目录" xr:uid="{00000000-0004-0000-54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54"/>
  <dimension ref="A1:E13"/>
  <sheetViews>
    <sheetView showGridLines="0" showZeros="0" workbookViewId="0">
      <selection activeCell="H17" sqref="H17"/>
    </sheetView>
  </sheetViews>
  <sheetFormatPr defaultColWidth="11.625" defaultRowHeight="12.75"/>
  <cols>
    <col min="1" max="1" width="9.5" style="344" customWidth="1"/>
    <col min="2" max="2" width="6.125" style="344" hidden="1" customWidth="1"/>
    <col min="3" max="3" width="35.875" style="843" customWidth="1"/>
    <col min="4" max="16384" width="11.625" style="344"/>
  </cols>
  <sheetData>
    <row r="1" spans="1:5" ht="23.25" customHeight="1">
      <c r="A1" s="764" t="s">
        <v>2260</v>
      </c>
      <c r="B1" s="343" t="s">
        <v>1446</v>
      </c>
      <c r="C1" s="759" t="s">
        <v>3298</v>
      </c>
    </row>
    <row r="2" spans="1:5">
      <c r="B2" s="162">
        <v>2</v>
      </c>
      <c r="C2" s="889" t="s">
        <v>1209</v>
      </c>
      <c r="D2" s="889" t="s">
        <v>3215</v>
      </c>
      <c r="E2" s="889" t="s">
        <v>3216</v>
      </c>
    </row>
    <row r="3" spans="1:5" ht="24">
      <c r="B3" s="162">
        <v>3</v>
      </c>
      <c r="C3" s="340" t="s">
        <v>1511</v>
      </c>
      <c r="D3" s="400"/>
      <c r="E3" s="400"/>
    </row>
    <row r="4" spans="1:5" ht="24">
      <c r="B4" s="162">
        <v>4</v>
      </c>
      <c r="C4" s="820" t="s">
        <v>1211</v>
      </c>
      <c r="D4" s="400"/>
      <c r="E4" s="400"/>
    </row>
    <row r="5" spans="1:5" ht="24">
      <c r="B5" s="162">
        <v>5</v>
      </c>
      <c r="C5" s="340" t="s">
        <v>1535</v>
      </c>
      <c r="D5" s="400"/>
      <c r="E5" s="400"/>
    </row>
    <row r="6" spans="1:5" ht="24">
      <c r="B6" s="162">
        <v>6</v>
      </c>
      <c r="C6" s="820" t="s">
        <v>1213</v>
      </c>
      <c r="D6" s="400"/>
      <c r="E6" s="400"/>
    </row>
    <row r="7" spans="1:5">
      <c r="B7" s="162">
        <v>7</v>
      </c>
      <c r="C7" s="340" t="s">
        <v>1214</v>
      </c>
      <c r="D7" s="400"/>
      <c r="E7" s="400"/>
    </row>
    <row r="8" spans="1:5">
      <c r="B8" s="162">
        <v>8</v>
      </c>
      <c r="C8" s="340" t="s">
        <v>964</v>
      </c>
      <c r="D8" s="400"/>
      <c r="E8" s="400"/>
    </row>
    <row r="9" spans="1:5">
      <c r="B9" s="162">
        <v>9</v>
      </c>
      <c r="C9" s="889" t="s">
        <v>823</v>
      </c>
      <c r="D9" s="1019">
        <f>D3+D5+D7+D8</f>
        <v>0</v>
      </c>
      <c r="E9" s="1019">
        <f>E3+E5+E7+E8</f>
        <v>0</v>
      </c>
    </row>
    <row r="10" spans="1:5">
      <c r="B10" s="162">
        <v>10</v>
      </c>
    </row>
    <row r="11" spans="1:5">
      <c r="B11" s="162">
        <v>11</v>
      </c>
      <c r="C11" s="881"/>
      <c r="D11" s="881" t="s">
        <v>3224</v>
      </c>
      <c r="E11" s="881" t="s">
        <v>3218</v>
      </c>
    </row>
    <row r="12" spans="1:5">
      <c r="A12" s="764" t="s">
        <v>2260</v>
      </c>
      <c r="B12" s="162">
        <v>12</v>
      </c>
      <c r="C12" s="881" t="s">
        <v>1319</v>
      </c>
      <c r="D12" s="406">
        <f>审定利润表!C34</f>
        <v>0</v>
      </c>
      <c r="E12" s="406">
        <f>审定利润表!D34</f>
        <v>0</v>
      </c>
    </row>
    <row r="13" spans="1:5">
      <c r="B13" s="162">
        <v>13</v>
      </c>
      <c r="C13" s="881" t="s">
        <v>1320</v>
      </c>
      <c r="D13" s="406">
        <f>D9-D12</f>
        <v>0</v>
      </c>
      <c r="E13" s="406">
        <f>E9-E12</f>
        <v>0</v>
      </c>
    </row>
  </sheetData>
  <sheetProtection formatCells="0" formatColumns="0" formatRows="0" autoFilter="0"/>
  <phoneticPr fontId="5" type="noConversion"/>
  <hyperlinks>
    <hyperlink ref="A1" location="附注填写封面!B3" display="返回目录" xr:uid="{00000000-0004-0000-5500-000000000000}"/>
    <hyperlink ref="A12" location="附注填写封面!B3" display="返回目录" xr:uid="{00000000-0004-0000-55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55"/>
  <dimension ref="A1:J46"/>
  <sheetViews>
    <sheetView showGridLines="0" showZeros="0" workbookViewId="0">
      <selection activeCell="I14" sqref="I14"/>
    </sheetView>
  </sheetViews>
  <sheetFormatPr defaultColWidth="11.625" defaultRowHeight="12.75"/>
  <cols>
    <col min="1" max="1" width="9.625" style="344" customWidth="1"/>
    <col min="2" max="2" width="8.5" style="344" hidden="1" customWidth="1"/>
    <col min="3" max="3" width="35.875" style="843" customWidth="1"/>
    <col min="4" max="4" width="14" style="344" customWidth="1"/>
    <col min="5" max="5" width="14.625" style="344" customWidth="1"/>
    <col min="6" max="16384" width="11.625" style="344"/>
  </cols>
  <sheetData>
    <row r="1" spans="1:10" ht="20.25" customHeight="1">
      <c r="A1" s="764" t="s">
        <v>2260</v>
      </c>
      <c r="B1" s="343" t="s">
        <v>1446</v>
      </c>
      <c r="C1" s="759" t="s">
        <v>3214</v>
      </c>
    </row>
    <row r="2" spans="1:10">
      <c r="B2" s="162">
        <v>2</v>
      </c>
      <c r="C2" s="889" t="s">
        <v>1216</v>
      </c>
      <c r="D2" s="889" t="s">
        <v>3215</v>
      </c>
      <c r="E2" s="889" t="s">
        <v>3216</v>
      </c>
    </row>
    <row r="3" spans="1:10">
      <c r="A3" s="162">
        <v>1</v>
      </c>
      <c r="B3" s="162">
        <v>3</v>
      </c>
      <c r="C3" s="338" t="s">
        <v>1217</v>
      </c>
      <c r="D3" s="400"/>
      <c r="E3" s="400"/>
    </row>
    <row r="4" spans="1:10">
      <c r="A4" s="162">
        <v>2</v>
      </c>
      <c r="B4" s="162">
        <v>4</v>
      </c>
      <c r="C4" s="338" t="s">
        <v>1218</v>
      </c>
      <c r="D4" s="400"/>
      <c r="E4" s="400"/>
    </row>
    <row r="5" spans="1:10">
      <c r="A5" s="162">
        <v>3</v>
      </c>
      <c r="B5" s="162">
        <v>5</v>
      </c>
      <c r="C5" s="338" t="s">
        <v>1219</v>
      </c>
      <c r="D5" s="400"/>
      <c r="E5" s="400"/>
    </row>
    <row r="6" spans="1:10" ht="24">
      <c r="A6" s="162">
        <v>4</v>
      </c>
      <c r="B6" s="162">
        <v>6</v>
      </c>
      <c r="C6" s="338" t="s">
        <v>3297</v>
      </c>
      <c r="D6" s="400"/>
      <c r="E6" s="400"/>
    </row>
    <row r="7" spans="1:10" ht="24">
      <c r="A7" s="162">
        <v>5</v>
      </c>
      <c r="B7" s="162">
        <v>7</v>
      </c>
      <c r="C7" s="1418" t="s">
        <v>3217</v>
      </c>
      <c r="D7" s="400"/>
      <c r="E7" s="400"/>
    </row>
    <row r="8" spans="1:10" ht="14.25">
      <c r="A8" s="162">
        <v>6</v>
      </c>
      <c r="B8" s="162">
        <v>8</v>
      </c>
      <c r="C8" s="359" t="s">
        <v>4762</v>
      </c>
      <c r="D8" s="400"/>
      <c r="E8" s="400"/>
      <c r="I8"/>
      <c r="J8"/>
    </row>
    <row r="9" spans="1:10" ht="14.25">
      <c r="A9" s="162">
        <v>7</v>
      </c>
      <c r="B9" s="162">
        <v>9</v>
      </c>
      <c r="C9" s="1418" t="s">
        <v>1224</v>
      </c>
      <c r="D9" s="400"/>
      <c r="E9" s="400"/>
      <c r="I9"/>
      <c r="J9"/>
    </row>
    <row r="10" spans="1:10" ht="14.25">
      <c r="A10" s="162">
        <v>8</v>
      </c>
      <c r="B10" s="162">
        <v>10</v>
      </c>
      <c r="C10" s="1418" t="s">
        <v>1222</v>
      </c>
      <c r="D10" s="400"/>
      <c r="E10" s="400"/>
      <c r="I10"/>
      <c r="J10"/>
    </row>
    <row r="11" spans="1:10" ht="14.25">
      <c r="A11" s="162">
        <v>9</v>
      </c>
      <c r="B11" s="162">
        <v>11</v>
      </c>
      <c r="C11" s="338" t="s">
        <v>1225</v>
      </c>
      <c r="D11" s="400"/>
      <c r="E11" s="400"/>
      <c r="I11"/>
      <c r="J11"/>
    </row>
    <row r="12" spans="1:10" ht="24">
      <c r="A12" s="162">
        <v>10</v>
      </c>
      <c r="B12" s="162">
        <v>12</v>
      </c>
      <c r="C12" s="359" t="s">
        <v>4451</v>
      </c>
      <c r="D12" s="400"/>
      <c r="E12" s="400"/>
      <c r="I12"/>
      <c r="J12"/>
    </row>
    <row r="13" spans="1:10" ht="14.25">
      <c r="A13" s="162">
        <v>11</v>
      </c>
      <c r="B13" s="162"/>
      <c r="C13" s="359" t="s">
        <v>4474</v>
      </c>
      <c r="D13" s="400"/>
      <c r="E13" s="400"/>
      <c r="I13"/>
      <c r="J13"/>
    </row>
    <row r="14" spans="1:10" ht="14.25">
      <c r="B14" s="162">
        <v>13</v>
      </c>
      <c r="C14" s="889" t="s">
        <v>952</v>
      </c>
      <c r="D14" s="406">
        <f>SUM(D3:D13)</f>
        <v>0</v>
      </c>
      <c r="E14" s="406">
        <f>SUM(E3:E13)</f>
        <v>0</v>
      </c>
      <c r="I14"/>
      <c r="J14"/>
    </row>
    <row r="15" spans="1:10">
      <c r="B15" s="162">
        <v>14</v>
      </c>
    </row>
    <row r="16" spans="1:10">
      <c r="A16" s="764" t="s">
        <v>2260</v>
      </c>
      <c r="B16" s="162">
        <v>15</v>
      </c>
      <c r="C16" s="881"/>
      <c r="D16" s="881" t="s">
        <v>3224</v>
      </c>
      <c r="E16" s="881" t="s">
        <v>3218</v>
      </c>
    </row>
    <row r="17" spans="1:7">
      <c r="B17" s="162">
        <v>16</v>
      </c>
      <c r="C17" s="881" t="s">
        <v>1319</v>
      </c>
      <c r="D17" s="406">
        <f>审定利润表!C35</f>
        <v>0</v>
      </c>
      <c r="E17" s="406">
        <f>审定利润表!D35</f>
        <v>0</v>
      </c>
    </row>
    <row r="18" spans="1:7">
      <c r="B18" s="162">
        <v>17</v>
      </c>
      <c r="C18" s="881" t="s">
        <v>1320</v>
      </c>
      <c r="D18" s="406">
        <f>D14-D17</f>
        <v>0</v>
      </c>
      <c r="E18" s="406">
        <f>E14-E17</f>
        <v>0</v>
      </c>
    </row>
    <row r="19" spans="1:7">
      <c r="B19" s="162">
        <v>18</v>
      </c>
    </row>
    <row r="20" spans="1:7">
      <c r="B20" s="162">
        <v>19</v>
      </c>
    </row>
    <row r="21" spans="1:7">
      <c r="B21" s="162">
        <v>20</v>
      </c>
      <c r="C21" s="1014" t="s">
        <v>3280</v>
      </c>
    </row>
    <row r="22" spans="1:7">
      <c r="B22" s="162">
        <v>21</v>
      </c>
      <c r="C22" s="881" t="s">
        <v>3219</v>
      </c>
      <c r="D22" s="889" t="s">
        <v>3220</v>
      </c>
      <c r="E22" s="889" t="s">
        <v>3221</v>
      </c>
      <c r="G22" s="344" t="s">
        <v>3222</v>
      </c>
    </row>
    <row r="23" spans="1:7">
      <c r="B23" s="162">
        <v>22</v>
      </c>
      <c r="C23" s="821"/>
      <c r="D23" s="954"/>
      <c r="E23" s="954"/>
    </row>
    <row r="24" spans="1:7">
      <c r="B24" s="162">
        <v>23</v>
      </c>
      <c r="C24" s="821"/>
      <c r="D24" s="954"/>
      <c r="E24" s="954"/>
    </row>
    <row r="25" spans="1:7">
      <c r="B25" s="162">
        <v>24</v>
      </c>
      <c r="C25" s="821"/>
      <c r="D25" s="954"/>
      <c r="E25" s="954"/>
    </row>
    <row r="26" spans="1:7">
      <c r="B26" s="162">
        <v>25</v>
      </c>
      <c r="C26" s="821"/>
      <c r="D26" s="954"/>
      <c r="E26" s="954"/>
    </row>
    <row r="27" spans="1:7">
      <c r="B27" s="162">
        <v>26</v>
      </c>
      <c r="C27" s="821"/>
      <c r="D27" s="954"/>
      <c r="E27" s="954"/>
    </row>
    <row r="28" spans="1:7">
      <c r="B28" s="162">
        <v>27</v>
      </c>
      <c r="C28" s="821"/>
      <c r="D28" s="954"/>
      <c r="E28" s="954"/>
    </row>
    <row r="29" spans="1:7">
      <c r="B29" s="162">
        <v>28</v>
      </c>
      <c r="C29" s="881" t="s">
        <v>839</v>
      </c>
      <c r="D29" s="406">
        <f>SUM(D23:D28)</f>
        <v>0</v>
      </c>
      <c r="E29" s="406">
        <f>SUM(E23:E28)</f>
        <v>0</v>
      </c>
    </row>
    <row r="30" spans="1:7">
      <c r="B30" s="162">
        <v>29</v>
      </c>
      <c r="C30" s="834" t="s">
        <v>2551</v>
      </c>
      <c r="D30" s="1015">
        <f>D29-D3</f>
        <v>0</v>
      </c>
      <c r="E30" s="1015">
        <f>E29-E3</f>
        <v>0</v>
      </c>
    </row>
    <row r="31" spans="1:7">
      <c r="B31" s="162">
        <v>30</v>
      </c>
      <c r="C31" s="834"/>
      <c r="D31" s="1016"/>
      <c r="E31" s="1016"/>
    </row>
    <row r="32" spans="1:7" s="1018" customFormat="1">
      <c r="A32" s="344"/>
      <c r="B32" s="1017">
        <v>31</v>
      </c>
      <c r="C32" s="1018" t="s">
        <v>3281</v>
      </c>
    </row>
    <row r="33" spans="2:7">
      <c r="B33" s="162">
        <v>32</v>
      </c>
      <c r="C33" s="344"/>
    </row>
    <row r="34" spans="2:7">
      <c r="B34" s="162">
        <v>33</v>
      </c>
      <c r="C34" s="344"/>
    </row>
    <row r="35" spans="2:7">
      <c r="B35" s="162">
        <v>34</v>
      </c>
      <c r="C35" s="1014" t="s">
        <v>3282</v>
      </c>
    </row>
    <row r="36" spans="2:7">
      <c r="B36" s="162">
        <v>35</v>
      </c>
      <c r="C36" s="881" t="s">
        <v>3219</v>
      </c>
      <c r="D36" s="889" t="s">
        <v>3220</v>
      </c>
      <c r="E36" s="889" t="s">
        <v>3221</v>
      </c>
      <c r="G36" s="344" t="s">
        <v>3222</v>
      </c>
    </row>
    <row r="37" spans="2:7">
      <c r="B37" s="162">
        <v>36</v>
      </c>
      <c r="C37" s="821"/>
      <c r="D37" s="954"/>
      <c r="E37" s="954"/>
    </row>
    <row r="38" spans="2:7">
      <c r="B38" s="162">
        <v>37</v>
      </c>
      <c r="C38" s="821"/>
      <c r="D38" s="954"/>
      <c r="E38" s="954"/>
    </row>
    <row r="39" spans="2:7">
      <c r="B39" s="162">
        <v>38</v>
      </c>
      <c r="C39" s="821"/>
      <c r="D39" s="954"/>
      <c r="E39" s="954"/>
    </row>
    <row r="40" spans="2:7">
      <c r="B40" s="162">
        <v>39</v>
      </c>
      <c r="C40" s="821"/>
      <c r="D40" s="954"/>
      <c r="E40" s="954"/>
    </row>
    <row r="41" spans="2:7">
      <c r="B41" s="162">
        <v>40</v>
      </c>
      <c r="C41" s="821"/>
      <c r="D41" s="954"/>
      <c r="E41" s="954"/>
    </row>
    <row r="42" spans="2:7">
      <c r="B42" s="162">
        <v>41</v>
      </c>
      <c r="C42" s="881" t="s">
        <v>839</v>
      </c>
      <c r="D42" s="406">
        <f>SUM(D37:D41)</f>
        <v>0</v>
      </c>
      <c r="E42" s="406">
        <f>SUM(E37:E41)</f>
        <v>0</v>
      </c>
    </row>
    <row r="43" spans="2:7">
      <c r="B43" s="162">
        <v>42</v>
      </c>
      <c r="C43" s="834" t="s">
        <v>2551</v>
      </c>
      <c r="D43" s="1015">
        <f>D42-D4</f>
        <v>0</v>
      </c>
      <c r="E43" s="1015">
        <f>E42-E4</f>
        <v>0</v>
      </c>
    </row>
    <row r="44" spans="2:7">
      <c r="B44" s="162">
        <v>43</v>
      </c>
      <c r="C44" s="834"/>
      <c r="D44" s="1016"/>
      <c r="E44" s="1016"/>
    </row>
    <row r="45" spans="2:7">
      <c r="B45" s="162">
        <v>44</v>
      </c>
      <c r="C45" s="344" t="s">
        <v>3283</v>
      </c>
    </row>
    <row r="46" spans="2:7">
      <c r="B46" s="162">
        <v>45</v>
      </c>
      <c r="C46" s="344" t="s">
        <v>3223</v>
      </c>
    </row>
  </sheetData>
  <sheetProtection formatCells="0" formatColumns="0" formatRows="0" autoFilter="0"/>
  <phoneticPr fontId="5" type="noConversion"/>
  <hyperlinks>
    <hyperlink ref="A1" location="附注填写封面!B3" display="返回目录" xr:uid="{00000000-0004-0000-5600-000000000000}"/>
    <hyperlink ref="A16" location="附注填写封面!B3" display="返回目录" xr:uid="{00000000-0004-0000-56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11"/>
  <dimension ref="A1:E22"/>
  <sheetViews>
    <sheetView workbookViewId="0">
      <selection activeCell="D3" sqref="D3:E17"/>
    </sheetView>
  </sheetViews>
  <sheetFormatPr defaultColWidth="11" defaultRowHeight="14.25"/>
  <cols>
    <col min="2" max="2" width="0" hidden="1" customWidth="1"/>
    <col min="3" max="3" width="14.5" bestFit="1" customWidth="1"/>
  </cols>
  <sheetData>
    <row r="1" spans="1:5">
      <c r="A1" s="764" t="s">
        <v>2260</v>
      </c>
      <c r="B1" s="343" t="s">
        <v>1446</v>
      </c>
      <c r="C1" s="1368" t="s">
        <v>4947</v>
      </c>
      <c r="D1" s="808"/>
      <c r="E1" s="808"/>
    </row>
    <row r="2" spans="1:5">
      <c r="A2" s="1024"/>
      <c r="B2" s="1025">
        <v>2</v>
      </c>
      <c r="C2" s="1369" t="s">
        <v>4584</v>
      </c>
      <c r="D2" s="1482" t="s">
        <v>3215</v>
      </c>
      <c r="E2" s="1482" t="s">
        <v>3216</v>
      </c>
    </row>
    <row r="3" spans="1:5">
      <c r="A3" s="1025">
        <v>1</v>
      </c>
      <c r="B3" s="1025">
        <v>3</v>
      </c>
      <c r="C3" s="1370"/>
      <c r="D3" s="1377"/>
      <c r="E3" s="1377"/>
    </row>
    <row r="4" spans="1:5">
      <c r="A4" s="1025">
        <v>2</v>
      </c>
      <c r="B4" s="1025">
        <v>4</v>
      </c>
      <c r="C4" s="1370"/>
      <c r="D4" s="1377"/>
      <c r="E4" s="1377"/>
    </row>
    <row r="5" spans="1:5">
      <c r="A5" s="1025">
        <v>3</v>
      </c>
      <c r="B5" s="1025">
        <v>5</v>
      </c>
      <c r="C5" s="1370"/>
      <c r="D5" s="1377"/>
      <c r="E5" s="1377"/>
    </row>
    <row r="6" spans="1:5">
      <c r="A6" s="1025">
        <v>4</v>
      </c>
      <c r="B6" s="1025">
        <v>6</v>
      </c>
      <c r="C6" s="1370"/>
      <c r="D6" s="1377"/>
      <c r="E6" s="1377"/>
    </row>
    <row r="7" spans="1:5">
      <c r="A7" s="1025">
        <v>5</v>
      </c>
      <c r="B7" s="1025">
        <v>7</v>
      </c>
      <c r="C7" s="1370"/>
      <c r="D7" s="1377"/>
      <c r="E7" s="1377"/>
    </row>
    <row r="8" spans="1:5">
      <c r="A8" s="1025">
        <v>6</v>
      </c>
      <c r="B8" s="1025">
        <v>8</v>
      </c>
      <c r="C8" s="1370"/>
      <c r="D8" s="1377"/>
      <c r="E8" s="1377"/>
    </row>
    <row r="9" spans="1:5">
      <c r="A9" s="1025">
        <v>7</v>
      </c>
      <c r="B9" s="1025">
        <v>9</v>
      </c>
      <c r="C9" s="1370"/>
      <c r="D9" s="1377"/>
      <c r="E9" s="1377"/>
    </row>
    <row r="10" spans="1:5">
      <c r="A10" s="1025">
        <v>8</v>
      </c>
      <c r="B10" s="1025"/>
      <c r="C10" s="1370"/>
      <c r="D10" s="1377"/>
      <c r="E10" s="1377"/>
    </row>
    <row r="11" spans="1:5">
      <c r="A11" s="1025">
        <v>9</v>
      </c>
      <c r="B11" s="1025"/>
      <c r="C11" s="1370"/>
      <c r="D11" s="1377"/>
      <c r="E11" s="1377"/>
    </row>
    <row r="12" spans="1:5">
      <c r="A12" s="1025">
        <v>10</v>
      </c>
      <c r="B12" s="1025"/>
      <c r="C12" s="1370"/>
      <c r="D12" s="1377"/>
      <c r="E12" s="1377"/>
    </row>
    <row r="13" spans="1:5">
      <c r="A13" s="1025">
        <v>11</v>
      </c>
      <c r="B13" s="1025"/>
      <c r="C13" s="1370"/>
      <c r="D13" s="1377"/>
      <c r="E13" s="1377"/>
    </row>
    <row r="14" spans="1:5">
      <c r="A14" s="1025">
        <v>12</v>
      </c>
      <c r="B14" s="1025">
        <v>10</v>
      </c>
      <c r="C14" s="1370"/>
      <c r="D14" s="1377"/>
      <c r="E14" s="1377"/>
    </row>
    <row r="15" spans="1:5">
      <c r="A15" s="1025">
        <v>13</v>
      </c>
      <c r="B15" s="1025">
        <v>11</v>
      </c>
      <c r="C15" s="1370"/>
      <c r="D15" s="1377"/>
      <c r="E15" s="1377"/>
    </row>
    <row r="16" spans="1:5">
      <c r="A16" s="1025">
        <v>14</v>
      </c>
      <c r="B16" s="1025">
        <v>12</v>
      </c>
      <c r="C16" s="1374"/>
      <c r="D16" s="1377"/>
      <c r="E16" s="1377"/>
    </row>
    <row r="17" spans="1:5">
      <c r="A17" s="1025">
        <v>15</v>
      </c>
      <c r="B17" s="1025"/>
      <c r="C17" s="1374"/>
      <c r="D17" s="1377"/>
      <c r="E17" s="1377"/>
    </row>
    <row r="18" spans="1:5">
      <c r="A18" s="1024"/>
      <c r="B18" s="1025">
        <v>13</v>
      </c>
      <c r="C18" s="1375" t="s">
        <v>952</v>
      </c>
      <c r="D18" s="1359">
        <f>SUM(D3:D17)</f>
        <v>0</v>
      </c>
      <c r="E18" s="1359">
        <f>SUM(E3:E17)</f>
        <v>0</v>
      </c>
    </row>
    <row r="19" spans="1:5">
      <c r="A19" s="1024"/>
      <c r="B19" s="1025">
        <v>14</v>
      </c>
      <c r="C19" s="1376"/>
      <c r="D19" s="808"/>
      <c r="E19" s="808"/>
    </row>
    <row r="20" spans="1:5">
      <c r="A20" s="764" t="s">
        <v>2260</v>
      </c>
      <c r="B20" s="1025">
        <v>15</v>
      </c>
      <c r="C20" s="1362"/>
      <c r="D20" s="1482" t="s">
        <v>3215</v>
      </c>
      <c r="E20" s="1482" t="s">
        <v>3216</v>
      </c>
    </row>
    <row r="21" spans="1:5">
      <c r="A21" s="1024"/>
      <c r="B21" s="1025">
        <v>16</v>
      </c>
      <c r="C21" s="1362" t="s">
        <v>1319</v>
      </c>
      <c r="D21" s="1359">
        <f>审定利润表!C38</f>
        <v>0</v>
      </c>
      <c r="E21" s="1359">
        <f>审定利润表!D38</f>
        <v>0</v>
      </c>
    </row>
    <row r="22" spans="1:5">
      <c r="A22" s="1024"/>
      <c r="B22" s="1025">
        <v>17</v>
      </c>
      <c r="C22" s="1362" t="s">
        <v>1320</v>
      </c>
      <c r="D22" s="1359">
        <f>D18-D21</f>
        <v>0</v>
      </c>
      <c r="E22" s="1359">
        <f>E18-E21</f>
        <v>0</v>
      </c>
    </row>
  </sheetData>
  <phoneticPr fontId="5" type="noConversion"/>
  <hyperlinks>
    <hyperlink ref="A1" location="附注填写封面!B3" display="返回目录" xr:uid="{00000000-0004-0000-5700-000000000000}"/>
    <hyperlink ref="A20" location="附注填写封面!B3" display="返回目录" xr:uid="{00000000-0004-0000-5700-000001000000}"/>
  </hyperlinks>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13">
    <tabColor rgb="FFFFC000"/>
  </sheetPr>
  <dimension ref="A1:E24"/>
  <sheetViews>
    <sheetView workbookViewId="0">
      <selection activeCell="H14" sqref="H14"/>
    </sheetView>
  </sheetViews>
  <sheetFormatPr defaultColWidth="11.625" defaultRowHeight="12.75"/>
  <cols>
    <col min="1" max="1" width="10" style="1024" customWidth="1"/>
    <col min="2" max="2" width="8.5" style="1024" hidden="1" customWidth="1"/>
    <col min="3" max="3" width="35.875" style="1376" customWidth="1"/>
    <col min="4" max="4" width="16.375" style="808" customWidth="1"/>
    <col min="5" max="5" width="14.625" style="808" customWidth="1"/>
    <col min="6" max="16384" width="11.625" style="1024"/>
  </cols>
  <sheetData>
    <row r="1" spans="1:5">
      <c r="A1" s="764" t="s">
        <v>2260</v>
      </c>
      <c r="B1" s="343" t="s">
        <v>1446</v>
      </c>
      <c r="C1" s="1368" t="s">
        <v>4583</v>
      </c>
    </row>
    <row r="2" spans="1:5">
      <c r="B2" s="1025">
        <v>2</v>
      </c>
      <c r="C2" s="1369" t="s">
        <v>4584</v>
      </c>
      <c r="D2" s="1323" t="s">
        <v>3215</v>
      </c>
      <c r="E2" s="1323" t="s">
        <v>3216</v>
      </c>
    </row>
    <row r="3" spans="1:5" ht="13.5">
      <c r="A3" s="1025">
        <v>1</v>
      </c>
      <c r="B3" s="1025">
        <v>3</v>
      </c>
      <c r="C3" s="1374" t="s">
        <v>5222</v>
      </c>
      <c r="D3" s="1377"/>
      <c r="E3" s="1371"/>
    </row>
    <row r="4" spans="1:5" ht="13.5">
      <c r="A4" s="1025">
        <v>2</v>
      </c>
      <c r="B4" s="1025">
        <v>4</v>
      </c>
      <c r="C4" s="1370"/>
      <c r="D4" s="1377"/>
      <c r="E4" s="1371"/>
    </row>
    <row r="5" spans="1:5">
      <c r="A5" s="1025">
        <v>3</v>
      </c>
      <c r="B5" s="1025">
        <v>5</v>
      </c>
      <c r="C5" s="1370"/>
      <c r="D5" s="1372"/>
      <c r="E5" s="1373"/>
    </row>
    <row r="6" spans="1:5">
      <c r="A6" s="1025">
        <v>4</v>
      </c>
      <c r="B6" s="1025">
        <v>6</v>
      </c>
      <c r="C6" s="1370"/>
      <c r="D6" s="1371"/>
      <c r="E6" s="1371"/>
    </row>
    <row r="7" spans="1:5">
      <c r="A7" s="1025">
        <v>5</v>
      </c>
      <c r="B7" s="1025">
        <v>7</v>
      </c>
      <c r="C7" s="1370"/>
      <c r="D7" s="1371"/>
      <c r="E7" s="1371"/>
    </row>
    <row r="8" spans="1:5">
      <c r="A8" s="1025">
        <v>6</v>
      </c>
      <c r="B8" s="1025">
        <v>8</v>
      </c>
      <c r="C8" s="1370"/>
      <c r="D8" s="1371"/>
      <c r="E8" s="1371"/>
    </row>
    <row r="9" spans="1:5">
      <c r="A9" s="1025">
        <v>7</v>
      </c>
      <c r="B9" s="1025">
        <v>9</v>
      </c>
      <c r="C9" s="1370"/>
      <c r="D9" s="1371"/>
      <c r="E9" s="1371"/>
    </row>
    <row r="10" spans="1:5">
      <c r="A10" s="1025">
        <v>8</v>
      </c>
      <c r="B10" s="1025"/>
      <c r="C10" s="1370"/>
      <c r="D10" s="1371"/>
      <c r="E10" s="1371"/>
    </row>
    <row r="11" spans="1:5">
      <c r="A11" s="1025">
        <v>9</v>
      </c>
      <c r="B11" s="1025"/>
      <c r="C11" s="1370"/>
      <c r="D11" s="1371"/>
      <c r="E11" s="1371"/>
    </row>
    <row r="12" spans="1:5">
      <c r="A12" s="1025">
        <v>10</v>
      </c>
      <c r="B12" s="1025"/>
      <c r="C12" s="1370"/>
      <c r="D12" s="1371"/>
      <c r="E12" s="1371"/>
    </row>
    <row r="13" spans="1:5">
      <c r="A13" s="1025">
        <v>11</v>
      </c>
      <c r="B13" s="1025"/>
      <c r="C13" s="1370"/>
      <c r="D13" s="1371"/>
      <c r="E13" s="1371"/>
    </row>
    <row r="14" spans="1:5">
      <c r="A14" s="1025">
        <v>12</v>
      </c>
      <c r="B14" s="1025">
        <v>10</v>
      </c>
      <c r="C14" s="1370"/>
      <c r="D14" s="1371"/>
      <c r="E14" s="1371"/>
    </row>
    <row r="15" spans="1:5">
      <c r="A15" s="1025">
        <v>13</v>
      </c>
      <c r="B15" s="1025">
        <v>11</v>
      </c>
      <c r="C15" s="1370"/>
      <c r="D15" s="1371"/>
      <c r="E15" s="1371"/>
    </row>
    <row r="16" spans="1:5">
      <c r="A16" s="1025">
        <v>14</v>
      </c>
      <c r="B16" s="1025">
        <v>12</v>
      </c>
      <c r="C16" s="1374"/>
      <c r="D16" s="1371"/>
      <c r="E16" s="1371"/>
    </row>
    <row r="17" spans="1:5">
      <c r="A17" s="1025">
        <v>15</v>
      </c>
      <c r="B17" s="1025"/>
      <c r="C17" s="1374"/>
      <c r="D17" s="1371"/>
      <c r="E17" s="1371"/>
    </row>
    <row r="18" spans="1:5">
      <c r="B18" s="1025">
        <v>13</v>
      </c>
      <c r="C18" s="1375" t="s">
        <v>952</v>
      </c>
      <c r="D18" s="1359">
        <f>SUM(D3:D17)</f>
        <v>0</v>
      </c>
      <c r="E18" s="1359">
        <f>SUM(E3:E17)</f>
        <v>0</v>
      </c>
    </row>
    <row r="19" spans="1:5">
      <c r="B19" s="1025">
        <v>14</v>
      </c>
    </row>
    <row r="20" spans="1:5">
      <c r="A20" s="764" t="s">
        <v>2260</v>
      </c>
      <c r="B20" s="1025">
        <v>15</v>
      </c>
      <c r="C20" s="1362"/>
      <c r="D20" s="1323" t="s">
        <v>3215</v>
      </c>
      <c r="E20" s="1323" t="s">
        <v>3216</v>
      </c>
    </row>
    <row r="21" spans="1:5">
      <c r="B21" s="1025">
        <v>16</v>
      </c>
      <c r="C21" s="1362" t="s">
        <v>1319</v>
      </c>
      <c r="D21" s="1359">
        <f>审定利润表!C39</f>
        <v>0</v>
      </c>
      <c r="E21" s="1359">
        <f>审定利润表!D39</f>
        <v>0</v>
      </c>
    </row>
    <row r="22" spans="1:5">
      <c r="B22" s="1025">
        <v>17</v>
      </c>
      <c r="C22" s="1362" t="s">
        <v>1320</v>
      </c>
      <c r="D22" s="1359">
        <f>D18-D21</f>
        <v>0</v>
      </c>
      <c r="E22" s="1359">
        <f>E18-E21</f>
        <v>0</v>
      </c>
    </row>
    <row r="23" spans="1:5">
      <c r="B23" s="1025">
        <v>18</v>
      </c>
    </row>
    <row r="24" spans="1:5">
      <c r="B24" s="1025">
        <v>19</v>
      </c>
    </row>
  </sheetData>
  <phoneticPr fontId="5" type="noConversion"/>
  <hyperlinks>
    <hyperlink ref="A1" location="附注填写封面!B3" display="返回目录" xr:uid="{00000000-0004-0000-5800-000000000000}"/>
    <hyperlink ref="A20" location="附注填写封面!B3" display="返回目录" xr:uid="{00000000-0004-0000-5800-000001000000}"/>
  </hyperlinks>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57">
    <tabColor rgb="FFFFC000"/>
  </sheetPr>
  <dimension ref="A1:J45"/>
  <sheetViews>
    <sheetView showGridLines="0" showZeros="0" workbookViewId="0">
      <selection activeCell="E11" sqref="E11"/>
    </sheetView>
  </sheetViews>
  <sheetFormatPr defaultColWidth="11.625" defaultRowHeight="12.75"/>
  <cols>
    <col min="1" max="1" width="14.875" style="810" customWidth="1"/>
    <col min="2" max="2" width="6.375" style="344" hidden="1" customWidth="1"/>
    <col min="3" max="3" width="35.875" style="843" customWidth="1"/>
    <col min="4" max="5" width="11.625" style="344" customWidth="1"/>
    <col min="6" max="6" width="20.5" style="344" bestFit="1" customWidth="1"/>
    <col min="7" max="7" width="8" style="344" customWidth="1"/>
    <col min="8" max="8" width="25.5" style="344" customWidth="1"/>
    <col min="9" max="9" width="11.125" style="344" customWidth="1"/>
    <col min="10" max="10" width="12.625" style="344" customWidth="1"/>
    <col min="11" max="11" width="8.5" style="344" customWidth="1"/>
    <col min="12" max="16384" width="11.625" style="344"/>
  </cols>
  <sheetData>
    <row r="1" spans="1:10" ht="24" customHeight="1">
      <c r="A1" s="957" t="s">
        <v>2260</v>
      </c>
      <c r="B1" s="343" t="s">
        <v>1446</v>
      </c>
      <c r="C1" s="759" t="s">
        <v>3412</v>
      </c>
    </row>
    <row r="2" spans="1:10">
      <c r="B2" s="162">
        <v>2</v>
      </c>
      <c r="C2" s="1014" t="s">
        <v>1227</v>
      </c>
    </row>
    <row r="3" spans="1:10" ht="17.25" customHeight="1">
      <c r="A3" s="957" t="s">
        <v>3431</v>
      </c>
      <c r="B3" s="162">
        <v>3</v>
      </c>
      <c r="C3" s="889" t="s">
        <v>366</v>
      </c>
      <c r="D3" s="889" t="s">
        <v>3413</v>
      </c>
      <c r="E3" s="889" t="s">
        <v>3432</v>
      </c>
      <c r="F3" s="888" t="s">
        <v>3306</v>
      </c>
      <c r="H3" s="881" t="s">
        <v>3414</v>
      </c>
      <c r="I3" s="881" t="s">
        <v>3270</v>
      </c>
      <c r="J3" s="881" t="s">
        <v>3433</v>
      </c>
    </row>
    <row r="4" spans="1:10">
      <c r="A4" s="810">
        <v>1</v>
      </c>
      <c r="B4" s="162">
        <v>4</v>
      </c>
      <c r="C4" s="338" t="s">
        <v>3434</v>
      </c>
      <c r="D4" s="406">
        <f>SUM(D5:D8)</f>
        <v>0</v>
      </c>
      <c r="E4" s="406">
        <f>SUM(E5:E8)</f>
        <v>0</v>
      </c>
      <c r="F4" s="406">
        <f>SUM(F5:F8)</f>
        <v>0</v>
      </c>
      <c r="H4" s="1040" t="str">
        <f>审定利润表!A41</f>
        <v xml:space="preserve">    加：营业外收入</v>
      </c>
      <c r="I4" s="406">
        <f>审定利润表!C41</f>
        <v>0</v>
      </c>
      <c r="J4" s="406">
        <f>审定利润表!D41</f>
        <v>511678</v>
      </c>
    </row>
    <row r="5" spans="1:10">
      <c r="A5" s="810">
        <v>2</v>
      </c>
      <c r="B5" s="162">
        <v>5</v>
      </c>
      <c r="C5" s="338" t="s">
        <v>1229</v>
      </c>
      <c r="D5" s="400"/>
      <c r="E5" s="400"/>
      <c r="F5" s="888"/>
      <c r="H5" s="1040" t="str">
        <f>审定利润表!A42</f>
        <v xml:space="preserve">                其中：非流动资产处置利得</v>
      </c>
      <c r="I5" s="406">
        <f>审定利润表!C42</f>
        <v>0</v>
      </c>
      <c r="J5" s="406">
        <f>审定利润表!D42</f>
        <v>0</v>
      </c>
    </row>
    <row r="6" spans="1:10">
      <c r="A6" s="810">
        <v>3</v>
      </c>
      <c r="B6" s="162">
        <v>6</v>
      </c>
      <c r="C6" s="820" t="s">
        <v>1230</v>
      </c>
      <c r="D6" s="400"/>
      <c r="E6" s="400"/>
      <c r="F6" s="888"/>
      <c r="H6" s="1040" t="str">
        <f>审定利润表!A43</f>
        <v xml:space="preserve">             非货币性资产交换利得</v>
      </c>
      <c r="I6" s="406">
        <f>审定利润表!C43</f>
        <v>0</v>
      </c>
      <c r="J6" s="406">
        <f>审定利润表!D43</f>
        <v>0</v>
      </c>
    </row>
    <row r="7" spans="1:10">
      <c r="A7" s="810">
        <v>4</v>
      </c>
      <c r="B7" s="162">
        <v>7</v>
      </c>
      <c r="C7" s="820" t="s">
        <v>1231</v>
      </c>
      <c r="D7" s="400"/>
      <c r="E7" s="400"/>
      <c r="F7" s="888"/>
      <c r="H7" s="1040" t="str">
        <f>审定利润表!A44</f>
        <v xml:space="preserve">             政府补助</v>
      </c>
      <c r="I7" s="406">
        <f>审定利润表!C44</f>
        <v>0</v>
      </c>
      <c r="J7" s="406">
        <f>审定利润表!D44</f>
        <v>511678</v>
      </c>
    </row>
    <row r="8" spans="1:10">
      <c r="A8" s="810">
        <v>5</v>
      </c>
      <c r="B8" s="162">
        <v>8</v>
      </c>
      <c r="C8" s="820" t="s">
        <v>1166</v>
      </c>
      <c r="D8" s="400"/>
      <c r="E8" s="400"/>
      <c r="F8" s="888"/>
      <c r="H8" s="1040" t="str">
        <f>审定利润表!A45</f>
        <v xml:space="preserve">             债务重组利得</v>
      </c>
      <c r="I8" s="406">
        <f>审定利润表!C45</f>
        <v>0</v>
      </c>
      <c r="J8" s="406">
        <f>审定利润表!D45</f>
        <v>0</v>
      </c>
    </row>
    <row r="9" spans="1:10">
      <c r="A9" s="810">
        <v>6</v>
      </c>
      <c r="B9" s="162">
        <v>9</v>
      </c>
      <c r="C9" s="338" t="s">
        <v>1232</v>
      </c>
      <c r="D9" s="400"/>
      <c r="E9" s="400"/>
      <c r="F9" s="888"/>
    </row>
    <row r="10" spans="1:10" ht="15" customHeight="1">
      <c r="A10" s="810">
        <v>7</v>
      </c>
      <c r="B10" s="162">
        <v>10</v>
      </c>
      <c r="C10" s="338" t="s">
        <v>1233</v>
      </c>
      <c r="D10" s="400"/>
      <c r="E10" s="400"/>
      <c r="F10" s="888"/>
      <c r="H10" s="881" t="s">
        <v>3307</v>
      </c>
      <c r="I10" s="881" t="s">
        <v>3270</v>
      </c>
      <c r="J10" s="881" t="s">
        <v>3271</v>
      </c>
    </row>
    <row r="11" spans="1:10">
      <c r="A11" s="810">
        <v>8</v>
      </c>
      <c r="B11" s="162">
        <v>11</v>
      </c>
      <c r="C11" s="338" t="s">
        <v>1234</v>
      </c>
      <c r="D11" s="400"/>
      <c r="E11" s="400">
        <v>511678</v>
      </c>
      <c r="F11" s="888"/>
      <c r="H11" s="1040" t="str">
        <f>H4</f>
        <v xml:space="preserve">    加：营业外收入</v>
      </c>
      <c r="I11" s="405">
        <f>D19-I4</f>
        <v>0</v>
      </c>
      <c r="J11" s="405">
        <f>E19-J4</f>
        <v>0</v>
      </c>
    </row>
    <row r="12" spans="1:10">
      <c r="A12" s="810">
        <v>9</v>
      </c>
      <c r="B12" s="162">
        <v>12</v>
      </c>
      <c r="C12" s="338" t="s">
        <v>1235</v>
      </c>
      <c r="D12" s="400"/>
      <c r="E12" s="400"/>
      <c r="F12" s="888"/>
      <c r="H12" s="1040" t="str">
        <f>H5</f>
        <v xml:space="preserve">                其中：非流动资产处置利得</v>
      </c>
      <c r="I12" s="405">
        <f>D4-I5</f>
        <v>0</v>
      </c>
      <c r="J12" s="405">
        <f>E4-J5</f>
        <v>0</v>
      </c>
    </row>
    <row r="13" spans="1:10">
      <c r="A13" s="810">
        <v>10</v>
      </c>
      <c r="B13" s="162">
        <v>13</v>
      </c>
      <c r="C13" s="338" t="s">
        <v>1236</v>
      </c>
      <c r="D13" s="400"/>
      <c r="E13" s="400"/>
      <c r="F13" s="888"/>
      <c r="H13" s="1040" t="str">
        <f>H6</f>
        <v xml:space="preserve">             非货币性资产交换利得</v>
      </c>
      <c r="I13" s="405">
        <f>D9-I6</f>
        <v>0</v>
      </c>
      <c r="J13" s="405">
        <f>E9-J6</f>
        <v>0</v>
      </c>
    </row>
    <row r="14" spans="1:10">
      <c r="A14" s="810">
        <v>11</v>
      </c>
      <c r="B14" s="162">
        <v>14</v>
      </c>
      <c r="C14" s="338" t="s">
        <v>1237</v>
      </c>
      <c r="D14" s="400"/>
      <c r="E14" s="400"/>
      <c r="F14" s="888"/>
      <c r="H14" s="1040" t="str">
        <f>H7</f>
        <v xml:space="preserve">             政府补助</v>
      </c>
      <c r="I14" s="405">
        <f>D11-I7</f>
        <v>0</v>
      </c>
      <c r="J14" s="405">
        <f>E11-J7</f>
        <v>0</v>
      </c>
    </row>
    <row r="15" spans="1:10">
      <c r="A15" s="810">
        <v>12</v>
      </c>
      <c r="B15" s="162">
        <v>15</v>
      </c>
      <c r="C15" s="338" t="s">
        <v>1238</v>
      </c>
      <c r="D15" s="400"/>
      <c r="E15" s="400"/>
      <c r="F15" s="888"/>
      <c r="H15" s="1040" t="str">
        <f>H8</f>
        <v xml:space="preserve">             债务重组利得</v>
      </c>
      <c r="I15" s="405">
        <f>D10-I8</f>
        <v>0</v>
      </c>
      <c r="J15" s="405">
        <f>E10-J8</f>
        <v>0</v>
      </c>
    </row>
    <row r="16" spans="1:10">
      <c r="A16" s="810">
        <v>13</v>
      </c>
      <c r="B16" s="162">
        <v>16</v>
      </c>
      <c r="C16" s="340" t="s">
        <v>1239</v>
      </c>
      <c r="D16" s="400"/>
      <c r="E16" s="400"/>
      <c r="F16" s="888"/>
    </row>
    <row r="17" spans="1:8">
      <c r="A17" s="810">
        <v>14</v>
      </c>
      <c r="B17" s="162">
        <v>17</v>
      </c>
      <c r="C17" s="340" t="s">
        <v>1240</v>
      </c>
      <c r="D17" s="400"/>
      <c r="E17" s="400"/>
      <c r="F17" s="888"/>
    </row>
    <row r="18" spans="1:8">
      <c r="A18" s="810">
        <v>15</v>
      </c>
      <c r="B18" s="162">
        <v>18</v>
      </c>
      <c r="C18" s="340" t="s">
        <v>391</v>
      </c>
      <c r="D18" s="400"/>
      <c r="E18" s="400"/>
      <c r="F18" s="888"/>
    </row>
    <row r="19" spans="1:8">
      <c r="A19" s="811" t="str">
        <f>HYPERLINK("#C1","置顶")</f>
        <v>置顶</v>
      </c>
      <c r="B19" s="162">
        <v>19</v>
      </c>
      <c r="C19" s="889" t="s">
        <v>877</v>
      </c>
      <c r="D19" s="406">
        <f>D4+D9+D10+D11+D12+D13+D14+D15+D16+D17+D18</f>
        <v>0</v>
      </c>
      <c r="E19" s="406">
        <f>E4+E9+E10+E11+E12+E13+E14+E15+E16+E17+E18</f>
        <v>511678</v>
      </c>
      <c r="F19" s="406">
        <f>F4+F9+F10+F11+F12+F13+F14+F15+F16+F17+F18</f>
        <v>0</v>
      </c>
    </row>
    <row r="20" spans="1:8">
      <c r="B20" s="162">
        <v>20</v>
      </c>
      <c r="H20" s="887"/>
    </row>
    <row r="21" spans="1:8">
      <c r="A21" s="957" t="s">
        <v>2260</v>
      </c>
      <c r="B21" s="162">
        <v>21</v>
      </c>
      <c r="C21" s="1014" t="s">
        <v>3415</v>
      </c>
      <c r="H21" s="887"/>
    </row>
    <row r="22" spans="1:8">
      <c r="B22" s="162">
        <v>22</v>
      </c>
      <c r="C22" s="881" t="s">
        <v>890</v>
      </c>
      <c r="D22" s="881" t="s">
        <v>3243</v>
      </c>
      <c r="E22" s="881" t="s">
        <v>3244</v>
      </c>
      <c r="F22" s="881" t="s">
        <v>3435</v>
      </c>
      <c r="H22" s="887"/>
    </row>
    <row r="23" spans="1:8">
      <c r="A23" s="810">
        <v>1</v>
      </c>
      <c r="B23" s="162">
        <v>23</v>
      </c>
      <c r="C23" s="338"/>
      <c r="D23" s="400"/>
      <c r="E23" s="400">
        <v>511678</v>
      </c>
      <c r="F23" s="338"/>
    </row>
    <row r="24" spans="1:8">
      <c r="A24" s="810">
        <v>2</v>
      </c>
      <c r="B24" s="162">
        <v>24</v>
      </c>
      <c r="C24" s="338"/>
      <c r="D24" s="400"/>
      <c r="E24" s="400"/>
      <c r="F24" s="338"/>
    </row>
    <row r="25" spans="1:8">
      <c r="A25" s="810">
        <v>3</v>
      </c>
      <c r="B25" s="162">
        <v>25</v>
      </c>
      <c r="C25" s="338"/>
      <c r="D25" s="400"/>
      <c r="E25" s="400"/>
      <c r="F25" s="338"/>
    </row>
    <row r="26" spans="1:8">
      <c r="A26" s="810">
        <v>4</v>
      </c>
      <c r="B26" s="162">
        <v>26</v>
      </c>
      <c r="C26" s="338"/>
      <c r="D26" s="400"/>
      <c r="E26" s="400"/>
      <c r="F26" s="338"/>
    </row>
    <row r="27" spans="1:8">
      <c r="A27" s="810">
        <v>5</v>
      </c>
      <c r="B27" s="162">
        <v>27</v>
      </c>
      <c r="C27" s="338"/>
      <c r="D27" s="400"/>
      <c r="E27" s="400"/>
      <c r="F27" s="338"/>
    </row>
    <row r="28" spans="1:8">
      <c r="A28" s="810">
        <v>6</v>
      </c>
      <c r="B28" s="162">
        <v>28</v>
      </c>
      <c r="C28" s="338"/>
      <c r="D28" s="400"/>
      <c r="E28" s="400"/>
      <c r="F28" s="338"/>
    </row>
    <row r="29" spans="1:8">
      <c r="A29" s="810">
        <v>7</v>
      </c>
      <c r="B29" s="162">
        <v>29</v>
      </c>
      <c r="C29" s="338"/>
      <c r="D29" s="400"/>
      <c r="E29" s="400"/>
      <c r="F29" s="338"/>
    </row>
    <row r="30" spans="1:8">
      <c r="A30" s="810">
        <v>8</v>
      </c>
      <c r="B30" s="162">
        <v>30</v>
      </c>
      <c r="C30" s="338"/>
      <c r="D30" s="400"/>
      <c r="E30" s="400"/>
      <c r="F30" s="338"/>
    </row>
    <row r="31" spans="1:8">
      <c r="A31" s="810">
        <v>9</v>
      </c>
      <c r="B31" s="162">
        <v>31</v>
      </c>
      <c r="C31" s="338"/>
      <c r="D31" s="400"/>
      <c r="E31" s="400"/>
      <c r="F31" s="338"/>
    </row>
    <row r="32" spans="1:8">
      <c r="A32" s="810">
        <v>10</v>
      </c>
      <c r="B32" s="162">
        <v>32</v>
      </c>
      <c r="C32" s="338"/>
      <c r="D32" s="400"/>
      <c r="E32" s="400"/>
      <c r="F32" s="338"/>
    </row>
    <row r="33" spans="1:6">
      <c r="A33" s="810">
        <v>11</v>
      </c>
      <c r="B33" s="162">
        <v>33</v>
      </c>
      <c r="C33" s="338"/>
      <c r="D33" s="400"/>
      <c r="E33" s="400"/>
      <c r="F33" s="338"/>
    </row>
    <row r="34" spans="1:6">
      <c r="A34" s="810">
        <v>12</v>
      </c>
      <c r="B34" s="162">
        <v>34</v>
      </c>
      <c r="C34" s="338"/>
      <c r="D34" s="400"/>
      <c r="E34" s="400"/>
      <c r="F34" s="338"/>
    </row>
    <row r="35" spans="1:6">
      <c r="A35" s="810">
        <v>13</v>
      </c>
      <c r="B35" s="162">
        <v>35</v>
      </c>
      <c r="C35" s="338"/>
      <c r="D35" s="400"/>
      <c r="E35" s="400"/>
      <c r="F35" s="338"/>
    </row>
    <row r="36" spans="1:6">
      <c r="A36" s="810">
        <v>14</v>
      </c>
      <c r="B36" s="162">
        <v>36</v>
      </c>
      <c r="C36" s="338"/>
      <c r="D36" s="400"/>
      <c r="E36" s="400"/>
      <c r="F36" s="338"/>
    </row>
    <row r="37" spans="1:6">
      <c r="A37" s="810">
        <v>15</v>
      </c>
      <c r="B37" s="162">
        <v>37</v>
      </c>
      <c r="C37" s="338"/>
      <c r="D37" s="400"/>
      <c r="E37" s="400"/>
      <c r="F37" s="338"/>
    </row>
    <row r="38" spans="1:6">
      <c r="B38" s="162">
        <v>38</v>
      </c>
      <c r="C38" s="881" t="s">
        <v>839</v>
      </c>
      <c r="D38" s="406">
        <f>SUM(D23:D37)</f>
        <v>0</v>
      </c>
      <c r="E38" s="406">
        <f>SUM(E23:E37)</f>
        <v>511678</v>
      </c>
      <c r="F38" s="821"/>
    </row>
    <row r="39" spans="1:6">
      <c r="A39" s="811" t="str">
        <f>HYPERLINK("#C1","置顶")</f>
        <v>置顶</v>
      </c>
      <c r="B39" s="162">
        <v>39</v>
      </c>
      <c r="C39" s="834"/>
      <c r="D39" s="835"/>
      <c r="E39" s="835"/>
      <c r="F39" s="1041"/>
    </row>
    <row r="40" spans="1:6">
      <c r="B40" s="162">
        <v>40</v>
      </c>
      <c r="C40" s="881" t="s">
        <v>3118</v>
      </c>
      <c r="D40" s="406">
        <f>D11-D38</f>
        <v>0</v>
      </c>
      <c r="E40" s="406">
        <f>E11-E38</f>
        <v>0</v>
      </c>
      <c r="F40" s="406">
        <f>D19-F19</f>
        <v>0</v>
      </c>
    </row>
    <row r="41" spans="1:6">
      <c r="B41" s="162">
        <v>41</v>
      </c>
    </row>
    <row r="42" spans="1:6">
      <c r="B42" s="162">
        <v>42</v>
      </c>
      <c r="C42" s="881"/>
      <c r="D42" s="881" t="s">
        <v>2938</v>
      </c>
      <c r="E42" s="881" t="s">
        <v>2939</v>
      </c>
    </row>
    <row r="43" spans="1:6">
      <c r="B43" s="162">
        <v>43</v>
      </c>
      <c r="C43" s="881" t="s">
        <v>3120</v>
      </c>
      <c r="D43" s="406">
        <f>审定利润表!C41</f>
        <v>0</v>
      </c>
      <c r="E43" s="406">
        <f>审定利润表!D41</f>
        <v>511678</v>
      </c>
    </row>
    <row r="44" spans="1:6">
      <c r="A44" s="957" t="s">
        <v>2260</v>
      </c>
      <c r="B44" s="162">
        <v>44</v>
      </c>
      <c r="C44" s="893" t="s">
        <v>1320</v>
      </c>
      <c r="D44" s="406">
        <f>D19-D43</f>
        <v>0</v>
      </c>
      <c r="E44" s="406">
        <f>E19-E43</f>
        <v>0</v>
      </c>
    </row>
    <row r="45" spans="1:6" ht="14.25">
      <c r="C45"/>
      <c r="D45"/>
      <c r="E45"/>
    </row>
  </sheetData>
  <sheetProtection formatCells="0" formatColumns="0" formatRows="0" autoFilter="0"/>
  <phoneticPr fontId="5" type="noConversion"/>
  <hyperlinks>
    <hyperlink ref="A1" location="附注填写封面!B3" display="返回目录" xr:uid="{00000000-0004-0000-5900-000000000000}"/>
    <hyperlink ref="A3" location="财务专项说明!H38" display="返回财务专项说明" xr:uid="{00000000-0004-0000-5900-000001000000}"/>
    <hyperlink ref="A21" location="附注填写封面!B3" display="返回目录" xr:uid="{00000000-0004-0000-5900-000002000000}"/>
    <hyperlink ref="A44" location="附注填写封面!B3" display="返回目录" xr:uid="{00000000-0004-0000-5900-000003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ignoredErrors>
    <ignoredError sqref="F40" unlockedFormula="1"/>
  </ignoredErrors>
  <extLst>
    <ext xmlns:mx="http://schemas.microsoft.com/office/mac/excel/2008/main" uri="{64002731-A6B0-56B0-2670-7721B7C09600}">
      <mx:PLV Mode="0" OnePage="0" WScale="0"/>
    </ext>
  </extLs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58">
    <tabColor rgb="FFFFC000"/>
  </sheetPr>
  <dimension ref="A1:J26"/>
  <sheetViews>
    <sheetView showGridLines="0" showZeros="0" workbookViewId="0">
      <selection activeCell="F13" sqref="F13"/>
    </sheetView>
  </sheetViews>
  <sheetFormatPr defaultColWidth="11.625" defaultRowHeight="12.75"/>
  <cols>
    <col min="1" max="1" width="12.125" style="162" customWidth="1"/>
    <col min="2" max="2" width="6" style="344" hidden="1" customWidth="1"/>
    <col min="3" max="3" width="20.125" style="843" customWidth="1"/>
    <col min="4" max="4" width="11.625" style="344" customWidth="1"/>
    <col min="5" max="7" width="11.625" style="344"/>
    <col min="8" max="8" width="29.625" style="344" bestFit="1" customWidth="1"/>
    <col min="9" max="16384" width="11.625" style="344"/>
  </cols>
  <sheetData>
    <row r="1" spans="1:10" ht="23.25" customHeight="1">
      <c r="A1" s="860" t="s">
        <v>2260</v>
      </c>
      <c r="B1" s="343" t="s">
        <v>1446</v>
      </c>
      <c r="C1" s="759" t="s">
        <v>3410</v>
      </c>
    </row>
    <row r="2" spans="1:10" ht="12" customHeight="1">
      <c r="A2" s="860"/>
      <c r="B2" s="162">
        <v>2</v>
      </c>
      <c r="C2" s="1020"/>
    </row>
    <row r="3" spans="1:10" ht="24">
      <c r="B3" s="162">
        <v>3</v>
      </c>
      <c r="C3" s="889" t="s">
        <v>366</v>
      </c>
      <c r="D3" s="889" t="s">
        <v>3220</v>
      </c>
      <c r="E3" s="889" t="s">
        <v>3221</v>
      </c>
      <c r="F3" s="889" t="s">
        <v>3306</v>
      </c>
      <c r="H3" s="881" t="s">
        <v>3411</v>
      </c>
      <c r="I3" s="881" t="s">
        <v>3270</v>
      </c>
      <c r="J3" s="881" t="s">
        <v>3271</v>
      </c>
    </row>
    <row r="4" spans="1:10" ht="10.5" customHeight="1">
      <c r="A4" s="860" t="s">
        <v>3305</v>
      </c>
      <c r="B4" s="162">
        <v>4</v>
      </c>
      <c r="C4" s="760" t="s">
        <v>1242</v>
      </c>
      <c r="D4" s="406">
        <f>SUM(D5:D8)</f>
        <v>0</v>
      </c>
      <c r="E4" s="406">
        <f>SUM(E5:E8)</f>
        <v>0</v>
      </c>
      <c r="F4" s="406">
        <f>SUM(F5:F8)</f>
        <v>0</v>
      </c>
      <c r="H4" s="1040" t="str">
        <f>审定利润表!A46</f>
        <v xml:space="preserve">    减：营业外支出</v>
      </c>
      <c r="I4" s="406">
        <f>审定利润表!C46</f>
        <v>1874.89</v>
      </c>
      <c r="J4" s="406">
        <f>审定利润表!D46</f>
        <v>0</v>
      </c>
    </row>
    <row r="5" spans="1:10">
      <c r="A5" s="162">
        <v>1</v>
      </c>
      <c r="B5" s="162">
        <v>5</v>
      </c>
      <c r="C5" s="760" t="s">
        <v>1243</v>
      </c>
      <c r="D5" s="400"/>
      <c r="E5" s="400"/>
      <c r="F5" s="400"/>
      <c r="H5" s="1040" t="str">
        <f>审定利润表!A47</f>
        <v xml:space="preserve">                其中：非流动资产处置损失</v>
      </c>
      <c r="I5" s="406">
        <f>审定利润表!C47</f>
        <v>0</v>
      </c>
      <c r="J5" s="406">
        <f>审定利润表!D47</f>
        <v>0</v>
      </c>
    </row>
    <row r="6" spans="1:10">
      <c r="A6" s="162">
        <v>2</v>
      </c>
      <c r="B6" s="162">
        <v>6</v>
      </c>
      <c r="C6" s="964" t="s">
        <v>1244</v>
      </c>
      <c r="D6" s="341"/>
      <c r="E6" s="400"/>
      <c r="F6" s="400"/>
      <c r="H6" s="1040" t="str">
        <f>审定利润表!A48</f>
        <v xml:space="preserve">             非货币性资产交换损失</v>
      </c>
      <c r="I6" s="406">
        <f>审定利润表!C48</f>
        <v>0</v>
      </c>
      <c r="J6" s="406">
        <f>审定利润表!D48</f>
        <v>0</v>
      </c>
    </row>
    <row r="7" spans="1:10">
      <c r="A7" s="162">
        <v>3</v>
      </c>
      <c r="B7" s="162">
        <v>7</v>
      </c>
      <c r="C7" s="964" t="s">
        <v>1245</v>
      </c>
      <c r="D7" s="341"/>
      <c r="E7" s="341"/>
      <c r="F7" s="341"/>
      <c r="H7" s="1040" t="str">
        <f>审定利润表!A49</f>
        <v xml:space="preserve">             债务重组损失</v>
      </c>
      <c r="I7" s="406">
        <f>审定利润表!C49</f>
        <v>0</v>
      </c>
      <c r="J7" s="406">
        <f>审定利润表!D49</f>
        <v>0</v>
      </c>
    </row>
    <row r="8" spans="1:10">
      <c r="A8" s="162">
        <v>4</v>
      </c>
      <c r="B8" s="162">
        <v>8</v>
      </c>
      <c r="C8" s="964" t="s">
        <v>1166</v>
      </c>
      <c r="D8" s="400"/>
      <c r="E8" s="341"/>
      <c r="F8" s="341"/>
    </row>
    <row r="9" spans="1:10">
      <c r="A9" s="162">
        <v>5</v>
      </c>
      <c r="B9" s="162">
        <v>9</v>
      </c>
      <c r="C9" s="760" t="s">
        <v>1246</v>
      </c>
      <c r="D9" s="341"/>
      <c r="E9" s="341"/>
      <c r="F9" s="341"/>
      <c r="H9" s="881" t="s">
        <v>3307</v>
      </c>
      <c r="I9" s="881" t="s">
        <v>3270</v>
      </c>
      <c r="J9" s="881" t="s">
        <v>3271</v>
      </c>
    </row>
    <row r="10" spans="1:10">
      <c r="A10" s="162">
        <v>6</v>
      </c>
      <c r="B10" s="162">
        <v>10</v>
      </c>
      <c r="C10" s="338" t="s">
        <v>1247</v>
      </c>
      <c r="D10" s="341"/>
      <c r="E10" s="341"/>
      <c r="F10" s="341"/>
      <c r="H10" s="888" t="s">
        <v>293</v>
      </c>
      <c r="I10" s="406">
        <f>D22-I4</f>
        <v>0</v>
      </c>
      <c r="J10" s="406">
        <f>E22-J4</f>
        <v>0</v>
      </c>
    </row>
    <row r="11" spans="1:10">
      <c r="A11" s="162">
        <v>7</v>
      </c>
      <c r="B11" s="162">
        <v>11</v>
      </c>
      <c r="C11" s="760" t="s">
        <v>1248</v>
      </c>
      <c r="D11" s="400"/>
      <c r="E11" s="400"/>
      <c r="F11" s="400"/>
      <c r="H11" s="888" t="s">
        <v>3302</v>
      </c>
      <c r="I11" s="406">
        <f>D4-I5</f>
        <v>0</v>
      </c>
      <c r="J11" s="406">
        <f>E4-J5</f>
        <v>0</v>
      </c>
    </row>
    <row r="12" spans="1:10">
      <c r="A12" s="162">
        <v>8</v>
      </c>
      <c r="B12" s="162">
        <v>12</v>
      </c>
      <c r="C12" s="760" t="s">
        <v>1249</v>
      </c>
      <c r="D12" s="400"/>
      <c r="E12" s="400"/>
      <c r="F12" s="400"/>
      <c r="H12" s="888" t="s">
        <v>3303</v>
      </c>
      <c r="I12" s="406">
        <f>D9-I6</f>
        <v>0</v>
      </c>
      <c r="J12" s="406">
        <f>E9-J6</f>
        <v>0</v>
      </c>
    </row>
    <row r="13" spans="1:10">
      <c r="A13" s="162">
        <v>9</v>
      </c>
      <c r="B13" s="162">
        <v>13</v>
      </c>
      <c r="C13" s="340" t="s">
        <v>1250</v>
      </c>
      <c r="D13" s="400">
        <f>调整分录!H50</f>
        <v>1874.89</v>
      </c>
      <c r="E13" s="341"/>
      <c r="F13" s="341">
        <v>1874.8900000000003</v>
      </c>
      <c r="H13" s="888" t="s">
        <v>3304</v>
      </c>
      <c r="I13" s="406">
        <f>D10-I7</f>
        <v>0</v>
      </c>
      <c r="J13" s="406">
        <f>E10-J7</f>
        <v>0</v>
      </c>
    </row>
    <row r="14" spans="1:10">
      <c r="A14" s="162">
        <v>10</v>
      </c>
      <c r="B14" s="162">
        <v>14</v>
      </c>
      <c r="C14" s="338" t="s">
        <v>1251</v>
      </c>
      <c r="D14" s="341"/>
      <c r="E14" s="400"/>
      <c r="F14" s="400"/>
    </row>
    <row r="15" spans="1:10">
      <c r="A15" s="162">
        <v>11</v>
      </c>
      <c r="B15" s="162">
        <v>15</v>
      </c>
      <c r="C15" s="338" t="s">
        <v>1252</v>
      </c>
      <c r="D15" s="400"/>
      <c r="E15" s="400"/>
      <c r="F15" s="400"/>
    </row>
    <row r="16" spans="1:10">
      <c r="A16" s="162">
        <v>12</v>
      </c>
      <c r="B16" s="162">
        <v>16</v>
      </c>
      <c r="C16" s="338" t="s">
        <v>1253</v>
      </c>
      <c r="D16" s="341"/>
      <c r="E16" s="341"/>
      <c r="F16" s="341"/>
    </row>
    <row r="17" spans="1:6">
      <c r="A17" s="162">
        <v>13</v>
      </c>
      <c r="B17" s="162">
        <v>17</v>
      </c>
      <c r="C17" s="338" t="s">
        <v>1254</v>
      </c>
      <c r="D17" s="341"/>
      <c r="E17" s="400"/>
      <c r="F17" s="400"/>
    </row>
    <row r="18" spans="1:6">
      <c r="A18" s="162">
        <v>14</v>
      </c>
      <c r="B18" s="162">
        <v>18</v>
      </c>
      <c r="C18" s="338" t="s">
        <v>1255</v>
      </c>
      <c r="D18" s="341"/>
      <c r="E18" s="341"/>
      <c r="F18" s="341"/>
    </row>
    <row r="19" spans="1:6">
      <c r="A19" s="162">
        <v>15</v>
      </c>
      <c r="B19" s="162">
        <v>19</v>
      </c>
      <c r="C19" s="338" t="s">
        <v>1256</v>
      </c>
      <c r="D19" s="341"/>
      <c r="E19" s="341"/>
      <c r="F19" s="341"/>
    </row>
    <row r="20" spans="1:6">
      <c r="A20" s="162">
        <v>16</v>
      </c>
      <c r="B20" s="162">
        <v>20</v>
      </c>
      <c r="C20" s="338" t="s">
        <v>1257</v>
      </c>
      <c r="D20" s="400"/>
      <c r="E20" s="400"/>
      <c r="F20" s="400"/>
    </row>
    <row r="21" spans="1:6">
      <c r="A21" s="162">
        <v>17</v>
      </c>
      <c r="B21" s="162">
        <v>21</v>
      </c>
      <c r="C21" s="338" t="s">
        <v>1258</v>
      </c>
      <c r="D21" s="400"/>
      <c r="E21" s="400"/>
      <c r="F21" s="400"/>
    </row>
    <row r="22" spans="1:6">
      <c r="B22" s="162">
        <v>22</v>
      </c>
      <c r="C22" s="889" t="s">
        <v>839</v>
      </c>
      <c r="D22" s="406">
        <f>SUM(D9:D21)+D4</f>
        <v>1874.89</v>
      </c>
      <c r="E22" s="406">
        <f>SUM(E9:E21)+E4</f>
        <v>0</v>
      </c>
      <c r="F22" s="406">
        <f>SUM(F9:F21)+F4</f>
        <v>1874.8900000000003</v>
      </c>
    </row>
    <row r="23" spans="1:6">
      <c r="B23" s="162">
        <v>23</v>
      </c>
    </row>
    <row r="24" spans="1:6">
      <c r="B24" s="162">
        <v>24</v>
      </c>
      <c r="C24" s="881"/>
      <c r="D24" s="881" t="s">
        <v>2938</v>
      </c>
      <c r="E24" s="881" t="s">
        <v>2939</v>
      </c>
      <c r="F24" s="834"/>
    </row>
    <row r="25" spans="1:6">
      <c r="A25" s="860" t="s">
        <v>2260</v>
      </c>
      <c r="B25" s="162">
        <v>25</v>
      </c>
      <c r="C25" s="881" t="s">
        <v>1319</v>
      </c>
      <c r="D25" s="406">
        <f>审定利润表!C46</f>
        <v>1874.89</v>
      </c>
      <c r="E25" s="406">
        <f>审定利润表!D46</f>
        <v>0</v>
      </c>
    </row>
    <row r="26" spans="1:6">
      <c r="A26" s="860"/>
      <c r="B26" s="162">
        <v>26</v>
      </c>
      <c r="C26" s="881" t="s">
        <v>1320</v>
      </c>
      <c r="D26" s="406">
        <f>D22-D25</f>
        <v>0</v>
      </c>
      <c r="E26" s="406">
        <f>E22-E25</f>
        <v>0</v>
      </c>
      <c r="F26" s="406">
        <f>D22-F22</f>
        <v>0</v>
      </c>
    </row>
  </sheetData>
  <sheetProtection formatCells="0" formatColumns="0" formatRows="0" autoFilter="0"/>
  <phoneticPr fontId="5" type="noConversion"/>
  <hyperlinks>
    <hyperlink ref="A1" location="附注填写封面!B3" display="返回目录" xr:uid="{00000000-0004-0000-5A00-000000000000}"/>
    <hyperlink ref="A4" location="财务专项说明!H38" display="返回财务专项说明" xr:uid="{00000000-0004-0000-5A00-000001000000}"/>
    <hyperlink ref="A25" location="附注填写封面!B3" display="返回目录" xr:uid="{00000000-0004-0000-5A00-000002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ignoredErrors>
    <ignoredError sqref="F26" unlockedFormula="1"/>
  </ignoredErrors>
  <extLst>
    <ext xmlns:mx="http://schemas.microsoft.com/office/mac/excel/2008/main" uri="{64002731-A6B0-56B0-2670-7721B7C09600}">
      <mx:PLV Mode="0" OnePage="0" WScale="0"/>
    </ext>
  </extLs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59">
    <tabColor rgb="FFFFC000"/>
  </sheetPr>
  <dimension ref="A1:H31"/>
  <sheetViews>
    <sheetView showGridLines="0" showZeros="0" workbookViewId="0"/>
  </sheetViews>
  <sheetFormatPr defaultColWidth="11.625" defaultRowHeight="12.75"/>
  <cols>
    <col min="1" max="1" width="8.125" style="344" customWidth="1"/>
    <col min="2" max="2" width="0.125" style="344" hidden="1" customWidth="1"/>
    <col min="3" max="3" width="57.5" style="843" customWidth="1"/>
    <col min="4" max="4" width="15.5" style="344" customWidth="1"/>
    <col min="5" max="5" width="18.375" style="344" customWidth="1"/>
    <col min="6" max="16384" width="11.625" style="344"/>
  </cols>
  <sheetData>
    <row r="1" spans="1:8" ht="21" customHeight="1">
      <c r="A1" s="764" t="s">
        <v>2260</v>
      </c>
      <c r="B1" s="343" t="s">
        <v>1446</v>
      </c>
      <c r="C1" s="759" t="s">
        <v>3398</v>
      </c>
    </row>
    <row r="2" spans="1:8">
      <c r="B2" s="162">
        <v>2</v>
      </c>
      <c r="C2" s="889" t="s">
        <v>366</v>
      </c>
      <c r="D2" s="889" t="s">
        <v>3215</v>
      </c>
      <c r="E2" s="889" t="s">
        <v>3216</v>
      </c>
    </row>
    <row r="3" spans="1:8">
      <c r="B3" s="162">
        <v>3</v>
      </c>
      <c r="C3" s="338" t="s">
        <v>3399</v>
      </c>
      <c r="D3" s="761">
        <v>84174.66</v>
      </c>
      <c r="E3" s="761">
        <v>1282781.77</v>
      </c>
    </row>
    <row r="4" spans="1:8">
      <c r="B4" s="162">
        <v>4</v>
      </c>
      <c r="C4" s="338" t="s">
        <v>3400</v>
      </c>
      <c r="D4" s="761">
        <v>-24026.85</v>
      </c>
      <c r="E4" s="761">
        <v>-2553.3000000000002</v>
      </c>
    </row>
    <row r="5" spans="1:8">
      <c r="B5" s="162">
        <v>5</v>
      </c>
      <c r="C5" s="338" t="s">
        <v>391</v>
      </c>
      <c r="D5" s="761"/>
      <c r="E5" s="761"/>
    </row>
    <row r="6" spans="1:8">
      <c r="B6" s="162">
        <v>6</v>
      </c>
      <c r="C6" s="889" t="s">
        <v>839</v>
      </c>
      <c r="D6" s="961">
        <f>SUM(D3:D5)</f>
        <v>60147.810000000005</v>
      </c>
      <c r="E6" s="961">
        <f>SUM(E3:E5)</f>
        <v>1280228.47</v>
      </c>
    </row>
    <row r="7" spans="1:8">
      <c r="B7" s="162">
        <v>7</v>
      </c>
      <c r="D7" s="345"/>
      <c r="E7" s="345"/>
      <c r="G7" s="345"/>
    </row>
    <row r="8" spans="1:8">
      <c r="B8" s="162">
        <v>8</v>
      </c>
      <c r="C8" s="881"/>
      <c r="D8" s="883" t="s">
        <v>2938</v>
      </c>
      <c r="E8" s="883" t="s">
        <v>2939</v>
      </c>
      <c r="G8" s="345"/>
      <c r="H8" s="1630"/>
    </row>
    <row r="9" spans="1:8">
      <c r="A9" s="764" t="s">
        <v>2260</v>
      </c>
      <c r="B9" s="162">
        <v>9</v>
      </c>
      <c r="C9" s="881" t="s">
        <v>1319</v>
      </c>
      <c r="D9" s="406">
        <f>审定利润表!C51</f>
        <v>60147.81</v>
      </c>
      <c r="E9" s="406">
        <f>审定利润表!D51</f>
        <v>1280228.47</v>
      </c>
      <c r="G9" s="1640"/>
      <c r="H9" s="1630"/>
    </row>
    <row r="10" spans="1:8">
      <c r="B10" s="162">
        <v>10</v>
      </c>
      <c r="C10" s="881" t="s">
        <v>1320</v>
      </c>
      <c r="D10" s="406">
        <f>D6-D9+D28</f>
        <v>7.2759576141834259E-12</v>
      </c>
      <c r="E10" s="406">
        <f>E6-E9+E28</f>
        <v>0</v>
      </c>
      <c r="G10" s="345"/>
      <c r="H10" s="1594"/>
    </row>
    <row r="11" spans="1:8">
      <c r="B11" s="162">
        <v>11</v>
      </c>
      <c r="C11" s="344"/>
      <c r="G11" s="1640"/>
    </row>
    <row r="12" spans="1:8">
      <c r="B12" s="162">
        <v>12</v>
      </c>
      <c r="C12" s="344"/>
      <c r="G12" s="1640"/>
    </row>
    <row r="13" spans="1:8">
      <c r="B13" s="162">
        <v>13</v>
      </c>
      <c r="C13" s="344" t="s">
        <v>3401</v>
      </c>
      <c r="G13" s="1594"/>
    </row>
    <row r="14" spans="1:8">
      <c r="B14" s="162">
        <v>14</v>
      </c>
      <c r="C14" s="1833" t="s">
        <v>2884</v>
      </c>
      <c r="D14" s="881" t="s">
        <v>2938</v>
      </c>
      <c r="E14" s="881" t="s">
        <v>2939</v>
      </c>
      <c r="G14" s="345"/>
    </row>
    <row r="15" spans="1:8">
      <c r="B15" s="162">
        <v>15</v>
      </c>
      <c r="C15" s="1833"/>
      <c r="D15" s="337" t="s">
        <v>1444</v>
      </c>
      <c r="E15" s="337" t="s">
        <v>1444</v>
      </c>
      <c r="G15" s="345"/>
    </row>
    <row r="16" spans="1:8">
      <c r="B16" s="162">
        <v>16</v>
      </c>
      <c r="C16" s="338" t="s">
        <v>3402</v>
      </c>
      <c r="D16" s="961">
        <f>审定利润表!C50</f>
        <v>135298.03</v>
      </c>
      <c r="E16" s="961">
        <f>审定利润表!D50</f>
        <v>5053105.38</v>
      </c>
      <c r="G16" s="1611"/>
    </row>
    <row r="17" spans="2:7" ht="24" customHeight="1">
      <c r="B17" s="162">
        <v>17</v>
      </c>
      <c r="C17" s="340" t="s">
        <v>3429</v>
      </c>
      <c r="D17" s="339">
        <f>ROUND(D16*0.25,2)</f>
        <v>33824.51</v>
      </c>
      <c r="E17" s="339">
        <f>ROUND(E16*0.25,2)</f>
        <v>1263276.3500000001</v>
      </c>
      <c r="G17" s="1611"/>
    </row>
    <row r="18" spans="2:7">
      <c r="B18" s="162">
        <v>18</v>
      </c>
      <c r="C18" s="340" t="s">
        <v>3403</v>
      </c>
      <c r="D18" s="341"/>
      <c r="E18" s="341"/>
      <c r="G18" s="1611"/>
    </row>
    <row r="19" spans="2:7">
      <c r="B19" s="162"/>
      <c r="C19" s="340" t="s">
        <v>3404</v>
      </c>
      <c r="D19" s="341">
        <v>26323.3</v>
      </c>
      <c r="E19" s="341"/>
      <c r="G19" s="1611"/>
    </row>
    <row r="20" spans="2:7">
      <c r="B20" s="162">
        <v>19</v>
      </c>
      <c r="C20" s="340" t="s">
        <v>3405</v>
      </c>
      <c r="D20" s="339"/>
      <c r="E20" s="339"/>
      <c r="G20" s="1611"/>
    </row>
    <row r="21" spans="2:7">
      <c r="B21" s="162">
        <v>20</v>
      </c>
      <c r="C21" s="340" t="s">
        <v>3406</v>
      </c>
      <c r="D21" s="341"/>
      <c r="E21" s="341">
        <v>16952.12</v>
      </c>
      <c r="G21" s="1611"/>
    </row>
    <row r="22" spans="2:7">
      <c r="B22" s="162">
        <v>21</v>
      </c>
      <c r="C22" s="340" t="s">
        <v>3407</v>
      </c>
      <c r="D22" s="339"/>
      <c r="E22" s="339"/>
      <c r="G22" s="1611"/>
    </row>
    <row r="23" spans="2:7">
      <c r="B23" s="162">
        <v>22</v>
      </c>
      <c r="C23" s="340" t="s">
        <v>3408</v>
      </c>
      <c r="D23" s="341"/>
      <c r="E23" s="341"/>
      <c r="G23" s="1611"/>
    </row>
    <row r="24" spans="2:7">
      <c r="B24" s="162">
        <v>23</v>
      </c>
      <c r="C24" s="340" t="s">
        <v>3430</v>
      </c>
      <c r="D24" s="339"/>
      <c r="E24" s="339"/>
      <c r="G24" s="1611"/>
    </row>
    <row r="25" spans="2:7">
      <c r="B25" s="162"/>
      <c r="C25" s="1392" t="s">
        <v>4634</v>
      </c>
      <c r="D25" s="1391"/>
      <c r="E25" s="1391"/>
      <c r="G25" s="1611"/>
    </row>
    <row r="26" spans="2:7">
      <c r="B26" s="162">
        <v>24</v>
      </c>
      <c r="C26" s="340" t="s">
        <v>1445</v>
      </c>
      <c r="D26" s="961">
        <f>D17+D18+D19+D20+D21+D22+D23+D24+D25</f>
        <v>60147.81</v>
      </c>
      <c r="E26" s="961">
        <f>E17+E18+E19+E20+E21+E22+E23+E24+E25</f>
        <v>1280228.4700000002</v>
      </c>
      <c r="G26" s="1611"/>
    </row>
    <row r="27" spans="2:7">
      <c r="B27" s="162">
        <v>25</v>
      </c>
      <c r="C27" s="344"/>
    </row>
    <row r="28" spans="2:7">
      <c r="B28" s="162">
        <v>26</v>
      </c>
      <c r="C28" s="955" t="s">
        <v>3409</v>
      </c>
      <c r="D28" s="992">
        <f>D26-D6</f>
        <v>0</v>
      </c>
      <c r="E28" s="992">
        <f>E26-E6</f>
        <v>0</v>
      </c>
    </row>
    <row r="29" spans="2:7">
      <c r="B29" s="162">
        <v>27</v>
      </c>
    </row>
    <row r="31" spans="2:7">
      <c r="E31" s="1594"/>
    </row>
  </sheetData>
  <sheetProtection formatCells="0" formatColumns="0" formatRows="0" autoFilter="0"/>
  <mergeCells count="1">
    <mergeCell ref="C14:C15"/>
  </mergeCells>
  <phoneticPr fontId="5" type="noConversion"/>
  <hyperlinks>
    <hyperlink ref="A1" location="附注填写封面!B3" display="返回目录" xr:uid="{00000000-0004-0000-5B00-000000000000}"/>
    <hyperlink ref="A9" location="附注填写封面!B3" display="返回目录" xr:uid="{00000000-0004-0000-5B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61"/>
  <dimension ref="A1:L62"/>
  <sheetViews>
    <sheetView showGridLines="0" showZeros="0" workbookViewId="0">
      <pane xSplit="3" ySplit="4" topLeftCell="D5" activePane="bottomRight" state="frozen"/>
      <selection activeCell="A7" sqref="A1:XFD1048576"/>
      <selection pane="topRight" activeCell="A7" sqref="A1:XFD1048576"/>
      <selection pane="bottomLeft" activeCell="A7" sqref="A1:XFD1048576"/>
      <selection pane="bottomRight" activeCell="I30" sqref="I30"/>
    </sheetView>
  </sheetViews>
  <sheetFormatPr defaultColWidth="11.625" defaultRowHeight="12.75"/>
  <cols>
    <col min="1" max="1" width="10.125" style="344" customWidth="1"/>
    <col min="2" max="2" width="5.125" style="344" hidden="1" customWidth="1"/>
    <col min="3" max="3" width="60.5" style="843" customWidth="1"/>
    <col min="4" max="9" width="11.625" style="344"/>
    <col min="10" max="10" width="7.375" style="344" customWidth="1"/>
    <col min="11" max="11" width="8.125" style="344" customWidth="1"/>
    <col min="12" max="16384" width="11.625" style="344"/>
  </cols>
  <sheetData>
    <row r="1" spans="1:11" ht="27.95" customHeight="1">
      <c r="A1" s="764" t="s">
        <v>2260</v>
      </c>
      <c r="B1" s="343" t="s">
        <v>1446</v>
      </c>
      <c r="C1" s="759" t="s">
        <v>3363</v>
      </c>
    </row>
    <row r="2" spans="1:11">
      <c r="A2" s="764"/>
      <c r="B2" s="343"/>
      <c r="C2" s="1046" t="s">
        <v>3364</v>
      </c>
    </row>
    <row r="3" spans="1:11">
      <c r="B3" s="162">
        <v>2</v>
      </c>
      <c r="C3" s="1868" t="s">
        <v>366</v>
      </c>
      <c r="D3" s="1833" t="s">
        <v>3365</v>
      </c>
      <c r="E3" s="1833"/>
      <c r="F3" s="1833"/>
      <c r="G3" s="1833" t="s">
        <v>3366</v>
      </c>
      <c r="H3" s="1833"/>
      <c r="I3" s="1833"/>
    </row>
    <row r="4" spans="1:11">
      <c r="B4" s="162">
        <v>3</v>
      </c>
      <c r="C4" s="1869"/>
      <c r="D4" s="955" t="s">
        <v>3367</v>
      </c>
      <c r="E4" s="955" t="s">
        <v>3368</v>
      </c>
      <c r="F4" s="881" t="s">
        <v>3369</v>
      </c>
      <c r="G4" s="955" t="s">
        <v>3367</v>
      </c>
      <c r="H4" s="955" t="s">
        <v>3368</v>
      </c>
      <c r="I4" s="881" t="s">
        <v>3369</v>
      </c>
    </row>
    <row r="5" spans="1:11">
      <c r="B5" s="162">
        <v>4</v>
      </c>
      <c r="C5" s="836" t="s">
        <v>3370</v>
      </c>
      <c r="D5" s="961">
        <f t="shared" ref="D5:I5" si="0">D6+D7</f>
        <v>0</v>
      </c>
      <c r="E5" s="961">
        <f t="shared" si="0"/>
        <v>0</v>
      </c>
      <c r="F5" s="961">
        <f t="shared" si="0"/>
        <v>0</v>
      </c>
      <c r="G5" s="961">
        <f t="shared" si="0"/>
        <v>0</v>
      </c>
      <c r="H5" s="961">
        <f t="shared" si="0"/>
        <v>0</v>
      </c>
      <c r="I5" s="961">
        <f t="shared" si="0"/>
        <v>0</v>
      </c>
      <c r="J5" s="784" t="str">
        <f>IF(D5&lt;&gt;0,E5/D5*100,"")</f>
        <v/>
      </c>
      <c r="K5" s="784" t="str">
        <f>IF(G5&lt;&gt;0,H5/G5*100,"")</f>
        <v/>
      </c>
    </row>
    <row r="6" spans="1:11">
      <c r="B6" s="162">
        <v>5</v>
      </c>
      <c r="C6" s="836" t="s">
        <v>3371</v>
      </c>
      <c r="D6" s="761"/>
      <c r="E6" s="761"/>
      <c r="F6" s="888"/>
      <c r="G6" s="888"/>
      <c r="H6" s="888"/>
      <c r="I6" s="888"/>
      <c r="J6" s="784" t="str">
        <f t="shared" ref="J6:J25" si="1">IF(D6&lt;&gt;0,E6/D6*100,"")</f>
        <v/>
      </c>
      <c r="K6" s="784" t="str">
        <f t="shared" ref="K6:K25" si="2">IF(G6&lt;&gt;0,H6/G6*100,"")</f>
        <v/>
      </c>
    </row>
    <row r="7" spans="1:11">
      <c r="B7" s="162">
        <v>6</v>
      </c>
      <c r="C7" s="836" t="s">
        <v>3372</v>
      </c>
      <c r="D7" s="761"/>
      <c r="E7" s="761"/>
      <c r="F7" s="888"/>
      <c r="G7" s="888"/>
      <c r="H7" s="888"/>
      <c r="I7" s="888"/>
      <c r="J7" s="784" t="str">
        <f t="shared" si="1"/>
        <v/>
      </c>
      <c r="K7" s="784" t="str">
        <f t="shared" si="2"/>
        <v/>
      </c>
    </row>
    <row r="8" spans="1:11">
      <c r="B8" s="162">
        <v>7</v>
      </c>
      <c r="C8" s="836" t="s">
        <v>3373</v>
      </c>
      <c r="D8" s="961">
        <f t="shared" ref="D8:I8" si="3">D11+D14+D17+D21+D24</f>
        <v>0</v>
      </c>
      <c r="E8" s="961">
        <f t="shared" si="3"/>
        <v>0</v>
      </c>
      <c r="F8" s="961">
        <f t="shared" si="3"/>
        <v>0</v>
      </c>
      <c r="G8" s="961">
        <f t="shared" si="3"/>
        <v>0</v>
      </c>
      <c r="H8" s="961">
        <f t="shared" si="3"/>
        <v>0</v>
      </c>
      <c r="I8" s="961">
        <f t="shared" si="3"/>
        <v>0</v>
      </c>
      <c r="J8" s="784" t="str">
        <f t="shared" si="1"/>
        <v/>
      </c>
      <c r="K8" s="784" t="str">
        <f t="shared" si="2"/>
        <v/>
      </c>
    </row>
    <row r="9" spans="1:11">
      <c r="B9" s="162">
        <v>8</v>
      </c>
      <c r="C9" s="836" t="s">
        <v>3374</v>
      </c>
      <c r="D9" s="761"/>
      <c r="E9" s="761"/>
      <c r="F9" s="888"/>
      <c r="G9" s="888"/>
      <c r="H9" s="888"/>
      <c r="I9" s="888"/>
      <c r="J9" s="784" t="str">
        <f t="shared" si="1"/>
        <v/>
      </c>
      <c r="K9" s="784" t="str">
        <f t="shared" si="2"/>
        <v/>
      </c>
    </row>
    <row r="10" spans="1:11">
      <c r="B10" s="162">
        <v>9</v>
      </c>
      <c r="C10" s="836" t="s">
        <v>3375</v>
      </c>
      <c r="D10" s="761"/>
      <c r="E10" s="761"/>
      <c r="F10" s="888"/>
      <c r="G10" s="888"/>
      <c r="H10" s="888"/>
      <c r="I10" s="888"/>
      <c r="J10" s="784" t="str">
        <f t="shared" si="1"/>
        <v/>
      </c>
      <c r="K10" s="784" t="str">
        <f t="shared" si="2"/>
        <v/>
      </c>
    </row>
    <row r="11" spans="1:11">
      <c r="B11" s="162">
        <v>10</v>
      </c>
      <c r="C11" s="889" t="s">
        <v>3376</v>
      </c>
      <c r="D11" s="961">
        <f t="shared" ref="D11:I11" si="4">D9-D10</f>
        <v>0</v>
      </c>
      <c r="E11" s="961">
        <f t="shared" si="4"/>
        <v>0</v>
      </c>
      <c r="F11" s="961">
        <f t="shared" si="4"/>
        <v>0</v>
      </c>
      <c r="G11" s="961">
        <f t="shared" si="4"/>
        <v>0</v>
      </c>
      <c r="H11" s="961">
        <f t="shared" si="4"/>
        <v>0</v>
      </c>
      <c r="I11" s="961">
        <f t="shared" si="4"/>
        <v>0</v>
      </c>
      <c r="J11" s="784" t="str">
        <f t="shared" si="1"/>
        <v/>
      </c>
      <c r="K11" s="784" t="str">
        <f t="shared" si="2"/>
        <v/>
      </c>
    </row>
    <row r="12" spans="1:11">
      <c r="A12" s="764" t="s">
        <v>2260</v>
      </c>
      <c r="B12" s="162">
        <v>11</v>
      </c>
      <c r="C12" s="340" t="s">
        <v>3377</v>
      </c>
      <c r="D12" s="761"/>
      <c r="E12" s="761"/>
      <c r="F12" s="888"/>
      <c r="G12" s="888"/>
      <c r="H12" s="888"/>
      <c r="I12" s="888"/>
      <c r="J12" s="784" t="str">
        <f t="shared" si="1"/>
        <v/>
      </c>
      <c r="K12" s="784" t="str">
        <f t="shared" si="2"/>
        <v/>
      </c>
    </row>
    <row r="13" spans="1:11">
      <c r="B13" s="162">
        <v>12</v>
      </c>
      <c r="C13" s="820" t="s">
        <v>3378</v>
      </c>
      <c r="D13" s="761"/>
      <c r="E13" s="761"/>
      <c r="F13" s="888"/>
      <c r="G13" s="888"/>
      <c r="H13" s="888"/>
      <c r="I13" s="888"/>
      <c r="J13" s="784" t="str">
        <f t="shared" si="1"/>
        <v/>
      </c>
      <c r="K13" s="784" t="str">
        <f t="shared" si="2"/>
        <v/>
      </c>
    </row>
    <row r="14" spans="1:11">
      <c r="B14" s="162">
        <v>13</v>
      </c>
      <c r="C14" s="889" t="s">
        <v>3376</v>
      </c>
      <c r="D14" s="961">
        <f t="shared" ref="D14:I14" si="5">D12-D13</f>
        <v>0</v>
      </c>
      <c r="E14" s="961">
        <f t="shared" si="5"/>
        <v>0</v>
      </c>
      <c r="F14" s="961">
        <f t="shared" si="5"/>
        <v>0</v>
      </c>
      <c r="G14" s="961">
        <f t="shared" si="5"/>
        <v>0</v>
      </c>
      <c r="H14" s="961">
        <f t="shared" si="5"/>
        <v>0</v>
      </c>
      <c r="I14" s="961">
        <f t="shared" si="5"/>
        <v>0</v>
      </c>
      <c r="J14" s="784" t="str">
        <f t="shared" si="1"/>
        <v/>
      </c>
      <c r="K14" s="784" t="str">
        <f t="shared" si="2"/>
        <v/>
      </c>
    </row>
    <row r="15" spans="1:11">
      <c r="B15" s="162">
        <v>14</v>
      </c>
      <c r="C15" s="820" t="s">
        <v>3379</v>
      </c>
      <c r="D15" s="761"/>
      <c r="E15" s="761"/>
      <c r="F15" s="888"/>
      <c r="G15" s="888"/>
      <c r="H15" s="888"/>
      <c r="I15" s="888"/>
      <c r="J15" s="784" t="str">
        <f t="shared" si="1"/>
        <v/>
      </c>
      <c r="K15" s="784" t="str">
        <f t="shared" si="2"/>
        <v/>
      </c>
    </row>
    <row r="16" spans="1:11">
      <c r="B16" s="162">
        <v>15</v>
      </c>
      <c r="C16" s="820" t="s">
        <v>3378</v>
      </c>
      <c r="D16" s="761"/>
      <c r="E16" s="761"/>
      <c r="F16" s="888"/>
      <c r="G16" s="888"/>
      <c r="H16" s="888"/>
      <c r="I16" s="888"/>
      <c r="J16" s="784" t="str">
        <f t="shared" si="1"/>
        <v/>
      </c>
      <c r="K16" s="784" t="str">
        <f t="shared" si="2"/>
        <v/>
      </c>
    </row>
    <row r="17" spans="1:11">
      <c r="B17" s="162">
        <v>16</v>
      </c>
      <c r="C17" s="889" t="s">
        <v>3376</v>
      </c>
      <c r="D17" s="961">
        <f t="shared" ref="D17:I17" si="6">D15-D16</f>
        <v>0</v>
      </c>
      <c r="E17" s="961">
        <f t="shared" si="6"/>
        <v>0</v>
      </c>
      <c r="F17" s="961">
        <f t="shared" si="6"/>
        <v>0</v>
      </c>
      <c r="G17" s="961">
        <f t="shared" si="6"/>
        <v>0</v>
      </c>
      <c r="H17" s="961">
        <f t="shared" si="6"/>
        <v>0</v>
      </c>
      <c r="I17" s="961">
        <f t="shared" si="6"/>
        <v>0</v>
      </c>
      <c r="J17" s="784" t="str">
        <f t="shared" si="1"/>
        <v/>
      </c>
      <c r="K17" s="784" t="str">
        <f t="shared" si="2"/>
        <v/>
      </c>
    </row>
    <row r="18" spans="1:11">
      <c r="B18" s="162">
        <v>17</v>
      </c>
      <c r="C18" s="820" t="s">
        <v>3380</v>
      </c>
      <c r="D18" s="761"/>
      <c r="E18" s="761"/>
      <c r="F18" s="888"/>
      <c r="G18" s="888"/>
      <c r="H18" s="888"/>
      <c r="I18" s="888"/>
      <c r="J18" s="784" t="str">
        <f t="shared" si="1"/>
        <v/>
      </c>
      <c r="K18" s="784" t="str">
        <f t="shared" si="2"/>
        <v/>
      </c>
    </row>
    <row r="19" spans="1:11">
      <c r="B19" s="162">
        <v>18</v>
      </c>
      <c r="C19" s="338" t="s">
        <v>3381</v>
      </c>
      <c r="D19" s="761"/>
      <c r="E19" s="761"/>
      <c r="F19" s="888"/>
      <c r="G19" s="888"/>
      <c r="H19" s="888"/>
      <c r="I19" s="888"/>
      <c r="J19" s="784" t="str">
        <f t="shared" si="1"/>
        <v/>
      </c>
      <c r="K19" s="784" t="str">
        <f t="shared" si="2"/>
        <v/>
      </c>
    </row>
    <row r="20" spans="1:11">
      <c r="B20" s="162">
        <v>19</v>
      </c>
      <c r="C20" s="820" t="s">
        <v>3378</v>
      </c>
      <c r="D20" s="761"/>
      <c r="E20" s="761"/>
      <c r="F20" s="888"/>
      <c r="G20" s="888"/>
      <c r="H20" s="888"/>
      <c r="I20" s="888"/>
      <c r="J20" s="784" t="str">
        <f t="shared" si="1"/>
        <v/>
      </c>
      <c r="K20" s="784" t="str">
        <f t="shared" si="2"/>
        <v/>
      </c>
    </row>
    <row r="21" spans="1:11">
      <c r="B21" s="162">
        <v>20</v>
      </c>
      <c r="C21" s="889" t="s">
        <v>3376</v>
      </c>
      <c r="D21" s="961">
        <f t="shared" ref="D21:I21" si="7">D18+D19-D20</f>
        <v>0</v>
      </c>
      <c r="E21" s="961">
        <f t="shared" si="7"/>
        <v>0</v>
      </c>
      <c r="F21" s="961">
        <f t="shared" si="7"/>
        <v>0</v>
      </c>
      <c r="G21" s="961">
        <f t="shared" si="7"/>
        <v>0</v>
      </c>
      <c r="H21" s="961">
        <f t="shared" si="7"/>
        <v>0</v>
      </c>
      <c r="I21" s="961">
        <f t="shared" si="7"/>
        <v>0</v>
      </c>
      <c r="J21" s="784" t="str">
        <f t="shared" si="1"/>
        <v/>
      </c>
      <c r="K21" s="784" t="str">
        <f t="shared" si="2"/>
        <v/>
      </c>
    </row>
    <row r="22" spans="1:11">
      <c r="B22" s="162"/>
      <c r="C22" s="338" t="s">
        <v>3382</v>
      </c>
      <c r="D22" s="761"/>
      <c r="E22" s="761"/>
      <c r="F22" s="888"/>
      <c r="G22" s="888"/>
      <c r="H22" s="888"/>
      <c r="I22" s="888"/>
      <c r="J22" s="784" t="str">
        <f t="shared" si="1"/>
        <v/>
      </c>
      <c r="K22" s="784" t="str">
        <f t="shared" si="2"/>
        <v/>
      </c>
    </row>
    <row r="23" spans="1:11">
      <c r="B23" s="162"/>
      <c r="C23" s="820" t="s">
        <v>3378</v>
      </c>
      <c r="D23" s="761"/>
      <c r="E23" s="761"/>
      <c r="F23" s="888"/>
      <c r="G23" s="888"/>
      <c r="H23" s="888"/>
      <c r="I23" s="888"/>
      <c r="J23" s="784" t="str">
        <f t="shared" si="1"/>
        <v/>
      </c>
      <c r="K23" s="784" t="str">
        <f t="shared" si="2"/>
        <v/>
      </c>
    </row>
    <row r="24" spans="1:11">
      <c r="B24" s="162"/>
      <c r="C24" s="889" t="s">
        <v>3376</v>
      </c>
      <c r="D24" s="961">
        <f t="shared" ref="D24:I24" si="8">D22-D23</f>
        <v>0</v>
      </c>
      <c r="E24" s="961">
        <f t="shared" si="8"/>
        <v>0</v>
      </c>
      <c r="F24" s="961">
        <f t="shared" si="8"/>
        <v>0</v>
      </c>
      <c r="G24" s="961">
        <f t="shared" si="8"/>
        <v>0</v>
      </c>
      <c r="H24" s="961">
        <f t="shared" si="8"/>
        <v>0</v>
      </c>
      <c r="I24" s="961">
        <f t="shared" si="8"/>
        <v>0</v>
      </c>
      <c r="J24" s="784" t="str">
        <f t="shared" si="1"/>
        <v/>
      </c>
      <c r="K24" s="784" t="str">
        <f t="shared" si="2"/>
        <v/>
      </c>
    </row>
    <row r="25" spans="1:11">
      <c r="B25" s="162">
        <v>23</v>
      </c>
      <c r="C25" s="338" t="s">
        <v>3383</v>
      </c>
      <c r="D25" s="961">
        <f t="shared" ref="D25:I25" si="9">D5+D8</f>
        <v>0</v>
      </c>
      <c r="E25" s="961">
        <f t="shared" si="9"/>
        <v>0</v>
      </c>
      <c r="F25" s="961">
        <f t="shared" si="9"/>
        <v>0</v>
      </c>
      <c r="G25" s="961">
        <f t="shared" si="9"/>
        <v>0</v>
      </c>
      <c r="H25" s="961">
        <f t="shared" si="9"/>
        <v>0</v>
      </c>
      <c r="I25" s="961">
        <f t="shared" si="9"/>
        <v>0</v>
      </c>
      <c r="J25" s="784" t="str">
        <f t="shared" si="1"/>
        <v/>
      </c>
      <c r="K25" s="784" t="str">
        <f t="shared" si="2"/>
        <v/>
      </c>
    </row>
    <row r="26" spans="1:11">
      <c r="B26" s="162">
        <v>24</v>
      </c>
      <c r="D26" s="999"/>
      <c r="E26" s="999"/>
    </row>
    <row r="27" spans="1:11">
      <c r="A27" s="764" t="s">
        <v>2260</v>
      </c>
      <c r="B27" s="162">
        <v>25</v>
      </c>
      <c r="C27" s="836" t="s">
        <v>3384</v>
      </c>
      <c r="D27" s="881"/>
      <c r="E27" s="881" t="s">
        <v>2938</v>
      </c>
      <c r="F27" s="881" t="s">
        <v>2939</v>
      </c>
    </row>
    <row r="28" spans="1:11">
      <c r="B28" s="162">
        <v>26</v>
      </c>
      <c r="C28" s="836" t="s">
        <v>3370</v>
      </c>
      <c r="D28" s="881" t="s">
        <v>1319</v>
      </c>
      <c r="E28" s="406">
        <f>审定利润表!C59</f>
        <v>0</v>
      </c>
      <c r="F28" s="406">
        <f>审定利润表!D59</f>
        <v>0</v>
      </c>
    </row>
    <row r="29" spans="1:11">
      <c r="B29" s="162">
        <v>27</v>
      </c>
      <c r="C29" s="836"/>
      <c r="D29" s="881" t="s">
        <v>1320</v>
      </c>
      <c r="E29" s="406">
        <f>E28-F5</f>
        <v>0</v>
      </c>
      <c r="F29" s="406">
        <f>F28-I5</f>
        <v>0</v>
      </c>
    </row>
    <row r="30" spans="1:11">
      <c r="C30" s="836" t="s">
        <v>3371</v>
      </c>
      <c r="D30" s="881" t="s">
        <v>1319</v>
      </c>
      <c r="E30" s="406">
        <f>审定利润表!C60</f>
        <v>0</v>
      </c>
      <c r="F30" s="406">
        <f>审定利润表!D60</f>
        <v>0</v>
      </c>
    </row>
    <row r="31" spans="1:11">
      <c r="C31" s="836"/>
      <c r="D31" s="881" t="s">
        <v>1320</v>
      </c>
      <c r="E31" s="406">
        <f>E30-F6</f>
        <v>0</v>
      </c>
      <c r="F31" s="406">
        <f>F30-I6</f>
        <v>0</v>
      </c>
    </row>
    <row r="32" spans="1:11">
      <c r="C32" s="836" t="s">
        <v>3372</v>
      </c>
      <c r="D32" s="881" t="s">
        <v>1319</v>
      </c>
      <c r="E32" s="406">
        <f>审定利润表!C61</f>
        <v>0</v>
      </c>
      <c r="F32" s="406">
        <f>审定利润表!D61</f>
        <v>0</v>
      </c>
    </row>
    <row r="33" spans="3:6">
      <c r="C33" s="836"/>
      <c r="D33" s="881" t="s">
        <v>1320</v>
      </c>
      <c r="E33" s="406">
        <f>E32-F7</f>
        <v>0</v>
      </c>
      <c r="F33" s="406">
        <f>F32-I7</f>
        <v>0</v>
      </c>
    </row>
    <row r="34" spans="3:6">
      <c r="C34" s="836" t="s">
        <v>3373</v>
      </c>
      <c r="D34" s="881" t="s">
        <v>1319</v>
      </c>
      <c r="E34" s="406">
        <f>审定利润表!C62</f>
        <v>0</v>
      </c>
      <c r="F34" s="406">
        <f>审定利润表!D62</f>
        <v>0</v>
      </c>
    </row>
    <row r="35" spans="3:6">
      <c r="C35" s="836"/>
      <c r="D35" s="881" t="s">
        <v>1320</v>
      </c>
      <c r="E35" s="406">
        <f>E34-F8</f>
        <v>0</v>
      </c>
      <c r="F35" s="406">
        <f>F34-I8</f>
        <v>0</v>
      </c>
    </row>
    <row r="36" spans="3:6">
      <c r="C36" s="836" t="s">
        <v>3374</v>
      </c>
      <c r="D36" s="881" t="s">
        <v>1319</v>
      </c>
      <c r="E36" s="406">
        <f>审定利润表!C63</f>
        <v>0</v>
      </c>
      <c r="F36" s="406">
        <f>审定利润表!D63</f>
        <v>0</v>
      </c>
    </row>
    <row r="37" spans="3:6">
      <c r="C37" s="340"/>
      <c r="D37" s="881" t="s">
        <v>1320</v>
      </c>
      <c r="E37" s="406">
        <f>E36-F11</f>
        <v>0</v>
      </c>
      <c r="F37" s="406">
        <f>F36-I11</f>
        <v>0</v>
      </c>
    </row>
    <row r="38" spans="3:6">
      <c r="C38" s="340" t="s">
        <v>3377</v>
      </c>
      <c r="D38" s="881" t="s">
        <v>1319</v>
      </c>
      <c r="E38" s="406">
        <f>审定利润表!C64</f>
        <v>0</v>
      </c>
      <c r="F38" s="406">
        <f>审定利润表!D64</f>
        <v>0</v>
      </c>
    </row>
    <row r="39" spans="3:6">
      <c r="C39" s="340"/>
      <c r="D39" s="881" t="s">
        <v>1320</v>
      </c>
      <c r="E39" s="406">
        <f>E38-F14</f>
        <v>0</v>
      </c>
      <c r="F39" s="406">
        <f>F38-I14</f>
        <v>0</v>
      </c>
    </row>
    <row r="40" spans="3:6">
      <c r="C40" s="820" t="s">
        <v>3379</v>
      </c>
      <c r="D40" s="881" t="s">
        <v>1319</v>
      </c>
      <c r="E40" s="406">
        <f>审定利润表!C65</f>
        <v>0</v>
      </c>
      <c r="F40" s="406">
        <f>审定利润表!D65</f>
        <v>0</v>
      </c>
    </row>
    <row r="41" spans="3:6">
      <c r="C41" s="340"/>
      <c r="D41" s="881" t="s">
        <v>1320</v>
      </c>
      <c r="E41" s="406">
        <f>E40-F17</f>
        <v>0</v>
      </c>
      <c r="F41" s="406">
        <f>F40-I17</f>
        <v>0</v>
      </c>
    </row>
    <row r="42" spans="3:6">
      <c r="C42" s="820" t="s">
        <v>3380</v>
      </c>
      <c r="D42" s="881" t="s">
        <v>1319</v>
      </c>
      <c r="E42" s="406">
        <f>审定利润表!C66</f>
        <v>0</v>
      </c>
      <c r="F42" s="406">
        <f>审定利润表!D66</f>
        <v>0</v>
      </c>
    </row>
    <row r="43" spans="3:6">
      <c r="C43" s="340"/>
      <c r="D43" s="881" t="s">
        <v>1320</v>
      </c>
      <c r="E43" s="406">
        <f>E42-F21</f>
        <v>0</v>
      </c>
      <c r="F43" s="406">
        <f>F42-I21</f>
        <v>0</v>
      </c>
    </row>
    <row r="44" spans="3:6">
      <c r="C44" s="338" t="s">
        <v>3382</v>
      </c>
      <c r="D44" s="881" t="s">
        <v>1319</v>
      </c>
      <c r="E44" s="406">
        <f>审定利润表!C67</f>
        <v>0</v>
      </c>
      <c r="F44" s="406">
        <f>审定利润表!D67</f>
        <v>0</v>
      </c>
    </row>
    <row r="45" spans="3:6">
      <c r="C45" s="340"/>
      <c r="D45" s="881" t="s">
        <v>1320</v>
      </c>
      <c r="E45" s="406">
        <f>E44-F24</f>
        <v>0</v>
      </c>
      <c r="F45" s="406">
        <f>F44-I24</f>
        <v>0</v>
      </c>
    </row>
    <row r="46" spans="3:6">
      <c r="C46" s="338" t="s">
        <v>3383</v>
      </c>
      <c r="D46" s="881" t="s">
        <v>1319</v>
      </c>
      <c r="E46" s="406">
        <f>审定利润表!C58</f>
        <v>0</v>
      </c>
      <c r="F46" s="406">
        <f>审定利润表!D58</f>
        <v>0</v>
      </c>
    </row>
    <row r="47" spans="3:6">
      <c r="C47" s="340"/>
      <c r="D47" s="881" t="s">
        <v>1320</v>
      </c>
      <c r="E47" s="406">
        <f>E46-F25</f>
        <v>0</v>
      </c>
      <c r="F47" s="406">
        <f>F46-I25</f>
        <v>0</v>
      </c>
    </row>
    <row r="49" spans="1:12">
      <c r="C49" s="1046" t="s">
        <v>3385</v>
      </c>
    </row>
    <row r="50" spans="1:12" ht="72">
      <c r="A50" s="764" t="s">
        <v>2260</v>
      </c>
      <c r="C50" s="889" t="s">
        <v>2884</v>
      </c>
      <c r="D50" s="889" t="s">
        <v>3386</v>
      </c>
      <c r="E50" s="889" t="s">
        <v>3387</v>
      </c>
      <c r="F50" s="889" t="s">
        <v>3388</v>
      </c>
      <c r="G50" s="889" t="s">
        <v>3389</v>
      </c>
      <c r="H50" s="889" t="s">
        <v>3390</v>
      </c>
      <c r="I50" s="889" t="s">
        <v>3391</v>
      </c>
      <c r="J50" s="889" t="s">
        <v>3392</v>
      </c>
      <c r="K50" s="881" t="s">
        <v>964</v>
      </c>
      <c r="L50" s="881" t="s">
        <v>3376</v>
      </c>
    </row>
    <row r="51" spans="1:12">
      <c r="C51" s="836" t="s">
        <v>3393</v>
      </c>
      <c r="D51" s="888"/>
      <c r="E51" s="888"/>
      <c r="F51" s="888"/>
      <c r="G51" s="888"/>
      <c r="H51" s="888"/>
      <c r="I51" s="888"/>
      <c r="J51" s="888"/>
      <c r="K51" s="888"/>
      <c r="L51" s="1040">
        <f>SUM(D51:K51)</f>
        <v>0</v>
      </c>
    </row>
    <row r="52" spans="1:12">
      <c r="C52" s="836" t="s">
        <v>3427</v>
      </c>
      <c r="D52" s="1040">
        <f>I6</f>
        <v>0</v>
      </c>
      <c r="E52" s="1040">
        <f>I7</f>
        <v>0</v>
      </c>
      <c r="F52" s="348">
        <f>I11</f>
        <v>0</v>
      </c>
      <c r="G52" s="348">
        <f>I14</f>
        <v>0</v>
      </c>
      <c r="H52" s="348">
        <f>I17</f>
        <v>0</v>
      </c>
      <c r="I52" s="348">
        <f>I21</f>
        <v>0</v>
      </c>
      <c r="J52" s="348">
        <f>I24</f>
        <v>0</v>
      </c>
      <c r="K52" s="888"/>
      <c r="L52" s="1040">
        <f>SUM(D52:K52)</f>
        <v>0</v>
      </c>
    </row>
    <row r="53" spans="1:12">
      <c r="C53" s="836" t="s">
        <v>3394</v>
      </c>
      <c r="D53" s="406">
        <f>D51+D52</f>
        <v>0</v>
      </c>
      <c r="E53" s="406">
        <f t="shared" ref="E53:L53" si="10">E51+E52</f>
        <v>0</v>
      </c>
      <c r="F53" s="406">
        <f t="shared" si="10"/>
        <v>0</v>
      </c>
      <c r="G53" s="406">
        <f t="shared" si="10"/>
        <v>0</v>
      </c>
      <c r="H53" s="406">
        <f t="shared" si="10"/>
        <v>0</v>
      </c>
      <c r="I53" s="406">
        <f t="shared" si="10"/>
        <v>0</v>
      </c>
      <c r="J53" s="406">
        <f t="shared" si="10"/>
        <v>0</v>
      </c>
      <c r="K53" s="406">
        <f t="shared" si="10"/>
        <v>0</v>
      </c>
      <c r="L53" s="406">
        <f t="shared" si="10"/>
        <v>0</v>
      </c>
    </row>
    <row r="54" spans="1:12">
      <c r="C54" s="836" t="s">
        <v>3428</v>
      </c>
      <c r="D54" s="1040">
        <f>F6</f>
        <v>0</v>
      </c>
      <c r="E54" s="1040">
        <f>F7</f>
        <v>0</v>
      </c>
      <c r="F54" s="348">
        <f>F11</f>
        <v>0</v>
      </c>
      <c r="G54" s="348">
        <f>F14</f>
        <v>0</v>
      </c>
      <c r="H54" s="348">
        <f>F17</f>
        <v>0</v>
      </c>
      <c r="I54" s="348">
        <f>F21</f>
        <v>0</v>
      </c>
      <c r="J54" s="348">
        <f>F24</f>
        <v>0</v>
      </c>
      <c r="K54" s="888"/>
      <c r="L54" s="1040">
        <f>SUM(D54:K54)</f>
        <v>0</v>
      </c>
    </row>
    <row r="55" spans="1:12">
      <c r="C55" s="836" t="s">
        <v>3395</v>
      </c>
      <c r="D55" s="406">
        <f t="shared" ref="D55:L55" si="11">D53+D54</f>
        <v>0</v>
      </c>
      <c r="E55" s="406">
        <f t="shared" si="11"/>
        <v>0</v>
      </c>
      <c r="F55" s="406">
        <f t="shared" si="11"/>
        <v>0</v>
      </c>
      <c r="G55" s="406">
        <f t="shared" si="11"/>
        <v>0</v>
      </c>
      <c r="H55" s="406">
        <f t="shared" si="11"/>
        <v>0</v>
      </c>
      <c r="I55" s="406">
        <f t="shared" si="11"/>
        <v>0</v>
      </c>
      <c r="J55" s="406">
        <f t="shared" si="11"/>
        <v>0</v>
      </c>
      <c r="K55" s="406">
        <f t="shared" si="11"/>
        <v>0</v>
      </c>
      <c r="L55" s="406">
        <f t="shared" si="11"/>
        <v>0</v>
      </c>
    </row>
    <row r="57" spans="1:12">
      <c r="C57" s="760" t="s">
        <v>3396</v>
      </c>
      <c r="D57" s="881" t="s">
        <v>2591</v>
      </c>
      <c r="E57" s="881" t="s">
        <v>2592</v>
      </c>
    </row>
    <row r="58" spans="1:12">
      <c r="C58" s="881" t="s">
        <v>1319</v>
      </c>
      <c r="D58" s="406">
        <f>审定资产负债表!C116</f>
        <v>0</v>
      </c>
      <c r="E58" s="406">
        <f>审定资产负债表!D116</f>
        <v>0</v>
      </c>
    </row>
    <row r="59" spans="1:12">
      <c r="C59" s="881" t="s">
        <v>1320</v>
      </c>
      <c r="D59" s="406">
        <f>D58-L55</f>
        <v>0</v>
      </c>
      <c r="E59" s="406">
        <f>E58-L53</f>
        <v>0</v>
      </c>
    </row>
    <row r="60" spans="1:12">
      <c r="C60" s="843" t="s">
        <v>3397</v>
      </c>
      <c r="D60" s="881" t="s">
        <v>2591</v>
      </c>
      <c r="E60" s="881" t="s">
        <v>2592</v>
      </c>
    </row>
    <row r="61" spans="1:12">
      <c r="C61" s="881" t="s">
        <v>1319</v>
      </c>
      <c r="D61" s="406">
        <f>审定资产负债表!C117</f>
        <v>0</v>
      </c>
      <c r="E61" s="406">
        <f>审定资产负债表!D117</f>
        <v>0</v>
      </c>
    </row>
    <row r="62" spans="1:12">
      <c r="C62" s="881" t="s">
        <v>1320</v>
      </c>
      <c r="D62" s="406">
        <f>D61-J55</f>
        <v>0</v>
      </c>
      <c r="E62" s="406">
        <f>E61-J53</f>
        <v>0</v>
      </c>
    </row>
  </sheetData>
  <sheetProtection formatCells="0" formatColumns="0" formatRows="0" autoFilter="0"/>
  <mergeCells count="3">
    <mergeCell ref="D3:F3"/>
    <mergeCell ref="G3:I3"/>
    <mergeCell ref="C3:C4"/>
  </mergeCells>
  <phoneticPr fontId="5" type="noConversion"/>
  <hyperlinks>
    <hyperlink ref="A1" location="附注填写封面!B3" display="返回目录" xr:uid="{00000000-0004-0000-5C00-000000000000}"/>
    <hyperlink ref="A27" location="附注填写封面!B3" display="返回目录" xr:uid="{00000000-0004-0000-5C00-000001000000}"/>
    <hyperlink ref="A12" location="附注填写封面!B3" display="返回目录" xr:uid="{00000000-0004-0000-5C00-000002000000}"/>
    <hyperlink ref="A50" location="附注填写封面!B3" display="返回目录" xr:uid="{00000000-0004-0000-5C00-000003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76"/>
  <dimension ref="A1:L16"/>
  <sheetViews>
    <sheetView showGridLines="0" workbookViewId="0">
      <selection activeCell="D10" sqref="D10"/>
    </sheetView>
  </sheetViews>
  <sheetFormatPr defaultColWidth="11.625" defaultRowHeight="12.75"/>
  <cols>
    <col min="1" max="1" width="9.5" style="162" customWidth="1"/>
    <col min="2" max="2" width="5.5" style="162" hidden="1" customWidth="1"/>
    <col min="3" max="3" width="15.625" style="843" customWidth="1"/>
    <col min="4" max="6" width="11.125" style="344" customWidth="1"/>
    <col min="7" max="7" width="15.625" style="344" customWidth="1"/>
    <col min="8" max="12" width="11.125" style="344" customWidth="1"/>
    <col min="13" max="16384" width="11.625" style="344"/>
  </cols>
  <sheetData>
    <row r="1" spans="1:12" ht="27.2" customHeight="1">
      <c r="A1" s="860" t="s">
        <v>2260</v>
      </c>
      <c r="B1" s="343" t="s">
        <v>1446</v>
      </c>
      <c r="C1" s="759" t="s">
        <v>3355</v>
      </c>
    </row>
    <row r="2" spans="1:12">
      <c r="B2" s="162">
        <v>2</v>
      </c>
      <c r="C2" s="1833" t="s">
        <v>3356</v>
      </c>
      <c r="D2" s="1833"/>
      <c r="E2" s="1833"/>
      <c r="F2" s="1833"/>
      <c r="G2" s="1833" t="s">
        <v>3357</v>
      </c>
      <c r="H2" s="1833"/>
      <c r="I2" s="1833"/>
      <c r="J2" s="1833" t="s">
        <v>3358</v>
      </c>
      <c r="K2" s="1868" t="s">
        <v>3359</v>
      </c>
      <c r="L2" s="1833" t="s">
        <v>3151</v>
      </c>
    </row>
    <row r="3" spans="1:12">
      <c r="B3" s="162">
        <v>3</v>
      </c>
      <c r="C3" s="889" t="s">
        <v>3360</v>
      </c>
      <c r="D3" s="889" t="s">
        <v>870</v>
      </c>
      <c r="E3" s="889" t="s">
        <v>3361</v>
      </c>
      <c r="F3" s="889" t="s">
        <v>3362</v>
      </c>
      <c r="G3" s="889" t="s">
        <v>3360</v>
      </c>
      <c r="H3" s="889" t="s">
        <v>2611</v>
      </c>
      <c r="I3" s="889" t="s">
        <v>3361</v>
      </c>
      <c r="J3" s="1833"/>
      <c r="K3" s="1869"/>
      <c r="L3" s="1833"/>
    </row>
    <row r="4" spans="1:12">
      <c r="A4" s="162">
        <v>1</v>
      </c>
      <c r="B4" s="162">
        <v>4</v>
      </c>
      <c r="C4" s="338"/>
      <c r="D4" s="761"/>
      <c r="E4" s="761"/>
      <c r="F4" s="338"/>
      <c r="G4" s="338"/>
      <c r="H4" s="761"/>
      <c r="I4" s="761"/>
      <c r="J4" s="761"/>
      <c r="K4" s="761"/>
      <c r="L4" s="338"/>
    </row>
    <row r="5" spans="1:12">
      <c r="A5" s="162">
        <v>2</v>
      </c>
      <c r="B5" s="162">
        <v>5</v>
      </c>
      <c r="C5" s="338"/>
      <c r="D5" s="761"/>
      <c r="E5" s="761"/>
      <c r="F5" s="338"/>
      <c r="G5" s="338"/>
      <c r="H5" s="761"/>
      <c r="I5" s="761"/>
      <c r="J5" s="761"/>
      <c r="K5" s="761"/>
      <c r="L5" s="338"/>
    </row>
    <row r="6" spans="1:12">
      <c r="A6" s="162">
        <v>3</v>
      </c>
      <c r="B6" s="162">
        <v>6</v>
      </c>
      <c r="C6" s="338"/>
      <c r="D6" s="761"/>
      <c r="E6" s="761"/>
      <c r="F6" s="338"/>
      <c r="G6" s="338"/>
      <c r="H6" s="761"/>
      <c r="I6" s="761"/>
      <c r="J6" s="761"/>
      <c r="K6" s="761"/>
      <c r="L6" s="338"/>
    </row>
    <row r="7" spans="1:12">
      <c r="A7" s="162">
        <v>4</v>
      </c>
      <c r="B7" s="162">
        <v>7</v>
      </c>
      <c r="C7" s="338"/>
      <c r="D7" s="761"/>
      <c r="E7" s="761"/>
      <c r="F7" s="338"/>
      <c r="G7" s="338"/>
      <c r="H7" s="761"/>
      <c r="I7" s="761"/>
      <c r="J7" s="761"/>
      <c r="K7" s="761"/>
      <c r="L7" s="338"/>
    </row>
    <row r="8" spans="1:12">
      <c r="A8" s="162">
        <v>5</v>
      </c>
      <c r="B8" s="162">
        <v>8</v>
      </c>
      <c r="C8" s="338"/>
      <c r="D8" s="761"/>
      <c r="E8" s="761"/>
      <c r="F8" s="338"/>
      <c r="G8" s="338"/>
      <c r="H8" s="761"/>
      <c r="I8" s="761"/>
      <c r="J8" s="761"/>
      <c r="K8" s="761"/>
      <c r="L8" s="338"/>
    </row>
    <row r="9" spans="1:12">
      <c r="A9" s="162">
        <v>6</v>
      </c>
      <c r="B9" s="162">
        <v>9</v>
      </c>
      <c r="C9" s="338"/>
      <c r="D9" s="761"/>
      <c r="E9" s="761"/>
      <c r="F9" s="338"/>
      <c r="G9" s="338"/>
      <c r="H9" s="761"/>
      <c r="I9" s="761"/>
      <c r="J9" s="761"/>
      <c r="K9" s="761"/>
      <c r="L9" s="338"/>
    </row>
    <row r="10" spans="1:12">
      <c r="A10" s="162">
        <v>7</v>
      </c>
      <c r="B10" s="162">
        <v>10</v>
      </c>
      <c r="C10" s="338"/>
      <c r="D10" s="761"/>
      <c r="E10" s="761"/>
      <c r="F10" s="338"/>
      <c r="G10" s="338"/>
      <c r="H10" s="761"/>
      <c r="I10" s="761"/>
      <c r="J10" s="761"/>
      <c r="K10" s="761"/>
      <c r="L10" s="338"/>
    </row>
    <row r="11" spans="1:12">
      <c r="A11" s="162">
        <v>8</v>
      </c>
      <c r="B11" s="162">
        <v>11</v>
      </c>
      <c r="C11" s="338"/>
      <c r="D11" s="761"/>
      <c r="E11" s="761"/>
      <c r="F11" s="338"/>
      <c r="G11" s="338"/>
      <c r="H11" s="761"/>
      <c r="I11" s="761"/>
      <c r="J11" s="761"/>
      <c r="K11" s="761"/>
      <c r="L11" s="338"/>
    </row>
    <row r="12" spans="1:12">
      <c r="A12" s="162">
        <v>9</v>
      </c>
      <c r="B12" s="162">
        <v>12</v>
      </c>
      <c r="C12" s="338"/>
      <c r="D12" s="761"/>
      <c r="E12" s="761"/>
      <c r="F12" s="338"/>
      <c r="G12" s="338"/>
      <c r="H12" s="761"/>
      <c r="I12" s="761"/>
      <c r="J12" s="761"/>
      <c r="K12" s="761"/>
      <c r="L12" s="338"/>
    </row>
    <row r="13" spans="1:12">
      <c r="A13" s="162">
        <v>10</v>
      </c>
      <c r="B13" s="162">
        <v>13</v>
      </c>
      <c r="C13" s="338"/>
      <c r="D13" s="761"/>
      <c r="E13" s="761"/>
      <c r="F13" s="338"/>
      <c r="G13" s="338"/>
      <c r="H13" s="761"/>
      <c r="I13" s="761"/>
      <c r="J13" s="761"/>
      <c r="K13" s="761"/>
      <c r="L13" s="338"/>
    </row>
    <row r="14" spans="1:12">
      <c r="A14" s="162">
        <v>11</v>
      </c>
      <c r="B14" s="162">
        <v>14</v>
      </c>
      <c r="C14" s="338"/>
      <c r="D14" s="761"/>
      <c r="E14" s="761"/>
      <c r="F14" s="338"/>
      <c r="G14" s="338"/>
      <c r="H14" s="761"/>
      <c r="I14" s="761"/>
      <c r="J14" s="761"/>
      <c r="K14" s="761"/>
      <c r="L14" s="338"/>
    </row>
    <row r="15" spans="1:12">
      <c r="A15" s="860" t="s">
        <v>2260</v>
      </c>
      <c r="B15" s="162">
        <v>15</v>
      </c>
      <c r="C15" s="338"/>
      <c r="D15" s="761"/>
      <c r="E15" s="761"/>
      <c r="F15" s="338"/>
      <c r="G15" s="338"/>
      <c r="H15" s="761"/>
      <c r="I15" s="761"/>
      <c r="J15" s="761"/>
      <c r="K15" s="761"/>
      <c r="L15" s="338"/>
    </row>
    <row r="16" spans="1:12">
      <c r="L16" s="347"/>
    </row>
  </sheetData>
  <sheetProtection formatCells="0" formatColumns="0" formatRows="0" autoFilter="0"/>
  <mergeCells count="5">
    <mergeCell ref="C2:F2"/>
    <mergeCell ref="G2:I2"/>
    <mergeCell ref="J2:J3"/>
    <mergeCell ref="L2:L3"/>
    <mergeCell ref="K2:K3"/>
  </mergeCells>
  <phoneticPr fontId="5" type="noConversion"/>
  <hyperlinks>
    <hyperlink ref="A1" location="附注填写封面!B3" display="返回目录" xr:uid="{00000000-0004-0000-5D00-000000000000}"/>
    <hyperlink ref="A15" location="附注填写封面!B3" display="返回目录" xr:uid="{00000000-0004-0000-5D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7"/>
  <dimension ref="A1:L40"/>
  <sheetViews>
    <sheetView showGridLines="0" topLeftCell="A10" workbookViewId="0">
      <selection activeCell="D30" sqref="D30"/>
    </sheetView>
  </sheetViews>
  <sheetFormatPr defaultColWidth="11.625" defaultRowHeight="12.75"/>
  <cols>
    <col min="1" max="1" width="11.125" style="813" customWidth="1"/>
    <col min="2" max="2" width="6" style="344" hidden="1" customWidth="1"/>
    <col min="3" max="3" width="35.875" style="843" customWidth="1"/>
    <col min="4" max="16384" width="11.625" style="344"/>
  </cols>
  <sheetData>
    <row r="1" spans="1:6" ht="22.7" customHeight="1">
      <c r="A1" s="963" t="s">
        <v>2260</v>
      </c>
      <c r="B1" s="343" t="s">
        <v>1446</v>
      </c>
      <c r="C1" s="759" t="s">
        <v>3330</v>
      </c>
    </row>
    <row r="2" spans="1:6">
      <c r="B2" s="162">
        <v>2</v>
      </c>
      <c r="C2" s="825" t="s">
        <v>3425</v>
      </c>
    </row>
    <row r="3" spans="1:6" ht="24">
      <c r="B3" s="162">
        <v>3</v>
      </c>
      <c r="C3" s="889" t="s">
        <v>3331</v>
      </c>
      <c r="D3" s="889" t="s">
        <v>3332</v>
      </c>
      <c r="E3" s="889" t="s">
        <v>3333</v>
      </c>
      <c r="F3" s="889" t="s">
        <v>3334</v>
      </c>
    </row>
    <row r="4" spans="1:6">
      <c r="B4" s="162">
        <v>4</v>
      </c>
      <c r="C4" s="760" t="s">
        <v>3335</v>
      </c>
      <c r="D4" s="761"/>
      <c r="E4" s="761"/>
      <c r="F4" s="761"/>
    </row>
    <row r="5" spans="1:6">
      <c r="B5" s="162">
        <v>5</v>
      </c>
      <c r="C5" s="760" t="s">
        <v>3336</v>
      </c>
      <c r="D5" s="761"/>
      <c r="E5" s="761"/>
      <c r="F5" s="761"/>
    </row>
    <row r="6" spans="1:6">
      <c r="B6" s="162">
        <v>6</v>
      </c>
      <c r="C6" s="760" t="s">
        <v>1309</v>
      </c>
      <c r="D6" s="761"/>
      <c r="E6" s="761"/>
      <c r="F6" s="761"/>
    </row>
    <row r="7" spans="1:6">
      <c r="B7" s="162">
        <v>7</v>
      </c>
      <c r="C7" s="338" t="s">
        <v>3337</v>
      </c>
      <c r="D7" s="761"/>
      <c r="E7" s="761"/>
      <c r="F7" s="761"/>
    </row>
    <row r="8" spans="1:6">
      <c r="B8" s="162">
        <v>8</v>
      </c>
      <c r="C8" s="340" t="s">
        <v>3338</v>
      </c>
      <c r="D8" s="761"/>
      <c r="E8" s="761"/>
      <c r="F8" s="761"/>
    </row>
    <row r="9" spans="1:6">
      <c r="B9" s="162"/>
      <c r="C9" s="889" t="s">
        <v>2680</v>
      </c>
      <c r="D9" s="992">
        <f>SUM(D4:D8)</f>
        <v>0</v>
      </c>
      <c r="E9" s="992">
        <f>SUM(E4:E8)</f>
        <v>0</v>
      </c>
      <c r="F9" s="992">
        <f>SUM(F4:F8)</f>
        <v>0</v>
      </c>
    </row>
    <row r="10" spans="1:6">
      <c r="B10" s="162">
        <v>9</v>
      </c>
      <c r="C10" s="344"/>
    </row>
    <row r="11" spans="1:6">
      <c r="B11" s="162">
        <v>10</v>
      </c>
      <c r="C11" s="944" t="s">
        <v>3339</v>
      </c>
    </row>
    <row r="12" spans="1:6" ht="24">
      <c r="A12" s="957" t="s">
        <v>2260</v>
      </c>
      <c r="B12" s="162">
        <v>11</v>
      </c>
      <c r="C12" s="889" t="s">
        <v>811</v>
      </c>
      <c r="D12" s="889" t="s">
        <v>3340</v>
      </c>
      <c r="E12" s="889" t="s">
        <v>3341</v>
      </c>
    </row>
    <row r="13" spans="1:6">
      <c r="A13" s="810"/>
      <c r="B13" s="162">
        <v>12</v>
      </c>
      <c r="C13" s="760" t="s">
        <v>3342</v>
      </c>
      <c r="D13" s="761"/>
      <c r="E13" s="760"/>
    </row>
    <row r="14" spans="1:6">
      <c r="B14" s="162">
        <v>13</v>
      </c>
      <c r="C14" s="760" t="s">
        <v>3343</v>
      </c>
      <c r="D14" s="761"/>
      <c r="E14" s="760"/>
    </row>
    <row r="15" spans="1:6">
      <c r="A15" s="811" t="str">
        <f>HYPERLINK("#C1","置顶")</f>
        <v>置顶</v>
      </c>
      <c r="B15" s="162">
        <v>14</v>
      </c>
      <c r="C15" s="760" t="s">
        <v>3344</v>
      </c>
      <c r="D15" s="761"/>
      <c r="E15" s="760"/>
    </row>
    <row r="16" spans="1:6">
      <c r="A16" s="810"/>
      <c r="B16" s="162">
        <v>15</v>
      </c>
      <c r="C16" s="344"/>
    </row>
    <row r="17" spans="1:7">
      <c r="B17" s="162">
        <v>16</v>
      </c>
      <c r="C17" s="825" t="s">
        <v>3426</v>
      </c>
    </row>
    <row r="18" spans="1:7" ht="24">
      <c r="B18" s="162">
        <v>17</v>
      </c>
      <c r="C18" s="889" t="s">
        <v>3331</v>
      </c>
      <c r="D18" s="919" t="s">
        <v>3345</v>
      </c>
      <c r="E18" s="889" t="s">
        <v>3346</v>
      </c>
      <c r="F18" s="889" t="s">
        <v>3347</v>
      </c>
      <c r="G18" s="889" t="s">
        <v>3348</v>
      </c>
    </row>
    <row r="19" spans="1:7">
      <c r="A19" s="957" t="s">
        <v>2260</v>
      </c>
      <c r="B19" s="162">
        <v>18</v>
      </c>
      <c r="C19" s="760" t="s">
        <v>3349</v>
      </c>
      <c r="D19" s="761"/>
      <c r="E19" s="761"/>
      <c r="F19" s="948"/>
      <c r="G19" s="761"/>
    </row>
    <row r="20" spans="1:7">
      <c r="A20" s="810"/>
      <c r="B20" s="162">
        <v>19</v>
      </c>
      <c r="C20" s="760" t="s">
        <v>3350</v>
      </c>
      <c r="D20" s="761"/>
      <c r="E20" s="761"/>
      <c r="F20" s="948"/>
      <c r="G20" s="761"/>
    </row>
    <row r="21" spans="1:7">
      <c r="B21" s="162">
        <v>20</v>
      </c>
      <c r="C21" s="760" t="s">
        <v>3351</v>
      </c>
      <c r="D21" s="761"/>
      <c r="E21" s="761"/>
      <c r="F21" s="948"/>
      <c r="G21" s="761"/>
    </row>
    <row r="22" spans="1:7">
      <c r="B22" s="162">
        <v>21</v>
      </c>
      <c r="C22" s="338" t="s">
        <v>3337</v>
      </c>
      <c r="D22" s="761"/>
      <c r="E22" s="761"/>
      <c r="F22" s="948"/>
      <c r="G22" s="761"/>
    </row>
    <row r="23" spans="1:7">
      <c r="A23" s="811" t="str">
        <f>HYPERLINK("#C1","置顶")</f>
        <v>置顶</v>
      </c>
      <c r="B23" s="162">
        <v>22</v>
      </c>
      <c r="C23" s="340" t="s">
        <v>3338</v>
      </c>
      <c r="D23" s="761"/>
      <c r="E23" s="761"/>
      <c r="F23" s="948"/>
      <c r="G23" s="761"/>
    </row>
    <row r="24" spans="1:7">
      <c r="A24" s="957"/>
      <c r="B24" s="162"/>
      <c r="C24" s="889" t="s">
        <v>2680</v>
      </c>
      <c r="D24" s="992">
        <f>SUM(D19:D23)</f>
        <v>0</v>
      </c>
      <c r="E24" s="992">
        <f>SUM(E19:E23)</f>
        <v>0</v>
      </c>
      <c r="F24" s="761"/>
      <c r="G24" s="992">
        <f>SUM(G19:G23)</f>
        <v>0</v>
      </c>
    </row>
    <row r="25" spans="1:7">
      <c r="A25" s="810"/>
      <c r="B25" s="162">
        <v>23</v>
      </c>
    </row>
    <row r="26" spans="1:7">
      <c r="B26" s="162">
        <v>24</v>
      </c>
      <c r="C26" s="944" t="s">
        <v>3352</v>
      </c>
    </row>
    <row r="27" spans="1:7">
      <c r="B27" s="162">
        <v>25</v>
      </c>
      <c r="C27" s="881" t="s">
        <v>811</v>
      </c>
      <c r="D27" s="881" t="s">
        <v>3340</v>
      </c>
      <c r="E27" s="881" t="s">
        <v>3341</v>
      </c>
    </row>
    <row r="28" spans="1:7">
      <c r="B28" s="162">
        <v>26</v>
      </c>
      <c r="C28" s="760" t="s">
        <v>3342</v>
      </c>
      <c r="D28" s="761"/>
      <c r="E28" s="760"/>
    </row>
    <row r="29" spans="1:7">
      <c r="A29" s="957" t="s">
        <v>2260</v>
      </c>
      <c r="B29" s="162">
        <v>27</v>
      </c>
      <c r="C29" s="760" t="s">
        <v>3353</v>
      </c>
      <c r="D29" s="761"/>
      <c r="E29" s="760"/>
    </row>
    <row r="30" spans="1:7">
      <c r="A30" s="810"/>
      <c r="B30" s="162">
        <v>28</v>
      </c>
      <c r="C30" s="760" t="s">
        <v>3354</v>
      </c>
      <c r="D30" s="761"/>
      <c r="E30" s="760"/>
    </row>
    <row r="37" spans="12:12">
      <c r="L37" s="1020"/>
    </row>
    <row r="38" spans="12:12">
      <c r="L38" s="1020"/>
    </row>
    <row r="39" spans="12:12">
      <c r="L39" s="1020"/>
    </row>
    <row r="40" spans="12:12">
      <c r="L40" s="1020"/>
    </row>
  </sheetData>
  <sheetProtection formatCells="0" formatColumns="0" formatRows="0" autoFilter="0"/>
  <phoneticPr fontId="5" type="noConversion"/>
  <hyperlinks>
    <hyperlink ref="A1" location="附注填写封面!B3" display="返回目录" xr:uid="{00000000-0004-0000-5E00-000000000000}"/>
    <hyperlink ref="A12" location="附注填写封面!B3" display="返回目录" xr:uid="{00000000-0004-0000-5E00-000001000000}"/>
    <hyperlink ref="A19" location="附注填写封面!B3" display="返回目录" xr:uid="{00000000-0004-0000-5E00-000002000000}"/>
    <hyperlink ref="A29" location="附注填写封面!B3" display="返回目录" xr:uid="{00000000-0004-0000-5E00-000003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78"/>
  <dimension ref="A1:E23"/>
  <sheetViews>
    <sheetView showGridLines="0" showZeros="0" workbookViewId="0">
      <pane xSplit="3" ySplit="2" topLeftCell="D3" activePane="bottomRight" state="frozen"/>
      <selection activeCell="A7" sqref="A1:XFD1048576"/>
      <selection pane="topRight" activeCell="A7" sqref="A1:XFD1048576"/>
      <selection pane="bottomLeft" activeCell="A7" sqref="A1:XFD1048576"/>
      <selection pane="bottomRight"/>
    </sheetView>
  </sheetViews>
  <sheetFormatPr defaultColWidth="11.625" defaultRowHeight="12.75"/>
  <cols>
    <col min="1" max="1" width="7.625" style="344" customWidth="1"/>
    <col min="2" max="2" width="5" style="344" hidden="1" customWidth="1"/>
    <col min="3" max="3" width="20.5" style="843" bestFit="1" customWidth="1"/>
    <col min="4" max="4" width="28.125" style="344" customWidth="1"/>
    <col min="5" max="5" width="21.125" style="344" customWidth="1"/>
    <col min="6" max="16384" width="11.625" style="344"/>
  </cols>
  <sheetData>
    <row r="1" spans="1:5" ht="25.7" customHeight="1">
      <c r="A1" s="764" t="s">
        <v>2260</v>
      </c>
      <c r="B1" s="343" t="s">
        <v>1446</v>
      </c>
      <c r="C1" s="759" t="s">
        <v>3326</v>
      </c>
    </row>
    <row r="2" spans="1:5" ht="24.75">
      <c r="B2" s="162">
        <v>2</v>
      </c>
      <c r="C2" s="889" t="s">
        <v>3327</v>
      </c>
      <c r="D2" s="889" t="s">
        <v>3422</v>
      </c>
      <c r="E2" s="889" t="s">
        <v>3328</v>
      </c>
    </row>
    <row r="3" spans="1:5">
      <c r="A3" s="162">
        <v>1</v>
      </c>
      <c r="B3" s="162">
        <v>3</v>
      </c>
      <c r="C3" s="338"/>
      <c r="D3" s="1042"/>
      <c r="E3" s="761"/>
    </row>
    <row r="4" spans="1:5">
      <c r="A4" s="162">
        <v>2</v>
      </c>
      <c r="B4" s="162">
        <v>4</v>
      </c>
      <c r="C4" s="338"/>
      <c r="D4" s="1042"/>
      <c r="E4" s="761"/>
    </row>
    <row r="5" spans="1:5">
      <c r="A5" s="162">
        <v>3</v>
      </c>
      <c r="B5" s="162">
        <v>5</v>
      </c>
      <c r="C5" s="338"/>
      <c r="D5" s="1042"/>
      <c r="E5" s="761"/>
    </row>
    <row r="6" spans="1:5">
      <c r="A6" s="162">
        <v>4</v>
      </c>
      <c r="B6" s="162">
        <v>6</v>
      </c>
      <c r="C6" s="338"/>
      <c r="D6" s="1042"/>
      <c r="E6" s="761"/>
    </row>
    <row r="7" spans="1:5">
      <c r="A7" s="162">
        <v>5</v>
      </c>
      <c r="B7" s="162">
        <v>7</v>
      </c>
      <c r="C7" s="338"/>
      <c r="D7" s="1042"/>
      <c r="E7" s="761"/>
    </row>
    <row r="8" spans="1:5">
      <c r="A8" s="162">
        <v>6</v>
      </c>
      <c r="B8" s="162">
        <v>8</v>
      </c>
      <c r="C8" s="338"/>
      <c r="D8" s="1042"/>
      <c r="E8" s="761"/>
    </row>
    <row r="9" spans="1:5">
      <c r="A9" s="162">
        <v>7</v>
      </c>
      <c r="B9" s="162">
        <v>9</v>
      </c>
      <c r="C9" s="338"/>
      <c r="D9" s="1042"/>
      <c r="E9" s="761"/>
    </row>
    <row r="10" spans="1:5">
      <c r="A10" s="162">
        <v>8</v>
      </c>
      <c r="B10" s="162">
        <v>10</v>
      </c>
      <c r="C10" s="338"/>
      <c r="D10" s="1042"/>
      <c r="E10" s="761"/>
    </row>
    <row r="11" spans="1:5">
      <c r="A11" s="162">
        <v>9</v>
      </c>
      <c r="B11" s="162">
        <v>11</v>
      </c>
      <c r="C11" s="338"/>
      <c r="D11" s="1042"/>
      <c r="E11" s="761"/>
    </row>
    <row r="12" spans="1:5">
      <c r="A12" s="162">
        <v>10</v>
      </c>
      <c r="B12" s="162">
        <v>12</v>
      </c>
      <c r="C12" s="338"/>
      <c r="D12" s="1042"/>
      <c r="E12" s="761"/>
    </row>
    <row r="13" spans="1:5">
      <c r="A13" s="162">
        <v>11</v>
      </c>
      <c r="B13" s="162">
        <v>13</v>
      </c>
      <c r="C13" s="338"/>
      <c r="D13" s="1042"/>
      <c r="E13" s="761"/>
    </row>
    <row r="14" spans="1:5">
      <c r="A14" s="162">
        <v>12</v>
      </c>
      <c r="B14" s="162">
        <v>14</v>
      </c>
      <c r="C14" s="338"/>
      <c r="D14" s="1042"/>
      <c r="E14" s="761"/>
    </row>
    <row r="15" spans="1:5">
      <c r="A15" s="162">
        <v>13</v>
      </c>
      <c r="B15" s="162">
        <v>15</v>
      </c>
      <c r="C15" s="338"/>
      <c r="D15" s="1042"/>
      <c r="E15" s="761"/>
    </row>
    <row r="16" spans="1:5">
      <c r="A16" s="162">
        <v>14</v>
      </c>
      <c r="B16" s="162">
        <v>16</v>
      </c>
      <c r="C16" s="338"/>
      <c r="D16" s="1042"/>
      <c r="E16" s="761"/>
    </row>
    <row r="17" spans="1:5">
      <c r="A17" s="162">
        <v>15</v>
      </c>
      <c r="B17" s="162">
        <v>17</v>
      </c>
      <c r="C17" s="338"/>
      <c r="D17" s="1042"/>
      <c r="E17" s="761"/>
    </row>
    <row r="18" spans="1:5">
      <c r="B18" s="162">
        <v>18</v>
      </c>
      <c r="C18" s="889" t="s">
        <v>3437</v>
      </c>
      <c r="D18" s="1043"/>
      <c r="E18" s="961">
        <f>SUM(E3:E17)</f>
        <v>0</v>
      </c>
    </row>
    <row r="19" spans="1:5">
      <c r="B19" s="162">
        <v>19</v>
      </c>
    </row>
    <row r="20" spans="1:5">
      <c r="B20" s="162">
        <v>20</v>
      </c>
      <c r="C20" s="881" t="s">
        <v>3329</v>
      </c>
      <c r="D20" s="889" t="s">
        <v>3423</v>
      </c>
      <c r="E20" s="1044" t="str">
        <f>在建工程!G30</f>
        <v>其中：本年利息资本化金额</v>
      </c>
    </row>
    <row r="21" spans="1:5">
      <c r="A21" s="860" t="s">
        <v>2260</v>
      </c>
      <c r="B21" s="162">
        <v>21</v>
      </c>
      <c r="C21" s="154" t="s">
        <v>4815</v>
      </c>
      <c r="D21" s="1045">
        <f>在建工程!H31</f>
        <v>0</v>
      </c>
      <c r="E21" s="405">
        <f>财务费用!D5</f>
        <v>0</v>
      </c>
    </row>
    <row r="22" spans="1:5">
      <c r="A22" s="162"/>
      <c r="B22" s="162">
        <v>22</v>
      </c>
      <c r="C22" s="881" t="s">
        <v>3424</v>
      </c>
      <c r="D22" s="1045">
        <f>D21-D18</f>
        <v>0</v>
      </c>
      <c r="E22" s="405">
        <f>E21-E18</f>
        <v>0</v>
      </c>
    </row>
    <row r="23" spans="1:5">
      <c r="D23" s="843"/>
    </row>
  </sheetData>
  <sheetProtection formatCells="0" formatColumns="0" formatRows="0" autoFilter="0"/>
  <phoneticPr fontId="5" type="noConversion"/>
  <hyperlinks>
    <hyperlink ref="A1" location="附注填写封面!B3" display="返回目录" xr:uid="{00000000-0004-0000-5F00-000000000000}"/>
    <hyperlink ref="A21" location="附注填写封面!B3" display="返回目录" xr:uid="{00000000-0004-0000-5F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91"/>
  <dimension ref="A1:G17"/>
  <sheetViews>
    <sheetView workbookViewId="0">
      <selection activeCell="D6" sqref="D6"/>
    </sheetView>
  </sheetViews>
  <sheetFormatPr defaultColWidth="9" defaultRowHeight="12.75"/>
  <cols>
    <col min="1" max="1" width="9.875" style="162" customWidth="1"/>
    <col min="2" max="2" width="0" style="344" hidden="1" customWidth="1"/>
    <col min="3" max="3" width="45.875" style="344" customWidth="1"/>
    <col min="4" max="4" width="18.5" style="344" customWidth="1"/>
    <col min="5" max="5" width="14.125" style="344" customWidth="1"/>
    <col min="6" max="16384" width="9" style="344"/>
  </cols>
  <sheetData>
    <row r="1" spans="1:7" ht="29.25" customHeight="1">
      <c r="A1" s="860" t="s">
        <v>2260</v>
      </c>
      <c r="B1" s="343" t="s">
        <v>1446</v>
      </c>
      <c r="C1" s="759" t="s">
        <v>3320</v>
      </c>
    </row>
    <row r="2" spans="1:7" ht="24" customHeight="1">
      <c r="B2" s="162">
        <v>2</v>
      </c>
      <c r="C2" s="881" t="s">
        <v>3321</v>
      </c>
      <c r="D2" s="881" t="s">
        <v>3322</v>
      </c>
      <c r="E2" s="881" t="s">
        <v>3323</v>
      </c>
    </row>
    <row r="3" spans="1:7" ht="24" customHeight="1">
      <c r="B3" s="162">
        <v>3</v>
      </c>
      <c r="C3" s="888" t="s">
        <v>3421</v>
      </c>
      <c r="D3" s="888"/>
      <c r="E3" s="881" t="s">
        <v>3324</v>
      </c>
    </row>
    <row r="4" spans="1:7" ht="24" customHeight="1">
      <c r="A4" s="860" t="s">
        <v>2260</v>
      </c>
      <c r="B4" s="162">
        <v>4</v>
      </c>
      <c r="C4" s="888" t="s">
        <v>3325</v>
      </c>
      <c r="D4" s="888"/>
      <c r="E4" s="881" t="s">
        <v>3324</v>
      </c>
    </row>
    <row r="5" spans="1:7" ht="24" customHeight="1">
      <c r="B5" s="162"/>
    </row>
    <row r="6" spans="1:7">
      <c r="B6" s="162"/>
      <c r="C6" s="1287" t="s">
        <v>4462</v>
      </c>
      <c r="D6" s="405">
        <f>审定利润表!C31</f>
        <v>0</v>
      </c>
    </row>
    <row r="7" spans="1:7">
      <c r="B7" s="162"/>
      <c r="C7" s="1287" t="s">
        <v>4463</v>
      </c>
      <c r="D7" s="405">
        <f>D6-D3</f>
        <v>0</v>
      </c>
    </row>
    <row r="8" spans="1:7">
      <c r="B8" s="162"/>
    </row>
    <row r="9" spans="1:7">
      <c r="B9" s="162"/>
    </row>
    <row r="10" spans="1:7">
      <c r="B10" s="162"/>
      <c r="G10" s="1014"/>
    </row>
    <row r="11" spans="1:7">
      <c r="B11" s="162"/>
    </row>
    <row r="12" spans="1:7">
      <c r="B12" s="162"/>
    </row>
    <row r="13" spans="1:7">
      <c r="B13" s="162"/>
    </row>
    <row r="14" spans="1:7">
      <c r="B14" s="162"/>
    </row>
    <row r="15" spans="1:7">
      <c r="B15" s="162"/>
    </row>
    <row r="16" spans="1:7">
      <c r="B16" s="162"/>
    </row>
    <row r="17" spans="2:2">
      <c r="B17" s="162"/>
    </row>
  </sheetData>
  <sheetProtection formatCells="0" formatColumns="0" formatRows="0" autoFilter="0"/>
  <phoneticPr fontId="74" type="noConversion"/>
  <hyperlinks>
    <hyperlink ref="A1" location="附注填写封面!B3" display="返回目录" xr:uid="{00000000-0004-0000-6000-000000000000}"/>
    <hyperlink ref="A4" location="附注填写封面!B3" display="返回目录" xr:uid="{00000000-0004-0000-60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63"/>
  <dimension ref="A1:G48"/>
  <sheetViews>
    <sheetView showGridLines="0" showZeros="0" topLeftCell="A25" workbookViewId="0">
      <selection activeCell="D48" sqref="D48"/>
    </sheetView>
  </sheetViews>
  <sheetFormatPr defaultColWidth="11.625" defaultRowHeight="12.75"/>
  <cols>
    <col min="1" max="1" width="7.625" style="813" customWidth="1"/>
    <col min="2" max="2" width="7.375" style="344" hidden="1" customWidth="1"/>
    <col min="3" max="3" width="35.875" style="843" customWidth="1"/>
    <col min="4" max="16384" width="11.625" style="344"/>
  </cols>
  <sheetData>
    <row r="1" spans="1:5" ht="27.2" customHeight="1">
      <c r="A1" s="963" t="s">
        <v>2260</v>
      </c>
      <c r="B1" s="343" t="s">
        <v>1446</v>
      </c>
      <c r="C1" s="759" t="s">
        <v>3308</v>
      </c>
    </row>
    <row r="2" spans="1:5">
      <c r="B2" s="162">
        <v>2</v>
      </c>
      <c r="C2" s="970" t="s">
        <v>3416</v>
      </c>
    </row>
    <row r="3" spans="1:5">
      <c r="B3" s="162">
        <v>3</v>
      </c>
      <c r="C3" s="889" t="s">
        <v>3309</v>
      </c>
      <c r="D3" s="881" t="s">
        <v>3310</v>
      </c>
    </row>
    <row r="4" spans="1:5">
      <c r="B4" s="162">
        <v>4</v>
      </c>
      <c r="C4" s="338" t="s">
        <v>3417</v>
      </c>
      <c r="D4" s="761"/>
    </row>
    <row r="5" spans="1:5">
      <c r="B5" s="162">
        <v>5</v>
      </c>
      <c r="C5" s="338" t="s">
        <v>3418</v>
      </c>
      <c r="D5" s="761"/>
    </row>
    <row r="6" spans="1:5">
      <c r="B6" s="162">
        <v>6</v>
      </c>
      <c r="C6" s="338" t="s">
        <v>3419</v>
      </c>
      <c r="D6" s="761"/>
    </row>
    <row r="7" spans="1:5">
      <c r="B7" s="162">
        <v>7</v>
      </c>
      <c r="C7" s="338" t="s">
        <v>1053</v>
      </c>
      <c r="D7" s="761"/>
    </row>
    <row r="8" spans="1:5">
      <c r="B8" s="162">
        <v>8</v>
      </c>
      <c r="C8" s="889" t="s">
        <v>823</v>
      </c>
      <c r="D8" s="1019">
        <f>SUM(D4:D7)</f>
        <v>0</v>
      </c>
    </row>
    <row r="9" spans="1:5">
      <c r="B9" s="162">
        <v>9</v>
      </c>
    </row>
    <row r="10" spans="1:5">
      <c r="B10" s="162">
        <v>10</v>
      </c>
      <c r="C10" s="970" t="s">
        <v>1278</v>
      </c>
      <c r="D10" s="1014"/>
      <c r="E10" s="1014"/>
    </row>
    <row r="11" spans="1:5">
      <c r="B11" s="162">
        <v>11</v>
      </c>
      <c r="C11" s="889" t="s">
        <v>1279</v>
      </c>
      <c r="D11" s="881" t="s">
        <v>3311</v>
      </c>
      <c r="E11" s="881" t="s">
        <v>3312</v>
      </c>
    </row>
    <row r="12" spans="1:5">
      <c r="B12" s="162">
        <v>12</v>
      </c>
      <c r="C12" s="338" t="s">
        <v>1280</v>
      </c>
      <c r="D12" s="761"/>
      <c r="E12" s="761"/>
    </row>
    <row r="13" spans="1:5">
      <c r="A13" s="957" t="s">
        <v>2260</v>
      </c>
      <c r="B13" s="162">
        <v>13</v>
      </c>
      <c r="C13" s="338" t="s">
        <v>957</v>
      </c>
      <c r="D13" s="761"/>
      <c r="E13" s="761"/>
    </row>
    <row r="14" spans="1:5">
      <c r="A14" s="810"/>
      <c r="B14" s="162">
        <v>14</v>
      </c>
      <c r="C14" s="338" t="s">
        <v>921</v>
      </c>
      <c r="D14" s="761"/>
      <c r="E14" s="761"/>
    </row>
    <row r="15" spans="1:5">
      <c r="B15" s="162">
        <v>15</v>
      </c>
      <c r="C15" s="338" t="s">
        <v>922</v>
      </c>
      <c r="D15" s="761"/>
      <c r="E15" s="761"/>
    </row>
    <row r="16" spans="1:5">
      <c r="B16" s="162">
        <v>16</v>
      </c>
      <c r="C16" s="338" t="s">
        <v>926</v>
      </c>
      <c r="D16" s="761"/>
      <c r="E16" s="761"/>
    </row>
    <row r="17" spans="1:7">
      <c r="B17" s="162">
        <v>17</v>
      </c>
      <c r="C17" s="338" t="s">
        <v>1091</v>
      </c>
      <c r="D17" s="761"/>
      <c r="E17" s="761"/>
    </row>
    <row r="18" spans="1:7">
      <c r="B18" s="162">
        <v>18</v>
      </c>
      <c r="C18" s="338" t="s">
        <v>1282</v>
      </c>
      <c r="D18" s="761"/>
      <c r="E18" s="761"/>
    </row>
    <row r="19" spans="1:7">
      <c r="A19" s="811" t="str">
        <f>HYPERLINK("#C1","置顶")</f>
        <v>置顶</v>
      </c>
      <c r="B19" s="162">
        <v>19</v>
      </c>
      <c r="C19" s="889" t="s">
        <v>823</v>
      </c>
      <c r="D19" s="406">
        <f>SUM(D12:D18)</f>
        <v>0</v>
      </c>
      <c r="E19" s="406">
        <f>SUM(E12:E18)</f>
        <v>0</v>
      </c>
    </row>
    <row r="20" spans="1:7">
      <c r="A20" s="810"/>
      <c r="B20" s="162">
        <v>20</v>
      </c>
    </row>
    <row r="21" spans="1:7">
      <c r="B21" s="162">
        <v>21</v>
      </c>
      <c r="C21" s="970" t="s">
        <v>1283</v>
      </c>
    </row>
    <row r="22" spans="1:7">
      <c r="B22" s="162">
        <v>22</v>
      </c>
      <c r="C22" s="970" t="s">
        <v>1284</v>
      </c>
    </row>
    <row r="23" spans="1:7" ht="24">
      <c r="B23" s="162">
        <v>23</v>
      </c>
      <c r="C23" s="889" t="s">
        <v>1285</v>
      </c>
      <c r="D23" s="889" t="s">
        <v>3313</v>
      </c>
      <c r="E23" s="889" t="s">
        <v>3314</v>
      </c>
      <c r="F23" s="889" t="s">
        <v>3315</v>
      </c>
      <c r="G23" s="889" t="s">
        <v>3316</v>
      </c>
    </row>
    <row r="24" spans="1:7">
      <c r="B24" s="162">
        <v>24</v>
      </c>
      <c r="C24" s="338" t="s">
        <v>1286</v>
      </c>
      <c r="D24" s="761"/>
      <c r="E24" s="761"/>
      <c r="F24" s="761"/>
      <c r="G24" s="761"/>
    </row>
    <row r="25" spans="1:7">
      <c r="B25" s="162">
        <v>25</v>
      </c>
      <c r="C25" s="338" t="s">
        <v>957</v>
      </c>
      <c r="D25" s="761"/>
      <c r="E25" s="761"/>
      <c r="F25" s="761"/>
      <c r="G25" s="761"/>
    </row>
    <row r="26" spans="1:7">
      <c r="B26" s="162">
        <v>26</v>
      </c>
      <c r="C26" s="338" t="s">
        <v>921</v>
      </c>
      <c r="D26" s="761"/>
      <c r="E26" s="400"/>
      <c r="F26" s="400"/>
      <c r="G26" s="761"/>
    </row>
    <row r="27" spans="1:7">
      <c r="A27" s="957" t="s">
        <v>2260</v>
      </c>
      <c r="B27" s="162">
        <v>27</v>
      </c>
      <c r="C27" s="338" t="s">
        <v>922</v>
      </c>
      <c r="D27" s="761"/>
      <c r="E27" s="761"/>
      <c r="F27" s="761"/>
      <c r="G27" s="761"/>
    </row>
    <row r="28" spans="1:7">
      <c r="A28" s="810"/>
      <c r="B28" s="162">
        <v>28</v>
      </c>
      <c r="C28" s="338" t="s">
        <v>926</v>
      </c>
      <c r="D28" s="761"/>
      <c r="E28" s="761"/>
      <c r="F28" s="761"/>
      <c r="G28" s="761"/>
    </row>
    <row r="29" spans="1:7">
      <c r="B29" s="162">
        <v>29</v>
      </c>
      <c r="C29" s="338" t="s">
        <v>1091</v>
      </c>
      <c r="D29" s="761"/>
      <c r="E29" s="761"/>
      <c r="F29" s="761"/>
      <c r="G29" s="761"/>
    </row>
    <row r="30" spans="1:7">
      <c r="A30" s="811" t="str">
        <f>HYPERLINK("#C1","置顶")</f>
        <v>置顶</v>
      </c>
      <c r="B30" s="162">
        <v>30</v>
      </c>
      <c r="C30" s="338" t="s">
        <v>1287</v>
      </c>
      <c r="D30" s="761"/>
      <c r="E30" s="761"/>
      <c r="F30" s="761"/>
      <c r="G30" s="761"/>
    </row>
    <row r="31" spans="1:7">
      <c r="A31" s="810"/>
      <c r="B31" s="162">
        <v>31</v>
      </c>
      <c r="C31" s="889" t="s">
        <v>823</v>
      </c>
      <c r="D31" s="406">
        <f>SUM(D24:D30)</f>
        <v>0</v>
      </c>
      <c r="E31" s="406">
        <f>SUM(E24:E30)</f>
        <v>0</v>
      </c>
      <c r="F31" s="406">
        <f>SUM(F24:F30)</f>
        <v>0</v>
      </c>
      <c r="G31" s="406">
        <f>SUM(G24:G30)</f>
        <v>0</v>
      </c>
    </row>
    <row r="32" spans="1:7">
      <c r="B32" s="162">
        <v>32</v>
      </c>
    </row>
    <row r="33" spans="1:4">
      <c r="B33" s="162">
        <v>33</v>
      </c>
      <c r="C33" s="994" t="s">
        <v>3317</v>
      </c>
    </row>
    <row r="34" spans="1:4">
      <c r="B34" s="162">
        <v>34</v>
      </c>
      <c r="C34" s="881" t="s">
        <v>3309</v>
      </c>
      <c r="D34" s="881" t="s">
        <v>3318</v>
      </c>
    </row>
    <row r="35" spans="1:4">
      <c r="B35" s="162">
        <v>35</v>
      </c>
      <c r="C35" s="760" t="s">
        <v>3417</v>
      </c>
      <c r="D35" s="761"/>
    </row>
    <row r="36" spans="1:4">
      <c r="A36" s="957" t="s">
        <v>2260</v>
      </c>
      <c r="B36" s="162">
        <v>36</v>
      </c>
      <c r="C36" s="760" t="s">
        <v>3418</v>
      </c>
      <c r="D36" s="761"/>
    </row>
    <row r="37" spans="1:4">
      <c r="A37" s="810"/>
      <c r="B37" s="162">
        <v>37</v>
      </c>
      <c r="C37" s="760" t="s">
        <v>3419</v>
      </c>
      <c r="D37" s="761"/>
    </row>
    <row r="38" spans="1:4">
      <c r="B38" s="162">
        <v>38</v>
      </c>
      <c r="C38" s="760" t="s">
        <v>1053</v>
      </c>
      <c r="D38" s="761"/>
    </row>
    <row r="39" spans="1:4">
      <c r="B39" s="162">
        <v>39</v>
      </c>
      <c r="C39" s="881" t="s">
        <v>817</v>
      </c>
      <c r="D39" s="961">
        <f>SUM(D35:D38)</f>
        <v>0</v>
      </c>
    </row>
    <row r="40" spans="1:4">
      <c r="B40" s="162">
        <v>40</v>
      </c>
    </row>
    <row r="41" spans="1:4">
      <c r="A41" s="811" t="str">
        <f>HYPERLINK("#C1","置顶")</f>
        <v>置顶</v>
      </c>
      <c r="B41" s="162">
        <v>41</v>
      </c>
      <c r="C41" s="994" t="s">
        <v>3420</v>
      </c>
    </row>
    <row r="42" spans="1:4" ht="24">
      <c r="A42" s="810"/>
      <c r="B42" s="162">
        <v>42</v>
      </c>
      <c r="C42" s="994" t="s">
        <v>3319</v>
      </c>
    </row>
    <row r="43" spans="1:4">
      <c r="B43" s="162">
        <v>43</v>
      </c>
      <c r="C43" s="881" t="s">
        <v>3309</v>
      </c>
      <c r="D43" s="881" t="s">
        <v>3318</v>
      </c>
    </row>
    <row r="44" spans="1:4">
      <c r="B44" s="162">
        <v>44</v>
      </c>
      <c r="C44" s="760" t="s">
        <v>3417</v>
      </c>
      <c r="D44" s="761"/>
    </row>
    <row r="45" spans="1:4">
      <c r="B45" s="162">
        <v>45</v>
      </c>
      <c r="C45" s="760" t="s">
        <v>3418</v>
      </c>
      <c r="D45" s="761"/>
    </row>
    <row r="46" spans="1:4">
      <c r="A46" s="957" t="s">
        <v>2260</v>
      </c>
      <c r="B46" s="162">
        <v>46</v>
      </c>
      <c r="C46" s="760" t="s">
        <v>3419</v>
      </c>
      <c r="D46" s="761"/>
    </row>
    <row r="47" spans="1:4">
      <c r="A47" s="810"/>
      <c r="B47" s="162">
        <v>47</v>
      </c>
      <c r="C47" s="760" t="s">
        <v>1053</v>
      </c>
      <c r="D47" s="761"/>
    </row>
    <row r="48" spans="1:4">
      <c r="B48" s="162">
        <v>48</v>
      </c>
      <c r="C48" s="881" t="s">
        <v>817</v>
      </c>
      <c r="D48" s="961">
        <f>SUM(D44:D47)</f>
        <v>0</v>
      </c>
    </row>
  </sheetData>
  <sheetProtection formatCells="0" formatColumns="0" formatRows="0" autoFilter="0"/>
  <phoneticPr fontId="5" type="noConversion"/>
  <hyperlinks>
    <hyperlink ref="A1" location="附注填写封面!B3" display="返回目录" xr:uid="{00000000-0004-0000-6100-000000000000}"/>
    <hyperlink ref="A46" location="附注填写封面!B3" display="返回目录" xr:uid="{00000000-0004-0000-6100-000001000000}"/>
    <hyperlink ref="A13" location="附注填写封面!B3" display="返回目录" xr:uid="{00000000-0004-0000-6100-000002000000}"/>
    <hyperlink ref="A36" location="附注填写封面!B3" display="返回目录" xr:uid="{00000000-0004-0000-6100-000003000000}"/>
    <hyperlink ref="A27" location="附注填写封面!B3" display="返回目录" xr:uid="{00000000-0004-0000-6100-000004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64"/>
  <dimension ref="A1:I43"/>
  <sheetViews>
    <sheetView showGridLines="0" showZeros="0" workbookViewId="0">
      <selection activeCell="J17" sqref="J17"/>
    </sheetView>
  </sheetViews>
  <sheetFormatPr defaultColWidth="11.625" defaultRowHeight="12.75"/>
  <cols>
    <col min="1" max="1" width="5.375" style="162" customWidth="1"/>
    <col min="2" max="2" width="6.125" style="344" hidden="1" customWidth="1"/>
    <col min="3" max="3" width="35.875" style="843" customWidth="1"/>
    <col min="4" max="16384" width="11.625" style="344"/>
  </cols>
  <sheetData>
    <row r="1" spans="1:9" ht="29.25" customHeight="1">
      <c r="A1" s="860" t="s">
        <v>2260</v>
      </c>
      <c r="B1" s="343" t="s">
        <v>1446</v>
      </c>
      <c r="C1" s="759" t="s">
        <v>3436</v>
      </c>
    </row>
    <row r="2" spans="1:9" ht="14.25">
      <c r="B2" s="162">
        <v>2</v>
      </c>
      <c r="C2"/>
      <c r="D2"/>
      <c r="E2"/>
    </row>
    <row r="3" spans="1:9" ht="14.25">
      <c r="B3" s="162">
        <v>3</v>
      </c>
      <c r="C3" s="1378" t="s">
        <v>4606</v>
      </c>
      <c r="D3"/>
      <c r="E3"/>
    </row>
    <row r="4" spans="1:9" ht="14.25">
      <c r="B4" s="162">
        <v>4</v>
      </c>
      <c r="C4" s="1440" t="s">
        <v>4728</v>
      </c>
      <c r="D4" s="1441" t="s">
        <v>4727</v>
      </c>
      <c r="E4" s="1441" t="s">
        <v>4729</v>
      </c>
      <c r="F4"/>
      <c r="G4"/>
      <c r="H4"/>
      <c r="I4"/>
    </row>
    <row r="5" spans="1:9" ht="14.25">
      <c r="B5" s="162">
        <v>5</v>
      </c>
      <c r="C5" s="1436" t="s">
        <v>4730</v>
      </c>
      <c r="D5" s="1439"/>
      <c r="E5" s="1439"/>
      <c r="F5"/>
      <c r="G5"/>
      <c r="H5"/>
      <c r="I5"/>
    </row>
    <row r="6" spans="1:9" ht="14.25">
      <c r="B6" s="162">
        <v>6</v>
      </c>
      <c r="C6" s="1437" t="s">
        <v>4732</v>
      </c>
      <c r="D6" s="1439"/>
      <c r="E6" s="1439"/>
      <c r="F6"/>
      <c r="G6"/>
      <c r="H6"/>
      <c r="I6"/>
    </row>
    <row r="7" spans="1:9" ht="14.25">
      <c r="B7" s="162">
        <v>7</v>
      </c>
      <c r="C7" s="1437" t="s">
        <v>4731</v>
      </c>
      <c r="D7" s="1446">
        <f>D5-D6</f>
        <v>0</v>
      </c>
      <c r="E7" s="1446">
        <f>E5-E6</f>
        <v>0</v>
      </c>
      <c r="F7"/>
      <c r="G7"/>
      <c r="H7"/>
      <c r="I7"/>
    </row>
    <row r="8" spans="1:9" ht="24">
      <c r="A8" s="860" t="s">
        <v>2260</v>
      </c>
      <c r="B8" s="162"/>
      <c r="C8" s="1437" t="s">
        <v>4733</v>
      </c>
      <c r="D8" s="1439"/>
      <c r="E8" s="1439"/>
      <c r="F8"/>
      <c r="G8"/>
      <c r="H8"/>
      <c r="I8"/>
    </row>
    <row r="9" spans="1:9" ht="14.25">
      <c r="B9" s="162"/>
      <c r="C9" s="1437" t="s">
        <v>4734</v>
      </c>
      <c r="D9" s="1446">
        <f>D7-D8</f>
        <v>0</v>
      </c>
      <c r="E9" s="1446">
        <f>E7-E8</f>
        <v>0</v>
      </c>
      <c r="F9"/>
      <c r="G9"/>
      <c r="H9"/>
      <c r="I9"/>
    </row>
    <row r="10" spans="1:9" ht="14.25">
      <c r="B10" s="162"/>
      <c r="C10" s="1437" t="s">
        <v>4735</v>
      </c>
      <c r="D10" s="1439"/>
      <c r="E10" s="1439"/>
      <c r="F10"/>
      <c r="G10"/>
      <c r="H10"/>
      <c r="I10"/>
    </row>
    <row r="11" spans="1:9" ht="14.25">
      <c r="B11" s="162"/>
      <c r="C11" s="1437" t="s">
        <v>4736</v>
      </c>
      <c r="D11" s="1439"/>
      <c r="E11" s="1439"/>
      <c r="F11"/>
      <c r="G11"/>
      <c r="H11"/>
      <c r="I11"/>
    </row>
    <row r="12" spans="1:9" ht="14.25">
      <c r="B12" s="162"/>
      <c r="C12" s="1437" t="s">
        <v>4737</v>
      </c>
      <c r="D12" s="1439"/>
      <c r="E12" s="1439"/>
      <c r="F12"/>
      <c r="G12"/>
      <c r="H12"/>
      <c r="I12"/>
    </row>
    <row r="13" spans="1:9" ht="14.25">
      <c r="B13" s="162"/>
      <c r="C13" s="1437" t="s">
        <v>4738</v>
      </c>
      <c r="D13" s="1439"/>
      <c r="E13" s="1439"/>
      <c r="F13"/>
      <c r="G13"/>
      <c r="H13"/>
      <c r="I13"/>
    </row>
    <row r="14" spans="1:9" ht="14.25">
      <c r="B14" s="162"/>
      <c r="C14" s="1438" t="s">
        <v>4739</v>
      </c>
      <c r="D14" s="1446">
        <f>D9+D11</f>
        <v>0</v>
      </c>
      <c r="E14" s="1446">
        <f>E9+E11</f>
        <v>0</v>
      </c>
      <c r="F14"/>
      <c r="G14"/>
      <c r="H14"/>
      <c r="I14"/>
    </row>
    <row r="15" spans="1:9" ht="24">
      <c r="B15" s="162"/>
      <c r="C15" s="1438" t="s">
        <v>4740</v>
      </c>
      <c r="D15" s="1439"/>
      <c r="E15" s="1439"/>
      <c r="F15"/>
      <c r="G15"/>
      <c r="H15"/>
      <c r="I15"/>
    </row>
    <row r="16" spans="1:9" ht="14.25">
      <c r="B16" s="162"/>
      <c r="C16" s="1436" t="s">
        <v>4741</v>
      </c>
      <c r="D16" s="1446">
        <f>SUM(D17:D19)</f>
        <v>0</v>
      </c>
      <c r="E16" s="1446">
        <f>SUM(E17:E19)</f>
        <v>0</v>
      </c>
      <c r="F16"/>
      <c r="G16"/>
      <c r="H16"/>
      <c r="I16"/>
    </row>
    <row r="17" spans="2:9" ht="14.25">
      <c r="B17" s="162"/>
      <c r="C17" s="1436" t="s">
        <v>4742</v>
      </c>
      <c r="D17" s="1439"/>
      <c r="E17" s="1439"/>
      <c r="F17"/>
      <c r="G17"/>
      <c r="H17"/>
      <c r="I17"/>
    </row>
    <row r="18" spans="2:9" ht="14.25">
      <c r="C18" s="1437" t="s">
        <v>4743</v>
      </c>
      <c r="D18" s="1439"/>
      <c r="E18" s="1439"/>
      <c r="F18"/>
      <c r="G18"/>
      <c r="H18"/>
      <c r="I18"/>
    </row>
    <row r="19" spans="2:9" ht="14.25">
      <c r="C19" s="1437" t="s">
        <v>4744</v>
      </c>
      <c r="D19" s="1439"/>
      <c r="E19" s="1439"/>
      <c r="F19"/>
      <c r="G19"/>
      <c r="H19"/>
      <c r="I19"/>
    </row>
    <row r="20" spans="2:9" ht="14.25">
      <c r="C20"/>
      <c r="D20"/>
      <c r="E20"/>
      <c r="F20"/>
      <c r="G20"/>
      <c r="H20"/>
      <c r="I20"/>
    </row>
    <row r="21" spans="2:9" ht="14.25">
      <c r="C21"/>
      <c r="D21"/>
      <c r="E21"/>
      <c r="F21"/>
      <c r="G21"/>
      <c r="H21"/>
      <c r="I21"/>
    </row>
    <row r="22" spans="2:9" ht="14.25">
      <c r="C22" s="1378" t="s">
        <v>4607</v>
      </c>
      <c r="D22"/>
      <c r="E22"/>
      <c r="F22"/>
      <c r="G22"/>
      <c r="H22"/>
      <c r="I22"/>
    </row>
    <row r="23" spans="2:9" ht="14.25">
      <c r="C23" s="1878" t="s">
        <v>4602</v>
      </c>
      <c r="D23" s="1878" t="s">
        <v>4593</v>
      </c>
      <c r="E23" s="1878" t="s">
        <v>4594</v>
      </c>
      <c r="F23" s="1878" t="s">
        <v>4595</v>
      </c>
      <c r="G23" s="1878"/>
      <c r="H23" s="1878" t="s">
        <v>4596</v>
      </c>
      <c r="I23"/>
    </row>
    <row r="24" spans="2:9" ht="14.25">
      <c r="C24" s="1878"/>
      <c r="D24" s="1878"/>
      <c r="E24" s="1878"/>
      <c r="F24" s="1379" t="s">
        <v>4597</v>
      </c>
      <c r="G24" s="1379" t="s">
        <v>4598</v>
      </c>
      <c r="H24" s="1878"/>
      <c r="I24"/>
    </row>
    <row r="25" spans="2:9" ht="14.25">
      <c r="C25" s="1380" t="s">
        <v>4599</v>
      </c>
      <c r="D25" s="1384"/>
      <c r="E25" s="1385"/>
      <c r="F25" s="1383"/>
      <c r="G25" s="1383"/>
      <c r="H25" s="1383"/>
      <c r="I25"/>
    </row>
    <row r="26" spans="2:9" ht="14.25">
      <c r="C26" s="1382" t="s">
        <v>4600</v>
      </c>
      <c r="D26" s="1384"/>
      <c r="E26" s="1385"/>
      <c r="F26" s="1383"/>
      <c r="G26" s="1383"/>
      <c r="H26" s="992">
        <f>D26+E26-F26-G26</f>
        <v>0</v>
      </c>
      <c r="I26"/>
    </row>
    <row r="27" spans="2:9" ht="14.25">
      <c r="C27" s="1382" t="s">
        <v>4603</v>
      </c>
      <c r="D27" s="1384"/>
      <c r="E27" s="1385"/>
      <c r="F27" s="1383"/>
      <c r="G27" s="1383"/>
      <c r="H27" s="992">
        <f t="shared" ref="H27:H42" si="0">D27+E27-F27-G27</f>
        <v>0</v>
      </c>
      <c r="I27"/>
    </row>
    <row r="28" spans="2:9" ht="14.25">
      <c r="C28" s="1382" t="s">
        <v>4605</v>
      </c>
      <c r="D28" s="1384"/>
      <c r="E28" s="1385"/>
      <c r="F28" s="1383"/>
      <c r="G28" s="1383"/>
      <c r="H28" s="992">
        <f t="shared" si="0"/>
        <v>0</v>
      </c>
      <c r="I28"/>
    </row>
    <row r="29" spans="2:9" ht="14.25">
      <c r="C29" s="1381" t="s">
        <v>4609</v>
      </c>
      <c r="D29" s="1384"/>
      <c r="E29" s="1385"/>
      <c r="F29" s="1383"/>
      <c r="G29" s="1383"/>
      <c r="H29" s="992">
        <f t="shared" si="0"/>
        <v>0</v>
      </c>
      <c r="I29"/>
    </row>
    <row r="30" spans="2:9" ht="14.25">
      <c r="C30" s="1382"/>
      <c r="D30" s="1384"/>
      <c r="E30" s="1385"/>
      <c r="F30" s="1383"/>
      <c r="G30" s="1383"/>
      <c r="H30" s="992">
        <f t="shared" si="0"/>
        <v>0</v>
      </c>
      <c r="I30"/>
    </row>
    <row r="31" spans="2:9" ht="14.25">
      <c r="C31" s="1382"/>
      <c r="D31" s="1384"/>
      <c r="E31" s="1385"/>
      <c r="F31" s="1383"/>
      <c r="G31" s="1383"/>
      <c r="H31" s="992">
        <f t="shared" si="0"/>
        <v>0</v>
      </c>
      <c r="I31"/>
    </row>
    <row r="32" spans="2:9" ht="14.25">
      <c r="C32" s="1382"/>
      <c r="D32" s="1384"/>
      <c r="E32" s="1385"/>
      <c r="F32" s="1383"/>
      <c r="G32" s="1383"/>
      <c r="H32" s="992">
        <f t="shared" si="0"/>
        <v>0</v>
      </c>
      <c r="I32"/>
    </row>
    <row r="33" spans="3:8">
      <c r="C33" s="1382"/>
      <c r="D33" s="1384"/>
      <c r="E33" s="1385"/>
      <c r="F33" s="1383"/>
      <c r="G33" s="1383"/>
      <c r="H33" s="992">
        <f t="shared" si="0"/>
        <v>0</v>
      </c>
    </row>
    <row r="34" spans="3:8">
      <c r="C34" s="1380" t="s">
        <v>4601</v>
      </c>
      <c r="D34" s="1384"/>
      <c r="E34" s="1385"/>
      <c r="F34" s="1383"/>
      <c r="G34" s="1383"/>
      <c r="H34" s="1383"/>
    </row>
    <row r="35" spans="3:8">
      <c r="C35" s="1382" t="s">
        <v>4600</v>
      </c>
      <c r="D35" s="1384"/>
      <c r="E35" s="1385"/>
      <c r="F35" s="1383"/>
      <c r="G35" s="1383"/>
      <c r="H35" s="992">
        <f t="shared" si="0"/>
        <v>0</v>
      </c>
    </row>
    <row r="36" spans="3:8">
      <c r="C36" s="1382" t="s">
        <v>4603</v>
      </c>
      <c r="D36" s="1384"/>
      <c r="E36" s="1385"/>
      <c r="F36" s="1383"/>
      <c r="G36" s="1383"/>
      <c r="H36" s="992">
        <f t="shared" si="0"/>
        <v>0</v>
      </c>
    </row>
    <row r="37" spans="3:8">
      <c r="C37" s="1382" t="s">
        <v>4605</v>
      </c>
      <c r="D37" s="1384"/>
      <c r="E37" s="1385"/>
      <c r="F37" s="1383"/>
      <c r="G37" s="1383"/>
      <c r="H37" s="992">
        <f t="shared" si="0"/>
        <v>0</v>
      </c>
    </row>
    <row r="38" spans="3:8">
      <c r="C38" s="1381" t="s">
        <v>4609</v>
      </c>
      <c r="D38" s="1384"/>
      <c r="E38" s="1385"/>
      <c r="F38" s="1383"/>
      <c r="G38" s="1383"/>
      <c r="H38" s="992">
        <f t="shared" si="0"/>
        <v>0</v>
      </c>
    </row>
    <row r="39" spans="3:8">
      <c r="C39" s="1382" t="s">
        <v>4611</v>
      </c>
      <c r="D39" s="1384"/>
      <c r="E39" s="1385"/>
      <c r="F39" s="1383"/>
      <c r="G39" s="1383"/>
      <c r="H39" s="992">
        <f t="shared" si="0"/>
        <v>0</v>
      </c>
    </row>
    <row r="40" spans="3:8">
      <c r="C40" s="1382"/>
      <c r="D40" s="1384"/>
      <c r="E40" s="1385"/>
      <c r="F40" s="1383"/>
      <c r="G40" s="1383"/>
      <c r="H40" s="992">
        <f t="shared" si="0"/>
        <v>0</v>
      </c>
    </row>
    <row r="41" spans="3:8">
      <c r="C41" s="1382"/>
      <c r="D41" s="1384"/>
      <c r="E41" s="1385"/>
      <c r="F41" s="1383"/>
      <c r="G41" s="1383"/>
      <c r="H41" s="992">
        <f t="shared" si="0"/>
        <v>0</v>
      </c>
    </row>
    <row r="42" spans="3:8">
      <c r="C42" s="1382" t="s">
        <v>4557</v>
      </c>
      <c r="D42" s="1384"/>
      <c r="E42" s="1385"/>
      <c r="F42" s="1383"/>
      <c r="G42" s="1383"/>
      <c r="H42" s="992">
        <f t="shared" si="0"/>
        <v>0</v>
      </c>
    </row>
    <row r="43" spans="3:8">
      <c r="C43" s="1379" t="s">
        <v>4604</v>
      </c>
      <c r="D43" s="992">
        <f>SUM(D26:D33,D35:D42)</f>
        <v>0</v>
      </c>
      <c r="E43" s="992">
        <f t="shared" ref="E43:H43" si="1">SUM(E26:E33,E35:E42)</f>
        <v>0</v>
      </c>
      <c r="F43" s="992">
        <f t="shared" si="1"/>
        <v>0</v>
      </c>
      <c r="G43" s="992">
        <f t="shared" si="1"/>
        <v>0</v>
      </c>
      <c r="H43" s="992">
        <f t="shared" si="1"/>
        <v>0</v>
      </c>
    </row>
  </sheetData>
  <sheetProtection formatCells="0" formatColumns="0" formatRows="0" autoFilter="0"/>
  <mergeCells count="5">
    <mergeCell ref="H23:H24"/>
    <mergeCell ref="C23:C24"/>
    <mergeCell ref="D23:D24"/>
    <mergeCell ref="E23:E24"/>
    <mergeCell ref="F23:G23"/>
  </mergeCells>
  <phoneticPr fontId="5" type="noConversion"/>
  <hyperlinks>
    <hyperlink ref="A1" location="附注填写封面!B3" display="返回目录" xr:uid="{00000000-0004-0000-6200-000000000000}"/>
    <hyperlink ref="A8" location="附注填写封面!B3" display="返回目录" xr:uid="{00000000-0004-0000-6200-00000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97">
    <tabColor rgb="FFFFC000"/>
  </sheetPr>
  <dimension ref="A1:G104"/>
  <sheetViews>
    <sheetView showGridLines="0" showZeros="0" workbookViewId="0">
      <selection activeCell="I14" sqref="I14"/>
    </sheetView>
  </sheetViews>
  <sheetFormatPr defaultColWidth="9" defaultRowHeight="12.75"/>
  <cols>
    <col min="1" max="1" width="8.875" style="162" customWidth="1"/>
    <col min="2" max="2" width="5.625" style="344" hidden="1" customWidth="1"/>
    <col min="3" max="3" width="23.875" style="344" customWidth="1"/>
    <col min="4" max="4" width="21.375" style="344" customWidth="1"/>
    <col min="5" max="5" width="16.125" style="344" customWidth="1"/>
    <col min="6" max="6" width="0" style="162" hidden="1" customWidth="1"/>
    <col min="7" max="16384" width="9" style="344"/>
  </cols>
  <sheetData>
    <row r="1" spans="1:7" ht="22.7" customHeight="1">
      <c r="A1" s="860" t="s">
        <v>2260</v>
      </c>
      <c r="B1" s="343" t="s">
        <v>1446</v>
      </c>
      <c r="C1" s="759" t="s">
        <v>3565</v>
      </c>
      <c r="G1" s="781"/>
    </row>
    <row r="2" spans="1:7">
      <c r="B2" s="162">
        <v>2</v>
      </c>
      <c r="C2" s="781" t="s">
        <v>3566</v>
      </c>
    </row>
    <row r="3" spans="1:7">
      <c r="B3" s="162">
        <v>3</v>
      </c>
      <c r="C3" s="881" t="s">
        <v>890</v>
      </c>
      <c r="D3" s="889" t="s">
        <v>3220</v>
      </c>
      <c r="E3" s="889" t="s">
        <v>3221</v>
      </c>
    </row>
    <row r="4" spans="1:7">
      <c r="B4" s="162">
        <v>4</v>
      </c>
      <c r="C4" s="1639" t="s">
        <v>5255</v>
      </c>
      <c r="D4" s="761"/>
      <c r="E4" s="761">
        <v>210537.16</v>
      </c>
      <c r="F4" s="162">
        <v>1</v>
      </c>
    </row>
    <row r="5" spans="1:7">
      <c r="B5" s="162">
        <v>5</v>
      </c>
      <c r="C5" s="1639" t="s">
        <v>5258</v>
      </c>
      <c r="D5" s="761">
        <v>3501.21</v>
      </c>
      <c r="E5" s="761">
        <v>67742.600000000006</v>
      </c>
      <c r="F5" s="162">
        <v>2</v>
      </c>
    </row>
    <row r="6" spans="1:7">
      <c r="B6" s="162">
        <v>6</v>
      </c>
      <c r="C6" s="888"/>
      <c r="D6" s="761"/>
      <c r="E6" s="761"/>
      <c r="F6" s="162">
        <v>3</v>
      </c>
    </row>
    <row r="7" spans="1:7">
      <c r="A7" s="860" t="s">
        <v>2260</v>
      </c>
      <c r="B7" s="162">
        <v>7</v>
      </c>
      <c r="C7" s="888"/>
      <c r="D7" s="761"/>
      <c r="E7" s="761"/>
      <c r="F7" s="162">
        <v>4</v>
      </c>
    </row>
    <row r="8" spans="1:7">
      <c r="B8" s="162">
        <v>8</v>
      </c>
      <c r="C8" s="888"/>
      <c r="D8" s="761"/>
      <c r="E8" s="761"/>
      <c r="F8" s="162">
        <v>5</v>
      </c>
    </row>
    <row r="9" spans="1:7">
      <c r="B9" s="162">
        <v>9</v>
      </c>
      <c r="C9" s="888"/>
      <c r="D9" s="761"/>
      <c r="E9" s="761"/>
      <c r="F9" s="162">
        <v>6</v>
      </c>
    </row>
    <row r="10" spans="1:7">
      <c r="B10" s="162">
        <v>10</v>
      </c>
      <c r="C10" s="888"/>
      <c r="D10" s="761"/>
      <c r="E10" s="761"/>
      <c r="F10" s="162">
        <v>7</v>
      </c>
    </row>
    <row r="11" spans="1:7">
      <c r="B11" s="162">
        <v>11</v>
      </c>
      <c r="C11" s="888"/>
      <c r="D11" s="761"/>
      <c r="E11" s="761"/>
      <c r="F11" s="162">
        <v>8</v>
      </c>
    </row>
    <row r="12" spans="1:7">
      <c r="B12" s="162">
        <v>12</v>
      </c>
      <c r="C12" s="888"/>
      <c r="D12" s="761"/>
      <c r="E12" s="761"/>
      <c r="F12" s="162">
        <v>9</v>
      </c>
    </row>
    <row r="13" spans="1:7">
      <c r="B13" s="162">
        <v>13</v>
      </c>
      <c r="C13" s="888"/>
      <c r="D13" s="761"/>
      <c r="E13" s="761"/>
      <c r="F13" s="162">
        <v>10</v>
      </c>
    </row>
    <row r="14" spans="1:7">
      <c r="B14" s="162">
        <v>14</v>
      </c>
      <c r="C14" s="888"/>
      <c r="D14" s="761"/>
      <c r="E14" s="761"/>
      <c r="F14" s="162">
        <v>11</v>
      </c>
    </row>
    <row r="15" spans="1:7">
      <c r="B15" s="162">
        <v>15</v>
      </c>
      <c r="C15" s="888"/>
      <c r="D15" s="761"/>
      <c r="E15" s="761"/>
      <c r="F15" s="162">
        <v>12</v>
      </c>
    </row>
    <row r="16" spans="1:7">
      <c r="B16" s="162">
        <v>16</v>
      </c>
      <c r="C16" s="881" t="s">
        <v>839</v>
      </c>
      <c r="D16" s="406">
        <f>SUM(D4:D15)</f>
        <v>3501.21</v>
      </c>
      <c r="E16" s="406">
        <f>SUM(E4:E15)</f>
        <v>278279.76</v>
      </c>
    </row>
    <row r="17" spans="1:6">
      <c r="B17" s="162">
        <v>17</v>
      </c>
    </row>
    <row r="18" spans="1:6">
      <c r="B18" s="162">
        <v>18</v>
      </c>
    </row>
    <row r="19" spans="1:6">
      <c r="B19" s="162">
        <v>19</v>
      </c>
      <c r="C19" s="781" t="s">
        <v>3567</v>
      </c>
    </row>
    <row r="20" spans="1:6">
      <c r="B20" s="162">
        <v>20</v>
      </c>
      <c r="C20" s="881" t="s">
        <v>890</v>
      </c>
      <c r="D20" s="889" t="s">
        <v>3220</v>
      </c>
      <c r="E20" s="889" t="s">
        <v>3221</v>
      </c>
    </row>
    <row r="21" spans="1:6">
      <c r="B21" s="162">
        <v>21</v>
      </c>
      <c r="C21" s="1639" t="s">
        <v>5256</v>
      </c>
      <c r="D21" s="761">
        <v>1184331.6399999999</v>
      </c>
      <c r="E21" s="761">
        <v>4053188.19</v>
      </c>
      <c r="F21" s="761">
        <v>1</v>
      </c>
    </row>
    <row r="22" spans="1:6">
      <c r="B22" s="162">
        <v>22</v>
      </c>
      <c r="C22" s="1639" t="s">
        <v>5255</v>
      </c>
      <c r="D22" s="761">
        <v>7760</v>
      </c>
      <c r="E22" s="761">
        <v>82912.62</v>
      </c>
      <c r="F22" s="162">
        <v>2</v>
      </c>
    </row>
    <row r="23" spans="1:6">
      <c r="A23" s="860" t="s">
        <v>2260</v>
      </c>
      <c r="B23" s="162">
        <v>23</v>
      </c>
      <c r="C23" s="55" t="s">
        <v>5257</v>
      </c>
      <c r="D23" s="761">
        <v>1123</v>
      </c>
      <c r="E23" s="761">
        <v>2924.3</v>
      </c>
      <c r="F23" s="162">
        <v>3</v>
      </c>
    </row>
    <row r="24" spans="1:6">
      <c r="B24" s="162">
        <v>24</v>
      </c>
      <c r="C24" s="888"/>
      <c r="D24" s="761"/>
      <c r="E24" s="761"/>
      <c r="F24" s="162">
        <v>4</v>
      </c>
    </row>
    <row r="25" spans="1:6">
      <c r="B25" s="162">
        <v>25</v>
      </c>
      <c r="C25" s="888"/>
      <c r="D25" s="761"/>
      <c r="E25" s="761"/>
      <c r="F25" s="162">
        <v>5</v>
      </c>
    </row>
    <row r="26" spans="1:6">
      <c r="B26" s="162">
        <v>26</v>
      </c>
      <c r="C26" s="888"/>
      <c r="D26" s="761"/>
      <c r="E26" s="761"/>
      <c r="F26" s="162">
        <v>6</v>
      </c>
    </row>
    <row r="27" spans="1:6">
      <c r="B27" s="162">
        <v>27</v>
      </c>
      <c r="C27" s="888"/>
      <c r="D27" s="761"/>
      <c r="E27" s="761"/>
      <c r="F27" s="162">
        <v>7</v>
      </c>
    </row>
    <row r="28" spans="1:6">
      <c r="B28" s="162">
        <v>28</v>
      </c>
      <c r="C28" s="888"/>
      <c r="D28" s="761"/>
      <c r="E28" s="761"/>
      <c r="F28" s="162">
        <v>8</v>
      </c>
    </row>
    <row r="29" spans="1:6">
      <c r="B29" s="162">
        <v>29</v>
      </c>
      <c r="C29" s="888"/>
      <c r="D29" s="761"/>
      <c r="E29" s="761"/>
      <c r="F29" s="162">
        <v>9</v>
      </c>
    </row>
    <row r="30" spans="1:6">
      <c r="A30" s="1001" t="str">
        <f>HYPERLINK("#C1","置顶")</f>
        <v>置顶</v>
      </c>
      <c r="B30" s="162">
        <v>30</v>
      </c>
      <c r="C30" s="888"/>
      <c r="D30" s="761"/>
      <c r="E30" s="761"/>
      <c r="F30" s="162">
        <v>10</v>
      </c>
    </row>
    <row r="31" spans="1:6">
      <c r="B31" s="162">
        <v>31</v>
      </c>
      <c r="C31" s="888"/>
      <c r="D31" s="761"/>
      <c r="E31" s="761"/>
      <c r="F31" s="162">
        <v>11</v>
      </c>
    </row>
    <row r="32" spans="1:6">
      <c r="A32" s="1001" t="str">
        <f>HYPERLINK("#C1","置顶")</f>
        <v>置顶</v>
      </c>
      <c r="B32" s="162">
        <v>32</v>
      </c>
      <c r="C32" s="888"/>
      <c r="D32" s="761"/>
      <c r="E32" s="761"/>
      <c r="F32" s="162">
        <v>12</v>
      </c>
    </row>
    <row r="33" spans="1:6">
      <c r="B33" s="162">
        <v>33</v>
      </c>
      <c r="C33" s="881" t="s">
        <v>839</v>
      </c>
      <c r="D33" s="406">
        <f>SUM(D21:D32)</f>
        <v>1193214.6399999999</v>
      </c>
      <c r="E33" s="406">
        <f>SUM(E21:E32)</f>
        <v>4139025.11</v>
      </c>
    </row>
    <row r="34" spans="1:6">
      <c r="B34" s="162">
        <v>34</v>
      </c>
    </row>
    <row r="35" spans="1:6">
      <c r="A35" s="860" t="s">
        <v>2260</v>
      </c>
      <c r="B35" s="162">
        <v>35</v>
      </c>
    </row>
    <row r="36" spans="1:6">
      <c r="B36" s="162">
        <v>36</v>
      </c>
    </row>
    <row r="37" spans="1:6">
      <c r="B37" s="162">
        <v>37</v>
      </c>
      <c r="C37" s="781" t="s">
        <v>4944</v>
      </c>
      <c r="D37" s="781"/>
    </row>
    <row r="38" spans="1:6">
      <c r="B38" s="162">
        <v>38</v>
      </c>
      <c r="C38" s="881" t="s">
        <v>890</v>
      </c>
      <c r="D38" s="889" t="s">
        <v>3220</v>
      </c>
      <c r="E38" s="889" t="s">
        <v>3221</v>
      </c>
    </row>
    <row r="39" spans="1:6">
      <c r="B39" s="162">
        <v>39</v>
      </c>
      <c r="C39" s="881"/>
      <c r="D39" s="889"/>
      <c r="E39" s="1482"/>
      <c r="F39" s="1482">
        <v>1</v>
      </c>
    </row>
    <row r="40" spans="1:6">
      <c r="B40" s="162">
        <v>40</v>
      </c>
      <c r="C40" s="881"/>
      <c r="D40" s="1482"/>
      <c r="E40" s="1482"/>
      <c r="F40" s="1482">
        <v>1</v>
      </c>
    </row>
    <row r="41" spans="1:6">
      <c r="B41" s="162">
        <v>41</v>
      </c>
      <c r="C41" s="881"/>
      <c r="D41" s="1482"/>
      <c r="E41" s="1482"/>
      <c r="F41" s="1482">
        <v>1</v>
      </c>
    </row>
    <row r="42" spans="1:6">
      <c r="B42" s="162">
        <v>42</v>
      </c>
      <c r="C42" s="881"/>
      <c r="D42" s="1482"/>
      <c r="E42" s="1482"/>
      <c r="F42" s="1482">
        <v>1</v>
      </c>
    </row>
    <row r="43" spans="1:6">
      <c r="B43" s="162">
        <v>43</v>
      </c>
      <c r="C43" s="881"/>
      <c r="D43" s="1482"/>
      <c r="E43" s="1482"/>
      <c r="F43" s="1482">
        <v>1</v>
      </c>
    </row>
    <row r="44" spans="1:6">
      <c r="B44" s="162">
        <v>44</v>
      </c>
      <c r="C44" s="881"/>
      <c r="D44" s="1482"/>
      <c r="E44" s="1482"/>
      <c r="F44" s="1482">
        <v>1</v>
      </c>
    </row>
    <row r="45" spans="1:6">
      <c r="B45" s="162">
        <v>45</v>
      </c>
      <c r="C45" s="821"/>
      <c r="D45" s="1482"/>
      <c r="E45" s="1482"/>
      <c r="F45" s="1482">
        <v>1</v>
      </c>
    </row>
    <row r="46" spans="1:6">
      <c r="B46" s="162">
        <v>46</v>
      </c>
      <c r="C46" s="881" t="s">
        <v>839</v>
      </c>
      <c r="D46" s="406">
        <f>SUM(D39:D45)</f>
        <v>0</v>
      </c>
      <c r="E46" s="406">
        <f>SUM(E39:E45)</f>
        <v>0</v>
      </c>
    </row>
    <row r="47" spans="1:6">
      <c r="A47" s="860" t="s">
        <v>2260</v>
      </c>
      <c r="B47" s="162">
        <v>47</v>
      </c>
      <c r="C47" s="781"/>
    </row>
    <row r="48" spans="1:6">
      <c r="B48" s="162">
        <v>48</v>
      </c>
      <c r="C48" s="781" t="s">
        <v>3568</v>
      </c>
      <c r="D48" s="781"/>
    </row>
    <row r="49" spans="2:6">
      <c r="B49" s="162">
        <v>49</v>
      </c>
      <c r="C49" s="881" t="s">
        <v>890</v>
      </c>
      <c r="D49" s="889" t="s">
        <v>3220</v>
      </c>
      <c r="E49" s="889" t="s">
        <v>3221</v>
      </c>
    </row>
    <row r="50" spans="2:6">
      <c r="B50" s="162">
        <v>50</v>
      </c>
      <c r="C50" s="881"/>
      <c r="D50" s="889"/>
      <c r="E50" s="1482"/>
      <c r="F50" s="1482"/>
    </row>
    <row r="51" spans="2:6">
      <c r="B51" s="162">
        <v>51</v>
      </c>
      <c r="C51" s="881"/>
      <c r="D51" s="1482"/>
      <c r="E51" s="1482"/>
      <c r="F51" s="1482"/>
    </row>
    <row r="52" spans="2:6">
      <c r="B52" s="162">
        <v>52</v>
      </c>
      <c r="C52" s="881"/>
      <c r="D52" s="1482"/>
      <c r="E52" s="1482"/>
      <c r="F52" s="1482"/>
    </row>
    <row r="53" spans="2:6">
      <c r="B53" s="162">
        <v>53</v>
      </c>
      <c r="C53" s="881"/>
      <c r="D53" s="1482"/>
      <c r="E53" s="1482"/>
      <c r="F53" s="1482"/>
    </row>
    <row r="54" spans="2:6">
      <c r="B54" s="162">
        <v>54</v>
      </c>
      <c r="C54" s="881"/>
      <c r="D54" s="1482"/>
      <c r="E54" s="1482"/>
      <c r="F54" s="1482"/>
    </row>
    <row r="55" spans="2:6">
      <c r="B55" s="162">
        <v>55</v>
      </c>
      <c r="C55" s="821"/>
      <c r="D55" s="1482"/>
      <c r="E55" s="1482"/>
      <c r="F55" s="1482"/>
    </row>
    <row r="56" spans="2:6">
      <c r="B56" s="162">
        <v>56</v>
      </c>
      <c r="C56" s="821"/>
      <c r="D56" s="1482"/>
      <c r="E56" s="1482"/>
      <c r="F56" s="1482"/>
    </row>
    <row r="57" spans="2:6">
      <c r="B57" s="162">
        <v>57</v>
      </c>
      <c r="C57" s="881" t="s">
        <v>839</v>
      </c>
      <c r="D57" s="406">
        <f>SUM(D50:D56)</f>
        <v>0</v>
      </c>
      <c r="E57" s="406">
        <f>SUM(E50:E56)</f>
        <v>0</v>
      </c>
    </row>
    <row r="58" spans="2:6">
      <c r="B58" s="162">
        <v>58</v>
      </c>
      <c r="C58" s="781"/>
    </row>
    <row r="59" spans="2:6">
      <c r="B59" s="162">
        <v>59</v>
      </c>
      <c r="C59" s="781" t="s">
        <v>4945</v>
      </c>
      <c r="D59" s="781"/>
    </row>
    <row r="60" spans="2:6">
      <c r="B60" s="162">
        <v>60</v>
      </c>
      <c r="C60" s="881" t="s">
        <v>890</v>
      </c>
      <c r="D60" s="889" t="s">
        <v>3220</v>
      </c>
      <c r="E60" s="889" t="s">
        <v>3221</v>
      </c>
    </row>
    <row r="61" spans="2:6">
      <c r="B61" s="162">
        <v>61</v>
      </c>
      <c r="C61" s="881"/>
      <c r="D61" s="889"/>
      <c r="E61" s="1482"/>
      <c r="F61" s="1482">
        <v>1</v>
      </c>
    </row>
    <row r="62" spans="2:6">
      <c r="B62" s="162">
        <v>62</v>
      </c>
      <c r="C62" s="881"/>
      <c r="D62" s="1482"/>
      <c r="E62" s="1482"/>
      <c r="F62" s="162">
        <v>2</v>
      </c>
    </row>
    <row r="63" spans="2:6">
      <c r="B63" s="162">
        <v>63</v>
      </c>
      <c r="C63" s="881"/>
      <c r="D63" s="1482"/>
      <c r="E63" s="1482"/>
      <c r="F63" s="162">
        <v>3</v>
      </c>
    </row>
    <row r="64" spans="2:6" ht="21.75" customHeight="1">
      <c r="B64" s="162">
        <v>64</v>
      </c>
      <c r="C64" s="881"/>
      <c r="D64" s="1482"/>
      <c r="E64" s="1482"/>
      <c r="F64" s="162">
        <v>4</v>
      </c>
    </row>
    <row r="65" spans="1:6">
      <c r="B65" s="162">
        <v>65</v>
      </c>
      <c r="C65" s="881"/>
      <c r="D65" s="1482"/>
      <c r="E65" s="1482"/>
      <c r="F65" s="162">
        <v>5</v>
      </c>
    </row>
    <row r="66" spans="1:6">
      <c r="B66" s="162">
        <v>66</v>
      </c>
      <c r="C66" s="881"/>
      <c r="D66" s="1482"/>
      <c r="E66" s="1482"/>
      <c r="F66" s="162">
        <v>6</v>
      </c>
    </row>
    <row r="67" spans="1:6">
      <c r="A67" s="860" t="s">
        <v>2260</v>
      </c>
      <c r="B67" s="162">
        <v>67</v>
      </c>
      <c r="C67" s="821"/>
      <c r="D67" s="1482"/>
      <c r="E67" s="1482"/>
      <c r="F67" s="162">
        <v>7</v>
      </c>
    </row>
    <row r="68" spans="1:6">
      <c r="B68" s="162">
        <v>68</v>
      </c>
      <c r="C68" s="881" t="s">
        <v>839</v>
      </c>
      <c r="D68" s="406">
        <f>SUM(D61:D67)</f>
        <v>0</v>
      </c>
      <c r="E68" s="406">
        <f>SUM(E61:E67)</f>
        <v>0</v>
      </c>
    </row>
    <row r="69" spans="1:6">
      <c r="B69" s="162">
        <v>69</v>
      </c>
      <c r="C69" s="781"/>
    </row>
    <row r="70" spans="1:6">
      <c r="B70" s="162">
        <v>70</v>
      </c>
      <c r="C70" s="781" t="s">
        <v>3569</v>
      </c>
      <c r="D70" s="781"/>
    </row>
    <row r="71" spans="1:6">
      <c r="B71" s="162">
        <v>71</v>
      </c>
      <c r="C71" s="881" t="s">
        <v>890</v>
      </c>
      <c r="D71" s="889" t="s">
        <v>3220</v>
      </c>
      <c r="E71" s="889" t="s">
        <v>3221</v>
      </c>
    </row>
    <row r="72" spans="1:6">
      <c r="B72" s="162">
        <v>72</v>
      </c>
      <c r="C72" s="881"/>
      <c r="D72" s="889"/>
      <c r="E72" s="1482"/>
      <c r="F72" s="1482">
        <v>1</v>
      </c>
    </row>
    <row r="73" spans="1:6">
      <c r="B73" s="162">
        <v>73</v>
      </c>
      <c r="C73" s="881"/>
      <c r="D73" s="1482"/>
      <c r="E73" s="1482"/>
      <c r="F73" s="162">
        <v>2</v>
      </c>
    </row>
    <row r="74" spans="1:6">
      <c r="B74" s="162">
        <v>74</v>
      </c>
      <c r="C74" s="881"/>
      <c r="D74" s="1482"/>
      <c r="E74" s="1482"/>
      <c r="F74" s="162">
        <v>3</v>
      </c>
    </row>
    <row r="75" spans="1:6">
      <c r="B75" s="162">
        <v>75</v>
      </c>
      <c r="C75" s="881"/>
      <c r="D75" s="1482"/>
      <c r="E75" s="1482"/>
      <c r="F75" s="162">
        <v>4</v>
      </c>
    </row>
    <row r="76" spans="1:6">
      <c r="B76" s="162">
        <v>76</v>
      </c>
      <c r="C76" s="881"/>
      <c r="D76" s="1482"/>
      <c r="E76" s="1482"/>
      <c r="F76" s="162">
        <v>5</v>
      </c>
    </row>
    <row r="77" spans="1:6">
      <c r="B77" s="162">
        <v>77</v>
      </c>
      <c r="C77" s="881"/>
      <c r="D77" s="1482"/>
      <c r="E77" s="1482"/>
      <c r="F77" s="162">
        <v>6</v>
      </c>
    </row>
    <row r="78" spans="1:6">
      <c r="A78" s="1001" t="str">
        <f>HYPERLINK("#C1","置顶")</f>
        <v>置顶</v>
      </c>
      <c r="B78" s="162">
        <v>78</v>
      </c>
      <c r="C78" s="821"/>
      <c r="D78" s="1482"/>
      <c r="E78" s="1482"/>
      <c r="F78" s="162">
        <v>7</v>
      </c>
    </row>
    <row r="79" spans="1:6">
      <c r="B79" s="162">
        <v>79</v>
      </c>
      <c r="C79" s="881" t="s">
        <v>839</v>
      </c>
      <c r="D79" s="406">
        <f>SUM(D72:D78)</f>
        <v>0</v>
      </c>
      <c r="E79" s="406">
        <f>SUM(E72:E78)</f>
        <v>0</v>
      </c>
    </row>
    <row r="80" spans="1:6">
      <c r="B80" s="162">
        <v>80</v>
      </c>
      <c r="C80" s="781"/>
    </row>
    <row r="81" spans="1:5">
      <c r="B81" s="162">
        <v>81</v>
      </c>
    </row>
    <row r="82" spans="1:5">
      <c r="B82" s="162">
        <v>82</v>
      </c>
    </row>
    <row r="83" spans="1:5">
      <c r="B83" s="162">
        <v>83</v>
      </c>
      <c r="C83" s="881" t="s">
        <v>3570</v>
      </c>
      <c r="D83" s="889" t="s">
        <v>3220</v>
      </c>
      <c r="E83" s="889" t="s">
        <v>3221</v>
      </c>
    </row>
    <row r="84" spans="1:5">
      <c r="A84" s="860" t="s">
        <v>2260</v>
      </c>
      <c r="B84" s="162">
        <v>84</v>
      </c>
      <c r="C84" s="888" t="s">
        <v>3571</v>
      </c>
      <c r="D84" s="406">
        <f>D16-审定现金流量表!C18</f>
        <v>0</v>
      </c>
      <c r="E84" s="406">
        <f>E16-审定现金流量表!D18</f>
        <v>0</v>
      </c>
    </row>
    <row r="85" spans="1:5">
      <c r="B85" s="162">
        <v>85</v>
      </c>
      <c r="C85" s="888" t="s">
        <v>3572</v>
      </c>
      <c r="D85" s="406">
        <f>D33-审定现金流量表!C28</f>
        <v>0</v>
      </c>
      <c r="E85" s="406">
        <f>E33-审定现金流量表!D28</f>
        <v>0</v>
      </c>
    </row>
    <row r="86" spans="1:5">
      <c r="B86" s="162">
        <v>86</v>
      </c>
      <c r="C86" s="888" t="s">
        <v>3573</v>
      </c>
      <c r="D86" s="406">
        <f>D46-审定现金流量表!C36</f>
        <v>0</v>
      </c>
      <c r="E86" s="406">
        <f>E46-审定现金流量表!D36</f>
        <v>0</v>
      </c>
    </row>
    <row r="87" spans="1:5">
      <c r="B87" s="162">
        <v>87</v>
      </c>
      <c r="C87" s="888" t="s">
        <v>3574</v>
      </c>
      <c r="D87" s="406">
        <f>D57-审定现金流量表!C42</f>
        <v>0</v>
      </c>
      <c r="E87" s="406">
        <f>E57-审定现金流量表!D42</f>
        <v>0</v>
      </c>
    </row>
    <row r="88" spans="1:5">
      <c r="B88" s="162">
        <v>88</v>
      </c>
      <c r="C88" s="888" t="s">
        <v>3575</v>
      </c>
      <c r="D88" s="406">
        <f>D68-审定现金流量表!C50</f>
        <v>0</v>
      </c>
      <c r="E88" s="406">
        <f>E68-审定现金流量表!D50</f>
        <v>0</v>
      </c>
    </row>
    <row r="89" spans="1:5">
      <c r="A89" s="1001" t="str">
        <f>HYPERLINK("#C1","置顶")</f>
        <v>置顶</v>
      </c>
      <c r="B89" s="162">
        <v>89</v>
      </c>
      <c r="C89" s="888" t="s">
        <v>3576</v>
      </c>
      <c r="D89" s="406">
        <f>D79-审定现金流量表!C55</f>
        <v>0</v>
      </c>
      <c r="E89" s="406">
        <f>E79-审定现金流量表!D55</f>
        <v>0</v>
      </c>
    </row>
    <row r="90" spans="1:5">
      <c r="B90" s="162">
        <v>90</v>
      </c>
    </row>
    <row r="91" spans="1:5">
      <c r="B91" s="162"/>
    </row>
    <row r="92" spans="1:5">
      <c r="B92" s="162"/>
    </row>
    <row r="93" spans="1:5">
      <c r="B93" s="162"/>
    </row>
    <row r="94" spans="1:5">
      <c r="B94" s="162"/>
    </row>
    <row r="95" spans="1:5">
      <c r="A95" s="860" t="s">
        <v>2260</v>
      </c>
      <c r="B95" s="162"/>
    </row>
    <row r="96" spans="1:5">
      <c r="B96" s="162"/>
    </row>
    <row r="97" spans="1:2">
      <c r="A97" s="860"/>
      <c r="B97" s="162"/>
    </row>
    <row r="98" spans="1:2">
      <c r="B98" s="162"/>
    </row>
    <row r="99" spans="1:2">
      <c r="B99" s="162"/>
    </row>
    <row r="100" spans="1:2">
      <c r="A100" s="1001" t="str">
        <f>HYPERLINK("#C1","置顶")</f>
        <v>置顶</v>
      </c>
      <c r="B100" s="162"/>
    </row>
    <row r="101" spans="1:2">
      <c r="B101" s="162"/>
    </row>
    <row r="102" spans="1:2">
      <c r="B102" s="162"/>
    </row>
    <row r="103" spans="1:2">
      <c r="B103" s="162"/>
    </row>
    <row r="104" spans="1:2">
      <c r="A104" s="860" t="s">
        <v>2260</v>
      </c>
    </row>
  </sheetData>
  <sheetProtection formatCells="0" formatColumns="0" formatRows="0" autoFilter="0"/>
  <phoneticPr fontId="5" type="noConversion"/>
  <hyperlinks>
    <hyperlink ref="A1" location="附注填写封面!B3" display="返回目录" xr:uid="{00000000-0004-0000-6300-000000000000}"/>
    <hyperlink ref="A23" location="附注填写封面!B3" display="返回目录" xr:uid="{00000000-0004-0000-6300-000001000000}"/>
    <hyperlink ref="A47" location="附注填写封面!B3" display="返回目录" xr:uid="{00000000-0004-0000-6300-000002000000}"/>
    <hyperlink ref="A7" location="附注填写封面!B3" display="返回目录" xr:uid="{00000000-0004-0000-6300-000003000000}"/>
    <hyperlink ref="A35" location="附注填写封面!B3" display="返回目录" xr:uid="{00000000-0004-0000-6300-000004000000}"/>
    <hyperlink ref="A67" location="附注填写封面!B3" display="返回目录" xr:uid="{00000000-0004-0000-6300-000005000000}"/>
    <hyperlink ref="A84" location="附注填写封面!B3" display="返回目录" xr:uid="{00000000-0004-0000-6300-000006000000}"/>
    <hyperlink ref="A95" location="附注填写封面!B3" display="返回目录" xr:uid="{00000000-0004-0000-6300-000007000000}"/>
    <hyperlink ref="A104" location="附注填写封面!B3" display="返回目录" xr:uid="{00000000-0004-0000-6300-000008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62">
    <tabColor rgb="FFFFC000"/>
  </sheetPr>
  <dimension ref="A1:J81"/>
  <sheetViews>
    <sheetView showGridLines="0" showZeros="0" workbookViewId="0">
      <selection activeCell="E15" sqref="E15"/>
    </sheetView>
  </sheetViews>
  <sheetFormatPr defaultColWidth="11.625" defaultRowHeight="12.75"/>
  <cols>
    <col min="1" max="1" width="8.875" style="810" customWidth="1"/>
    <col min="2" max="2" width="5.625" style="344" hidden="1" customWidth="1"/>
    <col min="3" max="3" width="41.625" style="843" customWidth="1"/>
    <col min="4" max="6" width="11.625" style="344"/>
    <col min="7" max="8" width="11.625" style="887"/>
    <col min="9" max="16384" width="11.625" style="344"/>
  </cols>
  <sheetData>
    <row r="1" spans="1:10" ht="27.95" customHeight="1">
      <c r="A1" s="957" t="s">
        <v>2260</v>
      </c>
      <c r="B1" s="343" t="s">
        <v>1446</v>
      </c>
      <c r="C1" s="759" t="s">
        <v>3557</v>
      </c>
    </row>
    <row r="2" spans="1:10">
      <c r="B2" s="162">
        <v>2</v>
      </c>
      <c r="C2" s="781" t="s">
        <v>3558</v>
      </c>
      <c r="D2" s="1069"/>
      <c r="G2" s="796" t="s">
        <v>3559</v>
      </c>
    </row>
    <row r="3" spans="1:10">
      <c r="B3" s="162">
        <v>3</v>
      </c>
      <c r="C3" s="889" t="s">
        <v>366</v>
      </c>
      <c r="D3" s="889" t="s">
        <v>3560</v>
      </c>
      <c r="E3" s="889" t="s">
        <v>3561</v>
      </c>
      <c r="G3" s="616"/>
      <c r="H3" s="1070" t="s">
        <v>2551</v>
      </c>
      <c r="J3" s="834"/>
    </row>
    <row r="4" spans="1:10">
      <c r="B4" s="162">
        <v>4</v>
      </c>
      <c r="C4" s="1062" t="s">
        <v>1290</v>
      </c>
      <c r="D4" s="761"/>
      <c r="E4" s="761"/>
      <c r="G4" s="609"/>
      <c r="H4" s="1071"/>
      <c r="J4" s="503"/>
    </row>
    <row r="5" spans="1:10">
      <c r="B5" s="162">
        <v>5</v>
      </c>
      <c r="C5" s="1072" t="s">
        <v>1291</v>
      </c>
      <c r="D5" s="406">
        <f>审定利润表!C52</f>
        <v>75150.22</v>
      </c>
      <c r="E5" s="406">
        <f>审定利润表!D52</f>
        <v>3772876.91</v>
      </c>
      <c r="G5" s="1073">
        <f>审定利润表!C52</f>
        <v>75150.22</v>
      </c>
      <c r="H5" s="611">
        <f>D5-G5</f>
        <v>0</v>
      </c>
      <c r="J5" s="503"/>
    </row>
    <row r="6" spans="1:10">
      <c r="B6" s="162">
        <v>6</v>
      </c>
      <c r="C6" s="338" t="s">
        <v>1292</v>
      </c>
      <c r="D6" s="400">
        <v>201400.6</v>
      </c>
      <c r="E6" s="400">
        <v>10213.18</v>
      </c>
      <c r="G6" s="1073">
        <f>资产减值损失!D17</f>
        <v>201400.6</v>
      </c>
      <c r="H6" s="611">
        <f>D6-G6</f>
        <v>0</v>
      </c>
      <c r="J6" s="503"/>
    </row>
    <row r="7" spans="1:10">
      <c r="A7" s="957" t="s">
        <v>2260</v>
      </c>
      <c r="B7" s="162">
        <v>7</v>
      </c>
      <c r="C7" s="338" t="s">
        <v>1293</v>
      </c>
      <c r="D7" s="400">
        <v>36832.35</v>
      </c>
      <c r="E7" s="400">
        <f>ROUND(89376.7,2)</f>
        <v>89376.7</v>
      </c>
      <c r="G7" s="1073">
        <f>固定资产!D75+投资性房地产!D36</f>
        <v>36832.35</v>
      </c>
      <c r="H7" s="611">
        <f t="shared" ref="H7:H12" si="0">D7-G7</f>
        <v>0</v>
      </c>
      <c r="J7" s="503"/>
    </row>
    <row r="8" spans="1:10">
      <c r="B8" s="162">
        <v>8</v>
      </c>
      <c r="C8" s="338" t="s">
        <v>1294</v>
      </c>
      <c r="D8" s="400"/>
      <c r="E8" s="400"/>
      <c r="G8" s="1073">
        <f>无形资产!D48+投资性房地产!D37</f>
        <v>0</v>
      </c>
      <c r="H8" s="611">
        <f t="shared" si="0"/>
        <v>0</v>
      </c>
      <c r="J8" s="503"/>
    </row>
    <row r="9" spans="1:10">
      <c r="B9" s="162">
        <v>9</v>
      </c>
      <c r="C9" s="338" t="s">
        <v>1295</v>
      </c>
      <c r="D9" s="400">
        <v>4497</v>
      </c>
      <c r="E9" s="400">
        <f>ROUND(775281.09,2)</f>
        <v>775281.09</v>
      </c>
      <c r="G9" s="1073">
        <f>长期待摊费用!F14</f>
        <v>4497</v>
      </c>
      <c r="H9" s="611">
        <f t="shared" si="0"/>
        <v>0</v>
      </c>
      <c r="J9" s="503"/>
    </row>
    <row r="10" spans="1:10" ht="25.5">
      <c r="B10" s="162">
        <v>10</v>
      </c>
      <c r="C10" s="338" t="s">
        <v>1296</v>
      </c>
      <c r="D10" s="400"/>
      <c r="E10" s="400"/>
      <c r="G10" s="1073">
        <f>营业外支出!D4-营业外收入!D4</f>
        <v>0</v>
      </c>
      <c r="H10" s="611">
        <f>D10+D11-G10</f>
        <v>0</v>
      </c>
      <c r="J10" s="503"/>
    </row>
    <row r="11" spans="1:10">
      <c r="B11" s="162">
        <v>11</v>
      </c>
      <c r="C11" s="338" t="s">
        <v>1297</v>
      </c>
      <c r="D11" s="400"/>
      <c r="E11" s="400"/>
      <c r="G11" s="1074"/>
      <c r="H11" s="1075"/>
      <c r="J11" s="503"/>
    </row>
    <row r="12" spans="1:10">
      <c r="B12" s="162">
        <v>12</v>
      </c>
      <c r="C12" s="338" t="s">
        <v>1298</v>
      </c>
      <c r="D12" s="400"/>
      <c r="E12" s="400"/>
      <c r="G12" s="1073">
        <f>-审定利润表!C34</f>
        <v>0</v>
      </c>
      <c r="H12" s="611">
        <f t="shared" si="0"/>
        <v>0</v>
      </c>
      <c r="J12" s="608"/>
    </row>
    <row r="13" spans="1:10">
      <c r="B13" s="162">
        <v>13</v>
      </c>
      <c r="C13" s="338" t="s">
        <v>1299</v>
      </c>
      <c r="D13" s="400"/>
      <c r="E13" s="400"/>
      <c r="G13" s="1073">
        <f>审定利润表!C29+审定利润表!C31</f>
        <v>0</v>
      </c>
      <c r="H13" s="611">
        <f>D13-G13</f>
        <v>0</v>
      </c>
      <c r="J13" s="608"/>
    </row>
    <row r="14" spans="1:10">
      <c r="B14" s="162">
        <v>14</v>
      </c>
      <c r="C14" s="338" t="s">
        <v>1300</v>
      </c>
      <c r="D14" s="400"/>
      <c r="E14" s="400"/>
      <c r="G14" s="1073">
        <f>-投资收益!D14</f>
        <v>0</v>
      </c>
      <c r="H14" s="611">
        <f t="shared" ref="H14:H31" si="1">D14-G14</f>
        <v>0</v>
      </c>
      <c r="J14" s="608"/>
    </row>
    <row r="15" spans="1:10">
      <c r="B15" s="162">
        <v>15</v>
      </c>
      <c r="C15" s="338" t="s">
        <v>1301</v>
      </c>
      <c r="D15" s="400">
        <v>-24026.85</v>
      </c>
      <c r="E15" s="400">
        <v>-2553.3000000000002</v>
      </c>
      <c r="G15" s="1073">
        <f>所得税费用!D4</f>
        <v>-24026.85</v>
      </c>
      <c r="H15" s="611">
        <f>D15-G15</f>
        <v>0</v>
      </c>
      <c r="J15" s="608"/>
    </row>
    <row r="16" spans="1:10">
      <c r="B16" s="162">
        <v>16</v>
      </c>
      <c r="C16" s="338" t="s">
        <v>1302</v>
      </c>
      <c r="D16" s="400"/>
      <c r="E16" s="400"/>
      <c r="G16" s="1073">
        <f>递延所得税资产与递延所得税负债!D36-递延所得税资产与递延所得税负债!F36</f>
        <v>0</v>
      </c>
      <c r="H16" s="611">
        <f t="shared" si="1"/>
        <v>0</v>
      </c>
      <c r="J16" s="608"/>
    </row>
    <row r="17" spans="1:10">
      <c r="A17" s="957" t="s">
        <v>2260</v>
      </c>
      <c r="B17" s="162">
        <v>17</v>
      </c>
      <c r="C17" s="338" t="s">
        <v>1303</v>
      </c>
      <c r="D17" s="400"/>
      <c r="E17" s="400"/>
      <c r="G17" s="1073">
        <f>存货!D23-存货!D12</f>
        <v>0</v>
      </c>
      <c r="H17" s="611">
        <f>D17-G17</f>
        <v>0</v>
      </c>
      <c r="J17" s="503"/>
    </row>
    <row r="18" spans="1:10">
      <c r="B18" s="162">
        <v>18</v>
      </c>
      <c r="C18" s="338" t="s">
        <v>1304</v>
      </c>
      <c r="D18" s="400">
        <v>-4598800</v>
      </c>
      <c r="E18" s="400">
        <v>-204263.53</v>
      </c>
      <c r="G18" s="1073">
        <f>应收票据!E5-应收票据!D5+应收账款!D21-应收账款!D10+预付账款!G9-预付账款!D9+其他应收款!D21-其他应收款!D10</f>
        <v>-4598800.6545646871</v>
      </c>
      <c r="H18" s="611">
        <f>D18-G18</f>
        <v>0.654564687050879</v>
      </c>
      <c r="J18" s="503"/>
    </row>
    <row r="19" spans="1:10">
      <c r="B19" s="162">
        <v>19</v>
      </c>
      <c r="C19" s="338" t="s">
        <v>1305</v>
      </c>
      <c r="D19" s="400">
        <v>-662258.93000000005</v>
      </c>
      <c r="E19" s="400">
        <v>-4565080.4800000004</v>
      </c>
      <c r="G19" s="1073">
        <f>D21-审定现金流量表!C30</f>
        <v>0</v>
      </c>
      <c r="H19" s="1075"/>
      <c r="J19" s="503"/>
    </row>
    <row r="20" spans="1:10">
      <c r="B20" s="162">
        <v>20</v>
      </c>
      <c r="C20" s="338" t="s">
        <v>1306</v>
      </c>
      <c r="D20" s="400"/>
      <c r="E20" s="400"/>
      <c r="G20" s="1074"/>
      <c r="H20" s="611">
        <f t="shared" si="1"/>
        <v>0</v>
      </c>
    </row>
    <row r="21" spans="1:10">
      <c r="B21" s="162">
        <v>21</v>
      </c>
      <c r="C21" s="1062" t="s">
        <v>3562</v>
      </c>
      <c r="D21" s="406">
        <f>SUM(D5:D20)</f>
        <v>-4967205.6099999994</v>
      </c>
      <c r="E21" s="406">
        <f>SUM(E5:E20)</f>
        <v>-124149.4299999997</v>
      </c>
      <c r="G21" s="1073">
        <f>审定现金流量表!C30</f>
        <v>-4967205.6100000003</v>
      </c>
      <c r="H21" s="611">
        <f t="shared" si="1"/>
        <v>0</v>
      </c>
    </row>
    <row r="22" spans="1:10">
      <c r="B22" s="162">
        <v>22</v>
      </c>
      <c r="C22" s="1062" t="s">
        <v>1308</v>
      </c>
      <c r="D22" s="400"/>
      <c r="E22" s="400"/>
      <c r="G22" s="1074"/>
      <c r="H22" s="611">
        <f t="shared" si="1"/>
        <v>0</v>
      </c>
    </row>
    <row r="23" spans="1:10">
      <c r="B23" s="162">
        <v>23</v>
      </c>
      <c r="C23" s="820" t="s">
        <v>1309</v>
      </c>
      <c r="D23" s="400"/>
      <c r="E23" s="400"/>
      <c r="G23" s="1074"/>
      <c r="H23" s="611">
        <f t="shared" si="1"/>
        <v>0</v>
      </c>
    </row>
    <row r="24" spans="1:10">
      <c r="A24" s="811" t="str">
        <f>HYPERLINK("#C1","置顶")</f>
        <v>置顶</v>
      </c>
      <c r="B24" s="162">
        <v>24</v>
      </c>
      <c r="C24" s="820" t="s">
        <v>1310</v>
      </c>
      <c r="D24" s="400"/>
      <c r="E24" s="400"/>
      <c r="G24" s="1074"/>
      <c r="H24" s="611">
        <f t="shared" si="1"/>
        <v>0</v>
      </c>
    </row>
    <row r="25" spans="1:10">
      <c r="B25" s="162">
        <v>25</v>
      </c>
      <c r="C25" s="820" t="s">
        <v>1311</v>
      </c>
      <c r="D25" s="400"/>
      <c r="E25" s="400"/>
      <c r="G25" s="1074"/>
      <c r="H25" s="611">
        <f t="shared" si="1"/>
        <v>0</v>
      </c>
    </row>
    <row r="26" spans="1:10">
      <c r="B26" s="162">
        <v>26</v>
      </c>
      <c r="C26" s="1062" t="s">
        <v>1312</v>
      </c>
      <c r="D26" s="400"/>
      <c r="E26" s="400"/>
      <c r="G26" s="1074"/>
      <c r="H26" s="611">
        <f t="shared" si="1"/>
        <v>0</v>
      </c>
    </row>
    <row r="27" spans="1:10">
      <c r="B27" s="162">
        <v>27</v>
      </c>
      <c r="C27" s="820" t="s">
        <v>1313</v>
      </c>
      <c r="D27" s="400">
        <v>1273033.6800000095</v>
      </c>
      <c r="E27" s="400">
        <v>6270239.29</v>
      </c>
      <c r="G27" s="1073">
        <f>审定现金流量表!C61</f>
        <v>1273033.6799999997</v>
      </c>
      <c r="H27" s="611">
        <f t="shared" si="1"/>
        <v>9.7788870334625244E-9</v>
      </c>
    </row>
    <row r="28" spans="1:10">
      <c r="B28" s="162">
        <v>28</v>
      </c>
      <c r="C28" s="820" t="s">
        <v>1314</v>
      </c>
      <c r="D28" s="400">
        <v>6270239.29</v>
      </c>
      <c r="E28" s="400">
        <v>22345766.09</v>
      </c>
      <c r="G28" s="1073">
        <f>审定现金流量表!C60</f>
        <v>6270239.29</v>
      </c>
      <c r="H28" s="611">
        <f t="shared" si="1"/>
        <v>0</v>
      </c>
    </row>
    <row r="29" spans="1:10">
      <c r="A29" s="811" t="str">
        <f>HYPERLINK("#C1","置顶")</f>
        <v>置顶</v>
      </c>
      <c r="B29" s="162">
        <v>29</v>
      </c>
      <c r="C29" s="820" t="s">
        <v>1315</v>
      </c>
      <c r="D29" s="1076"/>
      <c r="E29" s="1076"/>
      <c r="G29" s="1074"/>
      <c r="H29" s="611">
        <f t="shared" si="1"/>
        <v>0</v>
      </c>
    </row>
    <row r="30" spans="1:10">
      <c r="B30" s="162">
        <v>30</v>
      </c>
      <c r="C30" s="820" t="s">
        <v>1316</v>
      </c>
      <c r="D30" s="1076"/>
      <c r="E30" s="1076"/>
      <c r="G30" s="1074"/>
      <c r="H30" s="611">
        <f t="shared" si="1"/>
        <v>0</v>
      </c>
    </row>
    <row r="31" spans="1:10">
      <c r="B31" s="162">
        <v>31</v>
      </c>
      <c r="C31" s="820" t="s">
        <v>1317</v>
      </c>
      <c r="D31" s="406">
        <f>D27-D28+D29-D30</f>
        <v>-4997205.6099999901</v>
      </c>
      <c r="E31" s="406">
        <f>E27-E28+E29-E30</f>
        <v>-16075526.800000001</v>
      </c>
      <c r="G31" s="1077">
        <f>审定现金流量表!C59</f>
        <v>-4997205.6100000003</v>
      </c>
      <c r="H31" s="617">
        <f t="shared" si="1"/>
        <v>1.0244548320770264E-8</v>
      </c>
    </row>
    <row r="32" spans="1:10">
      <c r="A32" s="957" t="s">
        <v>2260</v>
      </c>
      <c r="B32" s="162">
        <v>32</v>
      </c>
      <c r="C32" s="952"/>
      <c r="D32" s="835"/>
      <c r="E32" s="835"/>
      <c r="G32" s="1078"/>
      <c r="H32" s="1078"/>
    </row>
    <row r="33" spans="1:8">
      <c r="B33" s="162">
        <v>33</v>
      </c>
      <c r="C33" s="881" t="s">
        <v>1318</v>
      </c>
      <c r="D33" s="881" t="s">
        <v>3560</v>
      </c>
      <c r="E33" s="881" t="s">
        <v>3563</v>
      </c>
      <c r="G33" s="1078"/>
      <c r="H33" s="1078"/>
    </row>
    <row r="34" spans="1:8">
      <c r="B34" s="162">
        <v>34</v>
      </c>
      <c r="C34" s="881" t="s">
        <v>1319</v>
      </c>
      <c r="D34" s="406">
        <f>审定现金流量表!C30</f>
        <v>-4967205.6100000003</v>
      </c>
      <c r="E34" s="406">
        <f>审定现金流量表!D30</f>
        <v>-124149.4299999997</v>
      </c>
      <c r="G34" s="1078"/>
      <c r="H34" s="1078"/>
    </row>
    <row r="35" spans="1:8">
      <c r="B35" s="162">
        <v>35</v>
      </c>
      <c r="C35" s="881" t="s">
        <v>1320</v>
      </c>
      <c r="D35" s="406">
        <f>D21-D34</f>
        <v>0</v>
      </c>
      <c r="E35" s="406">
        <f>E21-E34</f>
        <v>0</v>
      </c>
      <c r="G35" s="1078"/>
      <c r="H35" s="1078"/>
    </row>
    <row r="36" spans="1:8">
      <c r="B36" s="162">
        <v>36</v>
      </c>
    </row>
    <row r="37" spans="1:8">
      <c r="B37" s="162">
        <v>37</v>
      </c>
      <c r="C37" s="1467" t="s">
        <v>4818</v>
      </c>
    </row>
    <row r="38" spans="1:8">
      <c r="B38" s="162">
        <v>38</v>
      </c>
      <c r="C38" s="889" t="s">
        <v>2798</v>
      </c>
      <c r="D38" s="881" t="s">
        <v>3560</v>
      </c>
    </row>
    <row r="39" spans="1:8">
      <c r="A39" s="957" t="s">
        <v>2260</v>
      </c>
      <c r="B39" s="162">
        <v>39</v>
      </c>
      <c r="C39" s="1285" t="s">
        <v>4745</v>
      </c>
      <c r="D39" s="400"/>
    </row>
    <row r="40" spans="1:8">
      <c r="B40" s="162">
        <v>40</v>
      </c>
      <c r="C40" s="1285" t="s">
        <v>4746</v>
      </c>
      <c r="D40" s="400"/>
    </row>
    <row r="41" spans="1:8" ht="24">
      <c r="B41" s="162">
        <v>41</v>
      </c>
      <c r="C41" s="1285" t="s">
        <v>4747</v>
      </c>
      <c r="D41" s="400"/>
    </row>
    <row r="42" spans="1:8">
      <c r="B42" s="162">
        <v>42</v>
      </c>
      <c r="C42" s="1285" t="s">
        <v>4748</v>
      </c>
      <c r="D42" s="406">
        <f>D39-D40+D41</f>
        <v>0</v>
      </c>
    </row>
    <row r="43" spans="1:8">
      <c r="B43" s="162">
        <v>43</v>
      </c>
      <c r="C43" s="1285" t="s">
        <v>4749</v>
      </c>
      <c r="D43" s="400"/>
    </row>
    <row r="44" spans="1:8">
      <c r="B44" s="162">
        <v>44</v>
      </c>
      <c r="C44" s="1285" t="s">
        <v>4750</v>
      </c>
      <c r="D44" s="400"/>
    </row>
    <row r="45" spans="1:8">
      <c r="B45" s="162">
        <v>45</v>
      </c>
      <c r="C45" s="1285" t="s">
        <v>4751</v>
      </c>
      <c r="D45" s="400"/>
    </row>
    <row r="46" spans="1:8">
      <c r="B46" s="162">
        <v>46</v>
      </c>
      <c r="C46" s="1285" t="s">
        <v>4752</v>
      </c>
      <c r="D46" s="406">
        <f>D43-D44+D45</f>
        <v>0</v>
      </c>
    </row>
    <row r="47" spans="1:8">
      <c r="B47" s="162">
        <v>47</v>
      </c>
      <c r="C47" s="836"/>
      <c r="D47" s="400"/>
    </row>
    <row r="48" spans="1:8">
      <c r="B48" s="162">
        <v>48</v>
      </c>
      <c r="C48" s="836"/>
      <c r="D48" s="400"/>
    </row>
    <row r="49" spans="1:5">
      <c r="A49" s="957" t="s">
        <v>2260</v>
      </c>
      <c r="B49" s="162">
        <v>49</v>
      </c>
      <c r="C49" s="836"/>
      <c r="D49" s="400"/>
    </row>
    <row r="50" spans="1:5">
      <c r="B50" s="162">
        <v>50</v>
      </c>
      <c r="C50" s="836"/>
      <c r="D50" s="400"/>
    </row>
    <row r="51" spans="1:5">
      <c r="B51" s="162">
        <v>51</v>
      </c>
      <c r="C51" s="836"/>
      <c r="D51" s="400"/>
    </row>
    <row r="52" spans="1:5">
      <c r="B52" s="162">
        <v>52</v>
      </c>
      <c r="C52" s="836"/>
      <c r="D52" s="400"/>
    </row>
    <row r="53" spans="1:5">
      <c r="B53" s="162">
        <v>53</v>
      </c>
      <c r="C53" s="836"/>
      <c r="D53" s="400"/>
    </row>
    <row r="54" spans="1:5">
      <c r="B54" s="162">
        <v>54</v>
      </c>
      <c r="C54" s="836"/>
      <c r="D54" s="400"/>
    </row>
    <row r="55" spans="1:5">
      <c r="A55" s="811" t="str">
        <f>HYPERLINK("#C1","置顶")</f>
        <v>置顶</v>
      </c>
      <c r="B55" s="162">
        <v>55</v>
      </c>
      <c r="C55" s="836"/>
      <c r="D55" s="400"/>
    </row>
    <row r="56" spans="1:5">
      <c r="B56" s="162">
        <v>56</v>
      </c>
      <c r="C56" s="836"/>
      <c r="D56" s="400"/>
    </row>
    <row r="57" spans="1:5">
      <c r="B57" s="162">
        <v>57</v>
      </c>
      <c r="C57" s="836"/>
      <c r="D57" s="400"/>
    </row>
    <row r="58" spans="1:5">
      <c r="B58" s="162">
        <v>58</v>
      </c>
      <c r="C58" s="836"/>
      <c r="D58" s="400"/>
    </row>
    <row r="59" spans="1:5">
      <c r="B59" s="162">
        <v>59</v>
      </c>
    </row>
    <row r="60" spans="1:5">
      <c r="B60" s="162">
        <v>60</v>
      </c>
      <c r="C60" s="1021" t="s">
        <v>1321</v>
      </c>
    </row>
    <row r="61" spans="1:5">
      <c r="A61" s="957" t="s">
        <v>2260</v>
      </c>
      <c r="B61" s="162">
        <v>61</v>
      </c>
      <c r="C61" s="889" t="s">
        <v>366</v>
      </c>
      <c r="D61" s="889" t="s">
        <v>2535</v>
      </c>
      <c r="E61" s="889" t="s">
        <v>774</v>
      </c>
    </row>
    <row r="62" spans="1:5">
      <c r="B62" s="162">
        <v>62</v>
      </c>
      <c r="C62" s="1079" t="s">
        <v>1322</v>
      </c>
      <c r="D62" s="406">
        <f>SUM(D63:D65)</f>
        <v>1273033.6800000095</v>
      </c>
      <c r="E62" s="406">
        <f>SUM(E63:E65)</f>
        <v>6270239.29</v>
      </c>
    </row>
    <row r="63" spans="1:5">
      <c r="B63" s="162">
        <v>63</v>
      </c>
      <c r="C63" s="820" t="s">
        <v>1323</v>
      </c>
      <c r="D63" s="400">
        <v>28292.44</v>
      </c>
      <c r="E63" s="400">
        <v>29092.44</v>
      </c>
    </row>
    <row r="64" spans="1:5">
      <c r="B64" s="162">
        <v>64</v>
      </c>
      <c r="C64" s="1080" t="s">
        <v>1324</v>
      </c>
      <c r="D64" s="400">
        <v>1244741.2400000095</v>
      </c>
      <c r="E64" s="400">
        <v>6241146.8499999996</v>
      </c>
    </row>
    <row r="65" spans="1:5">
      <c r="B65" s="162">
        <v>65</v>
      </c>
      <c r="C65" s="1080" t="s">
        <v>1325</v>
      </c>
      <c r="D65" s="400"/>
      <c r="E65" s="400"/>
    </row>
    <row r="66" spans="1:5">
      <c r="A66" s="811" t="str">
        <f>HYPERLINK("#C1","置顶")</f>
        <v>置顶</v>
      </c>
      <c r="B66" s="162">
        <v>66</v>
      </c>
      <c r="C66" s="1079" t="s">
        <v>1326</v>
      </c>
      <c r="D66" s="406">
        <f>D67</f>
        <v>0</v>
      </c>
      <c r="E66" s="406">
        <f>E67</f>
        <v>0</v>
      </c>
    </row>
    <row r="67" spans="1:5">
      <c r="B67" s="162">
        <v>67</v>
      </c>
      <c r="C67" s="820" t="s">
        <v>1327</v>
      </c>
      <c r="D67" s="400"/>
      <c r="E67" s="400"/>
    </row>
    <row r="68" spans="1:5">
      <c r="B68" s="162">
        <v>68</v>
      </c>
      <c r="C68" s="1079" t="s">
        <v>3564</v>
      </c>
      <c r="D68" s="406">
        <f>D66+D62</f>
        <v>1273033.6800000095</v>
      </c>
      <c r="E68" s="406">
        <f>E66+E62</f>
        <v>6270239.29</v>
      </c>
    </row>
    <row r="69" spans="1:5">
      <c r="B69" s="162">
        <v>69</v>
      </c>
    </row>
    <row r="70" spans="1:5">
      <c r="B70" s="162">
        <v>70</v>
      </c>
      <c r="C70" s="881" t="s">
        <v>2551</v>
      </c>
      <c r="D70" s="881" t="s">
        <v>3560</v>
      </c>
      <c r="E70" s="881" t="s">
        <v>3271</v>
      </c>
    </row>
    <row r="71" spans="1:5">
      <c r="B71" s="162">
        <v>71</v>
      </c>
      <c r="C71" s="836" t="s">
        <v>1329</v>
      </c>
      <c r="D71" s="406">
        <f>审定现金流量表!C61</f>
        <v>1273033.6799999997</v>
      </c>
      <c r="E71" s="406">
        <f>审定现金流量表!D61</f>
        <v>6270239.2899999991</v>
      </c>
    </row>
    <row r="72" spans="1:5">
      <c r="A72" s="957" t="s">
        <v>2260</v>
      </c>
      <c r="B72" s="162">
        <v>72</v>
      </c>
      <c r="C72" s="836" t="s">
        <v>1330</v>
      </c>
      <c r="D72" s="406">
        <f>货币资金!F76-货币资金!D110</f>
        <v>1273033.6800000095</v>
      </c>
      <c r="E72" s="406">
        <f>货币资金!I76-货币资金!E110</f>
        <v>6270239.29</v>
      </c>
    </row>
    <row r="73" spans="1:5">
      <c r="B73" s="162">
        <v>73</v>
      </c>
      <c r="C73" s="836" t="s">
        <v>1331</v>
      </c>
      <c r="D73" s="406">
        <f>货币资金!F4</f>
        <v>28292.44</v>
      </c>
      <c r="E73" s="406">
        <f>货币资金!I4</f>
        <v>29092.44</v>
      </c>
    </row>
    <row r="74" spans="1:5">
      <c r="A74" s="957"/>
      <c r="B74" s="162">
        <v>74</v>
      </c>
      <c r="C74" s="836" t="s">
        <v>1324</v>
      </c>
      <c r="D74" s="406">
        <f>货币资金!F28-货币资金!D90</f>
        <v>1244741.2400000095</v>
      </c>
      <c r="E74" s="406">
        <f>货币资金!I28-货币资金!E90</f>
        <v>6241146.8499999996</v>
      </c>
    </row>
    <row r="75" spans="1:5">
      <c r="B75" s="162">
        <v>75</v>
      </c>
      <c r="C75" s="836" t="s">
        <v>1325</v>
      </c>
      <c r="D75" s="406">
        <f>货币资金!F52-货币资金!D100</f>
        <v>0</v>
      </c>
      <c r="E75" s="406">
        <f>货币资金!I52-货币资金!E100</f>
        <v>0</v>
      </c>
    </row>
    <row r="76" spans="1:5">
      <c r="B76" s="162">
        <v>76</v>
      </c>
      <c r="C76" s="836" t="s">
        <v>2551</v>
      </c>
      <c r="D76" s="406">
        <f>D68-D71</f>
        <v>9.7788870334625244E-9</v>
      </c>
      <c r="E76" s="406">
        <f>E68-E71</f>
        <v>0</v>
      </c>
    </row>
    <row r="77" spans="1:5">
      <c r="A77" s="811" t="str">
        <f>HYPERLINK("#C1","置顶")</f>
        <v>置顶</v>
      </c>
      <c r="B77" s="162">
        <v>77</v>
      </c>
      <c r="C77" s="836" t="s">
        <v>2551</v>
      </c>
      <c r="D77" s="406">
        <f t="shared" ref="D77:E80" si="2">D62-D72</f>
        <v>0</v>
      </c>
      <c r="E77" s="406">
        <f t="shared" si="2"/>
        <v>0</v>
      </c>
    </row>
    <row r="78" spans="1:5">
      <c r="B78" s="162">
        <v>78</v>
      </c>
      <c r="C78" s="836" t="s">
        <v>2551</v>
      </c>
      <c r="D78" s="406">
        <f>D63-D73</f>
        <v>0</v>
      </c>
      <c r="E78" s="406">
        <f t="shared" si="2"/>
        <v>0</v>
      </c>
    </row>
    <row r="79" spans="1:5">
      <c r="B79" s="162">
        <v>79</v>
      </c>
      <c r="C79" s="836" t="s">
        <v>2551</v>
      </c>
      <c r="D79" s="406">
        <f t="shared" si="2"/>
        <v>0</v>
      </c>
      <c r="E79" s="406">
        <f t="shared" si="2"/>
        <v>0</v>
      </c>
    </row>
    <row r="80" spans="1:5">
      <c r="B80" s="162">
        <v>80</v>
      </c>
      <c r="C80" s="836" t="s">
        <v>2551</v>
      </c>
      <c r="D80" s="406">
        <f t="shared" si="2"/>
        <v>0</v>
      </c>
      <c r="E80" s="406">
        <f t="shared" si="2"/>
        <v>0</v>
      </c>
    </row>
    <row r="81" spans="1:1">
      <c r="A81" s="957" t="s">
        <v>2260</v>
      </c>
    </row>
  </sheetData>
  <sheetProtection formatCells="0" formatColumns="0" formatRows="0" autoFilter="0"/>
  <phoneticPr fontId="5" type="noConversion"/>
  <hyperlinks>
    <hyperlink ref="A1" location="附注填写封面!B3" display="返回目录" xr:uid="{00000000-0004-0000-6400-000000000000}"/>
    <hyperlink ref="A17" location="附注填写封面!B3" display="返回目录" xr:uid="{00000000-0004-0000-6400-000001000000}"/>
    <hyperlink ref="A39" location="附注填写封面!B3" display="返回目录" xr:uid="{00000000-0004-0000-6400-000002000000}"/>
    <hyperlink ref="A7" location="附注填写封面!B3" display="返回目录" xr:uid="{00000000-0004-0000-6400-000003000000}"/>
    <hyperlink ref="A32" location="附注填写封面!B3" display="返回目录" xr:uid="{00000000-0004-0000-6400-000004000000}"/>
    <hyperlink ref="A49" location="附注填写封面!B3" display="返回目录" xr:uid="{00000000-0004-0000-6400-000005000000}"/>
    <hyperlink ref="A61" location="附注填写封面!B3" display="返回目录" xr:uid="{00000000-0004-0000-6400-000006000000}"/>
    <hyperlink ref="A72" location="附注填写封面!B3" display="返回目录" xr:uid="{00000000-0004-0000-6400-000007000000}"/>
    <hyperlink ref="A81" location="附注填写封面!B3" display="返回目录" xr:uid="{00000000-0004-0000-6400-000008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ignoredErrors>
    <ignoredError sqref="D42 D46" unlockedFormula="1"/>
  </ignoredErrors>
  <extLst>
    <ext xmlns:mx="http://schemas.microsoft.com/office/mac/excel/2008/main" uri="{64002731-A6B0-56B0-2670-7721B7C09600}">
      <mx:PLV Mode="0" OnePage="0" WScale="0"/>
    </ext>
  </extLs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114"/>
  <dimension ref="A1:F82"/>
  <sheetViews>
    <sheetView workbookViewId="0">
      <pane xSplit="3" ySplit="4" topLeftCell="D62" activePane="bottomRight" state="frozen"/>
      <selection sqref="A1:A1048576"/>
      <selection pane="topRight" sqref="A1:A1048576"/>
      <selection pane="bottomLeft" sqref="A1:A1048576"/>
      <selection pane="bottomRight" activeCell="D5" sqref="D5"/>
    </sheetView>
  </sheetViews>
  <sheetFormatPr defaultColWidth="9" defaultRowHeight="12.75"/>
  <cols>
    <col min="1" max="1" width="8.875" style="810" customWidth="1"/>
    <col min="2" max="2" width="3.875" style="853" hidden="1" customWidth="1"/>
    <col min="3" max="3" width="23" style="853" customWidth="1"/>
    <col min="4" max="4" width="17.625" style="853" customWidth="1"/>
    <col min="5" max="5" width="13.625" style="853" customWidth="1"/>
    <col min="6" max="6" width="15.625" style="853" customWidth="1"/>
    <col min="7" max="16384" width="9" style="853"/>
  </cols>
  <sheetData>
    <row r="1" spans="1:6">
      <c r="C1" s="1060" t="s">
        <v>3551</v>
      </c>
    </row>
    <row r="2" spans="1:6">
      <c r="A2" s="957" t="s">
        <v>2260</v>
      </c>
    </row>
    <row r="3" spans="1:6">
      <c r="C3" s="1833" t="s">
        <v>3552</v>
      </c>
      <c r="D3" s="1833" t="s">
        <v>2540</v>
      </c>
      <c r="E3" s="1833"/>
      <c r="F3" s="1833"/>
    </row>
    <row r="4" spans="1:6">
      <c r="C4" s="1833"/>
      <c r="D4" s="1061" t="s">
        <v>3553</v>
      </c>
      <c r="E4" s="889" t="s">
        <v>777</v>
      </c>
      <c r="F4" s="1061" t="s">
        <v>778</v>
      </c>
    </row>
    <row r="5" spans="1:6">
      <c r="C5" s="1062" t="s">
        <v>3554</v>
      </c>
      <c r="D5" s="1063"/>
      <c r="E5" s="1064"/>
      <c r="F5" s="408">
        <f>SUM(F6:F28)</f>
        <v>0</v>
      </c>
    </row>
    <row r="6" spans="1:6">
      <c r="C6" s="820" t="s">
        <v>780</v>
      </c>
      <c r="D6" s="1063"/>
      <c r="E6" s="1065" t="str">
        <f>IF(D6=0,"",F6/D6)</f>
        <v/>
      </c>
      <c r="F6" s="1063"/>
    </row>
    <row r="7" spans="1:6">
      <c r="C7" s="820" t="s">
        <v>781</v>
      </c>
      <c r="D7" s="1063"/>
      <c r="E7" s="1065" t="str">
        <f t="shared" ref="E7:E28" si="0">IF(D7=0,"",F7/D7)</f>
        <v/>
      </c>
      <c r="F7" s="1063"/>
    </row>
    <row r="8" spans="1:6">
      <c r="A8" s="957" t="s">
        <v>2260</v>
      </c>
      <c r="C8" s="820" t="s">
        <v>782</v>
      </c>
      <c r="D8" s="1063"/>
      <c r="E8" s="1065" t="str">
        <f t="shared" si="0"/>
        <v/>
      </c>
      <c r="F8" s="1063"/>
    </row>
    <row r="9" spans="1:6">
      <c r="C9" s="820" t="s">
        <v>783</v>
      </c>
      <c r="D9" s="1063"/>
      <c r="E9" s="1065" t="str">
        <f t="shared" si="0"/>
        <v/>
      </c>
      <c r="F9" s="1063"/>
    </row>
    <row r="10" spans="1:6">
      <c r="C10" s="820" t="s">
        <v>784</v>
      </c>
      <c r="D10" s="1063"/>
      <c r="E10" s="1065" t="str">
        <f t="shared" si="0"/>
        <v/>
      </c>
      <c r="F10" s="1063"/>
    </row>
    <row r="11" spans="1:6">
      <c r="C11" s="820" t="s">
        <v>785</v>
      </c>
      <c r="D11" s="1063"/>
      <c r="E11" s="1065" t="str">
        <f t="shared" si="0"/>
        <v/>
      </c>
      <c r="F11" s="1063"/>
    </row>
    <row r="12" spans="1:6">
      <c r="C12" s="820" t="s">
        <v>786</v>
      </c>
      <c r="D12" s="1063"/>
      <c r="E12" s="1065" t="str">
        <f t="shared" si="0"/>
        <v/>
      </c>
      <c r="F12" s="1063"/>
    </row>
    <row r="13" spans="1:6">
      <c r="C13" s="820" t="s">
        <v>787</v>
      </c>
      <c r="D13" s="1063"/>
      <c r="E13" s="1065" t="str">
        <f t="shared" si="0"/>
        <v/>
      </c>
      <c r="F13" s="1063"/>
    </row>
    <row r="14" spans="1:6">
      <c r="C14" s="820" t="s">
        <v>788</v>
      </c>
      <c r="D14" s="1063"/>
      <c r="E14" s="1065" t="str">
        <f t="shared" si="0"/>
        <v/>
      </c>
      <c r="F14" s="1063"/>
    </row>
    <row r="15" spans="1:6">
      <c r="C15" s="820" t="s">
        <v>789</v>
      </c>
      <c r="D15" s="1063"/>
      <c r="E15" s="1065" t="str">
        <f t="shared" si="0"/>
        <v/>
      </c>
      <c r="F15" s="1063"/>
    </row>
    <row r="16" spans="1:6">
      <c r="C16" s="820" t="s">
        <v>790</v>
      </c>
      <c r="D16" s="1063"/>
      <c r="E16" s="1065" t="str">
        <f t="shared" si="0"/>
        <v/>
      </c>
      <c r="F16" s="1063"/>
    </row>
    <row r="17" spans="1:6">
      <c r="C17" s="820" t="s">
        <v>791</v>
      </c>
      <c r="D17" s="1063"/>
      <c r="E17" s="1065" t="str">
        <f t="shared" si="0"/>
        <v/>
      </c>
      <c r="F17" s="1063"/>
    </row>
    <row r="18" spans="1:6">
      <c r="A18" s="957" t="s">
        <v>2260</v>
      </c>
      <c r="C18" s="820" t="s">
        <v>792</v>
      </c>
      <c r="D18" s="1063"/>
      <c r="E18" s="1065" t="str">
        <f t="shared" si="0"/>
        <v/>
      </c>
      <c r="F18" s="1063"/>
    </row>
    <row r="19" spans="1:6">
      <c r="C19" s="820" t="s">
        <v>794</v>
      </c>
      <c r="D19" s="1063"/>
      <c r="E19" s="1065" t="str">
        <f t="shared" si="0"/>
        <v/>
      </c>
      <c r="F19" s="1063"/>
    </row>
    <row r="20" spans="1:6">
      <c r="C20" s="820" t="s">
        <v>795</v>
      </c>
      <c r="D20" s="1063"/>
      <c r="E20" s="1065" t="str">
        <f t="shared" si="0"/>
        <v/>
      </c>
      <c r="F20" s="1063"/>
    </row>
    <row r="21" spans="1:6">
      <c r="C21" s="820" t="s">
        <v>796</v>
      </c>
      <c r="D21" s="1063"/>
      <c r="E21" s="1065" t="str">
        <f t="shared" si="0"/>
        <v/>
      </c>
      <c r="F21" s="1063"/>
    </row>
    <row r="22" spans="1:6">
      <c r="C22" s="820" t="s">
        <v>797</v>
      </c>
      <c r="D22" s="1063"/>
      <c r="E22" s="1065" t="str">
        <f t="shared" si="0"/>
        <v/>
      </c>
      <c r="F22" s="1063"/>
    </row>
    <row r="23" spans="1:6">
      <c r="C23" s="820" t="s">
        <v>798</v>
      </c>
      <c r="D23" s="1063"/>
      <c r="E23" s="1065" t="str">
        <f t="shared" si="0"/>
        <v/>
      </c>
      <c r="F23" s="1063"/>
    </row>
    <row r="24" spans="1:6">
      <c r="C24" s="820" t="s">
        <v>799</v>
      </c>
      <c r="D24" s="1063"/>
      <c r="E24" s="1065" t="str">
        <f t="shared" si="0"/>
        <v/>
      </c>
      <c r="F24" s="1063"/>
    </row>
    <row r="25" spans="1:6">
      <c r="A25" s="811" t="str">
        <f>HYPERLINK("#C1","置顶")</f>
        <v>置顶</v>
      </c>
      <c r="C25" s="820" t="s">
        <v>800</v>
      </c>
      <c r="D25" s="1063"/>
      <c r="E25" s="1065" t="str">
        <f t="shared" si="0"/>
        <v/>
      </c>
      <c r="F25" s="1063"/>
    </row>
    <row r="26" spans="1:6">
      <c r="C26" s="820" t="s">
        <v>801</v>
      </c>
      <c r="D26" s="1063"/>
      <c r="E26" s="1065" t="str">
        <f t="shared" si="0"/>
        <v/>
      </c>
      <c r="F26" s="1063"/>
    </row>
    <row r="27" spans="1:6">
      <c r="C27" s="820" t="s">
        <v>802</v>
      </c>
      <c r="D27" s="1063"/>
      <c r="E27" s="1065" t="str">
        <f t="shared" si="0"/>
        <v/>
      </c>
      <c r="F27" s="1063"/>
    </row>
    <row r="28" spans="1:6">
      <c r="C28" s="820" t="s">
        <v>804</v>
      </c>
      <c r="D28" s="1063"/>
      <c r="E28" s="1065" t="str">
        <f t="shared" si="0"/>
        <v/>
      </c>
      <c r="F28" s="1063"/>
    </row>
    <row r="29" spans="1:6">
      <c r="C29" s="1062" t="s">
        <v>3555</v>
      </c>
      <c r="D29" s="1063"/>
      <c r="E29" s="1064"/>
      <c r="F29" s="408">
        <f>SUM(F30:F52)</f>
        <v>0</v>
      </c>
    </row>
    <row r="30" spans="1:6">
      <c r="A30" s="811" t="str">
        <f>HYPERLINK("#C1","置顶")</f>
        <v>置顶</v>
      </c>
      <c r="C30" s="820" t="s">
        <v>780</v>
      </c>
      <c r="D30" s="770"/>
      <c r="E30" s="1065" t="str">
        <f t="shared" ref="E30:E52" si="1">IF(D30=0,"",F30/D30)</f>
        <v/>
      </c>
      <c r="F30" s="770"/>
    </row>
    <row r="31" spans="1:6">
      <c r="C31" s="820" t="s">
        <v>781</v>
      </c>
      <c r="D31" s="770"/>
      <c r="E31" s="1065" t="str">
        <f t="shared" si="1"/>
        <v/>
      </c>
      <c r="F31" s="770"/>
    </row>
    <row r="32" spans="1:6">
      <c r="C32" s="820" t="s">
        <v>782</v>
      </c>
      <c r="D32" s="770"/>
      <c r="E32" s="1065" t="str">
        <f t="shared" si="1"/>
        <v/>
      </c>
      <c r="F32" s="770"/>
    </row>
    <row r="33" spans="1:6">
      <c r="A33" s="957" t="s">
        <v>2260</v>
      </c>
      <c r="C33" s="820" t="s">
        <v>783</v>
      </c>
      <c r="D33" s="770"/>
      <c r="E33" s="1065" t="str">
        <f t="shared" si="1"/>
        <v/>
      </c>
      <c r="F33" s="770"/>
    </row>
    <row r="34" spans="1:6">
      <c r="C34" s="820" t="s">
        <v>784</v>
      </c>
      <c r="D34" s="770"/>
      <c r="E34" s="1065" t="str">
        <f t="shared" si="1"/>
        <v/>
      </c>
      <c r="F34" s="770"/>
    </row>
    <row r="35" spans="1:6">
      <c r="C35" s="820" t="s">
        <v>785</v>
      </c>
      <c r="D35" s="770"/>
      <c r="E35" s="1065" t="str">
        <f t="shared" si="1"/>
        <v/>
      </c>
      <c r="F35" s="770"/>
    </row>
    <row r="36" spans="1:6">
      <c r="C36" s="820" t="s">
        <v>786</v>
      </c>
      <c r="D36" s="770"/>
      <c r="E36" s="1065" t="str">
        <f t="shared" si="1"/>
        <v/>
      </c>
      <c r="F36" s="770"/>
    </row>
    <row r="37" spans="1:6">
      <c r="C37" s="820" t="s">
        <v>787</v>
      </c>
      <c r="D37" s="770"/>
      <c r="E37" s="1065" t="str">
        <f t="shared" si="1"/>
        <v/>
      </c>
      <c r="F37" s="770"/>
    </row>
    <row r="38" spans="1:6">
      <c r="C38" s="820" t="s">
        <v>788</v>
      </c>
      <c r="D38" s="770"/>
      <c r="E38" s="1065" t="str">
        <f t="shared" si="1"/>
        <v/>
      </c>
      <c r="F38" s="770"/>
    </row>
    <row r="39" spans="1:6">
      <c r="C39" s="820" t="s">
        <v>789</v>
      </c>
      <c r="D39" s="770"/>
      <c r="E39" s="1065" t="str">
        <f t="shared" si="1"/>
        <v/>
      </c>
      <c r="F39" s="770"/>
    </row>
    <row r="40" spans="1:6">
      <c r="A40" s="957" t="s">
        <v>2260</v>
      </c>
      <c r="C40" s="820" t="s">
        <v>790</v>
      </c>
      <c r="D40" s="770"/>
      <c r="E40" s="1065" t="str">
        <f t="shared" si="1"/>
        <v/>
      </c>
      <c r="F40" s="770"/>
    </row>
    <row r="41" spans="1:6">
      <c r="C41" s="820" t="s">
        <v>791</v>
      </c>
      <c r="D41" s="770"/>
      <c r="E41" s="1065" t="str">
        <f t="shared" si="1"/>
        <v/>
      </c>
      <c r="F41" s="770"/>
    </row>
    <row r="42" spans="1:6">
      <c r="C42" s="820" t="s">
        <v>792</v>
      </c>
      <c r="D42" s="770"/>
      <c r="E42" s="1065" t="str">
        <f t="shared" si="1"/>
        <v/>
      </c>
      <c r="F42" s="770"/>
    </row>
    <row r="43" spans="1:6">
      <c r="C43" s="820" t="s">
        <v>794</v>
      </c>
      <c r="D43" s="770"/>
      <c r="E43" s="1065" t="str">
        <f t="shared" si="1"/>
        <v/>
      </c>
      <c r="F43" s="770"/>
    </row>
    <row r="44" spans="1:6">
      <c r="C44" s="820" t="s">
        <v>795</v>
      </c>
      <c r="D44" s="770"/>
      <c r="E44" s="1065" t="str">
        <f t="shared" si="1"/>
        <v/>
      </c>
      <c r="F44" s="770"/>
    </row>
    <row r="45" spans="1:6">
      <c r="C45" s="820" t="s">
        <v>796</v>
      </c>
      <c r="D45" s="770"/>
      <c r="E45" s="1065" t="str">
        <f t="shared" si="1"/>
        <v/>
      </c>
      <c r="F45" s="770"/>
    </row>
    <row r="46" spans="1:6">
      <c r="C46" s="820" t="s">
        <v>797</v>
      </c>
      <c r="D46" s="770"/>
      <c r="E46" s="1065" t="str">
        <f t="shared" si="1"/>
        <v/>
      </c>
      <c r="F46" s="770"/>
    </row>
    <row r="47" spans="1:6">
      <c r="C47" s="820" t="s">
        <v>798</v>
      </c>
      <c r="D47" s="770"/>
      <c r="E47" s="1065" t="str">
        <f t="shared" si="1"/>
        <v/>
      </c>
      <c r="F47" s="770"/>
    </row>
    <row r="48" spans="1:6">
      <c r="C48" s="820" t="s">
        <v>799</v>
      </c>
      <c r="D48" s="770"/>
      <c r="E48" s="1065" t="str">
        <f t="shared" si="1"/>
        <v/>
      </c>
      <c r="F48" s="770"/>
    </row>
    <row r="49" spans="1:6">
      <c r="C49" s="820" t="s">
        <v>800</v>
      </c>
      <c r="D49" s="770"/>
      <c r="E49" s="1065" t="str">
        <f t="shared" si="1"/>
        <v/>
      </c>
      <c r="F49" s="770"/>
    </row>
    <row r="50" spans="1:6">
      <c r="A50" s="957" t="s">
        <v>2260</v>
      </c>
      <c r="C50" s="820" t="s">
        <v>801</v>
      </c>
      <c r="D50" s="770"/>
      <c r="E50" s="1065" t="str">
        <f t="shared" si="1"/>
        <v/>
      </c>
      <c r="F50" s="770"/>
    </row>
    <row r="51" spans="1:6">
      <c r="C51" s="820" t="s">
        <v>802</v>
      </c>
      <c r="D51" s="770"/>
      <c r="E51" s="1065" t="str">
        <f t="shared" si="1"/>
        <v/>
      </c>
      <c r="F51" s="770"/>
    </row>
    <row r="52" spans="1:6">
      <c r="C52" s="820" t="s">
        <v>804</v>
      </c>
      <c r="D52" s="770"/>
      <c r="E52" s="1065" t="str">
        <f t="shared" si="1"/>
        <v/>
      </c>
      <c r="F52" s="770"/>
    </row>
    <row r="53" spans="1:6">
      <c r="C53" s="1062" t="s">
        <v>3556</v>
      </c>
      <c r="D53" s="1063"/>
      <c r="E53" s="1064"/>
      <c r="F53" s="408">
        <f>SUM(F54:F76)</f>
        <v>0</v>
      </c>
    </row>
    <row r="54" spans="1:6">
      <c r="C54" s="820" t="s">
        <v>808</v>
      </c>
      <c r="D54" s="770"/>
      <c r="E54" s="1065" t="str">
        <f t="shared" ref="E54:E76" si="2">IF(D54=0,"",F54/D54)</f>
        <v/>
      </c>
      <c r="F54" s="770"/>
    </row>
    <row r="55" spans="1:6">
      <c r="C55" s="820" t="s">
        <v>781</v>
      </c>
      <c r="D55" s="770"/>
      <c r="E55" s="1065" t="str">
        <f t="shared" si="2"/>
        <v/>
      </c>
      <c r="F55" s="770"/>
    </row>
    <row r="56" spans="1:6">
      <c r="A56" s="811" t="str">
        <f>HYPERLINK("#C1","置顶")</f>
        <v>置顶</v>
      </c>
      <c r="C56" s="820" t="s">
        <v>782</v>
      </c>
      <c r="D56" s="770"/>
      <c r="E56" s="1065" t="str">
        <f t="shared" si="2"/>
        <v/>
      </c>
      <c r="F56" s="770"/>
    </row>
    <row r="57" spans="1:6">
      <c r="C57" s="820" t="s">
        <v>783</v>
      </c>
      <c r="D57" s="770"/>
      <c r="E57" s="1065" t="str">
        <f t="shared" si="2"/>
        <v/>
      </c>
      <c r="F57" s="770"/>
    </row>
    <row r="58" spans="1:6">
      <c r="C58" s="820" t="s">
        <v>784</v>
      </c>
      <c r="D58" s="770"/>
      <c r="E58" s="1065" t="str">
        <f t="shared" si="2"/>
        <v/>
      </c>
      <c r="F58" s="770"/>
    </row>
    <row r="59" spans="1:6">
      <c r="C59" s="820" t="s">
        <v>785</v>
      </c>
      <c r="D59" s="770"/>
      <c r="E59" s="1065" t="str">
        <f t="shared" si="2"/>
        <v/>
      </c>
      <c r="F59" s="770"/>
    </row>
    <row r="60" spans="1:6">
      <c r="C60" s="820" t="s">
        <v>786</v>
      </c>
      <c r="D60" s="770"/>
      <c r="E60" s="1065" t="str">
        <f t="shared" si="2"/>
        <v/>
      </c>
      <c r="F60" s="770"/>
    </row>
    <row r="61" spans="1:6">
      <c r="C61" s="820" t="s">
        <v>787</v>
      </c>
      <c r="D61" s="770"/>
      <c r="E61" s="1065" t="str">
        <f t="shared" si="2"/>
        <v/>
      </c>
      <c r="F61" s="770"/>
    </row>
    <row r="62" spans="1:6">
      <c r="A62" s="957" t="s">
        <v>2260</v>
      </c>
      <c r="C62" s="820" t="s">
        <v>788</v>
      </c>
      <c r="D62" s="770"/>
      <c r="E62" s="1065" t="str">
        <f t="shared" si="2"/>
        <v/>
      </c>
      <c r="F62" s="770"/>
    </row>
    <row r="63" spans="1:6">
      <c r="C63" s="820" t="s">
        <v>789</v>
      </c>
      <c r="D63" s="770"/>
      <c r="E63" s="1065" t="str">
        <f t="shared" si="2"/>
        <v/>
      </c>
      <c r="F63" s="770"/>
    </row>
    <row r="64" spans="1:6">
      <c r="C64" s="820" t="s">
        <v>790</v>
      </c>
      <c r="D64" s="770"/>
      <c r="E64" s="1065" t="str">
        <f t="shared" si="2"/>
        <v/>
      </c>
      <c r="F64" s="770"/>
    </row>
    <row r="65" spans="1:6">
      <c r="C65" s="820" t="s">
        <v>791</v>
      </c>
      <c r="D65" s="770"/>
      <c r="E65" s="1065" t="str">
        <f t="shared" si="2"/>
        <v/>
      </c>
      <c r="F65" s="770"/>
    </row>
    <row r="66" spans="1:6">
      <c r="C66" s="820" t="s">
        <v>792</v>
      </c>
      <c r="D66" s="770"/>
      <c r="E66" s="1065" t="str">
        <f t="shared" si="2"/>
        <v/>
      </c>
      <c r="F66" s="770"/>
    </row>
    <row r="67" spans="1:6">
      <c r="A67" s="811" t="str">
        <f>HYPERLINK("#C1","置顶")</f>
        <v>置顶</v>
      </c>
      <c r="C67" s="820" t="s">
        <v>794</v>
      </c>
      <c r="D67" s="770"/>
      <c r="E67" s="1065" t="str">
        <f t="shared" si="2"/>
        <v/>
      </c>
      <c r="F67" s="770"/>
    </row>
    <row r="68" spans="1:6">
      <c r="C68" s="820" t="s">
        <v>795</v>
      </c>
      <c r="D68" s="770"/>
      <c r="E68" s="1065" t="str">
        <f t="shared" si="2"/>
        <v/>
      </c>
      <c r="F68" s="770"/>
    </row>
    <row r="69" spans="1:6">
      <c r="C69" s="820" t="s">
        <v>796</v>
      </c>
      <c r="D69" s="770"/>
      <c r="E69" s="1065" t="str">
        <f t="shared" si="2"/>
        <v/>
      </c>
      <c r="F69" s="770"/>
    </row>
    <row r="70" spans="1:6">
      <c r="C70" s="820" t="s">
        <v>797</v>
      </c>
      <c r="D70" s="770"/>
      <c r="E70" s="1065" t="str">
        <f t="shared" si="2"/>
        <v/>
      </c>
      <c r="F70" s="770"/>
    </row>
    <row r="71" spans="1:6">
      <c r="C71" s="820" t="s">
        <v>798</v>
      </c>
      <c r="D71" s="770"/>
      <c r="E71" s="1065" t="str">
        <f t="shared" si="2"/>
        <v/>
      </c>
      <c r="F71" s="770"/>
    </row>
    <row r="72" spans="1:6">
      <c r="C72" s="820" t="s">
        <v>799</v>
      </c>
      <c r="D72" s="770"/>
      <c r="E72" s="1065" t="str">
        <f t="shared" si="2"/>
        <v/>
      </c>
      <c r="F72" s="770"/>
    </row>
    <row r="73" spans="1:6">
      <c r="A73" s="957" t="s">
        <v>2260</v>
      </c>
      <c r="C73" s="820" t="s">
        <v>800</v>
      </c>
      <c r="D73" s="770"/>
      <c r="E73" s="1065" t="str">
        <f t="shared" si="2"/>
        <v/>
      </c>
      <c r="F73" s="770"/>
    </row>
    <row r="74" spans="1:6">
      <c r="C74" s="820" t="s">
        <v>801</v>
      </c>
      <c r="D74" s="770"/>
      <c r="E74" s="1065" t="str">
        <f t="shared" si="2"/>
        <v/>
      </c>
      <c r="F74" s="770"/>
    </row>
    <row r="75" spans="1:6">
      <c r="A75" s="957"/>
      <c r="C75" s="820" t="s">
        <v>802</v>
      </c>
      <c r="D75" s="770"/>
      <c r="E75" s="1065" t="str">
        <f t="shared" si="2"/>
        <v/>
      </c>
      <c r="F75" s="770"/>
    </row>
    <row r="76" spans="1:6">
      <c r="C76" s="820" t="s">
        <v>804</v>
      </c>
      <c r="D76" s="770"/>
      <c r="E76" s="1065" t="str">
        <f t="shared" si="2"/>
        <v/>
      </c>
      <c r="F76" s="770"/>
    </row>
    <row r="77" spans="1:6">
      <c r="C77" s="889" t="s">
        <v>809</v>
      </c>
      <c r="D77" s="1066"/>
      <c r="E77" s="1067" t="s">
        <v>217</v>
      </c>
      <c r="F77" s="1068">
        <f>F5+F29+F53</f>
        <v>0</v>
      </c>
    </row>
    <row r="78" spans="1:6">
      <c r="A78" s="811" t="str">
        <f>HYPERLINK("#C1","置顶")</f>
        <v>置顶</v>
      </c>
    </row>
    <row r="82" spans="1:1">
      <c r="A82" s="957" t="s">
        <v>2260</v>
      </c>
    </row>
  </sheetData>
  <sheetProtection formatCells="0" formatColumns="0" formatRows="0" autoFilter="0"/>
  <mergeCells count="2">
    <mergeCell ref="C3:C4"/>
    <mergeCell ref="D3:F3"/>
  </mergeCells>
  <phoneticPr fontId="5" type="noConversion"/>
  <hyperlinks>
    <hyperlink ref="A2" location="附注填写封面!B3" display="返回目录" xr:uid="{00000000-0004-0000-6500-000000000000}"/>
    <hyperlink ref="A18" location="附注填写封面!B3" display="返回目录" xr:uid="{00000000-0004-0000-6500-000001000000}"/>
    <hyperlink ref="A8" location="附注填写封面!B3" display="返回目录" xr:uid="{00000000-0004-0000-6500-000002000000}"/>
    <hyperlink ref="A62" location="附注填写封面!B3" display="返回目录" xr:uid="{00000000-0004-0000-6500-000003000000}"/>
    <hyperlink ref="A73" location="附注填写封面!B3" display="返回目录" xr:uid="{00000000-0004-0000-6500-000004000000}"/>
    <hyperlink ref="A82" location="附注填写封面!B3" display="返回目录" xr:uid="{00000000-0004-0000-6500-000005000000}"/>
    <hyperlink ref="A40" location="附注填写封面!B3" display="返回目录" xr:uid="{00000000-0004-0000-6500-000006000000}"/>
    <hyperlink ref="A33" location="附注填写封面!B3" display="返回目录" xr:uid="{00000000-0004-0000-6500-000007000000}"/>
    <hyperlink ref="A50" location="附注填写封面!B3" display="返回目录" xr:uid="{00000000-0004-0000-6500-000008000000}"/>
  </hyperlinks>
  <pageMargins left="0.7" right="0.7" top="0.75" bottom="0.75" header="0.3" footer="0.3"/>
  <extLst>
    <ext xmlns:mx="http://schemas.microsoft.com/office/mac/excel/2008/main" uri="{64002731-A6B0-56B0-2670-7721B7C09600}">
      <mx:PLV Mode="0" OnePage="0" WScale="0"/>
    </ext>
  </extLs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92"/>
  <dimension ref="A1:I80"/>
  <sheetViews>
    <sheetView showGridLines="0" workbookViewId="0">
      <selection sqref="A1:A1048576"/>
    </sheetView>
  </sheetViews>
  <sheetFormatPr defaultColWidth="9" defaultRowHeight="12.75"/>
  <cols>
    <col min="1" max="1" width="8.875" style="162" customWidth="1"/>
    <col min="2" max="2" width="5.625" style="344" hidden="1" customWidth="1"/>
    <col min="3" max="3" width="21" style="344" customWidth="1"/>
    <col min="4" max="4" width="14.625" style="344" customWidth="1"/>
    <col min="5" max="6" width="9" style="344"/>
    <col min="7" max="7" width="21.625" style="344" customWidth="1"/>
    <col min="8" max="8" width="24.125" style="344" customWidth="1"/>
    <col min="9" max="9" width="11.875" style="344" customWidth="1"/>
    <col min="10" max="16384" width="9" style="344"/>
  </cols>
  <sheetData>
    <row r="1" spans="1:9">
      <c r="A1" s="1053" t="s">
        <v>2260</v>
      </c>
      <c r="B1" s="343" t="s">
        <v>1446</v>
      </c>
      <c r="C1" s="759" t="s">
        <v>3534</v>
      </c>
    </row>
    <row r="2" spans="1:9">
      <c r="B2" s="162">
        <v>2</v>
      </c>
      <c r="C2" s="781" t="s">
        <v>3535</v>
      </c>
    </row>
    <row r="3" spans="1:9">
      <c r="B3" s="162">
        <v>3</v>
      </c>
      <c r="C3" s="881" t="s">
        <v>3536</v>
      </c>
      <c r="D3" s="881" t="s">
        <v>3537</v>
      </c>
      <c r="E3" s="881" t="s">
        <v>3538</v>
      </c>
      <c r="F3" s="881" t="s">
        <v>3539</v>
      </c>
      <c r="G3" s="881" t="s">
        <v>3540</v>
      </c>
      <c r="H3" s="881" t="s">
        <v>3541</v>
      </c>
    </row>
    <row r="4" spans="1:9">
      <c r="B4" s="162">
        <v>4</v>
      </c>
      <c r="C4" s="888"/>
      <c r="D4" s="888"/>
      <c r="E4" s="888"/>
      <c r="F4" s="888"/>
      <c r="G4" s="888"/>
      <c r="H4" s="888"/>
    </row>
    <row r="5" spans="1:9">
      <c r="B5" s="162">
        <v>5</v>
      </c>
      <c r="C5" s="1058"/>
      <c r="D5" s="1058"/>
      <c r="E5" s="1058"/>
      <c r="F5" s="1058"/>
      <c r="G5" s="1058"/>
      <c r="H5" s="1058"/>
    </row>
    <row r="6" spans="1:9">
      <c r="B6" s="162">
        <v>6</v>
      </c>
      <c r="C6" s="344" t="s">
        <v>3542</v>
      </c>
    </row>
    <row r="7" spans="1:9">
      <c r="B7" s="162">
        <v>7</v>
      </c>
    </row>
    <row r="8" spans="1:9">
      <c r="A8" s="1053" t="s">
        <v>2260</v>
      </c>
      <c r="B8" s="162">
        <v>8</v>
      </c>
      <c r="C8" s="781" t="s">
        <v>3543</v>
      </c>
    </row>
    <row r="9" spans="1:9">
      <c r="B9" s="162">
        <v>9</v>
      </c>
      <c r="C9" s="881" t="s">
        <v>3544</v>
      </c>
      <c r="D9" s="881" t="s">
        <v>3537</v>
      </c>
      <c r="E9" s="881" t="s">
        <v>3538</v>
      </c>
      <c r="F9" s="881" t="s">
        <v>3539</v>
      </c>
      <c r="G9" s="881" t="s">
        <v>3545</v>
      </c>
      <c r="H9" s="881" t="s">
        <v>3546</v>
      </c>
      <c r="I9" s="881" t="s">
        <v>3547</v>
      </c>
    </row>
    <row r="10" spans="1:9">
      <c r="A10" s="162">
        <v>1</v>
      </c>
      <c r="B10" s="162">
        <v>10</v>
      </c>
      <c r="C10" s="881"/>
      <c r="D10" s="881"/>
      <c r="E10" s="881"/>
      <c r="F10" s="881"/>
      <c r="G10" s="881"/>
      <c r="H10" s="881"/>
      <c r="I10" s="881"/>
    </row>
    <row r="11" spans="1:9">
      <c r="A11" s="162">
        <v>2</v>
      </c>
      <c r="B11" s="162">
        <v>11</v>
      </c>
      <c r="C11" s="881"/>
      <c r="D11" s="881"/>
      <c r="E11" s="881"/>
      <c r="F11" s="881"/>
      <c r="G11" s="881"/>
      <c r="H11" s="881"/>
      <c r="I11" s="881"/>
    </row>
    <row r="12" spans="1:9">
      <c r="A12" s="162">
        <v>3</v>
      </c>
      <c r="B12" s="162">
        <v>12</v>
      </c>
      <c r="C12" s="881"/>
      <c r="D12" s="881"/>
      <c r="E12" s="881"/>
      <c r="F12" s="881"/>
      <c r="G12" s="881"/>
      <c r="H12" s="881"/>
      <c r="I12" s="881"/>
    </row>
    <row r="13" spans="1:9">
      <c r="A13" s="162">
        <v>4</v>
      </c>
      <c r="B13" s="162">
        <v>13</v>
      </c>
      <c r="C13" s="881"/>
      <c r="D13" s="881"/>
      <c r="E13" s="881"/>
      <c r="F13" s="881"/>
      <c r="G13" s="881"/>
      <c r="H13" s="881"/>
      <c r="I13" s="881"/>
    </row>
    <row r="14" spans="1:9">
      <c r="A14" s="162">
        <v>5</v>
      </c>
      <c r="B14" s="162">
        <v>14</v>
      </c>
      <c r="C14" s="881"/>
      <c r="D14" s="881"/>
      <c r="E14" s="881"/>
      <c r="F14" s="881"/>
      <c r="G14" s="881"/>
      <c r="H14" s="881"/>
      <c r="I14" s="881"/>
    </row>
    <row r="15" spans="1:9">
      <c r="A15" s="162">
        <v>6</v>
      </c>
      <c r="B15" s="162">
        <v>15</v>
      </c>
      <c r="C15" s="881"/>
      <c r="D15" s="881"/>
      <c r="E15" s="881"/>
      <c r="F15" s="881"/>
      <c r="G15" s="881"/>
      <c r="H15" s="881"/>
      <c r="I15" s="881"/>
    </row>
    <row r="16" spans="1:9">
      <c r="A16" s="162">
        <v>7</v>
      </c>
      <c r="B16" s="162">
        <v>16</v>
      </c>
      <c r="C16" s="881"/>
      <c r="D16" s="881"/>
      <c r="E16" s="881"/>
      <c r="F16" s="881"/>
      <c r="G16" s="881"/>
      <c r="H16" s="881"/>
      <c r="I16" s="881"/>
    </row>
    <row r="17" spans="1:9">
      <c r="A17" s="162">
        <v>8</v>
      </c>
      <c r="B17" s="162">
        <v>17</v>
      </c>
      <c r="C17" s="881"/>
      <c r="D17" s="881"/>
      <c r="E17" s="881"/>
      <c r="F17" s="881"/>
      <c r="G17" s="881"/>
      <c r="H17" s="881"/>
      <c r="I17" s="881"/>
    </row>
    <row r="18" spans="1:9">
      <c r="A18" s="162">
        <v>9</v>
      </c>
      <c r="B18" s="162">
        <v>18</v>
      </c>
      <c r="C18" s="881"/>
      <c r="D18" s="881"/>
      <c r="E18" s="881"/>
      <c r="F18" s="881"/>
      <c r="G18" s="881"/>
      <c r="H18" s="881"/>
      <c r="I18" s="881"/>
    </row>
    <row r="19" spans="1:9">
      <c r="A19" s="162">
        <v>10</v>
      </c>
      <c r="B19" s="162">
        <v>19</v>
      </c>
      <c r="C19" s="881"/>
      <c r="D19" s="881"/>
      <c r="E19" s="881"/>
      <c r="F19" s="881"/>
      <c r="G19" s="881"/>
      <c r="H19" s="881"/>
      <c r="I19" s="881"/>
    </row>
    <row r="20" spans="1:9">
      <c r="A20" s="162">
        <v>11</v>
      </c>
      <c r="B20" s="162">
        <v>20</v>
      </c>
      <c r="C20" s="881"/>
      <c r="D20" s="881"/>
      <c r="E20" s="881"/>
      <c r="F20" s="881"/>
      <c r="G20" s="881"/>
      <c r="H20" s="881"/>
      <c r="I20" s="881"/>
    </row>
    <row r="21" spans="1:9">
      <c r="A21" s="162">
        <v>12</v>
      </c>
      <c r="B21" s="162">
        <v>21</v>
      </c>
      <c r="C21" s="881"/>
      <c r="D21" s="881"/>
      <c r="E21" s="881"/>
      <c r="F21" s="881"/>
      <c r="G21" s="881"/>
      <c r="H21" s="881"/>
      <c r="I21" s="881"/>
    </row>
    <row r="22" spans="1:9">
      <c r="A22" s="162">
        <v>13</v>
      </c>
      <c r="B22" s="162">
        <v>22</v>
      </c>
      <c r="C22" s="881"/>
      <c r="D22" s="881"/>
      <c r="E22" s="881"/>
      <c r="F22" s="881"/>
      <c r="G22" s="881"/>
      <c r="H22" s="881"/>
      <c r="I22" s="881"/>
    </row>
    <row r="23" spans="1:9">
      <c r="A23" s="162">
        <v>14</v>
      </c>
      <c r="B23" s="162">
        <v>23</v>
      </c>
      <c r="C23" s="881"/>
      <c r="D23" s="881"/>
      <c r="E23" s="881"/>
      <c r="F23" s="881"/>
      <c r="G23" s="881"/>
      <c r="H23" s="881"/>
      <c r="I23" s="881"/>
    </row>
    <row r="24" spans="1:9">
      <c r="A24" s="162">
        <v>15</v>
      </c>
      <c r="B24" s="162">
        <v>24</v>
      </c>
      <c r="C24" s="881"/>
      <c r="D24" s="881"/>
      <c r="E24" s="881"/>
      <c r="F24" s="881"/>
      <c r="G24" s="881"/>
      <c r="H24" s="881"/>
      <c r="I24" s="881"/>
    </row>
    <row r="25" spans="1:9">
      <c r="A25" s="162">
        <v>16</v>
      </c>
      <c r="B25" s="162">
        <v>25</v>
      </c>
      <c r="C25" s="881"/>
      <c r="D25" s="881"/>
      <c r="E25" s="881"/>
      <c r="F25" s="881"/>
      <c r="G25" s="881"/>
      <c r="H25" s="881"/>
      <c r="I25" s="881"/>
    </row>
    <row r="26" spans="1:9">
      <c r="A26" s="162">
        <v>17</v>
      </c>
      <c r="B26" s="162">
        <v>26</v>
      </c>
      <c r="C26" s="881"/>
      <c r="D26" s="881"/>
      <c r="E26" s="881"/>
      <c r="F26" s="881"/>
      <c r="G26" s="881"/>
      <c r="H26" s="881"/>
      <c r="I26" s="881"/>
    </row>
    <row r="27" spans="1:9">
      <c r="A27" s="162">
        <v>18</v>
      </c>
      <c r="B27" s="162">
        <v>27</v>
      </c>
      <c r="C27" s="881"/>
      <c r="D27" s="881"/>
      <c r="E27" s="881"/>
      <c r="F27" s="881"/>
      <c r="G27" s="881"/>
      <c r="H27" s="881"/>
      <c r="I27" s="881"/>
    </row>
    <row r="28" spans="1:9">
      <c r="A28" s="162">
        <v>19</v>
      </c>
      <c r="B28" s="162">
        <v>28</v>
      </c>
      <c r="C28" s="881"/>
      <c r="D28" s="881"/>
      <c r="E28" s="881"/>
      <c r="F28" s="881"/>
      <c r="G28" s="881"/>
      <c r="H28" s="881"/>
      <c r="I28" s="881"/>
    </row>
    <row r="29" spans="1:9">
      <c r="A29" s="162">
        <v>20</v>
      </c>
      <c r="B29" s="162">
        <v>29</v>
      </c>
      <c r="C29" s="881"/>
      <c r="D29" s="881"/>
      <c r="E29" s="881"/>
      <c r="F29" s="881"/>
      <c r="G29" s="881"/>
      <c r="H29" s="881"/>
      <c r="I29" s="881"/>
    </row>
    <row r="30" spans="1:9">
      <c r="A30" s="162">
        <v>21</v>
      </c>
      <c r="B30" s="162">
        <v>30</v>
      </c>
      <c r="C30" s="881"/>
      <c r="D30" s="881"/>
      <c r="E30" s="881"/>
      <c r="F30" s="881"/>
      <c r="G30" s="881"/>
      <c r="H30" s="881"/>
      <c r="I30" s="881"/>
    </row>
    <row r="31" spans="1:9">
      <c r="A31" s="162">
        <v>22</v>
      </c>
      <c r="B31" s="162">
        <v>31</v>
      </c>
      <c r="C31" s="881"/>
      <c r="D31" s="881"/>
      <c r="E31" s="881"/>
      <c r="F31" s="881"/>
      <c r="G31" s="881"/>
      <c r="H31" s="881"/>
      <c r="I31" s="881"/>
    </row>
    <row r="32" spans="1:9">
      <c r="A32" s="162">
        <v>23</v>
      </c>
      <c r="B32" s="162">
        <v>32</v>
      </c>
      <c r="C32" s="881"/>
      <c r="D32" s="881"/>
      <c r="E32" s="881"/>
      <c r="F32" s="881"/>
      <c r="G32" s="881"/>
      <c r="H32" s="881"/>
      <c r="I32" s="881"/>
    </row>
    <row r="33" spans="1:9">
      <c r="A33" s="162">
        <v>24</v>
      </c>
      <c r="B33" s="162">
        <v>33</v>
      </c>
      <c r="C33" s="881"/>
      <c r="D33" s="881"/>
      <c r="E33" s="881"/>
      <c r="F33" s="881"/>
      <c r="G33" s="881"/>
      <c r="H33" s="881"/>
      <c r="I33" s="881"/>
    </row>
    <row r="34" spans="1:9">
      <c r="A34" s="162">
        <v>25</v>
      </c>
      <c r="B34" s="162">
        <v>34</v>
      </c>
      <c r="C34" s="881"/>
      <c r="D34" s="881"/>
      <c r="E34" s="881"/>
      <c r="F34" s="881"/>
      <c r="G34" s="881"/>
      <c r="H34" s="881"/>
      <c r="I34" s="881"/>
    </row>
    <row r="35" spans="1:9">
      <c r="A35" s="162">
        <v>26</v>
      </c>
      <c r="B35" s="162">
        <v>35</v>
      </c>
      <c r="C35" s="1059"/>
      <c r="D35" s="1059"/>
      <c r="E35" s="1059"/>
      <c r="F35" s="1059"/>
      <c r="G35" s="1059"/>
      <c r="H35" s="1059"/>
      <c r="I35" s="1059"/>
    </row>
    <row r="36" spans="1:9">
      <c r="A36" s="162">
        <v>27</v>
      </c>
      <c r="B36" s="162">
        <v>36</v>
      </c>
      <c r="C36" s="1059"/>
      <c r="D36" s="1059"/>
      <c r="E36" s="1059"/>
      <c r="F36" s="1059"/>
      <c r="G36" s="1059"/>
      <c r="H36" s="1059"/>
      <c r="I36" s="1059"/>
    </row>
    <row r="37" spans="1:9">
      <c r="A37" s="162">
        <v>28</v>
      </c>
      <c r="B37" s="162">
        <v>37</v>
      </c>
      <c r="C37" s="1059"/>
      <c r="D37" s="1059"/>
      <c r="E37" s="1059"/>
      <c r="F37" s="1059"/>
      <c r="G37" s="1059"/>
      <c r="H37" s="1059"/>
      <c r="I37" s="1059"/>
    </row>
    <row r="38" spans="1:9">
      <c r="A38" s="162">
        <v>29</v>
      </c>
      <c r="B38" s="162">
        <v>38</v>
      </c>
      <c r="C38" s="1059"/>
      <c r="D38" s="1059"/>
      <c r="E38" s="1059"/>
      <c r="F38" s="1059"/>
      <c r="G38" s="1059"/>
      <c r="H38" s="1059"/>
      <c r="I38" s="1059"/>
    </row>
    <row r="39" spans="1:9">
      <c r="A39" s="162">
        <v>30</v>
      </c>
      <c r="B39" s="162">
        <v>39</v>
      </c>
      <c r="C39" s="1059"/>
      <c r="D39" s="1059"/>
      <c r="E39" s="1059"/>
      <c r="F39" s="1059"/>
      <c r="G39" s="1059"/>
      <c r="H39" s="1059"/>
      <c r="I39" s="1059"/>
    </row>
    <row r="40" spans="1:9">
      <c r="A40" s="162">
        <v>31</v>
      </c>
      <c r="B40" s="162">
        <v>40</v>
      </c>
      <c r="C40" s="1059"/>
      <c r="D40" s="1059"/>
      <c r="E40" s="1059"/>
      <c r="F40" s="1059"/>
      <c r="G40" s="1059"/>
      <c r="H40" s="1059"/>
      <c r="I40" s="1059"/>
    </row>
    <row r="41" spans="1:9">
      <c r="A41" s="162">
        <v>32</v>
      </c>
      <c r="B41" s="162">
        <v>41</v>
      </c>
      <c r="C41" s="1059"/>
      <c r="D41" s="1059"/>
      <c r="E41" s="1059"/>
      <c r="F41" s="1059"/>
      <c r="G41" s="1059"/>
      <c r="H41" s="1059"/>
      <c r="I41" s="1059"/>
    </row>
    <row r="42" spans="1:9">
      <c r="A42" s="162">
        <v>33</v>
      </c>
      <c r="B42" s="162">
        <v>42</v>
      </c>
      <c r="C42" s="1059"/>
      <c r="D42" s="1059"/>
      <c r="E42" s="1059"/>
      <c r="F42" s="1059"/>
      <c r="G42" s="1059"/>
      <c r="H42" s="1059"/>
      <c r="I42" s="1059"/>
    </row>
    <row r="43" spans="1:9">
      <c r="A43" s="162">
        <v>34</v>
      </c>
      <c r="B43" s="162">
        <v>43</v>
      </c>
      <c r="C43" s="1059"/>
      <c r="D43" s="1059"/>
      <c r="E43" s="1059"/>
      <c r="F43" s="1059"/>
      <c r="G43" s="1059"/>
      <c r="H43" s="1059"/>
      <c r="I43" s="1059"/>
    </row>
    <row r="44" spans="1:9">
      <c r="A44" s="162">
        <v>35</v>
      </c>
      <c r="B44" s="162">
        <v>44</v>
      </c>
      <c r="C44" s="1059"/>
      <c r="D44" s="1059"/>
      <c r="E44" s="1059"/>
      <c r="F44" s="1059"/>
      <c r="G44" s="1059"/>
      <c r="H44" s="1059"/>
      <c r="I44" s="1059"/>
    </row>
    <row r="45" spans="1:9">
      <c r="A45" s="1001" t="str">
        <f>HYPERLINK("#C1","置顶")</f>
        <v>置顶</v>
      </c>
      <c r="B45" s="162">
        <v>45</v>
      </c>
      <c r="C45" s="781"/>
    </row>
    <row r="46" spans="1:9">
      <c r="B46" s="162">
        <v>46</v>
      </c>
      <c r="C46" s="781" t="s">
        <v>3548</v>
      </c>
    </row>
    <row r="47" spans="1:9">
      <c r="B47" s="162">
        <v>47</v>
      </c>
      <c r="C47" s="781"/>
    </row>
    <row r="48" spans="1:9">
      <c r="A48" s="1053" t="s">
        <v>2260</v>
      </c>
      <c r="B48" s="162">
        <v>48</v>
      </c>
      <c r="C48" s="781" t="s">
        <v>3549</v>
      </c>
    </row>
    <row r="49" spans="1:4">
      <c r="B49" s="162">
        <v>49</v>
      </c>
      <c r="C49" s="881" t="s">
        <v>3492</v>
      </c>
      <c r="D49" s="881" t="s">
        <v>3550</v>
      </c>
    </row>
    <row r="50" spans="1:4">
      <c r="A50" s="162">
        <v>1</v>
      </c>
      <c r="B50" s="162">
        <v>50</v>
      </c>
      <c r="C50" s="881"/>
      <c r="D50" s="881"/>
    </row>
    <row r="51" spans="1:4">
      <c r="A51" s="162">
        <v>2</v>
      </c>
      <c r="B51" s="162">
        <v>51</v>
      </c>
      <c r="C51" s="881"/>
      <c r="D51" s="881"/>
    </row>
    <row r="52" spans="1:4">
      <c r="A52" s="162">
        <v>3</v>
      </c>
      <c r="B52" s="162">
        <v>52</v>
      </c>
      <c r="C52" s="881"/>
      <c r="D52" s="881"/>
    </row>
    <row r="53" spans="1:4">
      <c r="A53" s="162">
        <v>4</v>
      </c>
      <c r="B53" s="162">
        <v>53</v>
      </c>
      <c r="C53" s="881"/>
      <c r="D53" s="881"/>
    </row>
    <row r="54" spans="1:4">
      <c r="A54" s="162">
        <v>5</v>
      </c>
      <c r="B54" s="162">
        <v>54</v>
      </c>
      <c r="C54" s="881"/>
      <c r="D54" s="881"/>
    </row>
    <row r="55" spans="1:4">
      <c r="A55" s="162">
        <v>6</v>
      </c>
      <c r="B55" s="162">
        <v>55</v>
      </c>
      <c r="C55" s="881"/>
      <c r="D55" s="881"/>
    </row>
    <row r="56" spans="1:4">
      <c r="A56" s="162">
        <v>7</v>
      </c>
      <c r="B56" s="162">
        <v>56</v>
      </c>
      <c r="C56" s="881"/>
      <c r="D56" s="881"/>
    </row>
    <row r="57" spans="1:4">
      <c r="A57" s="162">
        <v>8</v>
      </c>
      <c r="B57" s="162">
        <v>57</v>
      </c>
      <c r="C57" s="888"/>
      <c r="D57" s="888"/>
    </row>
    <row r="58" spans="1:4">
      <c r="A58" s="162">
        <v>9</v>
      </c>
      <c r="B58" s="162">
        <v>58</v>
      </c>
      <c r="C58" s="888"/>
      <c r="D58" s="888"/>
    </row>
    <row r="59" spans="1:4">
      <c r="A59" s="162">
        <v>10</v>
      </c>
      <c r="B59" s="162">
        <v>59</v>
      </c>
      <c r="C59" s="888"/>
      <c r="D59" s="888"/>
    </row>
    <row r="60" spans="1:4">
      <c r="A60" s="162">
        <v>11</v>
      </c>
      <c r="B60" s="162">
        <v>60</v>
      </c>
      <c r="C60" s="888"/>
      <c r="D60" s="888"/>
    </row>
    <row r="61" spans="1:4">
      <c r="A61" s="162">
        <v>12</v>
      </c>
      <c r="B61" s="162">
        <v>61</v>
      </c>
      <c r="C61" s="888"/>
      <c r="D61" s="888"/>
    </row>
    <row r="62" spans="1:4">
      <c r="A62" s="162">
        <v>13</v>
      </c>
      <c r="B62" s="162">
        <v>62</v>
      </c>
      <c r="C62" s="888"/>
      <c r="D62" s="888"/>
    </row>
    <row r="63" spans="1:4">
      <c r="A63" s="162">
        <v>14</v>
      </c>
      <c r="B63" s="162">
        <v>63</v>
      </c>
      <c r="C63" s="888"/>
      <c r="D63" s="888"/>
    </row>
    <row r="64" spans="1:4">
      <c r="A64" s="162">
        <v>15</v>
      </c>
      <c r="B64" s="162">
        <v>64</v>
      </c>
      <c r="C64" s="888"/>
      <c r="D64" s="888"/>
    </row>
    <row r="65" spans="1:4">
      <c r="A65" s="162">
        <v>16</v>
      </c>
      <c r="B65" s="162">
        <v>65</v>
      </c>
      <c r="C65" s="888"/>
      <c r="D65" s="888"/>
    </row>
    <row r="66" spans="1:4">
      <c r="A66" s="162">
        <v>17</v>
      </c>
      <c r="B66" s="162">
        <v>66</v>
      </c>
      <c r="C66" s="888"/>
      <c r="D66" s="888"/>
    </row>
    <row r="67" spans="1:4">
      <c r="A67" s="162">
        <v>18</v>
      </c>
      <c r="B67" s="162">
        <v>67</v>
      </c>
      <c r="C67" s="888"/>
      <c r="D67" s="888"/>
    </row>
    <row r="68" spans="1:4">
      <c r="A68" s="162">
        <v>19</v>
      </c>
      <c r="B68" s="162">
        <v>68</v>
      </c>
      <c r="C68" s="888"/>
      <c r="D68" s="888"/>
    </row>
    <row r="69" spans="1:4">
      <c r="A69" s="162">
        <v>20</v>
      </c>
      <c r="B69" s="162">
        <v>69</v>
      </c>
      <c r="C69" s="888"/>
      <c r="D69" s="888"/>
    </row>
    <row r="70" spans="1:4">
      <c r="B70" s="162"/>
    </row>
    <row r="71" spans="1:4">
      <c r="B71" s="162"/>
    </row>
    <row r="72" spans="1:4">
      <c r="A72" s="1001" t="str">
        <f>HYPERLINK("#C1","置顶")</f>
        <v>置顶</v>
      </c>
      <c r="B72" s="162"/>
    </row>
    <row r="73" spans="1:4">
      <c r="B73" s="162"/>
    </row>
    <row r="74" spans="1:4">
      <c r="B74" s="162"/>
    </row>
    <row r="75" spans="1:4">
      <c r="A75" s="860" t="s">
        <v>2260</v>
      </c>
      <c r="B75" s="162"/>
    </row>
    <row r="76" spans="1:4">
      <c r="B76" s="162"/>
    </row>
    <row r="77" spans="1:4">
      <c r="B77" s="162"/>
    </row>
    <row r="78" spans="1:4">
      <c r="B78" s="162"/>
    </row>
    <row r="79" spans="1:4">
      <c r="B79" s="162"/>
    </row>
    <row r="80" spans="1:4">
      <c r="B80" s="162"/>
    </row>
  </sheetData>
  <sheetProtection formatCells="0" formatColumns="0" formatRows="0" autoFilter="0"/>
  <phoneticPr fontId="5" type="noConversion"/>
  <conditionalFormatting sqref="A73:B73">
    <cfRule type="expression" dxfId="117" priority="3" stopIfTrue="1">
      <formula>0</formula>
    </cfRule>
    <cfRule type="cellIs" dxfId="116" priority="4" stopIfTrue="1" operator="equal">
      <formula>"报表数减附注数"</formula>
    </cfRule>
  </conditionalFormatting>
  <conditionalFormatting sqref="A46">
    <cfRule type="expression" dxfId="115" priority="1" stopIfTrue="1">
      <formula>0</formula>
    </cfRule>
    <cfRule type="cellIs" dxfId="114" priority="2" stopIfTrue="1" operator="equal">
      <formula>"报表数减附注数"</formula>
    </cfRule>
  </conditionalFormatting>
  <hyperlinks>
    <hyperlink ref="A1" location="附注填写封面!B3" display="返回目录" xr:uid="{00000000-0004-0000-6600-000000000000}"/>
    <hyperlink ref="A75" location="附注填写封面!B3" display="返回目录" xr:uid="{00000000-0004-0000-6600-000001000000}"/>
    <hyperlink ref="A8" location="附注填写封面!B3" display="返回目录" xr:uid="{00000000-0004-0000-6600-000002000000}"/>
    <hyperlink ref="A48" location="附注填写封面!B3" display="返回目录" xr:uid="{00000000-0004-0000-6600-000003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66"/>
  <dimension ref="A1:N280"/>
  <sheetViews>
    <sheetView showGridLines="0" showZeros="0" workbookViewId="0">
      <pane xSplit="3" ySplit="7" topLeftCell="D149" activePane="bottomRight" state="frozen"/>
      <selection sqref="A1:A1048576"/>
      <selection pane="topRight" sqref="A1:A1048576"/>
      <selection pane="bottomLeft" sqref="A1:A1048576"/>
      <selection pane="bottomRight"/>
    </sheetView>
  </sheetViews>
  <sheetFormatPr defaultColWidth="11.625" defaultRowHeight="12.75"/>
  <cols>
    <col min="1" max="1" width="8.875" style="162" customWidth="1"/>
    <col min="2" max="2" width="5.625" style="344" hidden="1" customWidth="1"/>
    <col min="3" max="3" width="31.625" style="843" customWidth="1"/>
    <col min="4" max="4" width="12.5" style="344" customWidth="1"/>
    <col min="5" max="5" width="13" style="344" customWidth="1"/>
    <col min="6" max="6" width="12" style="344" customWidth="1"/>
    <col min="7" max="7" width="13.125" style="344" customWidth="1"/>
    <col min="8" max="9" width="11.625" style="344"/>
    <col min="10" max="10" width="10.625" style="344" customWidth="1"/>
    <col min="11" max="11" width="8.125" style="344" customWidth="1"/>
    <col min="12" max="12" width="5.625" style="344" customWidth="1"/>
    <col min="13" max="13" width="7" style="344" customWidth="1"/>
    <col min="14" max="16384" width="11.625" style="344"/>
  </cols>
  <sheetData>
    <row r="1" spans="1:11" ht="27.95" customHeight="1">
      <c r="A1" s="1053" t="s">
        <v>2260</v>
      </c>
      <c r="B1" s="343" t="s">
        <v>1446</v>
      </c>
      <c r="C1" s="759" t="s">
        <v>3490</v>
      </c>
      <c r="D1" s="347"/>
      <c r="E1" s="347"/>
    </row>
    <row r="2" spans="1:11" ht="12.75" customHeight="1">
      <c r="B2" s="162">
        <v>2</v>
      </c>
      <c r="C2" s="1055" t="str">
        <f>HYPERLINK("#B9","(1)定价政策")</f>
        <v>(1)定价政策</v>
      </c>
      <c r="D2" s="1055" t="str">
        <f>HYPERLINK("#B47","②采购商品")</f>
        <v>②采购商品</v>
      </c>
      <c r="E2" s="1055" t="str">
        <f>HYPERLINK("#B110","⑤提供劳务")</f>
        <v>⑤提供劳务</v>
      </c>
      <c r="F2" s="1055" t="str">
        <f>HYPERLINK("#B180","⑧提供资金（贷款）")</f>
        <v>⑧提供资金（贷款）</v>
      </c>
    </row>
    <row r="3" spans="1:11" ht="12.75" customHeight="1">
      <c r="A3" s="860"/>
      <c r="B3" s="162">
        <v>3</v>
      </c>
      <c r="C3" s="1055" t="str">
        <f>HYPERLINK("#B24","(2)关联方交易")</f>
        <v>(2)关联方交易</v>
      </c>
      <c r="D3" s="1055" t="str">
        <f>HYPERLINK("#B68","③销售商品以外的其他资产")</f>
        <v>③销售商品以外的其他资产</v>
      </c>
      <c r="E3" s="1055" t="str">
        <f>HYPERLINK("#B125","⑥接受劳务")</f>
        <v>⑥接受劳务</v>
      </c>
      <c r="F3" s="1055" t="str">
        <f>HYPERLINK("#B214","⑨其他关联交易")</f>
        <v>⑨其他关联交易</v>
      </c>
    </row>
    <row r="4" spans="1:11" ht="12.75" customHeight="1">
      <c r="A4" s="860"/>
      <c r="B4" s="162">
        <v>4</v>
      </c>
      <c r="C4" s="1055" t="str">
        <f>HYPERLINK("#B25","①销售商品")</f>
        <v>①销售商品</v>
      </c>
      <c r="D4" s="1055" t="str">
        <f>HYPERLINK("#B92","④采购商品以外的其他资产")</f>
        <v>④采购商品以外的其他资产</v>
      </c>
      <c r="E4" s="1055" t="str">
        <f>HYPERLINK("#B145","⑦担保")</f>
        <v>⑦担保</v>
      </c>
      <c r="F4" s="347"/>
      <c r="H4" s="347"/>
    </row>
    <row r="5" spans="1:11" ht="6.95" customHeight="1">
      <c r="A5" s="1050"/>
      <c r="B5" s="162">
        <v>5</v>
      </c>
      <c r="C5" s="344"/>
      <c r="E5" s="347"/>
      <c r="F5" s="347"/>
      <c r="H5" s="347"/>
    </row>
    <row r="6" spans="1:11">
      <c r="A6" s="1050"/>
      <c r="B6" s="162">
        <v>6</v>
      </c>
      <c r="C6" s="994" t="s">
        <v>3491</v>
      </c>
      <c r="H6" s="347"/>
    </row>
    <row r="7" spans="1:11" s="162" customFormat="1">
      <c r="A7" s="1050"/>
      <c r="B7" s="162">
        <v>7</v>
      </c>
      <c r="C7" s="889" t="s">
        <v>3492</v>
      </c>
      <c r="D7" s="881" t="s">
        <v>3493</v>
      </c>
      <c r="E7" s="881" t="s">
        <v>3494</v>
      </c>
      <c r="F7" s="881" t="s">
        <v>3495</v>
      </c>
      <c r="H7" s="347"/>
      <c r="I7" s="347"/>
      <c r="J7" s="347"/>
      <c r="K7" s="344"/>
    </row>
    <row r="8" spans="1:11" s="162" customFormat="1">
      <c r="B8" s="162">
        <v>8</v>
      </c>
      <c r="C8" s="338"/>
      <c r="D8" s="881"/>
      <c r="E8" s="881"/>
      <c r="F8" s="881"/>
      <c r="G8" s="162">
        <v>1</v>
      </c>
      <c r="H8" s="347"/>
      <c r="I8" s="347"/>
      <c r="J8" s="344"/>
      <c r="K8" s="344"/>
    </row>
    <row r="9" spans="1:11" s="162" customFormat="1">
      <c r="B9" s="162">
        <v>9</v>
      </c>
      <c r="C9" s="338"/>
      <c r="D9" s="881"/>
      <c r="E9" s="881"/>
      <c r="F9" s="881"/>
      <c r="G9" s="162">
        <v>2</v>
      </c>
      <c r="H9" s="347"/>
      <c r="I9" s="347"/>
      <c r="J9" s="344"/>
      <c r="K9" s="344"/>
    </row>
    <row r="10" spans="1:11" s="162" customFormat="1">
      <c r="B10" s="162">
        <v>10</v>
      </c>
      <c r="C10" s="338"/>
      <c r="D10" s="881"/>
      <c r="E10" s="881"/>
      <c r="F10" s="881"/>
      <c r="G10" s="162">
        <v>3</v>
      </c>
      <c r="H10" s="344"/>
      <c r="I10" s="347"/>
      <c r="J10" s="344"/>
      <c r="K10" s="344"/>
    </row>
    <row r="11" spans="1:11" s="162" customFormat="1">
      <c r="B11" s="162">
        <v>11</v>
      </c>
      <c r="C11" s="338"/>
      <c r="D11" s="881"/>
      <c r="E11" s="881"/>
      <c r="F11" s="881"/>
      <c r="G11" s="162">
        <v>4</v>
      </c>
    </row>
    <row r="12" spans="1:11" s="162" customFormat="1">
      <c r="B12" s="162">
        <v>12</v>
      </c>
      <c r="C12" s="338"/>
      <c r="D12" s="881"/>
      <c r="E12" s="881"/>
      <c r="F12" s="881"/>
      <c r="G12" s="162">
        <v>5</v>
      </c>
    </row>
    <row r="13" spans="1:11" s="162" customFormat="1">
      <c r="B13" s="162">
        <v>13</v>
      </c>
      <c r="C13" s="338"/>
      <c r="D13" s="881"/>
      <c r="E13" s="881"/>
      <c r="F13" s="881"/>
      <c r="G13" s="162">
        <v>6</v>
      </c>
    </row>
    <row r="14" spans="1:11" s="162" customFormat="1">
      <c r="A14" s="1053" t="s">
        <v>2260</v>
      </c>
      <c r="B14" s="162">
        <v>14</v>
      </c>
      <c r="C14" s="338"/>
      <c r="D14" s="881"/>
      <c r="E14" s="881"/>
      <c r="F14" s="881"/>
      <c r="G14" s="162">
        <v>7</v>
      </c>
    </row>
    <row r="15" spans="1:11" s="162" customFormat="1">
      <c r="B15" s="162">
        <v>15</v>
      </c>
      <c r="C15" s="338"/>
      <c r="D15" s="881"/>
      <c r="E15" s="881"/>
      <c r="F15" s="881"/>
      <c r="G15" s="162">
        <v>8</v>
      </c>
    </row>
    <row r="16" spans="1:11" s="162" customFormat="1">
      <c r="B16" s="162">
        <v>16</v>
      </c>
      <c r="C16" s="338"/>
      <c r="D16" s="881"/>
      <c r="E16" s="881"/>
      <c r="F16" s="881"/>
      <c r="G16" s="162">
        <v>9</v>
      </c>
    </row>
    <row r="17" spans="1:8" s="162" customFormat="1">
      <c r="B17" s="162">
        <v>17</v>
      </c>
      <c r="C17" s="338"/>
      <c r="D17" s="881"/>
      <c r="E17" s="881"/>
      <c r="F17" s="881"/>
      <c r="G17" s="162">
        <v>10</v>
      </c>
    </row>
    <row r="18" spans="1:8" s="162" customFormat="1">
      <c r="B18" s="162">
        <v>18</v>
      </c>
      <c r="C18" s="338"/>
      <c r="D18" s="881"/>
      <c r="E18" s="881"/>
      <c r="F18" s="881"/>
      <c r="G18" s="162">
        <v>11</v>
      </c>
    </row>
    <row r="19" spans="1:8" s="162" customFormat="1">
      <c r="B19" s="162">
        <v>19</v>
      </c>
      <c r="C19" s="338"/>
      <c r="D19" s="881"/>
      <c r="E19" s="881"/>
      <c r="F19" s="881"/>
      <c r="G19" s="162">
        <v>12</v>
      </c>
    </row>
    <row r="20" spans="1:8" s="162" customFormat="1">
      <c r="B20" s="162">
        <v>20</v>
      </c>
      <c r="C20" s="338"/>
      <c r="D20" s="881"/>
      <c r="E20" s="881"/>
      <c r="F20" s="881"/>
      <c r="G20" s="162">
        <v>13</v>
      </c>
    </row>
    <row r="21" spans="1:8" s="162" customFormat="1">
      <c r="B21" s="162">
        <v>21</v>
      </c>
      <c r="C21" s="338"/>
      <c r="D21" s="881"/>
      <c r="E21" s="881"/>
      <c r="F21" s="881"/>
      <c r="G21" s="162">
        <v>14</v>
      </c>
    </row>
    <row r="22" spans="1:8">
      <c r="B22" s="162">
        <v>22</v>
      </c>
      <c r="C22" s="338"/>
      <c r="D22" s="888"/>
      <c r="E22" s="888"/>
      <c r="F22" s="888"/>
      <c r="G22" s="162">
        <v>15</v>
      </c>
    </row>
    <row r="23" spans="1:8">
      <c r="A23" s="1050"/>
      <c r="B23" s="162">
        <v>23</v>
      </c>
    </row>
    <row r="24" spans="1:8">
      <c r="A24" s="1050"/>
      <c r="B24" s="162">
        <v>24</v>
      </c>
      <c r="C24" s="994" t="s">
        <v>3496</v>
      </c>
    </row>
    <row r="25" spans="1:8">
      <c r="A25" s="1053" t="s">
        <v>2260</v>
      </c>
      <c r="B25" s="162">
        <v>25</v>
      </c>
      <c r="C25" s="1868" t="s">
        <v>3492</v>
      </c>
      <c r="D25" s="1879" t="s">
        <v>3243</v>
      </c>
      <c r="E25" s="1881"/>
      <c r="F25" s="1879" t="s">
        <v>3244</v>
      </c>
      <c r="G25" s="1881"/>
    </row>
    <row r="26" spans="1:8">
      <c r="B26" s="162">
        <v>26</v>
      </c>
      <c r="C26" s="1869"/>
      <c r="D26" s="881" t="s">
        <v>829</v>
      </c>
      <c r="E26" s="881" t="s">
        <v>3497</v>
      </c>
      <c r="F26" s="881" t="s">
        <v>829</v>
      </c>
      <c r="G26" s="881" t="s">
        <v>3497</v>
      </c>
    </row>
    <row r="27" spans="1:8">
      <c r="A27" s="162">
        <v>1</v>
      </c>
      <c r="B27" s="162">
        <v>27</v>
      </c>
      <c r="C27" s="338"/>
      <c r="D27" s="761"/>
      <c r="E27" s="948"/>
      <c r="F27" s="761"/>
      <c r="G27" s="948"/>
      <c r="H27" s="162">
        <v>1</v>
      </c>
    </row>
    <row r="28" spans="1:8">
      <c r="A28" s="162">
        <v>2</v>
      </c>
      <c r="B28" s="162">
        <v>28</v>
      </c>
      <c r="C28" s="338"/>
      <c r="D28" s="761"/>
      <c r="E28" s="948"/>
      <c r="F28" s="761"/>
      <c r="G28" s="948"/>
      <c r="H28" s="162">
        <v>2</v>
      </c>
    </row>
    <row r="29" spans="1:8">
      <c r="A29" s="162">
        <v>3</v>
      </c>
      <c r="B29" s="162">
        <v>29</v>
      </c>
      <c r="C29" s="338"/>
      <c r="D29" s="761"/>
      <c r="E29" s="948"/>
      <c r="F29" s="761"/>
      <c r="G29" s="948"/>
      <c r="H29" s="162">
        <v>3</v>
      </c>
    </row>
    <row r="30" spans="1:8">
      <c r="A30" s="162">
        <v>4</v>
      </c>
      <c r="B30" s="162">
        <v>30</v>
      </c>
      <c r="C30" s="338"/>
      <c r="D30" s="761"/>
      <c r="E30" s="948"/>
      <c r="F30" s="761"/>
      <c r="G30" s="948"/>
      <c r="H30" s="162">
        <v>4</v>
      </c>
    </row>
    <row r="31" spans="1:8">
      <c r="A31" s="162">
        <v>5</v>
      </c>
      <c r="B31" s="162">
        <v>31</v>
      </c>
      <c r="C31" s="338"/>
      <c r="D31" s="761"/>
      <c r="E31" s="948"/>
      <c r="F31" s="761"/>
      <c r="G31" s="948"/>
      <c r="H31" s="162">
        <v>5</v>
      </c>
    </row>
    <row r="32" spans="1:8">
      <c r="A32" s="162">
        <v>6</v>
      </c>
      <c r="B32" s="162">
        <v>32</v>
      </c>
      <c r="C32" s="338"/>
      <c r="D32" s="761"/>
      <c r="E32" s="948"/>
      <c r="F32" s="761"/>
      <c r="G32" s="948"/>
      <c r="H32" s="162">
        <v>6</v>
      </c>
    </row>
    <row r="33" spans="1:8">
      <c r="A33" s="162">
        <v>7</v>
      </c>
      <c r="B33" s="162">
        <v>33</v>
      </c>
      <c r="C33" s="338"/>
      <c r="D33" s="761"/>
      <c r="E33" s="948"/>
      <c r="F33" s="761"/>
      <c r="G33" s="948"/>
      <c r="H33" s="162">
        <v>7</v>
      </c>
    </row>
    <row r="34" spans="1:8">
      <c r="A34" s="162">
        <v>8</v>
      </c>
      <c r="B34" s="162">
        <v>34</v>
      </c>
      <c r="C34" s="338"/>
      <c r="D34" s="761"/>
      <c r="E34" s="948"/>
      <c r="F34" s="761"/>
      <c r="G34" s="948"/>
      <c r="H34" s="162">
        <v>8</v>
      </c>
    </row>
    <row r="35" spans="1:8">
      <c r="A35" s="162">
        <v>9</v>
      </c>
      <c r="B35" s="162">
        <v>35</v>
      </c>
      <c r="C35" s="338"/>
      <c r="D35" s="761"/>
      <c r="E35" s="948"/>
      <c r="F35" s="761"/>
      <c r="G35" s="948"/>
      <c r="H35" s="162">
        <v>9</v>
      </c>
    </row>
    <row r="36" spans="1:8">
      <c r="A36" s="162">
        <v>10</v>
      </c>
      <c r="B36" s="162">
        <v>36</v>
      </c>
      <c r="C36" s="338"/>
      <c r="D36" s="761"/>
      <c r="E36" s="948"/>
      <c r="F36" s="761"/>
      <c r="G36" s="948"/>
      <c r="H36" s="162">
        <v>10</v>
      </c>
    </row>
    <row r="37" spans="1:8">
      <c r="A37" s="162">
        <v>11</v>
      </c>
      <c r="B37" s="162">
        <v>37</v>
      </c>
      <c r="C37" s="338"/>
      <c r="D37" s="761"/>
      <c r="E37" s="948"/>
      <c r="F37" s="761"/>
      <c r="G37" s="948"/>
      <c r="H37" s="162">
        <v>11</v>
      </c>
    </row>
    <row r="38" spans="1:8">
      <c r="A38" s="162">
        <v>12</v>
      </c>
      <c r="B38" s="162">
        <v>38</v>
      </c>
      <c r="C38" s="338"/>
      <c r="D38" s="761"/>
      <c r="E38" s="948"/>
      <c r="F38" s="761"/>
      <c r="G38" s="948"/>
      <c r="H38" s="162">
        <v>12</v>
      </c>
    </row>
    <row r="39" spans="1:8">
      <c r="A39" s="162">
        <v>13</v>
      </c>
      <c r="B39" s="162">
        <v>39</v>
      </c>
      <c r="C39" s="338"/>
      <c r="D39" s="761"/>
      <c r="E39" s="948"/>
      <c r="F39" s="761"/>
      <c r="G39" s="948"/>
      <c r="H39" s="162">
        <v>13</v>
      </c>
    </row>
    <row r="40" spans="1:8">
      <c r="A40" s="162">
        <v>14</v>
      </c>
      <c r="B40" s="162">
        <v>40</v>
      </c>
      <c r="C40" s="338"/>
      <c r="D40" s="761"/>
      <c r="E40" s="948"/>
      <c r="F40" s="761"/>
      <c r="G40" s="948"/>
      <c r="H40" s="162">
        <v>14</v>
      </c>
    </row>
    <row r="41" spans="1:8">
      <c r="A41" s="162">
        <v>15</v>
      </c>
      <c r="B41" s="162">
        <v>41</v>
      </c>
      <c r="C41" s="338"/>
      <c r="D41" s="761"/>
      <c r="E41" s="948"/>
      <c r="F41" s="761"/>
      <c r="G41" s="948"/>
      <c r="H41" s="162">
        <v>15</v>
      </c>
    </row>
    <row r="42" spans="1:8">
      <c r="A42" s="1001" t="str">
        <f>HYPERLINK("#C1","置顶")</f>
        <v>置顶</v>
      </c>
      <c r="B42" s="162">
        <v>42</v>
      </c>
    </row>
    <row r="43" spans="1:8">
      <c r="A43" s="1050"/>
      <c r="B43" s="162">
        <v>43</v>
      </c>
      <c r="C43" s="994" t="s">
        <v>3498</v>
      </c>
    </row>
    <row r="44" spans="1:8">
      <c r="A44" s="1053" t="s">
        <v>2260</v>
      </c>
      <c r="B44" s="162">
        <v>44</v>
      </c>
      <c r="C44" s="1868" t="s">
        <v>3492</v>
      </c>
      <c r="D44" s="1879" t="s">
        <v>3243</v>
      </c>
      <c r="E44" s="1881"/>
      <c r="F44" s="1879" t="s">
        <v>3244</v>
      </c>
      <c r="G44" s="1881"/>
    </row>
    <row r="45" spans="1:8">
      <c r="B45" s="162">
        <v>45</v>
      </c>
      <c r="C45" s="1869"/>
      <c r="D45" s="881" t="s">
        <v>829</v>
      </c>
      <c r="E45" s="881" t="s">
        <v>3497</v>
      </c>
      <c r="F45" s="881" t="s">
        <v>829</v>
      </c>
      <c r="G45" s="881" t="s">
        <v>3497</v>
      </c>
    </row>
    <row r="46" spans="1:8">
      <c r="A46" s="162">
        <v>1</v>
      </c>
      <c r="B46" s="162">
        <v>46</v>
      </c>
      <c r="C46" s="338"/>
      <c r="D46" s="761"/>
      <c r="E46" s="948"/>
      <c r="F46" s="761"/>
      <c r="G46" s="948"/>
      <c r="H46" s="162">
        <v>1</v>
      </c>
    </row>
    <row r="47" spans="1:8">
      <c r="A47" s="162">
        <v>2</v>
      </c>
      <c r="B47" s="162">
        <v>47</v>
      </c>
      <c r="C47" s="338"/>
      <c r="D47" s="761"/>
      <c r="E47" s="948"/>
      <c r="F47" s="761"/>
      <c r="G47" s="948"/>
      <c r="H47" s="162">
        <v>2</v>
      </c>
    </row>
    <row r="48" spans="1:8">
      <c r="A48" s="162">
        <v>3</v>
      </c>
      <c r="B48" s="162">
        <v>48</v>
      </c>
      <c r="C48" s="338"/>
      <c r="D48" s="761"/>
      <c r="E48" s="948"/>
      <c r="F48" s="761"/>
      <c r="G48" s="948"/>
      <c r="H48" s="162">
        <v>3</v>
      </c>
    </row>
    <row r="49" spans="1:8">
      <c r="A49" s="162">
        <v>4</v>
      </c>
      <c r="B49" s="162">
        <v>49</v>
      </c>
      <c r="C49" s="338"/>
      <c r="D49" s="761"/>
      <c r="E49" s="948"/>
      <c r="F49" s="761"/>
      <c r="G49" s="948"/>
      <c r="H49" s="162">
        <v>4</v>
      </c>
    </row>
    <row r="50" spans="1:8">
      <c r="A50" s="162">
        <v>5</v>
      </c>
      <c r="B50" s="162">
        <v>50</v>
      </c>
      <c r="C50" s="338"/>
      <c r="D50" s="761"/>
      <c r="E50" s="948"/>
      <c r="F50" s="761"/>
      <c r="G50" s="948"/>
      <c r="H50" s="162">
        <v>5</v>
      </c>
    </row>
    <row r="51" spans="1:8">
      <c r="A51" s="162">
        <v>6</v>
      </c>
      <c r="B51" s="162">
        <v>51</v>
      </c>
      <c r="C51" s="338"/>
      <c r="D51" s="761"/>
      <c r="E51" s="948"/>
      <c r="F51" s="761"/>
      <c r="G51" s="948"/>
      <c r="H51" s="162">
        <v>6</v>
      </c>
    </row>
    <row r="52" spans="1:8">
      <c r="A52" s="162">
        <v>7</v>
      </c>
      <c r="B52" s="162">
        <v>52</v>
      </c>
      <c r="C52" s="338"/>
      <c r="D52" s="761"/>
      <c r="E52" s="948"/>
      <c r="F52" s="761"/>
      <c r="G52" s="948"/>
      <c r="H52" s="162">
        <v>7</v>
      </c>
    </row>
    <row r="53" spans="1:8">
      <c r="A53" s="162">
        <v>8</v>
      </c>
      <c r="B53" s="162">
        <v>53</v>
      </c>
      <c r="C53" s="338"/>
      <c r="D53" s="761"/>
      <c r="E53" s="948"/>
      <c r="F53" s="761"/>
      <c r="G53" s="948"/>
      <c r="H53" s="162">
        <v>8</v>
      </c>
    </row>
    <row r="54" spans="1:8">
      <c r="A54" s="162">
        <v>9</v>
      </c>
      <c r="B54" s="162">
        <v>54</v>
      </c>
      <c r="C54" s="338"/>
      <c r="D54" s="761"/>
      <c r="E54" s="948"/>
      <c r="F54" s="761"/>
      <c r="G54" s="948"/>
      <c r="H54" s="162">
        <v>9</v>
      </c>
    </row>
    <row r="55" spans="1:8">
      <c r="A55" s="162">
        <v>10</v>
      </c>
      <c r="B55" s="162">
        <v>55</v>
      </c>
      <c r="C55" s="338"/>
      <c r="D55" s="761"/>
      <c r="E55" s="948"/>
      <c r="F55" s="761"/>
      <c r="G55" s="948"/>
      <c r="H55" s="162">
        <v>10</v>
      </c>
    </row>
    <row r="56" spans="1:8">
      <c r="A56" s="162">
        <v>11</v>
      </c>
      <c r="B56" s="162">
        <v>56</v>
      </c>
      <c r="C56" s="338"/>
      <c r="D56" s="761"/>
      <c r="E56" s="948"/>
      <c r="F56" s="761"/>
      <c r="G56" s="948"/>
      <c r="H56" s="162">
        <v>11</v>
      </c>
    </row>
    <row r="57" spans="1:8">
      <c r="A57" s="162">
        <v>12</v>
      </c>
      <c r="B57" s="162">
        <v>57</v>
      </c>
      <c r="C57" s="338"/>
      <c r="D57" s="761"/>
      <c r="E57" s="948"/>
      <c r="F57" s="761"/>
      <c r="G57" s="948"/>
      <c r="H57" s="162">
        <v>12</v>
      </c>
    </row>
    <row r="58" spans="1:8">
      <c r="A58" s="162">
        <v>13</v>
      </c>
      <c r="B58" s="162">
        <v>58</v>
      </c>
      <c r="C58" s="338"/>
      <c r="D58" s="761"/>
      <c r="E58" s="948"/>
      <c r="F58" s="761"/>
      <c r="G58" s="948"/>
      <c r="H58" s="162">
        <v>13</v>
      </c>
    </row>
    <row r="59" spans="1:8">
      <c r="A59" s="162">
        <v>14</v>
      </c>
      <c r="B59" s="162">
        <v>59</v>
      </c>
      <c r="C59" s="338"/>
      <c r="D59" s="761"/>
      <c r="E59" s="948"/>
      <c r="F59" s="761"/>
      <c r="G59" s="948"/>
      <c r="H59" s="162">
        <v>14</v>
      </c>
    </row>
    <row r="60" spans="1:8">
      <c r="A60" s="162">
        <v>15</v>
      </c>
      <c r="B60" s="162">
        <v>60</v>
      </c>
      <c r="C60" s="338"/>
      <c r="D60" s="761"/>
      <c r="E60" s="948"/>
      <c r="F60" s="761"/>
      <c r="G60" s="948"/>
      <c r="H60" s="162">
        <v>15</v>
      </c>
    </row>
    <row r="61" spans="1:8">
      <c r="A61" s="1001" t="str">
        <f>HYPERLINK("#C1","置顶")</f>
        <v>置顶</v>
      </c>
      <c r="B61" s="162">
        <v>61</v>
      </c>
    </row>
    <row r="62" spans="1:8">
      <c r="A62" s="1050"/>
      <c r="B62" s="162">
        <v>62</v>
      </c>
      <c r="C62" s="994" t="s">
        <v>3499</v>
      </c>
    </row>
    <row r="63" spans="1:8">
      <c r="A63" s="1053" t="s">
        <v>2260</v>
      </c>
      <c r="B63" s="162">
        <v>63</v>
      </c>
      <c r="C63" s="1868" t="s">
        <v>3492</v>
      </c>
      <c r="D63" s="1879" t="s">
        <v>3243</v>
      </c>
      <c r="E63" s="1881"/>
      <c r="F63" s="1879" t="s">
        <v>3244</v>
      </c>
      <c r="G63" s="1881"/>
    </row>
    <row r="64" spans="1:8">
      <c r="B64" s="162">
        <v>64</v>
      </c>
      <c r="C64" s="1869"/>
      <c r="D64" s="881" t="s">
        <v>829</v>
      </c>
      <c r="E64" s="881" t="s">
        <v>3497</v>
      </c>
      <c r="F64" s="881" t="s">
        <v>829</v>
      </c>
      <c r="G64" s="881" t="s">
        <v>3497</v>
      </c>
    </row>
    <row r="65" spans="1:8">
      <c r="A65" s="162">
        <v>1</v>
      </c>
      <c r="B65" s="162">
        <v>65</v>
      </c>
      <c r="C65" s="338"/>
      <c r="D65" s="761"/>
      <c r="E65" s="948"/>
      <c r="F65" s="761"/>
      <c r="G65" s="948"/>
      <c r="H65" s="162">
        <v>1</v>
      </c>
    </row>
    <row r="66" spans="1:8">
      <c r="A66" s="162">
        <v>2</v>
      </c>
      <c r="B66" s="162">
        <v>66</v>
      </c>
      <c r="C66" s="338"/>
      <c r="D66" s="761"/>
      <c r="E66" s="948"/>
      <c r="F66" s="761"/>
      <c r="G66" s="948"/>
      <c r="H66" s="162">
        <v>2</v>
      </c>
    </row>
    <row r="67" spans="1:8">
      <c r="A67" s="162">
        <v>3</v>
      </c>
      <c r="B67" s="162">
        <v>67</v>
      </c>
      <c r="C67" s="338"/>
      <c r="D67" s="761"/>
      <c r="E67" s="948"/>
      <c r="F67" s="761"/>
      <c r="G67" s="948"/>
      <c r="H67" s="162">
        <v>3</v>
      </c>
    </row>
    <row r="68" spans="1:8">
      <c r="A68" s="162">
        <v>4</v>
      </c>
      <c r="B68" s="162">
        <v>68</v>
      </c>
      <c r="C68" s="338"/>
      <c r="D68" s="761"/>
      <c r="E68" s="948"/>
      <c r="F68" s="761"/>
      <c r="G68" s="948"/>
      <c r="H68" s="162">
        <v>4</v>
      </c>
    </row>
    <row r="69" spans="1:8">
      <c r="A69" s="162">
        <v>5</v>
      </c>
      <c r="B69" s="162">
        <v>69</v>
      </c>
      <c r="C69" s="338"/>
      <c r="D69" s="761"/>
      <c r="E69" s="948"/>
      <c r="F69" s="761"/>
      <c r="G69" s="948"/>
      <c r="H69" s="162">
        <v>5</v>
      </c>
    </row>
    <row r="70" spans="1:8">
      <c r="A70" s="162">
        <v>6</v>
      </c>
      <c r="B70" s="162">
        <v>70</v>
      </c>
      <c r="C70" s="338"/>
      <c r="D70" s="761"/>
      <c r="E70" s="948"/>
      <c r="F70" s="761"/>
      <c r="G70" s="948"/>
      <c r="H70" s="162">
        <v>6</v>
      </c>
    </row>
    <row r="71" spans="1:8">
      <c r="A71" s="162">
        <v>7</v>
      </c>
      <c r="B71" s="162">
        <v>71</v>
      </c>
      <c r="C71" s="338"/>
      <c r="D71" s="761"/>
      <c r="E71" s="948"/>
      <c r="F71" s="761"/>
      <c r="G71" s="948"/>
      <c r="H71" s="162">
        <v>7</v>
      </c>
    </row>
    <row r="72" spans="1:8">
      <c r="A72" s="162">
        <v>8</v>
      </c>
      <c r="B72" s="162">
        <v>72</v>
      </c>
      <c r="C72" s="338"/>
      <c r="D72" s="761"/>
      <c r="E72" s="948"/>
      <c r="F72" s="761"/>
      <c r="G72" s="948"/>
      <c r="H72" s="162">
        <v>8</v>
      </c>
    </row>
    <row r="73" spans="1:8">
      <c r="A73" s="162">
        <v>9</v>
      </c>
      <c r="B73" s="162">
        <v>73</v>
      </c>
      <c r="C73" s="338"/>
      <c r="D73" s="761"/>
      <c r="E73" s="948"/>
      <c r="F73" s="761"/>
      <c r="G73" s="948"/>
      <c r="H73" s="162">
        <v>9</v>
      </c>
    </row>
    <row r="74" spans="1:8">
      <c r="A74" s="162">
        <v>10</v>
      </c>
      <c r="B74" s="162">
        <v>74</v>
      </c>
      <c r="C74" s="338"/>
      <c r="D74" s="761"/>
      <c r="E74" s="948"/>
      <c r="F74" s="761"/>
      <c r="G74" s="948"/>
      <c r="H74" s="162">
        <v>10</v>
      </c>
    </row>
    <row r="75" spans="1:8">
      <c r="A75" s="162">
        <v>11</v>
      </c>
      <c r="B75" s="162">
        <v>75</v>
      </c>
      <c r="C75" s="338"/>
      <c r="D75" s="761"/>
      <c r="E75" s="948"/>
      <c r="F75" s="761"/>
      <c r="G75" s="948"/>
      <c r="H75" s="162">
        <v>11</v>
      </c>
    </row>
    <row r="76" spans="1:8">
      <c r="A76" s="162">
        <v>12</v>
      </c>
      <c r="B76" s="162">
        <v>76</v>
      </c>
      <c r="C76" s="338"/>
      <c r="D76" s="761"/>
      <c r="E76" s="948"/>
      <c r="F76" s="761"/>
      <c r="G76" s="948"/>
      <c r="H76" s="162">
        <v>12</v>
      </c>
    </row>
    <row r="77" spans="1:8">
      <c r="A77" s="162">
        <v>13</v>
      </c>
      <c r="B77" s="162">
        <v>77</v>
      </c>
      <c r="C77" s="338"/>
      <c r="D77" s="761"/>
      <c r="E77" s="948"/>
      <c r="F77" s="761"/>
      <c r="G77" s="948"/>
      <c r="H77" s="162">
        <v>13</v>
      </c>
    </row>
    <row r="78" spans="1:8">
      <c r="A78" s="162">
        <v>14</v>
      </c>
      <c r="B78" s="162">
        <v>78</v>
      </c>
      <c r="C78" s="338"/>
      <c r="D78" s="761"/>
      <c r="E78" s="948"/>
      <c r="F78" s="761"/>
      <c r="G78" s="948"/>
      <c r="H78" s="162">
        <v>14</v>
      </c>
    </row>
    <row r="79" spans="1:8">
      <c r="A79" s="162">
        <v>15</v>
      </c>
      <c r="B79" s="162">
        <v>79</v>
      </c>
      <c r="C79" s="338"/>
      <c r="D79" s="761"/>
      <c r="E79" s="948"/>
      <c r="F79" s="761"/>
      <c r="G79" s="948"/>
      <c r="H79" s="162">
        <v>15</v>
      </c>
    </row>
    <row r="80" spans="1:8">
      <c r="A80" s="1001" t="str">
        <f>HYPERLINK("#C1","置顶")</f>
        <v>置顶</v>
      </c>
      <c r="B80" s="162">
        <v>80</v>
      </c>
    </row>
    <row r="81" spans="1:11">
      <c r="A81" s="1050"/>
      <c r="B81" s="162">
        <v>81</v>
      </c>
      <c r="C81" s="994" t="s">
        <v>3500</v>
      </c>
    </row>
    <row r="82" spans="1:11">
      <c r="A82" s="1053" t="s">
        <v>2260</v>
      </c>
      <c r="B82" s="162">
        <v>82</v>
      </c>
      <c r="C82" s="1868" t="s">
        <v>3492</v>
      </c>
      <c r="D82" s="1879" t="s">
        <v>3243</v>
      </c>
      <c r="E82" s="1881"/>
      <c r="F82" s="1879" t="s">
        <v>3244</v>
      </c>
      <c r="G82" s="1881"/>
    </row>
    <row r="83" spans="1:11">
      <c r="B83" s="162">
        <v>83</v>
      </c>
      <c r="C83" s="1869"/>
      <c r="D83" s="881" t="s">
        <v>829</v>
      </c>
      <c r="E83" s="881" t="s">
        <v>3497</v>
      </c>
      <c r="F83" s="881" t="s">
        <v>829</v>
      </c>
      <c r="G83" s="881" t="s">
        <v>3497</v>
      </c>
    </row>
    <row r="84" spans="1:11">
      <c r="A84" s="162">
        <v>1</v>
      </c>
      <c r="B84" s="162">
        <v>84</v>
      </c>
      <c r="C84" s="338"/>
      <c r="D84" s="761"/>
      <c r="E84" s="948"/>
      <c r="F84" s="761"/>
      <c r="G84" s="948"/>
      <c r="H84" s="162">
        <v>1</v>
      </c>
    </row>
    <row r="85" spans="1:11">
      <c r="A85" s="162">
        <v>2</v>
      </c>
      <c r="B85" s="162">
        <v>85</v>
      </c>
      <c r="C85" s="338"/>
      <c r="D85" s="761"/>
      <c r="E85" s="948"/>
      <c r="F85" s="761"/>
      <c r="G85" s="948"/>
      <c r="H85" s="162">
        <v>2</v>
      </c>
    </row>
    <row r="86" spans="1:11">
      <c r="A86" s="162">
        <v>3</v>
      </c>
      <c r="B86" s="162">
        <v>86</v>
      </c>
      <c r="C86" s="338"/>
      <c r="D86" s="761"/>
      <c r="E86" s="948"/>
      <c r="F86" s="761"/>
      <c r="G86" s="948"/>
      <c r="H86" s="162">
        <v>3</v>
      </c>
    </row>
    <row r="87" spans="1:11">
      <c r="A87" s="162">
        <v>4</v>
      </c>
      <c r="B87" s="162">
        <v>87</v>
      </c>
      <c r="C87" s="338"/>
      <c r="D87" s="761"/>
      <c r="E87" s="948"/>
      <c r="F87" s="761"/>
      <c r="G87" s="948"/>
      <c r="H87" s="162">
        <v>4</v>
      </c>
    </row>
    <row r="88" spans="1:11">
      <c r="A88" s="162">
        <v>5</v>
      </c>
      <c r="B88" s="162">
        <v>88</v>
      </c>
      <c r="C88" s="338"/>
      <c r="D88" s="761"/>
      <c r="E88" s="948"/>
      <c r="F88" s="761"/>
      <c r="G88" s="948"/>
      <c r="H88" s="162">
        <v>5</v>
      </c>
    </row>
    <row r="89" spans="1:11">
      <c r="A89" s="162">
        <v>6</v>
      </c>
      <c r="B89" s="162">
        <v>89</v>
      </c>
      <c r="C89" s="338"/>
      <c r="D89" s="761"/>
      <c r="E89" s="948"/>
      <c r="F89" s="761"/>
      <c r="G89" s="948"/>
      <c r="H89" s="162">
        <v>6</v>
      </c>
    </row>
    <row r="90" spans="1:11">
      <c r="A90" s="162">
        <v>7</v>
      </c>
      <c r="B90" s="162">
        <v>90</v>
      </c>
      <c r="C90" s="338"/>
      <c r="D90" s="761"/>
      <c r="E90" s="948"/>
      <c r="F90" s="761"/>
      <c r="G90" s="948"/>
      <c r="H90" s="162">
        <v>7</v>
      </c>
    </row>
    <row r="91" spans="1:11">
      <c r="A91" s="162">
        <v>8</v>
      </c>
      <c r="B91" s="162">
        <v>91</v>
      </c>
      <c r="C91" s="338"/>
      <c r="D91" s="761"/>
      <c r="E91" s="948"/>
      <c r="F91" s="761"/>
      <c r="G91" s="948"/>
      <c r="H91" s="162">
        <v>8</v>
      </c>
    </row>
    <row r="92" spans="1:11">
      <c r="A92" s="162">
        <v>9</v>
      </c>
      <c r="B92" s="162">
        <v>92</v>
      </c>
      <c r="C92" s="338"/>
      <c r="D92" s="761"/>
      <c r="E92" s="948"/>
      <c r="F92" s="761"/>
      <c r="G92" s="948"/>
      <c r="H92" s="162">
        <v>9</v>
      </c>
    </row>
    <row r="93" spans="1:11">
      <c r="A93" s="162">
        <v>10</v>
      </c>
      <c r="B93" s="162">
        <v>93</v>
      </c>
      <c r="C93" s="338"/>
      <c r="D93" s="761"/>
      <c r="E93" s="948"/>
      <c r="F93" s="761"/>
      <c r="G93" s="948"/>
      <c r="H93" s="162">
        <v>10</v>
      </c>
    </row>
    <row r="94" spans="1:11">
      <c r="A94" s="162">
        <v>11</v>
      </c>
      <c r="B94" s="162">
        <v>94</v>
      </c>
      <c r="C94" s="338"/>
      <c r="D94" s="761"/>
      <c r="E94" s="948"/>
      <c r="F94" s="761"/>
      <c r="G94" s="948"/>
      <c r="H94" s="162">
        <v>11</v>
      </c>
      <c r="I94" s="843"/>
      <c r="J94" s="843"/>
      <c r="K94" s="843"/>
    </row>
    <row r="95" spans="1:11">
      <c r="A95" s="162">
        <v>12</v>
      </c>
      <c r="B95" s="162">
        <v>95</v>
      </c>
      <c r="C95" s="338"/>
      <c r="D95" s="761"/>
      <c r="E95" s="948"/>
      <c r="F95" s="761"/>
      <c r="G95" s="948"/>
      <c r="H95" s="162">
        <v>12</v>
      </c>
      <c r="I95" s="843"/>
      <c r="J95" s="843"/>
      <c r="K95" s="843"/>
    </row>
    <row r="96" spans="1:11">
      <c r="A96" s="162">
        <v>13</v>
      </c>
      <c r="B96" s="162">
        <v>96</v>
      </c>
      <c r="C96" s="338"/>
      <c r="D96" s="761"/>
      <c r="E96" s="948"/>
      <c r="F96" s="761"/>
      <c r="G96" s="948"/>
      <c r="H96" s="162">
        <v>13</v>
      </c>
      <c r="I96" s="843"/>
      <c r="J96" s="843"/>
      <c r="K96" s="843"/>
    </row>
    <row r="97" spans="1:11">
      <c r="A97" s="162">
        <v>14</v>
      </c>
      <c r="B97" s="162">
        <v>97</v>
      </c>
      <c r="C97" s="338"/>
      <c r="D97" s="761"/>
      <c r="E97" s="948"/>
      <c r="F97" s="761"/>
      <c r="G97" s="948"/>
      <c r="H97" s="162">
        <v>14</v>
      </c>
      <c r="I97" s="843"/>
      <c r="J97" s="843"/>
      <c r="K97" s="843"/>
    </row>
    <row r="98" spans="1:11">
      <c r="A98" s="162">
        <v>15</v>
      </c>
      <c r="B98" s="162">
        <v>98</v>
      </c>
      <c r="C98" s="338"/>
      <c r="D98" s="761"/>
      <c r="E98" s="948"/>
      <c r="F98" s="761"/>
      <c r="G98" s="948"/>
      <c r="H98" s="162">
        <v>15</v>
      </c>
      <c r="I98" s="843"/>
      <c r="J98" s="843"/>
      <c r="K98" s="843"/>
    </row>
    <row r="99" spans="1:11">
      <c r="A99" s="1001" t="str">
        <f>HYPERLINK("#C1","置顶")</f>
        <v>置顶</v>
      </c>
      <c r="B99" s="162">
        <v>99</v>
      </c>
      <c r="D99" s="843"/>
      <c r="E99" s="843"/>
      <c r="F99" s="843"/>
      <c r="G99" s="843"/>
      <c r="H99" s="843"/>
      <c r="I99" s="843"/>
      <c r="J99" s="843"/>
      <c r="K99" s="843"/>
    </row>
    <row r="100" spans="1:11">
      <c r="A100" s="1050"/>
      <c r="B100" s="162">
        <v>100</v>
      </c>
      <c r="C100" s="994" t="s">
        <v>3501</v>
      </c>
      <c r="D100" s="843"/>
      <c r="E100" s="843"/>
      <c r="F100" s="843"/>
      <c r="G100" s="843"/>
      <c r="H100" s="843"/>
      <c r="I100" s="843"/>
      <c r="J100" s="843"/>
      <c r="K100" s="843"/>
    </row>
    <row r="101" spans="1:11">
      <c r="A101" s="1053" t="s">
        <v>2260</v>
      </c>
      <c r="B101" s="162">
        <v>101</v>
      </c>
      <c r="C101" s="1868" t="s">
        <v>3492</v>
      </c>
      <c r="D101" s="1879" t="s">
        <v>3243</v>
      </c>
      <c r="E101" s="1881"/>
      <c r="F101" s="1879" t="s">
        <v>3244</v>
      </c>
      <c r="G101" s="1881"/>
      <c r="H101" s="843"/>
      <c r="I101" s="843"/>
      <c r="J101" s="843"/>
      <c r="K101" s="843"/>
    </row>
    <row r="102" spans="1:11">
      <c r="B102" s="162">
        <v>102</v>
      </c>
      <c r="C102" s="1869"/>
      <c r="D102" s="881" t="s">
        <v>829</v>
      </c>
      <c r="E102" s="881" t="s">
        <v>3497</v>
      </c>
      <c r="F102" s="881" t="s">
        <v>829</v>
      </c>
      <c r="G102" s="881" t="s">
        <v>3497</v>
      </c>
      <c r="H102" s="843"/>
      <c r="I102" s="843"/>
      <c r="J102" s="843"/>
      <c r="K102" s="843"/>
    </row>
    <row r="103" spans="1:11">
      <c r="A103" s="393">
        <v>1</v>
      </c>
      <c r="B103" s="162">
        <v>103</v>
      </c>
      <c r="C103" s="338"/>
      <c r="D103" s="761"/>
      <c r="E103" s="948"/>
      <c r="F103" s="761"/>
      <c r="G103" s="948"/>
      <c r="H103" s="393">
        <v>1</v>
      </c>
      <c r="I103" s="843"/>
      <c r="J103" s="843"/>
      <c r="K103" s="843"/>
    </row>
    <row r="104" spans="1:11">
      <c r="A104" s="393">
        <v>2</v>
      </c>
      <c r="B104" s="162">
        <v>104</v>
      </c>
      <c r="C104" s="338"/>
      <c r="D104" s="761"/>
      <c r="E104" s="948"/>
      <c r="F104" s="761"/>
      <c r="G104" s="948"/>
      <c r="H104" s="393">
        <v>2</v>
      </c>
      <c r="I104" s="843"/>
      <c r="J104" s="843"/>
      <c r="K104" s="843"/>
    </row>
    <row r="105" spans="1:11">
      <c r="A105" s="393">
        <v>3</v>
      </c>
      <c r="B105" s="162">
        <v>105</v>
      </c>
      <c r="C105" s="338"/>
      <c r="D105" s="761"/>
      <c r="E105" s="948"/>
      <c r="F105" s="761"/>
      <c r="G105" s="948"/>
      <c r="H105" s="393">
        <v>3</v>
      </c>
      <c r="I105" s="843"/>
      <c r="J105" s="843"/>
      <c r="K105" s="843"/>
    </row>
    <row r="106" spans="1:11">
      <c r="A106" s="393">
        <v>4</v>
      </c>
      <c r="B106" s="162">
        <v>106</v>
      </c>
      <c r="C106" s="338"/>
      <c r="D106" s="761"/>
      <c r="E106" s="948"/>
      <c r="F106" s="761"/>
      <c r="G106" s="948"/>
      <c r="H106" s="393">
        <v>4</v>
      </c>
      <c r="I106" s="843"/>
      <c r="J106" s="843"/>
      <c r="K106" s="843"/>
    </row>
    <row r="107" spans="1:11">
      <c r="A107" s="393">
        <v>5</v>
      </c>
      <c r="B107" s="162">
        <v>107</v>
      </c>
      <c r="C107" s="338"/>
      <c r="D107" s="761"/>
      <c r="E107" s="948"/>
      <c r="F107" s="761"/>
      <c r="G107" s="948"/>
      <c r="H107" s="393">
        <v>5</v>
      </c>
      <c r="I107" s="843"/>
      <c r="J107" s="843"/>
      <c r="K107" s="843"/>
    </row>
    <row r="108" spans="1:11">
      <c r="A108" s="393">
        <v>6</v>
      </c>
      <c r="B108" s="162">
        <v>108</v>
      </c>
      <c r="C108" s="338"/>
      <c r="D108" s="761"/>
      <c r="E108" s="948"/>
      <c r="F108" s="761"/>
      <c r="G108" s="948"/>
      <c r="H108" s="393">
        <v>6</v>
      </c>
      <c r="I108" s="843"/>
      <c r="J108" s="843"/>
      <c r="K108" s="843"/>
    </row>
    <row r="109" spans="1:11">
      <c r="A109" s="393">
        <v>7</v>
      </c>
      <c r="B109" s="162">
        <v>109</v>
      </c>
      <c r="C109" s="338"/>
      <c r="D109" s="761"/>
      <c r="E109" s="948"/>
      <c r="F109" s="761"/>
      <c r="G109" s="948"/>
      <c r="H109" s="393">
        <v>7</v>
      </c>
      <c r="I109" s="843"/>
      <c r="J109" s="843"/>
      <c r="K109" s="843"/>
    </row>
    <row r="110" spans="1:11">
      <c r="A110" s="393">
        <v>8</v>
      </c>
      <c r="B110" s="162">
        <v>110</v>
      </c>
      <c r="C110" s="338"/>
      <c r="D110" s="761"/>
      <c r="E110" s="948"/>
      <c r="F110" s="761"/>
      <c r="G110" s="948"/>
      <c r="H110" s="393">
        <v>8</v>
      </c>
      <c r="I110" s="843"/>
      <c r="J110" s="843"/>
      <c r="K110" s="843"/>
    </row>
    <row r="111" spans="1:11">
      <c r="A111" s="393">
        <v>9</v>
      </c>
      <c r="B111" s="162">
        <v>111</v>
      </c>
      <c r="C111" s="338"/>
      <c r="D111" s="761"/>
      <c r="E111" s="948"/>
      <c r="F111" s="761"/>
      <c r="G111" s="948"/>
      <c r="H111" s="393">
        <v>9</v>
      </c>
      <c r="I111" s="843"/>
      <c r="J111" s="843"/>
      <c r="K111" s="843"/>
    </row>
    <row r="112" spans="1:11">
      <c r="A112" s="393">
        <v>10</v>
      </c>
      <c r="B112" s="162">
        <v>112</v>
      </c>
      <c r="C112" s="338"/>
      <c r="D112" s="761"/>
      <c r="E112" s="948"/>
      <c r="F112" s="761"/>
      <c r="G112" s="948"/>
      <c r="H112" s="393">
        <v>10</v>
      </c>
      <c r="I112" s="843"/>
      <c r="J112" s="843"/>
      <c r="K112" s="843"/>
    </row>
    <row r="113" spans="1:11">
      <c r="A113" s="393">
        <v>11</v>
      </c>
      <c r="B113" s="162">
        <v>113</v>
      </c>
      <c r="C113" s="338"/>
      <c r="D113" s="761"/>
      <c r="E113" s="948"/>
      <c r="F113" s="761"/>
      <c r="G113" s="948"/>
      <c r="H113" s="393">
        <v>11</v>
      </c>
      <c r="I113" s="843"/>
      <c r="J113" s="843"/>
      <c r="K113" s="843"/>
    </row>
    <row r="114" spans="1:11">
      <c r="A114" s="393">
        <v>12</v>
      </c>
      <c r="B114" s="162">
        <v>114</v>
      </c>
      <c r="C114" s="338"/>
      <c r="D114" s="761"/>
      <c r="E114" s="948"/>
      <c r="F114" s="761"/>
      <c r="G114" s="948"/>
      <c r="H114" s="393">
        <v>12</v>
      </c>
      <c r="I114" s="843"/>
      <c r="J114" s="843"/>
      <c r="K114" s="843"/>
    </row>
    <row r="115" spans="1:11">
      <c r="A115" s="393">
        <v>13</v>
      </c>
      <c r="B115" s="162">
        <v>115</v>
      </c>
      <c r="C115" s="338"/>
      <c r="D115" s="761"/>
      <c r="E115" s="948"/>
      <c r="F115" s="761"/>
      <c r="G115" s="948"/>
      <c r="H115" s="393">
        <v>13</v>
      </c>
      <c r="I115" s="843"/>
      <c r="J115" s="843"/>
      <c r="K115" s="843"/>
    </row>
    <row r="116" spans="1:11">
      <c r="A116" s="393">
        <v>14</v>
      </c>
      <c r="B116" s="162">
        <v>116</v>
      </c>
      <c r="C116" s="338"/>
      <c r="D116" s="761"/>
      <c r="E116" s="948"/>
      <c r="F116" s="761"/>
      <c r="G116" s="948"/>
      <c r="H116" s="393">
        <v>14</v>
      </c>
      <c r="I116" s="843"/>
      <c r="J116" s="843"/>
      <c r="K116" s="843"/>
    </row>
    <row r="117" spans="1:11">
      <c r="A117" s="393">
        <v>15</v>
      </c>
      <c r="B117" s="162">
        <v>117</v>
      </c>
      <c r="C117" s="338"/>
      <c r="D117" s="761"/>
      <c r="E117" s="948"/>
      <c r="F117" s="761"/>
      <c r="G117" s="948"/>
      <c r="H117" s="393">
        <v>15</v>
      </c>
      <c r="I117" s="843"/>
      <c r="J117" s="843"/>
      <c r="K117" s="843"/>
    </row>
    <row r="118" spans="1:11">
      <c r="A118" s="1001" t="str">
        <f>HYPERLINK("#C1","置顶")</f>
        <v>置顶</v>
      </c>
      <c r="B118" s="162">
        <v>118</v>
      </c>
      <c r="D118" s="843"/>
      <c r="E118" s="843"/>
      <c r="F118" s="843"/>
      <c r="G118" s="843"/>
      <c r="H118" s="843"/>
      <c r="I118" s="843"/>
      <c r="J118" s="843"/>
      <c r="K118" s="843"/>
    </row>
    <row r="119" spans="1:11">
      <c r="A119" s="1050"/>
      <c r="B119" s="162">
        <v>119</v>
      </c>
      <c r="C119" s="994" t="s">
        <v>3502</v>
      </c>
      <c r="D119" s="843"/>
      <c r="E119" s="843"/>
      <c r="F119" s="843"/>
      <c r="G119" s="843"/>
      <c r="H119" s="843"/>
      <c r="I119" s="843"/>
      <c r="J119" s="843"/>
      <c r="K119" s="843"/>
    </row>
    <row r="120" spans="1:11">
      <c r="A120" s="1053" t="s">
        <v>2260</v>
      </c>
      <c r="B120" s="162">
        <v>120</v>
      </c>
      <c r="C120" s="1868" t="s">
        <v>3492</v>
      </c>
      <c r="D120" s="1879" t="s">
        <v>3215</v>
      </c>
      <c r="E120" s="1881"/>
      <c r="F120" s="1879" t="s">
        <v>3244</v>
      </c>
      <c r="G120" s="1881"/>
      <c r="H120" s="843"/>
      <c r="I120" s="843"/>
      <c r="J120" s="843"/>
      <c r="K120" s="843"/>
    </row>
    <row r="121" spans="1:11">
      <c r="B121" s="162">
        <v>121</v>
      </c>
      <c r="C121" s="1869"/>
      <c r="D121" s="881" t="s">
        <v>829</v>
      </c>
      <c r="E121" s="881" t="s">
        <v>3497</v>
      </c>
      <c r="F121" s="881" t="s">
        <v>829</v>
      </c>
      <c r="G121" s="881" t="s">
        <v>3497</v>
      </c>
      <c r="H121" s="843"/>
      <c r="I121" s="843"/>
      <c r="J121" s="843"/>
      <c r="K121" s="843"/>
    </row>
    <row r="122" spans="1:11">
      <c r="A122" s="393">
        <v>1</v>
      </c>
      <c r="B122" s="162">
        <v>122</v>
      </c>
      <c r="C122" s="338"/>
      <c r="D122" s="761"/>
      <c r="E122" s="948"/>
      <c r="F122" s="761"/>
      <c r="G122" s="948"/>
      <c r="H122" s="393">
        <v>1</v>
      </c>
      <c r="I122" s="843"/>
      <c r="J122" s="843"/>
      <c r="K122" s="843"/>
    </row>
    <row r="123" spans="1:11">
      <c r="A123" s="393">
        <v>2</v>
      </c>
      <c r="B123" s="162">
        <v>123</v>
      </c>
      <c r="C123" s="338"/>
      <c r="D123" s="761"/>
      <c r="E123" s="948"/>
      <c r="F123" s="761"/>
      <c r="G123" s="948"/>
      <c r="H123" s="393">
        <v>2</v>
      </c>
      <c r="I123" s="843"/>
      <c r="J123" s="843"/>
      <c r="K123" s="843"/>
    </row>
    <row r="124" spans="1:11">
      <c r="A124" s="393">
        <v>3</v>
      </c>
      <c r="B124" s="162">
        <v>124</v>
      </c>
      <c r="C124" s="338"/>
      <c r="D124" s="761"/>
      <c r="E124" s="948"/>
      <c r="F124" s="761"/>
      <c r="G124" s="948"/>
      <c r="H124" s="393">
        <v>3</v>
      </c>
      <c r="I124" s="843"/>
      <c r="J124" s="843"/>
      <c r="K124" s="843"/>
    </row>
    <row r="125" spans="1:11">
      <c r="A125" s="393">
        <v>4</v>
      </c>
      <c r="B125" s="162">
        <v>125</v>
      </c>
      <c r="C125" s="338"/>
      <c r="D125" s="761"/>
      <c r="E125" s="948"/>
      <c r="F125" s="761"/>
      <c r="G125" s="948"/>
      <c r="H125" s="393">
        <v>4</v>
      </c>
      <c r="I125" s="843"/>
      <c r="J125" s="843"/>
      <c r="K125" s="843"/>
    </row>
    <row r="126" spans="1:11">
      <c r="A126" s="393">
        <v>5</v>
      </c>
      <c r="B126" s="162">
        <v>126</v>
      </c>
      <c r="C126" s="338"/>
      <c r="D126" s="761"/>
      <c r="E126" s="948"/>
      <c r="F126" s="761"/>
      <c r="G126" s="948"/>
      <c r="H126" s="393">
        <v>5</v>
      </c>
      <c r="I126" s="843"/>
      <c r="J126" s="843"/>
      <c r="K126" s="843"/>
    </row>
    <row r="127" spans="1:11">
      <c r="A127" s="393">
        <v>6</v>
      </c>
      <c r="B127" s="162">
        <v>127</v>
      </c>
      <c r="C127" s="338"/>
      <c r="D127" s="761"/>
      <c r="E127" s="948"/>
      <c r="F127" s="761"/>
      <c r="G127" s="948"/>
      <c r="H127" s="393">
        <v>6</v>
      </c>
      <c r="I127" s="843"/>
      <c r="J127" s="843"/>
      <c r="K127" s="843"/>
    </row>
    <row r="128" spans="1:11">
      <c r="A128" s="393">
        <v>7</v>
      </c>
      <c r="B128" s="162">
        <v>128</v>
      </c>
      <c r="C128" s="338"/>
      <c r="D128" s="761"/>
      <c r="E128" s="948"/>
      <c r="F128" s="761"/>
      <c r="G128" s="948"/>
      <c r="H128" s="393">
        <v>7</v>
      </c>
      <c r="I128" s="843"/>
      <c r="J128" s="843"/>
      <c r="K128" s="843"/>
    </row>
    <row r="129" spans="1:12">
      <c r="A129" s="393">
        <v>8</v>
      </c>
      <c r="B129" s="162">
        <v>129</v>
      </c>
      <c r="C129" s="338"/>
      <c r="D129" s="761"/>
      <c r="E129" s="948"/>
      <c r="F129" s="761"/>
      <c r="G129" s="948"/>
      <c r="H129" s="393">
        <v>8</v>
      </c>
      <c r="I129" s="843"/>
      <c r="J129" s="843"/>
      <c r="K129" s="843"/>
    </row>
    <row r="130" spans="1:12">
      <c r="A130" s="393">
        <v>9</v>
      </c>
      <c r="B130" s="162">
        <v>130</v>
      </c>
      <c r="C130" s="338"/>
      <c r="D130" s="761"/>
      <c r="E130" s="948"/>
      <c r="F130" s="761"/>
      <c r="G130" s="948"/>
      <c r="H130" s="393">
        <v>9</v>
      </c>
      <c r="I130" s="843"/>
      <c r="J130" s="843"/>
      <c r="K130" s="843"/>
    </row>
    <row r="131" spans="1:12">
      <c r="A131" s="393">
        <v>10</v>
      </c>
      <c r="B131" s="162">
        <v>131</v>
      </c>
      <c r="C131" s="338"/>
      <c r="D131" s="761"/>
      <c r="E131" s="948"/>
      <c r="F131" s="761"/>
      <c r="G131" s="948"/>
      <c r="H131" s="393">
        <v>10</v>
      </c>
      <c r="I131" s="843"/>
      <c r="J131" s="843"/>
      <c r="K131" s="843"/>
      <c r="L131" s="843"/>
    </row>
    <row r="132" spans="1:12">
      <c r="A132" s="393">
        <v>11</v>
      </c>
      <c r="B132" s="162">
        <v>132</v>
      </c>
      <c r="C132" s="338"/>
      <c r="D132" s="761"/>
      <c r="E132" s="948"/>
      <c r="F132" s="761"/>
      <c r="G132" s="948"/>
      <c r="H132" s="393">
        <v>11</v>
      </c>
      <c r="I132" s="843"/>
      <c r="J132" s="843"/>
      <c r="K132" s="843"/>
      <c r="L132" s="843"/>
    </row>
    <row r="133" spans="1:12">
      <c r="A133" s="393">
        <v>12</v>
      </c>
      <c r="B133" s="162">
        <v>133</v>
      </c>
      <c r="C133" s="338"/>
      <c r="D133" s="761"/>
      <c r="E133" s="948"/>
      <c r="F133" s="761"/>
      <c r="G133" s="948"/>
      <c r="H133" s="393">
        <v>12</v>
      </c>
      <c r="I133" s="843"/>
      <c r="J133" s="843"/>
      <c r="K133" s="843"/>
      <c r="L133" s="843"/>
    </row>
    <row r="134" spans="1:12">
      <c r="A134" s="393">
        <v>13</v>
      </c>
      <c r="B134" s="162">
        <v>134</v>
      </c>
      <c r="C134" s="338"/>
      <c r="D134" s="761"/>
      <c r="E134" s="948"/>
      <c r="F134" s="761"/>
      <c r="G134" s="948"/>
      <c r="H134" s="393">
        <v>13</v>
      </c>
      <c r="I134" s="843"/>
      <c r="J134" s="843"/>
      <c r="K134" s="843"/>
      <c r="L134" s="843"/>
    </row>
    <row r="135" spans="1:12">
      <c r="A135" s="393">
        <v>14</v>
      </c>
      <c r="B135" s="162">
        <v>135</v>
      </c>
      <c r="C135" s="338"/>
      <c r="D135" s="761"/>
      <c r="E135" s="948"/>
      <c r="F135" s="761"/>
      <c r="G135" s="948"/>
      <c r="H135" s="393">
        <v>14</v>
      </c>
      <c r="I135" s="843"/>
      <c r="J135" s="843"/>
      <c r="K135" s="843"/>
      <c r="L135" s="843"/>
    </row>
    <row r="136" spans="1:12">
      <c r="A136" s="393">
        <v>15</v>
      </c>
      <c r="B136" s="162">
        <v>136</v>
      </c>
      <c r="C136" s="338"/>
      <c r="D136" s="761"/>
      <c r="E136" s="948"/>
      <c r="F136" s="761"/>
      <c r="G136" s="948"/>
      <c r="H136" s="393">
        <v>15</v>
      </c>
      <c r="I136" s="843"/>
      <c r="J136" s="843"/>
      <c r="K136" s="843"/>
      <c r="L136" s="843"/>
    </row>
    <row r="137" spans="1:12">
      <c r="A137" s="1001" t="str">
        <f>HYPERLINK("#C1","置顶")</f>
        <v>置顶</v>
      </c>
      <c r="B137" s="162">
        <v>137</v>
      </c>
      <c r="D137" s="843"/>
      <c r="E137" s="843"/>
      <c r="F137" s="843"/>
      <c r="G137" s="843"/>
      <c r="H137" s="843"/>
      <c r="I137" s="843"/>
      <c r="J137" s="843"/>
      <c r="K137" s="843"/>
      <c r="L137" s="843"/>
    </row>
    <row r="138" spans="1:12">
      <c r="A138" s="1053"/>
      <c r="B138" s="162">
        <v>138</v>
      </c>
      <c r="C138" s="994" t="s">
        <v>3503</v>
      </c>
      <c r="D138" s="843"/>
      <c r="E138" s="843"/>
      <c r="F138" s="843"/>
      <c r="G138" s="843"/>
      <c r="H138" s="843"/>
      <c r="I138" s="843"/>
      <c r="J138" s="843"/>
      <c r="K138" s="843"/>
      <c r="L138" s="843"/>
    </row>
    <row r="139" spans="1:12" ht="24">
      <c r="A139" s="1053" t="s">
        <v>2260</v>
      </c>
      <c r="B139" s="162">
        <v>139</v>
      </c>
      <c r="C139" s="889" t="s">
        <v>3504</v>
      </c>
      <c r="D139" s="889" t="s">
        <v>3505</v>
      </c>
      <c r="E139" s="889" t="s">
        <v>3506</v>
      </c>
      <c r="F139" s="889" t="s">
        <v>3507</v>
      </c>
      <c r="G139" s="889" t="s">
        <v>3508</v>
      </c>
      <c r="H139" s="889" t="s">
        <v>3509</v>
      </c>
      <c r="I139" s="843"/>
      <c r="J139" s="843"/>
      <c r="K139" s="843"/>
      <c r="L139" s="843"/>
    </row>
    <row r="140" spans="1:12">
      <c r="A140" s="393">
        <v>1</v>
      </c>
      <c r="B140" s="162">
        <v>140</v>
      </c>
      <c r="C140" s="338"/>
      <c r="D140" s="881"/>
      <c r="E140" s="761"/>
      <c r="F140" s="881"/>
      <c r="G140" s="881"/>
      <c r="H140" s="881"/>
      <c r="I140" s="843">
        <v>1</v>
      </c>
      <c r="J140" s="843"/>
      <c r="K140" s="843"/>
      <c r="L140" s="843"/>
    </row>
    <row r="141" spans="1:12">
      <c r="A141" s="393">
        <v>2</v>
      </c>
      <c r="B141" s="162">
        <v>141</v>
      </c>
      <c r="C141" s="338"/>
      <c r="D141" s="881"/>
      <c r="E141" s="761"/>
      <c r="F141" s="881"/>
      <c r="G141" s="881"/>
      <c r="H141" s="881"/>
      <c r="I141" s="843">
        <v>2</v>
      </c>
      <c r="J141" s="843"/>
      <c r="K141" s="843"/>
      <c r="L141" s="843"/>
    </row>
    <row r="142" spans="1:12">
      <c r="A142" s="393">
        <v>3</v>
      </c>
      <c r="B142" s="162">
        <v>142</v>
      </c>
      <c r="C142" s="338"/>
      <c r="D142" s="881"/>
      <c r="E142" s="761"/>
      <c r="F142" s="881"/>
      <c r="G142" s="881"/>
      <c r="H142" s="881"/>
      <c r="I142" s="843">
        <v>3</v>
      </c>
      <c r="J142" s="843"/>
      <c r="K142" s="843"/>
      <c r="L142" s="843"/>
    </row>
    <row r="143" spans="1:12">
      <c r="A143" s="393">
        <v>4</v>
      </c>
      <c r="B143" s="162">
        <v>143</v>
      </c>
      <c r="C143" s="338"/>
      <c r="D143" s="881"/>
      <c r="E143" s="761"/>
      <c r="F143" s="881"/>
      <c r="G143" s="881"/>
      <c r="H143" s="881"/>
      <c r="I143" s="843">
        <v>4</v>
      </c>
      <c r="J143" s="843"/>
      <c r="K143" s="843"/>
      <c r="L143" s="843"/>
    </row>
    <row r="144" spans="1:12">
      <c r="A144" s="393">
        <v>5</v>
      </c>
      <c r="B144" s="162">
        <v>144</v>
      </c>
      <c r="C144" s="338"/>
      <c r="D144" s="881"/>
      <c r="E144" s="761"/>
      <c r="F144" s="881"/>
      <c r="G144" s="881"/>
      <c r="H144" s="881"/>
      <c r="I144" s="843">
        <v>5</v>
      </c>
      <c r="J144" s="843"/>
      <c r="K144" s="843"/>
      <c r="L144" s="843"/>
    </row>
    <row r="145" spans="1:12">
      <c r="A145" s="393">
        <v>6</v>
      </c>
      <c r="B145" s="162">
        <v>145</v>
      </c>
      <c r="C145" s="338"/>
      <c r="D145" s="881"/>
      <c r="E145" s="761"/>
      <c r="F145" s="881"/>
      <c r="G145" s="881"/>
      <c r="H145" s="881"/>
      <c r="I145" s="843">
        <v>6</v>
      </c>
      <c r="J145" s="843"/>
      <c r="K145" s="843"/>
      <c r="L145" s="843"/>
    </row>
    <row r="146" spans="1:12">
      <c r="A146" s="393">
        <v>7</v>
      </c>
      <c r="B146" s="162">
        <v>146</v>
      </c>
      <c r="C146" s="338"/>
      <c r="D146" s="881"/>
      <c r="E146" s="761"/>
      <c r="F146" s="881"/>
      <c r="G146" s="881"/>
      <c r="H146" s="881"/>
      <c r="I146" s="843">
        <v>7</v>
      </c>
      <c r="J146" s="843"/>
      <c r="K146" s="843"/>
      <c r="L146" s="843"/>
    </row>
    <row r="147" spans="1:12">
      <c r="A147" s="393">
        <v>8</v>
      </c>
      <c r="B147" s="162">
        <v>147</v>
      </c>
      <c r="C147" s="338"/>
      <c r="D147" s="881"/>
      <c r="E147" s="761"/>
      <c r="F147" s="881"/>
      <c r="G147" s="881"/>
      <c r="H147" s="881"/>
      <c r="I147" s="843">
        <v>8</v>
      </c>
      <c r="J147" s="843"/>
      <c r="K147" s="843"/>
      <c r="L147" s="843"/>
    </row>
    <row r="148" spans="1:12">
      <c r="A148" s="393">
        <v>9</v>
      </c>
      <c r="B148" s="162">
        <v>148</v>
      </c>
      <c r="C148" s="338"/>
      <c r="D148" s="881"/>
      <c r="E148" s="761"/>
      <c r="F148" s="881"/>
      <c r="G148" s="881"/>
      <c r="H148" s="881"/>
      <c r="I148" s="843">
        <v>9</v>
      </c>
      <c r="J148" s="843"/>
      <c r="K148" s="843"/>
      <c r="L148" s="843"/>
    </row>
    <row r="149" spans="1:12">
      <c r="A149" s="393">
        <v>10</v>
      </c>
      <c r="B149" s="162">
        <v>149</v>
      </c>
      <c r="C149" s="338"/>
      <c r="D149" s="881"/>
      <c r="E149" s="761"/>
      <c r="F149" s="881"/>
      <c r="G149" s="881"/>
      <c r="H149" s="881"/>
      <c r="I149" s="843">
        <v>10</v>
      </c>
      <c r="J149" s="843"/>
      <c r="K149" s="843"/>
      <c r="L149" s="843"/>
    </row>
    <row r="150" spans="1:12">
      <c r="A150" s="393">
        <v>11</v>
      </c>
      <c r="B150" s="162">
        <v>150</v>
      </c>
      <c r="C150" s="338"/>
      <c r="D150" s="881"/>
      <c r="E150" s="761"/>
      <c r="F150" s="881"/>
      <c r="G150" s="881"/>
      <c r="H150" s="881"/>
      <c r="I150" s="843">
        <v>11</v>
      </c>
      <c r="J150" s="843"/>
      <c r="K150" s="843"/>
      <c r="L150" s="843"/>
    </row>
    <row r="151" spans="1:12">
      <c r="A151" s="393">
        <v>12</v>
      </c>
      <c r="B151" s="162">
        <v>151</v>
      </c>
      <c r="C151" s="338"/>
      <c r="D151" s="881"/>
      <c r="E151" s="761"/>
      <c r="F151" s="881"/>
      <c r="G151" s="881"/>
      <c r="H151" s="881"/>
      <c r="I151" s="843">
        <v>12</v>
      </c>
      <c r="J151" s="843"/>
      <c r="K151" s="843"/>
      <c r="L151" s="843"/>
    </row>
    <row r="152" spans="1:12">
      <c r="A152" s="393">
        <v>13</v>
      </c>
      <c r="B152" s="162">
        <v>152</v>
      </c>
      <c r="C152" s="338"/>
      <c r="D152" s="881"/>
      <c r="E152" s="761"/>
      <c r="F152" s="881"/>
      <c r="G152" s="881"/>
      <c r="H152" s="881"/>
      <c r="I152" s="843">
        <v>13</v>
      </c>
      <c r="J152" s="843"/>
      <c r="K152" s="843"/>
      <c r="L152" s="843"/>
    </row>
    <row r="153" spans="1:12">
      <c r="A153" s="393">
        <v>14</v>
      </c>
      <c r="B153" s="162">
        <v>153</v>
      </c>
      <c r="C153" s="338"/>
      <c r="D153" s="881"/>
      <c r="E153" s="761"/>
      <c r="F153" s="881"/>
      <c r="G153" s="881"/>
      <c r="H153" s="881"/>
      <c r="I153" s="843">
        <v>14</v>
      </c>
      <c r="J153" s="843"/>
      <c r="K153" s="843"/>
      <c r="L153" s="843"/>
    </row>
    <row r="154" spans="1:12">
      <c r="A154" s="393">
        <v>15</v>
      </c>
      <c r="B154" s="162">
        <v>154</v>
      </c>
      <c r="C154" s="338"/>
      <c r="D154" s="881"/>
      <c r="E154" s="761"/>
      <c r="F154" s="881"/>
      <c r="G154" s="881"/>
      <c r="H154" s="881"/>
      <c r="I154" s="843">
        <v>15</v>
      </c>
      <c r="J154" s="843"/>
      <c r="K154" s="843"/>
      <c r="L154" s="843"/>
    </row>
    <row r="155" spans="1:12">
      <c r="A155" s="1001" t="str">
        <f>HYPERLINK("#C1","置顶")</f>
        <v>置顶</v>
      </c>
      <c r="B155" s="162">
        <v>155</v>
      </c>
      <c r="D155" s="843"/>
      <c r="E155" s="843"/>
      <c r="F155" s="843"/>
      <c r="G155" s="843"/>
      <c r="H155" s="843"/>
      <c r="I155" s="843"/>
      <c r="J155" s="843"/>
      <c r="K155" s="843"/>
      <c r="L155" s="843"/>
    </row>
    <row r="156" spans="1:12" ht="18" customHeight="1">
      <c r="A156" s="1053"/>
      <c r="B156" s="162">
        <v>156</v>
      </c>
      <c r="C156" s="994" t="s">
        <v>3510</v>
      </c>
      <c r="D156" s="843"/>
      <c r="E156" s="843"/>
      <c r="F156" s="843"/>
      <c r="G156" s="843"/>
      <c r="H156" s="843"/>
      <c r="I156" s="843"/>
      <c r="J156" s="843"/>
      <c r="K156" s="843"/>
      <c r="L156" s="843"/>
    </row>
    <row r="157" spans="1:12" ht="18" customHeight="1">
      <c r="A157" s="1053" t="s">
        <v>2260</v>
      </c>
      <c r="B157" s="162">
        <v>157</v>
      </c>
      <c r="C157" s="881" t="s">
        <v>3492</v>
      </c>
      <c r="D157" s="881" t="s">
        <v>3511</v>
      </c>
      <c r="E157" s="889" t="s">
        <v>3512</v>
      </c>
      <c r="F157" s="393"/>
      <c r="G157" s="843"/>
      <c r="H157" s="843"/>
      <c r="I157" s="843"/>
      <c r="J157" s="843"/>
      <c r="K157" s="843"/>
      <c r="L157" s="843"/>
    </row>
    <row r="158" spans="1:12" ht="18" customHeight="1">
      <c r="A158" s="162">
        <v>1</v>
      </c>
      <c r="B158" s="162">
        <v>158</v>
      </c>
      <c r="C158" s="881"/>
      <c r="D158" s="881"/>
      <c r="E158" s="889"/>
      <c r="F158" s="393">
        <v>1</v>
      </c>
      <c r="G158" s="843"/>
      <c r="H158" s="843"/>
      <c r="I158" s="843"/>
      <c r="J158" s="843"/>
      <c r="K158" s="843"/>
      <c r="L158" s="843"/>
    </row>
    <row r="159" spans="1:12" ht="18" hidden="1" customHeight="1">
      <c r="A159" s="162">
        <v>2</v>
      </c>
      <c r="B159" s="162">
        <v>159</v>
      </c>
      <c r="C159" s="881"/>
      <c r="D159" s="881"/>
      <c r="E159" s="889"/>
      <c r="F159" s="393">
        <v>2</v>
      </c>
      <c r="G159" s="843"/>
      <c r="H159" s="843"/>
      <c r="I159" s="843"/>
      <c r="J159" s="843"/>
      <c r="K159" s="843"/>
      <c r="L159" s="843"/>
    </row>
    <row r="160" spans="1:12" ht="18" hidden="1" customHeight="1">
      <c r="A160" s="162">
        <v>3</v>
      </c>
      <c r="B160" s="162">
        <v>160</v>
      </c>
      <c r="C160" s="881"/>
      <c r="D160" s="881"/>
      <c r="E160" s="889"/>
      <c r="F160" s="393">
        <v>3</v>
      </c>
      <c r="G160" s="843"/>
      <c r="H160" s="843"/>
      <c r="I160" s="843"/>
      <c r="J160" s="843"/>
      <c r="K160" s="843"/>
      <c r="L160" s="843"/>
    </row>
    <row r="161" spans="1:13" ht="18" hidden="1" customHeight="1">
      <c r="A161" s="162">
        <v>4</v>
      </c>
      <c r="B161" s="162">
        <v>161</v>
      </c>
      <c r="C161" s="338"/>
      <c r="D161" s="954"/>
      <c r="E161" s="889"/>
      <c r="F161" s="393">
        <v>4</v>
      </c>
      <c r="G161" s="843"/>
    </row>
    <row r="162" spans="1:13" ht="18" hidden="1" customHeight="1">
      <c r="A162" s="162">
        <v>5</v>
      </c>
      <c r="B162" s="162">
        <v>162</v>
      </c>
      <c r="C162" s="338"/>
      <c r="D162" s="954"/>
      <c r="E162" s="889"/>
      <c r="F162" s="393">
        <v>5</v>
      </c>
      <c r="G162" s="843"/>
    </row>
    <row r="163" spans="1:13" ht="18" hidden="1" customHeight="1">
      <c r="A163" s="162">
        <v>6</v>
      </c>
      <c r="B163" s="162">
        <v>163</v>
      </c>
      <c r="C163" s="338"/>
      <c r="D163" s="954"/>
      <c r="E163" s="889"/>
      <c r="F163" s="393">
        <v>6</v>
      </c>
      <c r="G163" s="843"/>
    </row>
    <row r="164" spans="1:13" ht="18" hidden="1" customHeight="1">
      <c r="A164" s="162">
        <v>7</v>
      </c>
      <c r="B164" s="162">
        <v>164</v>
      </c>
      <c r="C164" s="338"/>
      <c r="D164" s="954"/>
      <c r="E164" s="889"/>
      <c r="F164" s="393">
        <v>7</v>
      </c>
      <c r="G164" s="843"/>
    </row>
    <row r="165" spans="1:13" ht="18" hidden="1" customHeight="1">
      <c r="A165" s="162">
        <v>8</v>
      </c>
      <c r="B165" s="162">
        <v>165</v>
      </c>
      <c r="C165" s="338"/>
      <c r="D165" s="954"/>
      <c r="E165" s="889"/>
      <c r="F165" s="393">
        <v>8</v>
      </c>
      <c r="G165" s="843"/>
    </row>
    <row r="166" spans="1:13" ht="18" hidden="1" customHeight="1">
      <c r="A166" s="162">
        <v>9</v>
      </c>
      <c r="B166" s="162">
        <v>166</v>
      </c>
      <c r="C166" s="338"/>
      <c r="D166" s="954"/>
      <c r="E166" s="889"/>
      <c r="F166" s="393">
        <v>9</v>
      </c>
      <c r="G166" s="843"/>
    </row>
    <row r="167" spans="1:13" ht="18" hidden="1" customHeight="1">
      <c r="A167" s="162">
        <v>10</v>
      </c>
      <c r="B167" s="162">
        <v>167</v>
      </c>
      <c r="C167" s="338"/>
      <c r="D167" s="954"/>
      <c r="E167" s="889"/>
      <c r="F167" s="393">
        <v>10</v>
      </c>
      <c r="G167" s="843"/>
    </row>
    <row r="168" spans="1:13" ht="18" customHeight="1">
      <c r="A168" s="1053"/>
      <c r="B168" s="162">
        <v>168</v>
      </c>
      <c r="C168" s="781" t="s">
        <v>3513</v>
      </c>
      <c r="H168" s="347"/>
      <c r="I168" s="347"/>
      <c r="J168" s="347"/>
      <c r="K168" s="347"/>
      <c r="L168" s="347"/>
    </row>
    <row r="169" spans="1:13">
      <c r="A169" s="1053" t="s">
        <v>2260</v>
      </c>
      <c r="B169" s="162">
        <v>169</v>
      </c>
      <c r="C169" s="1814" t="s">
        <v>3492</v>
      </c>
      <c r="D169" s="1879" t="s">
        <v>3514</v>
      </c>
      <c r="E169" s="1880"/>
      <c r="F169" s="1881"/>
      <c r="G169" s="1824" t="s">
        <v>3515</v>
      </c>
      <c r="H169" s="1824"/>
      <c r="I169" s="1824"/>
      <c r="J169" s="347"/>
      <c r="K169" s="347"/>
      <c r="L169" s="347"/>
      <c r="M169" s="347"/>
    </row>
    <row r="170" spans="1:13">
      <c r="A170" s="393"/>
      <c r="B170" s="162">
        <v>170</v>
      </c>
      <c r="C170" s="1816"/>
      <c r="D170" s="881" t="s">
        <v>3516</v>
      </c>
      <c r="E170" s="881" t="s">
        <v>3517</v>
      </c>
      <c r="F170" s="881" t="s">
        <v>3518</v>
      </c>
      <c r="G170" s="881" t="s">
        <v>3516</v>
      </c>
      <c r="H170" s="881" t="s">
        <v>3517</v>
      </c>
      <c r="I170" s="881" t="s">
        <v>3518</v>
      </c>
      <c r="J170" s="347"/>
      <c r="K170" s="347"/>
      <c r="L170" s="347"/>
      <c r="M170" s="347"/>
    </row>
    <row r="171" spans="1:13">
      <c r="A171" s="393">
        <v>1</v>
      </c>
      <c r="B171" s="162">
        <v>171</v>
      </c>
      <c r="C171" s="888"/>
      <c r="D171" s="888"/>
      <c r="E171" s="1051"/>
      <c r="F171" s="1051"/>
      <c r="G171" s="1051"/>
      <c r="H171" s="888"/>
      <c r="I171" s="881"/>
      <c r="J171" s="162">
        <v>1</v>
      </c>
      <c r="K171" s="347"/>
      <c r="L171" s="347"/>
      <c r="M171" s="347"/>
    </row>
    <row r="172" spans="1:13">
      <c r="A172" s="393">
        <v>2</v>
      </c>
      <c r="B172" s="162">
        <v>172</v>
      </c>
      <c r="C172" s="888"/>
      <c r="D172" s="888"/>
      <c r="E172" s="1051"/>
      <c r="F172" s="1051"/>
      <c r="G172" s="1051"/>
      <c r="H172" s="888"/>
      <c r="I172" s="881"/>
      <c r="J172" s="162">
        <v>2</v>
      </c>
      <c r="K172" s="347"/>
      <c r="L172" s="347"/>
      <c r="M172" s="347"/>
    </row>
    <row r="173" spans="1:13">
      <c r="A173" s="393">
        <v>3</v>
      </c>
      <c r="B173" s="162">
        <v>173</v>
      </c>
      <c r="C173" s="888"/>
      <c r="D173" s="888"/>
      <c r="E173" s="1051"/>
      <c r="F173" s="1051"/>
      <c r="G173" s="1051"/>
      <c r="H173" s="888"/>
      <c r="I173" s="881"/>
      <c r="J173" s="162">
        <v>3</v>
      </c>
      <c r="K173" s="347"/>
      <c r="L173" s="347"/>
      <c r="M173" s="347"/>
    </row>
    <row r="174" spans="1:13">
      <c r="A174" s="393">
        <v>4</v>
      </c>
      <c r="B174" s="162">
        <v>174</v>
      </c>
      <c r="C174" s="888"/>
      <c r="D174" s="888"/>
      <c r="E174" s="1051"/>
      <c r="F174" s="1051"/>
      <c r="G174" s="1051"/>
      <c r="H174" s="888"/>
      <c r="I174" s="881"/>
      <c r="J174" s="162">
        <v>4</v>
      </c>
      <c r="K174" s="347"/>
      <c r="L174" s="347"/>
      <c r="M174" s="347"/>
    </row>
    <row r="175" spans="1:13">
      <c r="A175" s="393">
        <v>5</v>
      </c>
      <c r="B175" s="162">
        <v>175</v>
      </c>
      <c r="C175" s="888"/>
      <c r="D175" s="888"/>
      <c r="E175" s="1051"/>
      <c r="F175" s="1051"/>
      <c r="G175" s="1051"/>
      <c r="H175" s="888"/>
      <c r="I175" s="760"/>
      <c r="J175" s="162">
        <v>5</v>
      </c>
      <c r="K175" s="347"/>
      <c r="L175" s="347"/>
      <c r="M175" s="347"/>
    </row>
    <row r="176" spans="1:13">
      <c r="A176" s="393">
        <v>6</v>
      </c>
      <c r="B176" s="162">
        <v>176</v>
      </c>
      <c r="C176" s="888"/>
      <c r="D176" s="888"/>
      <c r="E176" s="1051"/>
      <c r="F176" s="1051"/>
      <c r="G176" s="1051"/>
      <c r="H176" s="888"/>
      <c r="I176" s="760"/>
      <c r="J176" s="162">
        <v>6</v>
      </c>
      <c r="K176" s="347"/>
      <c r="L176" s="347"/>
      <c r="M176" s="347"/>
    </row>
    <row r="177" spans="1:14">
      <c r="A177" s="393">
        <v>7</v>
      </c>
      <c r="B177" s="162">
        <v>177</v>
      </c>
      <c r="C177" s="888"/>
      <c r="D177" s="888"/>
      <c r="E177" s="1051"/>
      <c r="F177" s="1051"/>
      <c r="G177" s="1051"/>
      <c r="H177" s="888"/>
      <c r="I177" s="760"/>
      <c r="J177" s="162">
        <v>7</v>
      </c>
      <c r="K177" s="347"/>
      <c r="L177" s="347"/>
      <c r="M177" s="347"/>
    </row>
    <row r="178" spans="1:14">
      <c r="A178" s="393"/>
      <c r="B178" s="162">
        <v>178</v>
      </c>
      <c r="C178" s="503"/>
      <c r="D178" s="503"/>
      <c r="E178" s="1052"/>
      <c r="F178" s="1052"/>
      <c r="G178" s="1052"/>
      <c r="H178" s="503"/>
      <c r="I178" s="949"/>
      <c r="J178" s="162"/>
      <c r="K178" s="347"/>
      <c r="L178" s="347"/>
      <c r="M178" s="347"/>
    </row>
    <row r="179" spans="1:14">
      <c r="A179" s="1001" t="str">
        <f>HYPERLINK("#C1","置顶")</f>
        <v>置顶</v>
      </c>
      <c r="B179" s="162">
        <v>179</v>
      </c>
      <c r="C179" s="781" t="s">
        <v>3519</v>
      </c>
      <c r="H179" s="347"/>
      <c r="I179" s="347"/>
      <c r="J179" s="162"/>
      <c r="K179" s="347"/>
      <c r="L179" s="347"/>
    </row>
    <row r="180" spans="1:14">
      <c r="A180" s="1053"/>
      <c r="B180" s="162">
        <v>180</v>
      </c>
      <c r="C180" s="1824" t="s">
        <v>3492</v>
      </c>
      <c r="D180" s="1879" t="s">
        <v>3520</v>
      </c>
      <c r="E180" s="1880"/>
      <c r="F180" s="1881"/>
      <c r="G180" s="1824" t="s">
        <v>3515</v>
      </c>
      <c r="H180" s="1824"/>
      <c r="I180" s="1824"/>
      <c r="J180" s="162"/>
      <c r="K180" s="347"/>
      <c r="L180" s="347"/>
    </row>
    <row r="181" spans="1:14">
      <c r="A181" s="1053" t="s">
        <v>2260</v>
      </c>
      <c r="B181" s="162">
        <v>181</v>
      </c>
      <c r="C181" s="1824"/>
      <c r="D181" s="881" t="s">
        <v>3516</v>
      </c>
      <c r="E181" s="881" t="s">
        <v>3517</v>
      </c>
      <c r="F181" s="881" t="s">
        <v>3518</v>
      </c>
      <c r="G181" s="881" t="s">
        <v>3516</v>
      </c>
      <c r="H181" s="881" t="s">
        <v>3517</v>
      </c>
      <c r="I181" s="881" t="s">
        <v>3518</v>
      </c>
      <c r="J181" s="347"/>
      <c r="K181" s="347"/>
      <c r="L181" s="347"/>
    </row>
    <row r="182" spans="1:14">
      <c r="A182" s="393">
        <v>1</v>
      </c>
      <c r="B182" s="162">
        <v>182</v>
      </c>
      <c r="C182" s="888"/>
      <c r="D182" s="888"/>
      <c r="E182" s="1051"/>
      <c r="F182" s="1051"/>
      <c r="G182" s="1051"/>
      <c r="H182" s="888"/>
      <c r="I182" s="881"/>
      <c r="J182" s="162">
        <v>1</v>
      </c>
      <c r="K182" s="347"/>
      <c r="L182" s="347"/>
    </row>
    <row r="183" spans="1:14">
      <c r="A183" s="393">
        <v>2</v>
      </c>
      <c r="B183" s="162">
        <v>183</v>
      </c>
      <c r="C183" s="338"/>
      <c r="D183" s="888"/>
      <c r="E183" s="1051"/>
      <c r="F183" s="1051"/>
      <c r="G183" s="1051"/>
      <c r="H183" s="888"/>
      <c r="I183" s="881"/>
      <c r="J183" s="162">
        <v>2</v>
      </c>
      <c r="K183" s="347"/>
      <c r="L183" s="347"/>
    </row>
    <row r="184" spans="1:14">
      <c r="A184" s="393">
        <v>3</v>
      </c>
      <c r="B184" s="162">
        <v>184</v>
      </c>
      <c r="C184" s="338"/>
      <c r="D184" s="888"/>
      <c r="E184" s="1051"/>
      <c r="F184" s="1051"/>
      <c r="G184" s="1051"/>
      <c r="H184" s="888"/>
      <c r="I184" s="881"/>
      <c r="J184" s="162">
        <v>3</v>
      </c>
      <c r="K184" s="843"/>
      <c r="L184" s="843"/>
    </row>
    <row r="185" spans="1:14">
      <c r="A185" s="393">
        <v>4</v>
      </c>
      <c r="B185" s="162">
        <v>185</v>
      </c>
      <c r="C185" s="338"/>
      <c r="D185" s="954"/>
      <c r="E185" s="889"/>
      <c r="F185" s="889"/>
      <c r="G185" s="836"/>
      <c r="H185" s="836"/>
      <c r="I185" s="836"/>
      <c r="J185" s="162">
        <v>4</v>
      </c>
      <c r="K185" s="843"/>
      <c r="L185" s="843"/>
    </row>
    <row r="186" spans="1:14">
      <c r="A186" s="393">
        <v>5</v>
      </c>
      <c r="B186" s="162">
        <v>186</v>
      </c>
      <c r="C186" s="338"/>
      <c r="D186" s="954"/>
      <c r="E186" s="889"/>
      <c r="F186" s="889"/>
      <c r="G186" s="836"/>
      <c r="H186" s="836"/>
      <c r="I186" s="836"/>
      <c r="J186" s="162">
        <v>5</v>
      </c>
      <c r="K186" s="843"/>
      <c r="L186" s="843"/>
    </row>
    <row r="187" spans="1:14">
      <c r="A187" s="393">
        <v>6</v>
      </c>
      <c r="B187" s="162">
        <v>187</v>
      </c>
      <c r="C187" s="338"/>
      <c r="D187" s="954"/>
      <c r="E187" s="889"/>
      <c r="F187" s="889"/>
      <c r="G187" s="836"/>
      <c r="H187" s="836"/>
      <c r="I187" s="836"/>
      <c r="J187" s="162">
        <v>6</v>
      </c>
      <c r="K187" s="843"/>
      <c r="L187" s="843"/>
    </row>
    <row r="188" spans="1:14">
      <c r="A188" s="393">
        <v>7</v>
      </c>
      <c r="B188" s="162">
        <v>188</v>
      </c>
      <c r="C188" s="338"/>
      <c r="D188" s="954"/>
      <c r="E188" s="889"/>
      <c r="F188" s="889"/>
      <c r="G188" s="836"/>
      <c r="H188" s="836"/>
      <c r="I188" s="836"/>
      <c r="J188" s="162">
        <v>7</v>
      </c>
      <c r="K188" s="843"/>
      <c r="L188" s="843"/>
    </row>
    <row r="189" spans="1:14">
      <c r="A189" s="1001" t="str">
        <f>HYPERLINK("#C1","置顶")</f>
        <v>置顶</v>
      </c>
      <c r="B189" s="162">
        <v>189</v>
      </c>
      <c r="C189" s="952"/>
      <c r="D189" s="1016"/>
      <c r="E189" s="395"/>
      <c r="F189" s="393"/>
      <c r="G189" s="843"/>
      <c r="H189" s="843"/>
      <c r="I189" s="843"/>
      <c r="J189" s="843"/>
      <c r="K189" s="843"/>
      <c r="L189" s="843"/>
    </row>
    <row r="190" spans="1:14">
      <c r="A190" s="860"/>
      <c r="B190" s="162">
        <v>190</v>
      </c>
      <c r="C190" s="1014" t="s">
        <v>3521</v>
      </c>
      <c r="G190" s="503"/>
      <c r="H190" s="503"/>
      <c r="I190" s="503"/>
      <c r="J190" s="843"/>
      <c r="K190" s="843"/>
      <c r="L190" s="843"/>
      <c r="M190" s="843"/>
      <c r="N190" s="843"/>
    </row>
    <row r="191" spans="1:14">
      <c r="A191" s="860"/>
      <c r="B191" s="162">
        <v>191</v>
      </c>
      <c r="C191" s="1824" t="s">
        <v>3492</v>
      </c>
      <c r="D191" s="1879" t="s">
        <v>3522</v>
      </c>
      <c r="E191" s="1880"/>
      <c r="F191" s="1881"/>
      <c r="G191" s="1824" t="s">
        <v>3523</v>
      </c>
      <c r="H191" s="1824"/>
      <c r="I191" s="1824"/>
      <c r="J191" s="1833" t="s">
        <v>3524</v>
      </c>
      <c r="K191" s="843"/>
      <c r="L191" s="843"/>
      <c r="M191" s="843"/>
      <c r="N191" s="843"/>
    </row>
    <row r="192" spans="1:14">
      <c r="A192" s="860"/>
      <c r="B192" s="162">
        <v>192</v>
      </c>
      <c r="C192" s="1824"/>
      <c r="D192" s="881" t="s">
        <v>3525</v>
      </c>
      <c r="E192" s="881" t="s">
        <v>3526</v>
      </c>
      <c r="F192" s="881" t="s">
        <v>3527</v>
      </c>
      <c r="G192" s="881" t="s">
        <v>3525</v>
      </c>
      <c r="H192" s="881" t="s">
        <v>3528</v>
      </c>
      <c r="I192" s="881" t="s">
        <v>3518</v>
      </c>
      <c r="J192" s="1833"/>
      <c r="K192" s="843"/>
      <c r="L192" s="843"/>
      <c r="M192" s="843"/>
      <c r="N192" s="843"/>
    </row>
    <row r="193" spans="1:14">
      <c r="A193" s="860"/>
      <c r="B193" s="162">
        <v>193</v>
      </c>
      <c r="C193" s="888"/>
      <c r="D193" s="888"/>
      <c r="E193" s="888"/>
      <c r="F193" s="888"/>
      <c r="G193" s="888"/>
      <c r="H193" s="888"/>
      <c r="I193" s="888"/>
      <c r="J193" s="836"/>
      <c r="K193" s="843"/>
      <c r="L193" s="843"/>
      <c r="M193" s="843"/>
      <c r="N193" s="843"/>
    </row>
    <row r="194" spans="1:14">
      <c r="A194" s="860"/>
      <c r="B194" s="162">
        <v>194</v>
      </c>
      <c r="C194" s="888"/>
      <c r="D194" s="888"/>
      <c r="E194" s="888"/>
      <c r="F194" s="888"/>
      <c r="G194" s="888"/>
      <c r="H194" s="888"/>
      <c r="I194" s="888"/>
      <c r="J194" s="836"/>
      <c r="K194" s="843"/>
      <c r="L194" s="843"/>
      <c r="M194" s="843"/>
      <c r="N194" s="843"/>
    </row>
    <row r="195" spans="1:14">
      <c r="A195" s="860"/>
      <c r="B195" s="162">
        <v>195</v>
      </c>
      <c r="C195" s="888"/>
      <c r="D195" s="888"/>
      <c r="E195" s="888"/>
      <c r="F195" s="888"/>
      <c r="G195" s="888"/>
      <c r="H195" s="888"/>
      <c r="I195" s="888"/>
      <c r="J195" s="836"/>
      <c r="K195" s="843"/>
      <c r="L195" s="843"/>
      <c r="M195" s="843"/>
      <c r="N195" s="843"/>
    </row>
    <row r="196" spans="1:14">
      <c r="A196" s="860"/>
      <c r="B196" s="162">
        <v>196</v>
      </c>
      <c r="C196" s="888"/>
      <c r="D196" s="888"/>
      <c r="E196" s="888"/>
      <c r="F196" s="888"/>
      <c r="G196" s="888"/>
      <c r="H196" s="888"/>
      <c r="I196" s="888"/>
      <c r="J196" s="836"/>
      <c r="K196" s="843"/>
      <c r="L196" s="843"/>
      <c r="M196" s="843"/>
      <c r="N196" s="843"/>
    </row>
    <row r="197" spans="1:14">
      <c r="A197" s="860"/>
      <c r="B197" s="162">
        <v>197</v>
      </c>
      <c r="C197" s="338"/>
      <c r="D197" s="954"/>
      <c r="E197" s="889"/>
      <c r="F197" s="889"/>
      <c r="G197" s="889"/>
      <c r="H197" s="889"/>
      <c r="I197" s="836"/>
      <c r="J197" s="836"/>
      <c r="K197" s="843"/>
      <c r="L197" s="843"/>
      <c r="M197" s="843"/>
      <c r="N197" s="843"/>
    </row>
    <row r="198" spans="1:14">
      <c r="A198" s="860"/>
      <c r="B198" s="162">
        <v>198</v>
      </c>
      <c r="C198" s="338"/>
      <c r="D198" s="954"/>
      <c r="E198" s="889"/>
      <c r="F198" s="889"/>
      <c r="G198" s="889"/>
      <c r="H198" s="889"/>
      <c r="I198" s="836"/>
      <c r="J198" s="836"/>
      <c r="K198" s="843"/>
      <c r="L198" s="843"/>
      <c r="M198" s="843"/>
      <c r="N198" s="843"/>
    </row>
    <row r="199" spans="1:14" ht="9.9499999999999993" customHeight="1">
      <c r="A199" s="860"/>
      <c r="B199" s="162">
        <v>199</v>
      </c>
      <c r="C199" s="338"/>
      <c r="D199" s="954"/>
      <c r="E199" s="889"/>
      <c r="F199" s="889"/>
      <c r="G199" s="889"/>
      <c r="H199" s="889"/>
      <c r="I199" s="836"/>
      <c r="J199" s="836"/>
      <c r="K199" s="843"/>
      <c r="L199" s="843"/>
      <c r="M199" s="843"/>
      <c r="N199" s="843"/>
    </row>
    <row r="200" spans="1:14">
      <c r="A200" s="860"/>
      <c r="B200" s="162">
        <v>200</v>
      </c>
      <c r="C200" s="952"/>
      <c r="D200" s="1016"/>
      <c r="E200" s="395"/>
      <c r="F200" s="395"/>
      <c r="G200" s="395"/>
      <c r="H200" s="393"/>
      <c r="I200" s="843"/>
      <c r="J200" s="843"/>
      <c r="K200" s="843"/>
      <c r="L200" s="843"/>
      <c r="M200" s="843"/>
      <c r="N200" s="843"/>
    </row>
    <row r="201" spans="1:14">
      <c r="A201" s="860"/>
      <c r="B201" s="162">
        <v>201</v>
      </c>
      <c r="C201" s="1014" t="s">
        <v>3529</v>
      </c>
      <c r="G201" s="503"/>
      <c r="H201" s="503"/>
      <c r="I201" s="503"/>
      <c r="J201" s="843"/>
      <c r="K201" s="843"/>
      <c r="L201" s="843"/>
      <c r="M201" s="843"/>
      <c r="N201" s="843"/>
    </row>
    <row r="202" spans="1:14">
      <c r="A202" s="860"/>
      <c r="B202" s="162">
        <v>202</v>
      </c>
      <c r="C202" s="1824" t="s">
        <v>3492</v>
      </c>
      <c r="D202" s="1879" t="s">
        <v>3522</v>
      </c>
      <c r="E202" s="1880"/>
      <c r="F202" s="1881"/>
      <c r="G202" s="1824" t="s">
        <v>3523</v>
      </c>
      <c r="H202" s="1824"/>
      <c r="I202" s="1824"/>
      <c r="J202" s="1833" t="s">
        <v>3524</v>
      </c>
      <c r="K202" s="843"/>
      <c r="L202" s="843"/>
      <c r="M202" s="843"/>
      <c r="N202" s="843"/>
    </row>
    <row r="203" spans="1:14">
      <c r="A203" s="860"/>
      <c r="B203" s="162">
        <v>203</v>
      </c>
      <c r="C203" s="1824"/>
      <c r="D203" s="881" t="s">
        <v>3530</v>
      </c>
      <c r="E203" s="881" t="s">
        <v>3531</v>
      </c>
      <c r="F203" s="881" t="s">
        <v>3527</v>
      </c>
      <c r="G203" s="881" t="s">
        <v>3530</v>
      </c>
      <c r="H203" s="881" t="s">
        <v>3531</v>
      </c>
      <c r="I203" s="881" t="s">
        <v>3527</v>
      </c>
      <c r="J203" s="1833"/>
      <c r="K203" s="843"/>
      <c r="L203" s="843"/>
      <c r="M203" s="843"/>
      <c r="N203" s="843"/>
    </row>
    <row r="204" spans="1:14">
      <c r="A204" s="860"/>
      <c r="B204" s="162">
        <v>204</v>
      </c>
      <c r="C204" s="888"/>
      <c r="D204" s="888"/>
      <c r="E204" s="888"/>
      <c r="F204" s="888"/>
      <c r="G204" s="888"/>
      <c r="H204" s="888"/>
      <c r="I204" s="888"/>
      <c r="J204" s="836"/>
      <c r="K204" s="843"/>
      <c r="L204" s="843"/>
      <c r="M204" s="843"/>
      <c r="N204" s="843"/>
    </row>
    <row r="205" spans="1:14">
      <c r="A205" s="860"/>
      <c r="B205" s="162">
        <v>205</v>
      </c>
      <c r="C205" s="888"/>
      <c r="D205" s="888"/>
      <c r="E205" s="888"/>
      <c r="F205" s="888"/>
      <c r="G205" s="888"/>
      <c r="H205" s="888"/>
      <c r="I205" s="888"/>
      <c r="J205" s="836"/>
      <c r="K205" s="843"/>
      <c r="L205" s="843"/>
      <c r="M205" s="843"/>
      <c r="N205" s="843"/>
    </row>
    <row r="206" spans="1:14">
      <c r="A206" s="860"/>
      <c r="B206" s="162">
        <v>206</v>
      </c>
      <c r="C206" s="888"/>
      <c r="D206" s="888"/>
      <c r="E206" s="888"/>
      <c r="F206" s="888"/>
      <c r="G206" s="888"/>
      <c r="H206" s="888"/>
      <c r="I206" s="888"/>
      <c r="J206" s="836"/>
      <c r="K206" s="843"/>
      <c r="L206" s="843"/>
      <c r="M206" s="843"/>
      <c r="N206" s="843"/>
    </row>
    <row r="207" spans="1:14">
      <c r="A207" s="860"/>
      <c r="B207" s="162">
        <v>207</v>
      </c>
      <c r="C207" s="888"/>
      <c r="D207" s="888"/>
      <c r="E207" s="888"/>
      <c r="F207" s="888"/>
      <c r="G207" s="888"/>
      <c r="H207" s="888"/>
      <c r="I207" s="888"/>
      <c r="J207" s="836"/>
      <c r="K207" s="843"/>
      <c r="L207" s="843"/>
      <c r="M207" s="843"/>
      <c r="N207" s="843"/>
    </row>
    <row r="208" spans="1:14">
      <c r="A208" s="860"/>
      <c r="B208" s="162">
        <v>208</v>
      </c>
      <c r="C208" s="338"/>
      <c r="D208" s="954"/>
      <c r="E208" s="889"/>
      <c r="F208" s="889"/>
      <c r="G208" s="889"/>
      <c r="H208" s="889"/>
      <c r="I208" s="836"/>
      <c r="J208" s="836"/>
      <c r="K208" s="843"/>
      <c r="L208" s="843"/>
      <c r="M208" s="843"/>
      <c r="N208" s="843"/>
    </row>
    <row r="209" spans="1:14">
      <c r="A209" s="860"/>
      <c r="B209" s="162">
        <v>209</v>
      </c>
      <c r="C209" s="338"/>
      <c r="D209" s="954"/>
      <c r="E209" s="889"/>
      <c r="F209" s="889"/>
      <c r="G209" s="889"/>
      <c r="H209" s="889"/>
      <c r="I209" s="836"/>
      <c r="J209" s="836"/>
      <c r="K209" s="843"/>
      <c r="L209" s="843"/>
      <c r="M209" s="843"/>
      <c r="N209" s="843"/>
    </row>
    <row r="210" spans="1:14" ht="14.25" customHeight="1">
      <c r="A210" s="860"/>
      <c r="B210" s="162">
        <v>210</v>
      </c>
      <c r="C210" s="338"/>
      <c r="D210" s="954"/>
      <c r="E210" s="889"/>
      <c r="F210" s="889"/>
      <c r="G210" s="889"/>
      <c r="H210" s="889"/>
      <c r="I210" s="836"/>
      <c r="J210" s="836"/>
      <c r="K210" s="843"/>
      <c r="L210" s="843"/>
      <c r="M210" s="843"/>
      <c r="N210" s="843"/>
    </row>
    <row r="211" spans="1:14">
      <c r="A211" s="1053"/>
      <c r="B211" s="162">
        <v>211</v>
      </c>
      <c r="C211" s="1055" t="str">
        <f>HYPERLINK("#B206","⑨其他关联交易")</f>
        <v>⑨其他关联交易</v>
      </c>
    </row>
    <row r="212" spans="1:14">
      <c r="A212" s="1053" t="s">
        <v>2260</v>
      </c>
      <c r="B212" s="162">
        <v>212</v>
      </c>
      <c r="C212" s="889" t="s">
        <v>3492</v>
      </c>
      <c r="D212" s="889" t="s">
        <v>366</v>
      </c>
      <c r="E212" s="889" t="s">
        <v>3532</v>
      </c>
    </row>
    <row r="213" spans="1:14">
      <c r="A213" s="1053">
        <v>1</v>
      </c>
      <c r="B213" s="162">
        <v>213</v>
      </c>
      <c r="C213" s="338"/>
      <c r="D213" s="954"/>
      <c r="E213" s="889"/>
      <c r="F213" s="162">
        <v>1</v>
      </c>
    </row>
    <row r="214" spans="1:14">
      <c r="A214" s="162">
        <v>2</v>
      </c>
      <c r="B214" s="162">
        <v>214</v>
      </c>
      <c r="C214" s="338"/>
      <c r="D214" s="954"/>
      <c r="E214" s="889"/>
      <c r="F214" s="162">
        <v>2</v>
      </c>
    </row>
    <row r="215" spans="1:14">
      <c r="A215" s="162">
        <v>3</v>
      </c>
      <c r="B215" s="162">
        <v>215</v>
      </c>
      <c r="C215" s="338"/>
      <c r="D215" s="954"/>
      <c r="E215" s="889"/>
      <c r="F215" s="162">
        <v>3</v>
      </c>
    </row>
    <row r="216" spans="1:14">
      <c r="A216" s="162">
        <v>4</v>
      </c>
      <c r="B216" s="162">
        <v>216</v>
      </c>
      <c r="C216" s="338"/>
      <c r="D216" s="954"/>
      <c r="E216" s="889"/>
      <c r="F216" s="162">
        <v>4</v>
      </c>
    </row>
    <row r="217" spans="1:14">
      <c r="A217" s="162">
        <v>5</v>
      </c>
      <c r="B217" s="162">
        <v>217</v>
      </c>
      <c r="C217" s="338"/>
      <c r="D217" s="954"/>
      <c r="E217" s="889"/>
      <c r="F217" s="162">
        <v>5</v>
      </c>
    </row>
    <row r="218" spans="1:14">
      <c r="A218" s="162">
        <v>6</v>
      </c>
      <c r="B218" s="162">
        <v>218</v>
      </c>
      <c r="C218" s="338"/>
      <c r="D218" s="954"/>
      <c r="E218" s="889"/>
      <c r="F218" s="162">
        <v>6</v>
      </c>
    </row>
    <row r="219" spans="1:14">
      <c r="A219" s="162">
        <v>7</v>
      </c>
      <c r="B219" s="162">
        <v>219</v>
      </c>
      <c r="C219" s="338"/>
      <c r="D219" s="954"/>
      <c r="E219" s="889"/>
      <c r="F219" s="162">
        <v>7</v>
      </c>
    </row>
    <row r="220" spans="1:14">
      <c r="A220" s="162">
        <v>8</v>
      </c>
      <c r="B220" s="162">
        <v>220</v>
      </c>
      <c r="C220" s="338"/>
      <c r="D220" s="954"/>
      <c r="E220" s="889"/>
      <c r="F220" s="162">
        <v>8</v>
      </c>
    </row>
    <row r="221" spans="1:14">
      <c r="A221" s="162">
        <v>9</v>
      </c>
      <c r="B221" s="162">
        <v>221</v>
      </c>
      <c r="C221" s="338"/>
      <c r="D221" s="954"/>
      <c r="E221" s="889"/>
      <c r="F221" s="162">
        <v>9</v>
      </c>
    </row>
    <row r="222" spans="1:14">
      <c r="A222" s="162">
        <v>10</v>
      </c>
      <c r="B222" s="162">
        <v>222</v>
      </c>
      <c r="C222" s="338"/>
      <c r="D222" s="954"/>
      <c r="E222" s="889"/>
      <c r="F222" s="162">
        <v>10</v>
      </c>
    </row>
    <row r="223" spans="1:14">
      <c r="A223" s="1001" t="str">
        <f>HYPERLINK("#C1","置顶")</f>
        <v>置顶</v>
      </c>
      <c r="B223" s="162">
        <v>223</v>
      </c>
      <c r="C223" s="344"/>
      <c r="F223" s="162"/>
    </row>
    <row r="224" spans="1:14" ht="47.25" customHeight="1">
      <c r="A224" s="1053"/>
      <c r="B224" s="162">
        <v>224</v>
      </c>
      <c r="C224" s="1056" t="s">
        <v>3533</v>
      </c>
      <c r="D224" s="1057"/>
      <c r="E224" s="1057"/>
    </row>
    <row r="225" spans="1:3">
      <c r="A225" s="1053" t="s">
        <v>2260</v>
      </c>
      <c r="B225" s="162">
        <v>225</v>
      </c>
    </row>
    <row r="226" spans="1:3">
      <c r="B226" s="162">
        <v>226</v>
      </c>
    </row>
    <row r="231" spans="1:3">
      <c r="C231" s="344"/>
    </row>
    <row r="232" spans="1:3">
      <c r="C232" s="344"/>
    </row>
    <row r="233" spans="1:3">
      <c r="C233" s="344"/>
    </row>
    <row r="234" spans="1:3">
      <c r="C234" s="344"/>
    </row>
    <row r="235" spans="1:3">
      <c r="C235" s="344"/>
    </row>
    <row r="236" spans="1:3">
      <c r="C236" s="344"/>
    </row>
    <row r="237" spans="1:3">
      <c r="C237" s="344"/>
    </row>
    <row r="238" spans="1:3">
      <c r="C238" s="344"/>
    </row>
    <row r="239" spans="1:3">
      <c r="C239" s="344"/>
    </row>
    <row r="240" spans="1:3">
      <c r="C240" s="344"/>
    </row>
    <row r="241" spans="3:3">
      <c r="C241" s="344"/>
    </row>
    <row r="242" spans="3:3">
      <c r="C242" s="344"/>
    </row>
    <row r="243" spans="3:3">
      <c r="C243" s="344"/>
    </row>
    <row r="244" spans="3:3">
      <c r="C244" s="344"/>
    </row>
    <row r="245" spans="3:3">
      <c r="C245" s="344"/>
    </row>
    <row r="246" spans="3:3">
      <c r="C246" s="344"/>
    </row>
    <row r="247" spans="3:3">
      <c r="C247" s="344"/>
    </row>
    <row r="248" spans="3:3">
      <c r="C248" s="344"/>
    </row>
    <row r="249" spans="3:3">
      <c r="C249" s="344"/>
    </row>
    <row r="250" spans="3:3">
      <c r="C250" s="344"/>
    </row>
    <row r="251" spans="3:3">
      <c r="C251" s="344"/>
    </row>
    <row r="252" spans="3:3">
      <c r="C252" s="344"/>
    </row>
    <row r="253" spans="3:3">
      <c r="C253" s="344"/>
    </row>
    <row r="254" spans="3:3">
      <c r="C254" s="344"/>
    </row>
    <row r="255" spans="3:3">
      <c r="C255" s="344"/>
    </row>
    <row r="256" spans="3:3">
      <c r="C256" s="344"/>
    </row>
    <row r="257" spans="3:3">
      <c r="C257" s="344"/>
    </row>
    <row r="258" spans="3:3">
      <c r="C258" s="344"/>
    </row>
    <row r="259" spans="3:3">
      <c r="C259" s="344"/>
    </row>
    <row r="260" spans="3:3">
      <c r="C260" s="344"/>
    </row>
    <row r="261" spans="3:3">
      <c r="C261" s="344"/>
    </row>
    <row r="262" spans="3:3">
      <c r="C262" s="344"/>
    </row>
    <row r="263" spans="3:3">
      <c r="C263" s="344"/>
    </row>
    <row r="264" spans="3:3">
      <c r="C264" s="344"/>
    </row>
    <row r="265" spans="3:3">
      <c r="C265" s="344"/>
    </row>
    <row r="266" spans="3:3">
      <c r="C266" s="344"/>
    </row>
    <row r="267" spans="3:3">
      <c r="C267" s="344"/>
    </row>
    <row r="268" spans="3:3">
      <c r="C268" s="344"/>
    </row>
    <row r="269" spans="3:3">
      <c r="C269" s="344"/>
    </row>
    <row r="270" spans="3:3">
      <c r="C270" s="344"/>
    </row>
    <row r="271" spans="3:3">
      <c r="C271" s="344"/>
    </row>
    <row r="272" spans="3:3">
      <c r="C272" s="344"/>
    </row>
    <row r="273" spans="3:3">
      <c r="C273" s="344"/>
    </row>
    <row r="274" spans="3:3">
      <c r="C274" s="344"/>
    </row>
    <row r="275" spans="3:3">
      <c r="C275" s="344"/>
    </row>
    <row r="276" spans="3:3">
      <c r="C276" s="344"/>
    </row>
    <row r="277" spans="3:3">
      <c r="C277" s="344"/>
    </row>
    <row r="278" spans="3:3">
      <c r="C278" s="344"/>
    </row>
    <row r="279" spans="3:3">
      <c r="C279" s="344"/>
    </row>
    <row r="280" spans="3:3">
      <c r="C280" s="344"/>
    </row>
  </sheetData>
  <sheetProtection formatCells="0" formatColumns="0" formatRows="0" autoFilter="0"/>
  <mergeCells count="32">
    <mergeCell ref="F63:G63"/>
    <mergeCell ref="C63:C64"/>
    <mergeCell ref="D63:E63"/>
    <mergeCell ref="C25:C26"/>
    <mergeCell ref="D25:E25"/>
    <mergeCell ref="F25:G25"/>
    <mergeCell ref="C44:C45"/>
    <mergeCell ref="D44:E44"/>
    <mergeCell ref="F44:G44"/>
    <mergeCell ref="C120:C121"/>
    <mergeCell ref="D120:E120"/>
    <mergeCell ref="F120:G120"/>
    <mergeCell ref="C82:C83"/>
    <mergeCell ref="D82:E82"/>
    <mergeCell ref="F82:G82"/>
    <mergeCell ref="C101:C102"/>
    <mergeCell ref="D101:E101"/>
    <mergeCell ref="F101:G101"/>
    <mergeCell ref="C169:C170"/>
    <mergeCell ref="C180:C181"/>
    <mergeCell ref="D169:F169"/>
    <mergeCell ref="G169:I169"/>
    <mergeCell ref="D180:F180"/>
    <mergeCell ref="G180:I180"/>
    <mergeCell ref="C202:C203"/>
    <mergeCell ref="D202:F202"/>
    <mergeCell ref="G202:I202"/>
    <mergeCell ref="J202:J203"/>
    <mergeCell ref="C191:C192"/>
    <mergeCell ref="J191:J192"/>
    <mergeCell ref="D191:F191"/>
    <mergeCell ref="G191:I191"/>
  </mergeCells>
  <phoneticPr fontId="5" type="noConversion"/>
  <conditionalFormatting sqref="A223 A189:A212 A155 A137 A118:A119 A99:A100 A80:A81 A61:A62 A42:A43 A5:A7 A23:A24 D5 A179 A158:A167 A201:B210 B5:B226">
    <cfRule type="expression" dxfId="113" priority="31" stopIfTrue="1">
      <formula>0</formula>
    </cfRule>
    <cfRule type="cellIs" dxfId="112" priority="32" stopIfTrue="1" operator="equal">
      <formula>"报表数减附注数"</formula>
    </cfRule>
  </conditionalFormatting>
  <hyperlinks>
    <hyperlink ref="A1" location="附注填写封面!B3" display="返回目录" xr:uid="{00000000-0004-0000-6700-000000000000}"/>
    <hyperlink ref="A14" location="附注填写封面!B3" display="返回目录" xr:uid="{00000000-0004-0000-6700-000001000000}"/>
    <hyperlink ref="A25" location="附注填写封面!B3" display="返回目录" xr:uid="{00000000-0004-0000-6700-000002000000}"/>
    <hyperlink ref="A44" location="附注填写封面!B3" display="返回目录" xr:uid="{00000000-0004-0000-6700-000003000000}"/>
    <hyperlink ref="A63" location="附注填写封面!B3" display="返回目录" xr:uid="{00000000-0004-0000-6700-000004000000}"/>
    <hyperlink ref="A82" location="附注填写封面!B3" display="返回目录" xr:uid="{00000000-0004-0000-6700-000005000000}"/>
    <hyperlink ref="A101" location="附注填写封面!B3" display="返回目录" xr:uid="{00000000-0004-0000-6700-000006000000}"/>
    <hyperlink ref="A120" location="附注填写封面!B3" display="返回目录" xr:uid="{00000000-0004-0000-6700-000007000000}"/>
    <hyperlink ref="A139" location="附注填写封面!B3" display="返回目录" xr:uid="{00000000-0004-0000-6700-000008000000}"/>
    <hyperlink ref="A157" location="附注填写封面!B3" display="返回目录" xr:uid="{00000000-0004-0000-6700-000009000000}"/>
    <hyperlink ref="A225" location="附注填写封面!B3" display="返回目录" xr:uid="{00000000-0004-0000-6700-00000A000000}"/>
    <hyperlink ref="A212" location="附注填写封面!B3" display="返回目录" xr:uid="{00000000-0004-0000-6700-00000B000000}"/>
    <hyperlink ref="A169" location="附注填写封面!B3" display="返回目录" xr:uid="{00000000-0004-0000-6700-00000C000000}"/>
    <hyperlink ref="A181" location="附注填写封面!B3" display="返回目录" xr:uid="{00000000-0004-0000-6700-00000D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67"/>
  <dimension ref="A1:J217"/>
  <sheetViews>
    <sheetView showGridLines="0" showZeros="0" workbookViewId="0">
      <pane xSplit="3" ySplit="6" topLeftCell="D133" activePane="bottomRight" state="frozen"/>
      <selection sqref="A1:A1048576"/>
      <selection pane="topRight" sqref="A1:A1048576"/>
      <selection pane="bottomLeft" sqref="A1:A1048576"/>
      <selection pane="bottomRight" activeCell="E104" sqref="E104"/>
    </sheetView>
  </sheetViews>
  <sheetFormatPr defaultColWidth="11.625" defaultRowHeight="12.75"/>
  <cols>
    <col min="1" max="1" width="8.875" style="162" customWidth="1"/>
    <col min="2" max="2" width="5.625" style="344" hidden="1" customWidth="1"/>
    <col min="3" max="3" width="29.5" style="843" customWidth="1"/>
    <col min="4" max="7" width="11.625" style="344" customWidth="1"/>
    <col min="8" max="9" width="11.625" style="1054" customWidth="1"/>
    <col min="10" max="16384" width="11.625" style="344"/>
  </cols>
  <sheetData>
    <row r="1" spans="1:10">
      <c r="A1" s="1053" t="s">
        <v>2260</v>
      </c>
      <c r="B1" s="343" t="s">
        <v>1446</v>
      </c>
      <c r="C1" s="759" t="s">
        <v>3473</v>
      </c>
    </row>
    <row r="2" spans="1:10">
      <c r="B2" s="162">
        <v>2</v>
      </c>
      <c r="C2" s="1054" t="s">
        <v>3474</v>
      </c>
      <c r="D2" s="1054" t="s">
        <v>3475</v>
      </c>
      <c r="E2" s="1054" t="s">
        <v>3464</v>
      </c>
      <c r="F2" s="1054" t="s">
        <v>3476</v>
      </c>
      <c r="G2" s="1054"/>
    </row>
    <row r="3" spans="1:10">
      <c r="B3" s="162">
        <v>3</v>
      </c>
      <c r="C3" s="1054" t="s">
        <v>3477</v>
      </c>
      <c r="D3" s="1054" t="s">
        <v>3478</v>
      </c>
      <c r="E3" s="1054" t="s">
        <v>3479</v>
      </c>
      <c r="F3" s="1054" t="s">
        <v>3470</v>
      </c>
      <c r="G3" s="1054" t="s">
        <v>3480</v>
      </c>
    </row>
    <row r="4" spans="1:10">
      <c r="B4" s="162">
        <v>4</v>
      </c>
      <c r="C4" s="344"/>
    </row>
    <row r="5" spans="1:10" ht="12" customHeight="1">
      <c r="B5" s="162">
        <v>5</v>
      </c>
      <c r="C5" s="1833" t="s">
        <v>3481</v>
      </c>
      <c r="D5" s="1879" t="s">
        <v>3182</v>
      </c>
      <c r="E5" s="1881"/>
      <c r="F5" s="1879" t="s">
        <v>3482</v>
      </c>
      <c r="G5" s="1881"/>
      <c r="H5" s="1833" t="s">
        <v>3483</v>
      </c>
      <c r="I5" s="1833" t="s">
        <v>3484</v>
      </c>
    </row>
    <row r="6" spans="1:10" ht="24.75">
      <c r="A6" s="1053" t="s">
        <v>2260</v>
      </c>
      <c r="B6" s="162">
        <v>6</v>
      </c>
      <c r="C6" s="1833"/>
      <c r="D6" s="881" t="s">
        <v>3173</v>
      </c>
      <c r="E6" s="919" t="s">
        <v>3485</v>
      </c>
      <c r="F6" s="881" t="s">
        <v>3173</v>
      </c>
      <c r="G6" s="919" t="s">
        <v>3485</v>
      </c>
      <c r="H6" s="1833"/>
      <c r="I6" s="1833"/>
    </row>
    <row r="7" spans="1:10">
      <c r="B7" s="162">
        <v>7</v>
      </c>
      <c r="C7" s="338" t="s">
        <v>3486</v>
      </c>
      <c r="D7" s="761"/>
      <c r="E7" s="761"/>
      <c r="F7" s="761"/>
      <c r="G7" s="761"/>
      <c r="H7" s="338"/>
      <c r="I7" s="338"/>
    </row>
    <row r="8" spans="1:10">
      <c r="A8" s="162">
        <v>1</v>
      </c>
      <c r="B8" s="162">
        <v>8</v>
      </c>
      <c r="C8" s="338"/>
      <c r="D8" s="761"/>
      <c r="E8" s="961">
        <f>ROUND(IF(应收账款!$D$10&lt;&gt;0,D8/应收账款!$D$10*100,0),2)</f>
        <v>0</v>
      </c>
      <c r="F8" s="761"/>
      <c r="G8" s="961">
        <f>ROUND(IF(应收账款!$D$21&lt;&gt;0,F8/应收账款!$D$21*100,0),2)</f>
        <v>0</v>
      </c>
      <c r="H8" s="338"/>
      <c r="I8" s="338"/>
      <c r="J8" s="162">
        <v>1</v>
      </c>
    </row>
    <row r="9" spans="1:10">
      <c r="A9" s="162">
        <v>2</v>
      </c>
      <c r="B9" s="162">
        <v>9</v>
      </c>
      <c r="C9" s="338"/>
      <c r="D9" s="761"/>
      <c r="E9" s="961">
        <f>ROUND(IF(应收账款!$D$10&lt;&gt;0,D9/应收账款!$D$10*100,0),2)</f>
        <v>0</v>
      </c>
      <c r="F9" s="761"/>
      <c r="G9" s="961">
        <f>ROUND(IF(应收账款!$D$21&lt;&gt;0,F9/应收账款!$D$21*100,0),2)</f>
        <v>0</v>
      </c>
      <c r="H9" s="338"/>
      <c r="I9" s="338"/>
      <c r="J9" s="162">
        <v>2</v>
      </c>
    </row>
    <row r="10" spans="1:10">
      <c r="A10" s="162">
        <v>3</v>
      </c>
      <c r="B10" s="162">
        <v>10</v>
      </c>
      <c r="C10" s="338"/>
      <c r="D10" s="761"/>
      <c r="E10" s="961">
        <f>ROUND(IF(应收账款!$D$10&lt;&gt;0,D10/应收账款!$D$10*100,0),2)</f>
        <v>0</v>
      </c>
      <c r="F10" s="761"/>
      <c r="G10" s="961">
        <f>ROUND(IF(应收账款!$D$21&lt;&gt;0,F10/应收账款!$D$21*100,0),2)</f>
        <v>0</v>
      </c>
      <c r="H10" s="338"/>
      <c r="I10" s="338"/>
      <c r="J10" s="162">
        <v>3</v>
      </c>
    </row>
    <row r="11" spans="1:10">
      <c r="A11" s="162">
        <v>4</v>
      </c>
      <c r="B11" s="162">
        <v>11</v>
      </c>
      <c r="C11" s="338"/>
      <c r="D11" s="761"/>
      <c r="E11" s="961">
        <f>ROUND(IF(应收账款!$D$10&lt;&gt;0,D11/应收账款!$D$10*100,0),2)</f>
        <v>0</v>
      </c>
      <c r="F11" s="761"/>
      <c r="G11" s="961">
        <f>ROUND(IF(应收账款!$D$21&lt;&gt;0,F11/应收账款!$D$21*100,0),2)</f>
        <v>0</v>
      </c>
      <c r="H11" s="338"/>
      <c r="I11" s="338"/>
      <c r="J11" s="162">
        <v>4</v>
      </c>
    </row>
    <row r="12" spans="1:10">
      <c r="A12" s="162">
        <v>5</v>
      </c>
      <c r="B12" s="162">
        <v>12</v>
      </c>
      <c r="C12" s="338"/>
      <c r="D12" s="761"/>
      <c r="E12" s="961">
        <f>ROUND(IF(应收账款!$D$10&lt;&gt;0,D12/应收账款!$D$10*100,0),2)</f>
        <v>0</v>
      </c>
      <c r="F12" s="761"/>
      <c r="G12" s="961">
        <f>ROUND(IF(应收账款!$D$21&lt;&gt;0,F12/应收账款!$D$21*100,0),2)</f>
        <v>0</v>
      </c>
      <c r="H12" s="338"/>
      <c r="I12" s="338"/>
      <c r="J12" s="162">
        <v>5</v>
      </c>
    </row>
    <row r="13" spans="1:10">
      <c r="A13" s="162">
        <v>6</v>
      </c>
      <c r="B13" s="162">
        <v>13</v>
      </c>
      <c r="C13" s="338"/>
      <c r="D13" s="761"/>
      <c r="E13" s="961">
        <f>ROUND(IF(应收账款!$D$10&lt;&gt;0,D13/应收账款!$D$10*100,0),2)</f>
        <v>0</v>
      </c>
      <c r="F13" s="761"/>
      <c r="G13" s="961">
        <f>ROUND(IF(应收账款!$D$21&lt;&gt;0,F13/应收账款!$D$21*100,0),2)</f>
        <v>0</v>
      </c>
      <c r="H13" s="338"/>
      <c r="I13" s="338"/>
      <c r="J13" s="162">
        <v>6</v>
      </c>
    </row>
    <row r="14" spans="1:10">
      <c r="A14" s="162">
        <v>7</v>
      </c>
      <c r="B14" s="162">
        <v>14</v>
      </c>
      <c r="C14" s="338"/>
      <c r="D14" s="761"/>
      <c r="E14" s="961">
        <f>ROUND(IF(应收账款!$D$10&lt;&gt;0,D14/应收账款!$D$10*100,0),2)</f>
        <v>0</v>
      </c>
      <c r="F14" s="761"/>
      <c r="G14" s="961">
        <f>ROUND(IF(应收账款!$D$21&lt;&gt;0,F14/应收账款!$D$21*100,0),2)</f>
        <v>0</v>
      </c>
      <c r="H14" s="338"/>
      <c r="I14" s="338"/>
      <c r="J14" s="162">
        <v>7</v>
      </c>
    </row>
    <row r="15" spans="1:10">
      <c r="A15" s="162">
        <v>8</v>
      </c>
      <c r="B15" s="162">
        <v>15</v>
      </c>
      <c r="C15" s="338"/>
      <c r="D15" s="761"/>
      <c r="E15" s="961">
        <f>ROUND(IF(应收账款!$D$10&lt;&gt;0,D15/应收账款!$D$10*100,0),2)</f>
        <v>0</v>
      </c>
      <c r="F15" s="761"/>
      <c r="G15" s="961">
        <f>ROUND(IF(应收账款!$D$21&lt;&gt;0,F15/应收账款!$D$21*100,0),2)</f>
        <v>0</v>
      </c>
      <c r="H15" s="338"/>
      <c r="I15" s="338"/>
      <c r="J15" s="162">
        <v>8</v>
      </c>
    </row>
    <row r="16" spans="1:10">
      <c r="A16" s="162">
        <v>9</v>
      </c>
      <c r="B16" s="162">
        <v>16</v>
      </c>
      <c r="C16" s="338"/>
      <c r="D16" s="761"/>
      <c r="E16" s="961">
        <f>ROUND(IF(应收账款!$D$10&lt;&gt;0,D16/应收账款!$D$10*100,0),2)</f>
        <v>0</v>
      </c>
      <c r="F16" s="761"/>
      <c r="G16" s="961">
        <f>ROUND(IF(应收账款!$D$21&lt;&gt;0,F16/应收账款!$D$21*100,0),2)</f>
        <v>0</v>
      </c>
      <c r="H16" s="338"/>
      <c r="I16" s="338"/>
      <c r="J16" s="162">
        <v>9</v>
      </c>
    </row>
    <row r="17" spans="1:10">
      <c r="A17" s="162">
        <v>10</v>
      </c>
      <c r="B17" s="162">
        <v>17</v>
      </c>
      <c r="C17" s="338"/>
      <c r="D17" s="761"/>
      <c r="E17" s="961">
        <f>ROUND(IF(应收账款!$D$10&lt;&gt;0,D17/应收账款!$D$10*100,0),2)</f>
        <v>0</v>
      </c>
      <c r="F17" s="761"/>
      <c r="G17" s="961">
        <f>ROUND(IF(应收账款!$D$21&lt;&gt;0,F17/应收账款!$D$21*100,0),2)</f>
        <v>0</v>
      </c>
      <c r="H17" s="338"/>
      <c r="I17" s="338"/>
      <c r="J17" s="162">
        <v>10</v>
      </c>
    </row>
    <row r="18" spans="1:10">
      <c r="A18" s="162">
        <v>11</v>
      </c>
      <c r="B18" s="162">
        <v>18</v>
      </c>
      <c r="C18" s="338"/>
      <c r="D18" s="761"/>
      <c r="E18" s="961">
        <f>ROUND(IF(应收账款!$D$10&lt;&gt;0,D18/应收账款!$D$10*100,0),2)</f>
        <v>0</v>
      </c>
      <c r="F18" s="761"/>
      <c r="G18" s="961">
        <f>ROUND(IF(应收账款!$D$21&lt;&gt;0,F18/应收账款!$D$21*100,0),2)</f>
        <v>0</v>
      </c>
      <c r="H18" s="338"/>
      <c r="I18" s="338"/>
      <c r="J18" s="162">
        <v>11</v>
      </c>
    </row>
    <row r="19" spans="1:10">
      <c r="A19" s="162">
        <v>12</v>
      </c>
      <c r="B19" s="162">
        <v>19</v>
      </c>
      <c r="C19" s="338"/>
      <c r="D19" s="761"/>
      <c r="E19" s="961">
        <f>ROUND(IF(应收账款!$D$10&lt;&gt;0,D19/应收账款!$D$10*100,0),2)</f>
        <v>0</v>
      </c>
      <c r="F19" s="761"/>
      <c r="G19" s="961">
        <f>ROUND(IF(应收账款!$D$21&lt;&gt;0,F19/应收账款!$D$21*100,0),2)</f>
        <v>0</v>
      </c>
      <c r="H19" s="338"/>
      <c r="I19" s="338"/>
      <c r="J19" s="162">
        <v>12</v>
      </c>
    </row>
    <row r="20" spans="1:10">
      <c r="A20" s="162">
        <v>13</v>
      </c>
      <c r="B20" s="162">
        <v>20</v>
      </c>
      <c r="C20" s="338"/>
      <c r="D20" s="761"/>
      <c r="E20" s="961">
        <f>ROUND(IF(应收账款!$D$10&lt;&gt;0,D20/应收账款!$D$10*100,0),2)</f>
        <v>0</v>
      </c>
      <c r="F20" s="761"/>
      <c r="G20" s="961">
        <f>ROUND(IF(应收账款!$D$21&lt;&gt;0,F20/应收账款!$D$21*100,0),2)</f>
        <v>0</v>
      </c>
      <c r="H20" s="338"/>
      <c r="I20" s="338"/>
      <c r="J20" s="162">
        <v>13</v>
      </c>
    </row>
    <row r="21" spans="1:10">
      <c r="A21" s="162">
        <v>14</v>
      </c>
      <c r="B21" s="162">
        <v>21</v>
      </c>
      <c r="C21" s="338"/>
      <c r="D21" s="761"/>
      <c r="E21" s="961">
        <f>ROUND(IF(应收账款!$D$10&lt;&gt;0,D21/应收账款!$D$10*100,0),2)</f>
        <v>0</v>
      </c>
      <c r="F21" s="761"/>
      <c r="G21" s="961">
        <f>ROUND(IF(应收账款!$D$21&lt;&gt;0,F21/应收账款!$D$21*100,0),2)</f>
        <v>0</v>
      </c>
      <c r="H21" s="338"/>
      <c r="I21" s="338"/>
      <c r="J21" s="162">
        <v>14</v>
      </c>
    </row>
    <row r="22" spans="1:10">
      <c r="A22" s="162">
        <v>15</v>
      </c>
      <c r="B22" s="162">
        <v>22</v>
      </c>
      <c r="C22" s="338"/>
      <c r="D22" s="761"/>
      <c r="E22" s="961">
        <f>ROUND(IF(应收账款!$D$10&lt;&gt;0,D22/应收账款!$D$10*100,0),2)</f>
        <v>0</v>
      </c>
      <c r="F22" s="761"/>
      <c r="G22" s="961">
        <f>ROUND(IF(应收账款!$D$21&lt;&gt;0,F22/应收账款!$D$21*100,0),2)</f>
        <v>0</v>
      </c>
      <c r="H22" s="338"/>
      <c r="I22" s="338"/>
      <c r="J22" s="162">
        <v>15</v>
      </c>
    </row>
    <row r="23" spans="1:10">
      <c r="A23" s="162">
        <v>16</v>
      </c>
      <c r="B23" s="162">
        <v>23</v>
      </c>
      <c r="C23" s="338"/>
      <c r="D23" s="761"/>
      <c r="E23" s="961">
        <f>ROUND(IF(应收账款!$D$10&lt;&gt;0,D23/应收账款!$D$10*100,0),2)</f>
        <v>0</v>
      </c>
      <c r="F23" s="761"/>
      <c r="G23" s="961">
        <f>ROUND(IF(应收账款!$D$21&lt;&gt;0,F23/应收账款!$D$21*100,0),2)</f>
        <v>0</v>
      </c>
      <c r="H23" s="338"/>
      <c r="I23" s="338"/>
      <c r="J23" s="162">
        <v>16</v>
      </c>
    </row>
    <row r="24" spans="1:10">
      <c r="A24" s="1053" t="s">
        <v>2260</v>
      </c>
      <c r="B24" s="162">
        <v>24</v>
      </c>
      <c r="C24" s="889" t="s">
        <v>1005</v>
      </c>
      <c r="D24" s="961">
        <f>SUM(D8:D23)</f>
        <v>0</v>
      </c>
      <c r="E24" s="961">
        <f>SUM(E8:E23)</f>
        <v>0</v>
      </c>
      <c r="F24" s="961">
        <f>SUM(F8:F23)</f>
        <v>0</v>
      </c>
      <c r="G24" s="961">
        <f>SUM(G8:G23)</f>
        <v>0</v>
      </c>
      <c r="H24" s="338"/>
      <c r="I24" s="338"/>
    </row>
    <row r="25" spans="1:10">
      <c r="A25" s="1053"/>
      <c r="B25" s="162">
        <v>25</v>
      </c>
      <c r="C25" s="889" t="s">
        <v>2688</v>
      </c>
      <c r="D25" s="761"/>
      <c r="E25" s="961">
        <f>IF(应收账款!$D$10&lt;&gt;0,D24/应收账款!$D$10*100,0)-E24</f>
        <v>0</v>
      </c>
      <c r="F25" s="761"/>
      <c r="G25" s="961">
        <f>IF(应收账款!$D$21&lt;&gt;0,F24/应收账款!$D$21*100,0)-G24</f>
        <v>0</v>
      </c>
      <c r="H25" s="338"/>
      <c r="I25" s="338"/>
    </row>
    <row r="26" spans="1:10">
      <c r="B26" s="162">
        <v>7</v>
      </c>
      <c r="C26" s="359" t="s">
        <v>4537</v>
      </c>
      <c r="D26" s="761"/>
      <c r="E26" s="761"/>
      <c r="F26" s="761"/>
      <c r="G26" s="761"/>
      <c r="H26" s="1322"/>
      <c r="I26" s="1322"/>
    </row>
    <row r="27" spans="1:10">
      <c r="A27" s="162">
        <v>1</v>
      </c>
      <c r="B27" s="162">
        <v>8</v>
      </c>
      <c r="C27" s="1322"/>
      <c r="D27" s="761"/>
      <c r="E27" s="961">
        <f>ROUND(IF(应收账款!$D$10&lt;&gt;0,D27/应收账款!$D$10*100,0),2)</f>
        <v>0</v>
      </c>
      <c r="F27" s="761"/>
      <c r="G27" s="961">
        <f>ROUND(IF(应收账款!$D$21&lt;&gt;0,F27/应收账款!$D$21*100,0),2)</f>
        <v>0</v>
      </c>
      <c r="H27" s="1322"/>
      <c r="I27" s="1322"/>
      <c r="J27" s="162">
        <v>1</v>
      </c>
    </row>
    <row r="28" spans="1:10">
      <c r="A28" s="162">
        <v>2</v>
      </c>
      <c r="B28" s="162">
        <v>9</v>
      </c>
      <c r="C28" s="1322"/>
      <c r="D28" s="761"/>
      <c r="E28" s="961">
        <f>ROUND(IF(应收账款!$D$10&lt;&gt;0,D28/应收账款!$D$10*100,0),2)</f>
        <v>0</v>
      </c>
      <c r="F28" s="761"/>
      <c r="G28" s="961">
        <f>ROUND(IF(应收账款!$D$21&lt;&gt;0,F28/应收账款!$D$21*100,0),2)</f>
        <v>0</v>
      </c>
      <c r="H28" s="1322"/>
      <c r="I28" s="1322"/>
      <c r="J28" s="162">
        <v>2</v>
      </c>
    </row>
    <row r="29" spans="1:10">
      <c r="A29" s="162">
        <v>3</v>
      </c>
      <c r="B29" s="162">
        <v>10</v>
      </c>
      <c r="C29" s="1322"/>
      <c r="D29" s="761"/>
      <c r="E29" s="961">
        <f>ROUND(IF(应收账款!$D$10&lt;&gt;0,D29/应收账款!$D$10*100,0),2)</f>
        <v>0</v>
      </c>
      <c r="F29" s="761"/>
      <c r="G29" s="961">
        <f>ROUND(IF(应收账款!$D$21&lt;&gt;0,F29/应收账款!$D$21*100,0),2)</f>
        <v>0</v>
      </c>
      <c r="H29" s="1322"/>
      <c r="I29" s="1322"/>
      <c r="J29" s="162">
        <v>3</v>
      </c>
    </row>
    <row r="30" spans="1:10">
      <c r="A30" s="162">
        <v>4</v>
      </c>
      <c r="B30" s="162">
        <v>11</v>
      </c>
      <c r="C30" s="1322"/>
      <c r="D30" s="761"/>
      <c r="E30" s="961">
        <f>ROUND(IF(应收账款!$D$10&lt;&gt;0,D30/应收账款!$D$10*100,0),2)</f>
        <v>0</v>
      </c>
      <c r="F30" s="761"/>
      <c r="G30" s="961">
        <f>ROUND(IF(应收账款!$D$21&lt;&gt;0,F30/应收账款!$D$21*100,0),2)</f>
        <v>0</v>
      </c>
      <c r="H30" s="1322"/>
      <c r="I30" s="1322"/>
      <c r="J30" s="162">
        <v>4</v>
      </c>
    </row>
    <row r="31" spans="1:10">
      <c r="A31" s="162">
        <v>5</v>
      </c>
      <c r="B31" s="162">
        <v>12</v>
      </c>
      <c r="C31" s="1322"/>
      <c r="D31" s="761"/>
      <c r="E31" s="961">
        <f>ROUND(IF(应收账款!$D$10&lt;&gt;0,D31/应收账款!$D$10*100,0),2)</f>
        <v>0</v>
      </c>
      <c r="F31" s="761"/>
      <c r="G31" s="961">
        <f>ROUND(IF(应收账款!$D$21&lt;&gt;0,F31/应收账款!$D$21*100,0),2)</f>
        <v>0</v>
      </c>
      <c r="H31" s="1322"/>
      <c r="I31" s="1322"/>
      <c r="J31" s="162">
        <v>5</v>
      </c>
    </row>
    <row r="32" spans="1:10">
      <c r="A32" s="162">
        <v>6</v>
      </c>
      <c r="B32" s="162">
        <v>13</v>
      </c>
      <c r="C32" s="1322"/>
      <c r="D32" s="761"/>
      <c r="E32" s="961">
        <f>ROUND(IF(应收账款!$D$10&lt;&gt;0,D32/应收账款!$D$10*100,0),2)</f>
        <v>0</v>
      </c>
      <c r="F32" s="761"/>
      <c r="G32" s="961">
        <f>ROUND(IF(应收账款!$D$21&lt;&gt;0,F32/应收账款!$D$21*100,0),2)</f>
        <v>0</v>
      </c>
      <c r="H32" s="1322"/>
      <c r="I32" s="1322"/>
      <c r="J32" s="162">
        <v>6</v>
      </c>
    </row>
    <row r="33" spans="1:10">
      <c r="A33" s="162">
        <v>7</v>
      </c>
      <c r="B33" s="162">
        <v>14</v>
      </c>
      <c r="C33" s="1322"/>
      <c r="D33" s="761"/>
      <c r="E33" s="961">
        <f>ROUND(IF(应收账款!$D$10&lt;&gt;0,D33/应收账款!$D$10*100,0),2)</f>
        <v>0</v>
      </c>
      <c r="F33" s="761"/>
      <c r="G33" s="961">
        <f>ROUND(IF(应收账款!$D$21&lt;&gt;0,F33/应收账款!$D$21*100,0),2)</f>
        <v>0</v>
      </c>
      <c r="H33" s="1322"/>
      <c r="I33" s="1322"/>
      <c r="J33" s="162">
        <v>7</v>
      </c>
    </row>
    <row r="34" spans="1:10">
      <c r="A34" s="162">
        <v>8</v>
      </c>
      <c r="B34" s="162">
        <v>15</v>
      </c>
      <c r="C34" s="1322"/>
      <c r="D34" s="761"/>
      <c r="E34" s="961">
        <f>ROUND(IF(应收账款!$D$10&lt;&gt;0,D34/应收账款!$D$10*100,0),2)</f>
        <v>0</v>
      </c>
      <c r="F34" s="761"/>
      <c r="G34" s="961">
        <f>ROUND(IF(应收账款!$D$21&lt;&gt;0,F34/应收账款!$D$21*100,0),2)</f>
        <v>0</v>
      </c>
      <c r="H34" s="1322"/>
      <c r="I34" s="1322"/>
      <c r="J34" s="162">
        <v>8</v>
      </c>
    </row>
    <row r="35" spans="1:10">
      <c r="A35" s="162">
        <v>9</v>
      </c>
      <c r="B35" s="162">
        <v>16</v>
      </c>
      <c r="C35" s="1322"/>
      <c r="D35" s="761"/>
      <c r="E35" s="961">
        <f>ROUND(IF(应收账款!$D$10&lt;&gt;0,D35/应收账款!$D$10*100,0),2)</f>
        <v>0</v>
      </c>
      <c r="F35" s="761"/>
      <c r="G35" s="961">
        <f>ROUND(IF(应收账款!$D$21&lt;&gt;0,F35/应收账款!$D$21*100,0),2)</f>
        <v>0</v>
      </c>
      <c r="H35" s="1322"/>
      <c r="I35" s="1322"/>
      <c r="J35" s="162">
        <v>9</v>
      </c>
    </row>
    <row r="36" spans="1:10">
      <c r="A36" s="162">
        <v>10</v>
      </c>
      <c r="B36" s="162">
        <v>17</v>
      </c>
      <c r="C36" s="1322"/>
      <c r="D36" s="761"/>
      <c r="E36" s="961">
        <f>ROUND(IF(应收账款!$D$10&lt;&gt;0,D36/应收账款!$D$10*100,0),2)</f>
        <v>0</v>
      </c>
      <c r="F36" s="761"/>
      <c r="G36" s="961">
        <f>ROUND(IF(应收账款!$D$21&lt;&gt;0,F36/应收账款!$D$21*100,0),2)</f>
        <v>0</v>
      </c>
      <c r="H36" s="1322"/>
      <c r="I36" s="1322"/>
      <c r="J36" s="162">
        <v>10</v>
      </c>
    </row>
    <row r="37" spans="1:10">
      <c r="A37" s="162">
        <v>11</v>
      </c>
      <c r="B37" s="162">
        <v>18</v>
      </c>
      <c r="C37" s="1322"/>
      <c r="D37" s="761"/>
      <c r="E37" s="961">
        <f>ROUND(IF(应收账款!$D$10&lt;&gt;0,D37/应收账款!$D$10*100,0),2)</f>
        <v>0</v>
      </c>
      <c r="F37" s="761"/>
      <c r="G37" s="961">
        <f>ROUND(IF(应收账款!$D$21&lt;&gt;0,F37/应收账款!$D$21*100,0),2)</f>
        <v>0</v>
      </c>
      <c r="H37" s="1322"/>
      <c r="I37" s="1322"/>
      <c r="J37" s="162">
        <v>11</v>
      </c>
    </row>
    <row r="38" spans="1:10">
      <c r="A38" s="162">
        <v>12</v>
      </c>
      <c r="B38" s="162">
        <v>19</v>
      </c>
      <c r="C38" s="1322"/>
      <c r="D38" s="761"/>
      <c r="E38" s="961">
        <f>ROUND(IF(应收账款!$D$10&lt;&gt;0,D38/应收账款!$D$10*100,0),2)</f>
        <v>0</v>
      </c>
      <c r="F38" s="761"/>
      <c r="G38" s="961">
        <f>ROUND(IF(应收账款!$D$21&lt;&gt;0,F38/应收账款!$D$21*100,0),2)</f>
        <v>0</v>
      </c>
      <c r="H38" s="1322"/>
      <c r="I38" s="1322"/>
      <c r="J38" s="162">
        <v>12</v>
      </c>
    </row>
    <row r="39" spans="1:10">
      <c r="A39" s="162">
        <v>13</v>
      </c>
      <c r="B39" s="162">
        <v>20</v>
      </c>
      <c r="C39" s="1322"/>
      <c r="D39" s="761"/>
      <c r="E39" s="961">
        <f>ROUND(IF(应收账款!$D$10&lt;&gt;0,D39/应收账款!$D$10*100,0),2)</f>
        <v>0</v>
      </c>
      <c r="F39" s="761"/>
      <c r="G39" s="961">
        <f>ROUND(IF(应收账款!$D$21&lt;&gt;0,F39/应收账款!$D$21*100,0),2)</f>
        <v>0</v>
      </c>
      <c r="H39" s="1322"/>
      <c r="I39" s="1322"/>
      <c r="J39" s="162">
        <v>13</v>
      </c>
    </row>
    <row r="40" spans="1:10">
      <c r="A40" s="162">
        <v>14</v>
      </c>
      <c r="B40" s="162">
        <v>21</v>
      </c>
      <c r="C40" s="1322"/>
      <c r="D40" s="761"/>
      <c r="E40" s="961">
        <f>ROUND(IF(应收账款!$D$10&lt;&gt;0,D40/应收账款!$D$10*100,0),2)</f>
        <v>0</v>
      </c>
      <c r="F40" s="761"/>
      <c r="G40" s="961">
        <f>ROUND(IF(应收账款!$D$21&lt;&gt;0,F40/应收账款!$D$21*100,0),2)</f>
        <v>0</v>
      </c>
      <c r="H40" s="1322"/>
      <c r="I40" s="1322"/>
      <c r="J40" s="162">
        <v>14</v>
      </c>
    </row>
    <row r="41" spans="1:10">
      <c r="A41" s="162">
        <v>15</v>
      </c>
      <c r="B41" s="162">
        <v>22</v>
      </c>
      <c r="C41" s="1322"/>
      <c r="D41" s="761"/>
      <c r="E41" s="961">
        <f>ROUND(IF(应收账款!$D$10&lt;&gt;0,D41/应收账款!$D$10*100,0),2)</f>
        <v>0</v>
      </c>
      <c r="F41" s="761"/>
      <c r="G41" s="961">
        <f>ROUND(IF(应收账款!$D$21&lt;&gt;0,F41/应收账款!$D$21*100,0),2)</f>
        <v>0</v>
      </c>
      <c r="H41" s="1322"/>
      <c r="I41" s="1322"/>
      <c r="J41" s="162">
        <v>15</v>
      </c>
    </row>
    <row r="42" spans="1:10">
      <c r="A42" s="162">
        <v>16</v>
      </c>
      <c r="B42" s="162">
        <v>23</v>
      </c>
      <c r="C42" s="1322"/>
      <c r="D42" s="761"/>
      <c r="E42" s="961">
        <f>ROUND(IF(应收账款!$D$10&lt;&gt;0,D42/应收账款!$D$10*100,0),2)</f>
        <v>0</v>
      </c>
      <c r="F42" s="761"/>
      <c r="G42" s="961">
        <f>ROUND(IF(应收账款!$D$21&lt;&gt;0,F42/应收账款!$D$21*100,0),2)</f>
        <v>0</v>
      </c>
      <c r="H42" s="1322"/>
      <c r="I42" s="1322"/>
      <c r="J42" s="162">
        <v>16</v>
      </c>
    </row>
    <row r="43" spans="1:10">
      <c r="A43" s="1053" t="s">
        <v>2260</v>
      </c>
      <c r="B43" s="162">
        <v>24</v>
      </c>
      <c r="C43" s="1320" t="s">
        <v>1005</v>
      </c>
      <c r="D43" s="961">
        <f>SUM(D27:D42)</f>
        <v>0</v>
      </c>
      <c r="E43" s="961">
        <f>SUM(E27:E42)</f>
        <v>0</v>
      </c>
      <c r="F43" s="961">
        <f>SUM(F27:F42)</f>
        <v>0</v>
      </c>
      <c r="G43" s="961">
        <f>SUM(G27:G42)</f>
        <v>0</v>
      </c>
      <c r="H43" s="1322"/>
      <c r="I43" s="1322"/>
    </row>
    <row r="44" spans="1:10">
      <c r="A44" s="1053"/>
      <c r="B44" s="162">
        <v>25</v>
      </c>
      <c r="C44" s="1320" t="s">
        <v>2688</v>
      </c>
      <c r="D44" s="761"/>
      <c r="E44" s="961">
        <f>IF(应收账款!$D$10&lt;&gt;0,D43/应收账款!$D$10*100,0)-E43</f>
        <v>0</v>
      </c>
      <c r="F44" s="761"/>
      <c r="G44" s="961">
        <f>IF(应收账款!$D$21&lt;&gt;0,F43/应收账款!$D$21*100,0)-G43</f>
        <v>0</v>
      </c>
      <c r="H44" s="1322"/>
      <c r="I44" s="1322"/>
    </row>
    <row r="45" spans="1:10">
      <c r="A45" s="1001" t="str">
        <f>HYPERLINK("#C1","置顶")</f>
        <v>置顶</v>
      </c>
      <c r="B45" s="162">
        <v>26</v>
      </c>
      <c r="C45" s="338" t="s">
        <v>3487</v>
      </c>
      <c r="D45" s="761"/>
      <c r="E45" s="761"/>
      <c r="F45" s="761"/>
      <c r="G45" s="761"/>
      <c r="H45" s="338"/>
      <c r="I45" s="338"/>
    </row>
    <row r="46" spans="1:10">
      <c r="A46" s="162">
        <v>1</v>
      </c>
      <c r="B46" s="162">
        <v>27</v>
      </c>
      <c r="C46" s="338"/>
      <c r="D46" s="761"/>
      <c r="E46" s="961">
        <f>ROUND(IF(应收票据!$D$5&lt;&gt;0,D46/应收票据!$D$5*100,0),2)</f>
        <v>0</v>
      </c>
      <c r="F46" s="761"/>
      <c r="G46" s="961">
        <f>ROUND(IF(应收票据!$E$5&lt;&gt;0,F46/应收票据!$E$5*100,0),2)</f>
        <v>0</v>
      </c>
      <c r="H46" s="759"/>
      <c r="I46" s="338"/>
      <c r="J46" s="162">
        <v>1</v>
      </c>
    </row>
    <row r="47" spans="1:10">
      <c r="A47" s="162">
        <v>2</v>
      </c>
      <c r="B47" s="162">
        <v>28</v>
      </c>
      <c r="C47" s="338"/>
      <c r="D47" s="761"/>
      <c r="E47" s="961">
        <f>ROUND(IF(应收票据!$D$5&lt;&gt;0,D47/应收票据!$D$5*100,0),2)</f>
        <v>0</v>
      </c>
      <c r="F47" s="761"/>
      <c r="G47" s="961">
        <f>ROUND(IF(应收票据!$E$5&lt;&gt;0,F47/应收票据!$E$5*100,0),2)</f>
        <v>0</v>
      </c>
      <c r="H47" s="338"/>
      <c r="I47" s="338"/>
      <c r="J47" s="162">
        <v>2</v>
      </c>
    </row>
    <row r="48" spans="1:10">
      <c r="A48" s="162">
        <v>3</v>
      </c>
      <c r="B48" s="162">
        <v>29</v>
      </c>
      <c r="C48" s="338"/>
      <c r="D48" s="761"/>
      <c r="E48" s="961">
        <f>ROUND(IF(应收票据!$D$5&lt;&gt;0,D48/应收票据!$D$5*100,0),2)</f>
        <v>0</v>
      </c>
      <c r="F48" s="761"/>
      <c r="G48" s="961">
        <f>ROUND(IF(应收票据!$E$5&lt;&gt;0,F48/应收票据!$E$5*100,0),2)</f>
        <v>0</v>
      </c>
      <c r="H48" s="338"/>
      <c r="I48" s="338"/>
      <c r="J48" s="162">
        <v>3</v>
      </c>
    </row>
    <row r="49" spans="1:10">
      <c r="A49" s="162">
        <v>4</v>
      </c>
      <c r="B49" s="162">
        <v>30</v>
      </c>
      <c r="C49" s="338"/>
      <c r="D49" s="761"/>
      <c r="E49" s="961">
        <f>ROUND(IF(应收票据!$D$5&lt;&gt;0,D49/应收票据!$D$5*100,0),2)</f>
        <v>0</v>
      </c>
      <c r="F49" s="761"/>
      <c r="G49" s="961">
        <f>ROUND(IF(应收票据!$E$5&lt;&gt;0,F49/应收票据!$E$5*100,0),2)</f>
        <v>0</v>
      </c>
      <c r="H49" s="338"/>
      <c r="I49" s="338"/>
      <c r="J49" s="162">
        <v>4</v>
      </c>
    </row>
    <row r="50" spans="1:10">
      <c r="A50" s="162">
        <v>5</v>
      </c>
      <c r="B50" s="162">
        <v>31</v>
      </c>
      <c r="C50" s="338"/>
      <c r="D50" s="761"/>
      <c r="E50" s="961">
        <f>ROUND(IF(应收票据!$D$5&lt;&gt;0,D50/应收票据!$D$5*100,0),2)</f>
        <v>0</v>
      </c>
      <c r="F50" s="761"/>
      <c r="G50" s="961">
        <f>ROUND(IF(应收票据!$E$5&lt;&gt;0,F50/应收票据!$E$5*100,0),2)</f>
        <v>0</v>
      </c>
      <c r="H50" s="338"/>
      <c r="I50" s="338"/>
      <c r="J50" s="162">
        <v>5</v>
      </c>
    </row>
    <row r="51" spans="1:10">
      <c r="A51" s="162">
        <v>6</v>
      </c>
      <c r="B51" s="162">
        <v>32</v>
      </c>
      <c r="C51" s="338"/>
      <c r="D51" s="761"/>
      <c r="E51" s="961">
        <f>ROUND(IF(应收票据!$D$5&lt;&gt;0,D51/应收票据!$D$5*100,0),2)</f>
        <v>0</v>
      </c>
      <c r="F51" s="761"/>
      <c r="G51" s="961">
        <f>ROUND(IF(应收票据!$E$5&lt;&gt;0,F51/应收票据!$E$5*100,0),2)</f>
        <v>0</v>
      </c>
      <c r="H51" s="338"/>
      <c r="I51" s="338"/>
      <c r="J51" s="162">
        <v>6</v>
      </c>
    </row>
    <row r="52" spans="1:10">
      <c r="A52" s="162">
        <v>7</v>
      </c>
      <c r="B52" s="162">
        <v>33</v>
      </c>
      <c r="C52" s="338"/>
      <c r="D52" s="761"/>
      <c r="E52" s="961">
        <f>ROUND(IF(应收票据!$D$5&lt;&gt;0,D52/应收票据!$D$5*100,0),2)</f>
        <v>0</v>
      </c>
      <c r="F52" s="761"/>
      <c r="G52" s="961">
        <f>ROUND(IF(应收票据!$E$5&lt;&gt;0,F52/应收票据!$E$5*100,0),2)</f>
        <v>0</v>
      </c>
      <c r="H52" s="338"/>
      <c r="I52" s="338"/>
      <c r="J52" s="162">
        <v>7</v>
      </c>
    </row>
    <row r="53" spans="1:10">
      <c r="A53" s="162">
        <v>8</v>
      </c>
      <c r="B53" s="162">
        <v>34</v>
      </c>
      <c r="C53" s="338"/>
      <c r="D53" s="761"/>
      <c r="E53" s="961">
        <f>ROUND(IF(应收票据!$D$5&lt;&gt;0,D53/应收票据!$D$5*100,0),2)</f>
        <v>0</v>
      </c>
      <c r="F53" s="761"/>
      <c r="G53" s="961">
        <f>ROUND(IF(应收票据!$E$5&lt;&gt;0,F53/应收票据!$E$5*100,0),2)</f>
        <v>0</v>
      </c>
      <c r="H53" s="338"/>
      <c r="I53" s="338"/>
      <c r="J53" s="162">
        <v>8</v>
      </c>
    </row>
    <row r="54" spans="1:10">
      <c r="A54" s="162">
        <v>9</v>
      </c>
      <c r="B54" s="162">
        <v>35</v>
      </c>
      <c r="C54" s="338"/>
      <c r="D54" s="761"/>
      <c r="E54" s="961">
        <f>ROUND(IF(应收票据!$D$5&lt;&gt;0,D54/应收票据!$D$5*100,0),2)</f>
        <v>0</v>
      </c>
      <c r="F54" s="761"/>
      <c r="G54" s="961">
        <f>ROUND(IF(应收票据!$E$5&lt;&gt;0,F54/应收票据!$E$5*100,0),2)</f>
        <v>0</v>
      </c>
      <c r="H54" s="338"/>
      <c r="I54" s="338"/>
      <c r="J54" s="162">
        <v>9</v>
      </c>
    </row>
    <row r="55" spans="1:10">
      <c r="A55" s="162">
        <v>10</v>
      </c>
      <c r="B55" s="162">
        <v>36</v>
      </c>
      <c r="C55" s="338"/>
      <c r="D55" s="761"/>
      <c r="E55" s="961">
        <f>ROUND(IF(应收票据!$D$5&lt;&gt;0,D55/应收票据!$D$5*100,0),2)</f>
        <v>0</v>
      </c>
      <c r="F55" s="761"/>
      <c r="G55" s="961">
        <f>ROUND(IF(应收票据!$E$5&lt;&gt;0,F55/应收票据!$E$5*100,0),2)</f>
        <v>0</v>
      </c>
      <c r="H55" s="338"/>
      <c r="I55" s="338"/>
      <c r="J55" s="162">
        <v>10</v>
      </c>
    </row>
    <row r="56" spans="1:10">
      <c r="A56" s="162">
        <v>11</v>
      </c>
      <c r="B56" s="162">
        <v>37</v>
      </c>
      <c r="C56" s="338"/>
      <c r="D56" s="761"/>
      <c r="E56" s="961">
        <f>ROUND(IF(应收票据!$D$5&lt;&gt;0,D56/应收票据!$D$5*100,0),2)</f>
        <v>0</v>
      </c>
      <c r="F56" s="761"/>
      <c r="G56" s="961">
        <f>ROUND(IF(应收票据!$E$5&lt;&gt;0,F56/应收票据!$E$5*100,0),2)</f>
        <v>0</v>
      </c>
      <c r="H56" s="338"/>
      <c r="I56" s="338"/>
      <c r="J56" s="162">
        <v>11</v>
      </c>
    </row>
    <row r="57" spans="1:10">
      <c r="A57" s="162">
        <v>12</v>
      </c>
      <c r="B57" s="162">
        <v>38</v>
      </c>
      <c r="C57" s="338"/>
      <c r="D57" s="761"/>
      <c r="E57" s="961">
        <f>ROUND(IF(应收票据!$D$5&lt;&gt;0,D57/应收票据!$D$5*100,0),2)</f>
        <v>0</v>
      </c>
      <c r="F57" s="761"/>
      <c r="G57" s="961">
        <f>ROUND(IF(应收票据!$E$5&lt;&gt;0,F57/应收票据!$E$5*100,0),2)</f>
        <v>0</v>
      </c>
      <c r="H57" s="338"/>
      <c r="I57" s="338"/>
      <c r="J57" s="162">
        <v>12</v>
      </c>
    </row>
    <row r="58" spans="1:10">
      <c r="A58" s="162">
        <v>13</v>
      </c>
      <c r="B58" s="162">
        <v>39</v>
      </c>
      <c r="C58" s="338"/>
      <c r="D58" s="761"/>
      <c r="E58" s="961">
        <f>ROUND(IF(应收票据!$D$5&lt;&gt;0,D58/应收票据!$D$5*100,0),2)</f>
        <v>0</v>
      </c>
      <c r="F58" s="761"/>
      <c r="G58" s="961">
        <f>ROUND(IF(应收票据!$E$5&lt;&gt;0,F58/应收票据!$E$5*100,0),2)</f>
        <v>0</v>
      </c>
      <c r="H58" s="338"/>
      <c r="I58" s="338"/>
      <c r="J58" s="162">
        <v>13</v>
      </c>
    </row>
    <row r="59" spans="1:10">
      <c r="A59" s="162">
        <v>14</v>
      </c>
      <c r="B59" s="162">
        <v>40</v>
      </c>
      <c r="C59" s="338"/>
      <c r="D59" s="761"/>
      <c r="E59" s="961">
        <f>ROUND(IF(应收票据!$D$5&lt;&gt;0,D59/应收票据!$D$5*100,0),2)</f>
        <v>0</v>
      </c>
      <c r="F59" s="761"/>
      <c r="G59" s="961">
        <f>ROUND(IF(应收票据!$E$5&lt;&gt;0,F59/应收票据!$E$5*100,0),2)</f>
        <v>0</v>
      </c>
      <c r="H59" s="338"/>
      <c r="I59" s="338"/>
      <c r="J59" s="162">
        <v>14</v>
      </c>
    </row>
    <row r="60" spans="1:10">
      <c r="A60" s="162">
        <v>15</v>
      </c>
      <c r="B60" s="162">
        <v>41</v>
      </c>
      <c r="C60" s="338"/>
      <c r="D60" s="761"/>
      <c r="E60" s="961">
        <f>ROUND(IF(应收票据!$D$5&lt;&gt;0,D60/应收票据!$D$5*100,0),2)</f>
        <v>0</v>
      </c>
      <c r="F60" s="761"/>
      <c r="G60" s="961">
        <f>ROUND(IF(应收票据!$E$5&lt;&gt;0,F60/应收票据!$E$5*100,0),2)</f>
        <v>0</v>
      </c>
      <c r="H60" s="338"/>
      <c r="I60" s="338"/>
      <c r="J60" s="162">
        <v>15</v>
      </c>
    </row>
    <row r="61" spans="1:10">
      <c r="A61" s="162">
        <v>16</v>
      </c>
      <c r="B61" s="162">
        <v>42</v>
      </c>
      <c r="C61" s="338"/>
      <c r="D61" s="761"/>
      <c r="E61" s="961">
        <f>ROUND(IF(应收票据!$D$5&lt;&gt;0,D61/应收票据!$D$5*100,0),2)</f>
        <v>0</v>
      </c>
      <c r="F61" s="761"/>
      <c r="G61" s="961">
        <f>ROUND(IF(应收票据!$E$5&lt;&gt;0,F61/应收票据!$E$5*100,0),2)</f>
        <v>0</v>
      </c>
      <c r="H61" s="338"/>
      <c r="I61" s="338"/>
      <c r="J61" s="162">
        <v>16</v>
      </c>
    </row>
    <row r="62" spans="1:10">
      <c r="B62" s="162">
        <v>43</v>
      </c>
      <c r="C62" s="889" t="s">
        <v>1005</v>
      </c>
      <c r="D62" s="961">
        <f>SUM(D46:D61)</f>
        <v>0</v>
      </c>
      <c r="E62" s="961">
        <f>SUM(E46:E61)</f>
        <v>0</v>
      </c>
      <c r="F62" s="961">
        <f>SUM(F46:F61)</f>
        <v>0</v>
      </c>
      <c r="G62" s="961">
        <f>SUM(G46:G61)</f>
        <v>0</v>
      </c>
      <c r="H62" s="338"/>
      <c r="I62" s="338"/>
    </row>
    <row r="63" spans="1:10">
      <c r="B63" s="162">
        <v>44</v>
      </c>
      <c r="C63" s="889" t="s">
        <v>2688</v>
      </c>
      <c r="D63" s="761"/>
      <c r="E63" s="961">
        <f>IF(应收票据!$D$5&lt;&gt;0,D62/应收票据!$D$5*100,0)-E62</f>
        <v>0</v>
      </c>
      <c r="F63" s="761"/>
      <c r="G63" s="961">
        <f>IF(应收票据!$E$5&lt;&gt;0,F62/应收票据!$E$5*100,0)-G62</f>
        <v>0</v>
      </c>
      <c r="H63" s="338"/>
      <c r="I63" s="338"/>
    </row>
    <row r="64" spans="1:10">
      <c r="A64" s="1001" t="str">
        <f>HYPERLINK("#C1","置顶")</f>
        <v>置顶</v>
      </c>
      <c r="B64" s="162">
        <v>45</v>
      </c>
      <c r="C64" s="338" t="s">
        <v>3488</v>
      </c>
      <c r="D64" s="761"/>
      <c r="E64" s="761"/>
      <c r="F64" s="761"/>
      <c r="G64" s="761"/>
      <c r="H64" s="338"/>
      <c r="I64" s="338"/>
    </row>
    <row r="65" spans="1:10">
      <c r="A65" s="162">
        <v>1</v>
      </c>
      <c r="B65" s="162">
        <v>46</v>
      </c>
      <c r="C65" s="338"/>
      <c r="D65" s="761"/>
      <c r="E65" s="961">
        <f>ROUND(IF(预付账款!$D$9&lt;&gt;0,D65/预付账款!$D$9*100,0),2)</f>
        <v>0</v>
      </c>
      <c r="F65" s="761"/>
      <c r="G65" s="961">
        <f>ROUND(IF(预付账款!$G$9&lt;&gt;0,F65/预付账款!$G$9*100,0),2)</f>
        <v>0</v>
      </c>
      <c r="H65" s="338"/>
      <c r="I65" s="338"/>
      <c r="J65" s="162">
        <v>1</v>
      </c>
    </row>
    <row r="66" spans="1:10">
      <c r="A66" s="162">
        <v>2</v>
      </c>
      <c r="B66" s="162">
        <v>47</v>
      </c>
      <c r="C66" s="338"/>
      <c r="D66" s="761"/>
      <c r="E66" s="961">
        <f>ROUND(IF(预付账款!$D$9&lt;&gt;0,D66/预付账款!$D$9*100,0),2)</f>
        <v>0</v>
      </c>
      <c r="F66" s="761"/>
      <c r="G66" s="961">
        <f>ROUND(IF(预付账款!$G$9&lt;&gt;0,F66/预付账款!$G$9*100,0),2)</f>
        <v>0</v>
      </c>
      <c r="H66" s="338"/>
      <c r="I66" s="338"/>
      <c r="J66" s="162">
        <v>2</v>
      </c>
    </row>
    <row r="67" spans="1:10">
      <c r="A67" s="162">
        <v>3</v>
      </c>
      <c r="B67" s="162">
        <v>48</v>
      </c>
      <c r="C67" s="338"/>
      <c r="D67" s="761"/>
      <c r="E67" s="961">
        <f>ROUND(IF(预付账款!$D$9&lt;&gt;0,D67/预付账款!$D$9*100,0),2)</f>
        <v>0</v>
      </c>
      <c r="F67" s="761"/>
      <c r="G67" s="961">
        <f>ROUND(IF(预付账款!$G$9&lt;&gt;0,F67/预付账款!$G$9*100,0),2)</f>
        <v>0</v>
      </c>
      <c r="H67" s="338"/>
      <c r="I67" s="338"/>
      <c r="J67" s="162">
        <v>3</v>
      </c>
    </row>
    <row r="68" spans="1:10">
      <c r="A68" s="162">
        <v>4</v>
      </c>
      <c r="B68" s="162">
        <v>49</v>
      </c>
      <c r="C68" s="338"/>
      <c r="D68" s="761"/>
      <c r="E68" s="961">
        <f>ROUND(IF(预付账款!$D$9&lt;&gt;0,D68/预付账款!$D$9*100,0),2)</f>
        <v>0</v>
      </c>
      <c r="F68" s="761"/>
      <c r="G68" s="961">
        <f>ROUND(IF(预付账款!$G$9&lt;&gt;0,F68/预付账款!$G$9*100,0),2)</f>
        <v>0</v>
      </c>
      <c r="H68" s="338"/>
      <c r="I68" s="338"/>
      <c r="J68" s="162">
        <v>4</v>
      </c>
    </row>
    <row r="69" spans="1:10">
      <c r="A69" s="162">
        <v>5</v>
      </c>
      <c r="B69" s="162">
        <v>50</v>
      </c>
      <c r="C69" s="338"/>
      <c r="D69" s="761"/>
      <c r="E69" s="961">
        <f>ROUND(IF(预付账款!$D$9&lt;&gt;0,D69/预付账款!$D$9*100,0),2)</f>
        <v>0</v>
      </c>
      <c r="F69" s="761"/>
      <c r="G69" s="961">
        <f>ROUND(IF(预付账款!$G$9&lt;&gt;0,F69/预付账款!$G$9*100,0),2)</f>
        <v>0</v>
      </c>
      <c r="H69" s="338"/>
      <c r="I69" s="338"/>
      <c r="J69" s="162">
        <v>5</v>
      </c>
    </row>
    <row r="70" spans="1:10">
      <c r="A70" s="162">
        <v>6</v>
      </c>
      <c r="B70" s="162">
        <v>51</v>
      </c>
      <c r="C70" s="338"/>
      <c r="D70" s="761"/>
      <c r="E70" s="961">
        <f>ROUND(IF(预付账款!$D$9&lt;&gt;0,D70/预付账款!$D$9*100,0),2)</f>
        <v>0</v>
      </c>
      <c r="F70" s="761"/>
      <c r="G70" s="961">
        <f>ROUND(IF(预付账款!$G$9&lt;&gt;0,F70/预付账款!$G$9*100,0),2)</f>
        <v>0</v>
      </c>
      <c r="H70" s="338"/>
      <c r="I70" s="338"/>
      <c r="J70" s="162">
        <v>6</v>
      </c>
    </row>
    <row r="71" spans="1:10">
      <c r="A71" s="162">
        <v>7</v>
      </c>
      <c r="B71" s="162">
        <v>52</v>
      </c>
      <c r="C71" s="338"/>
      <c r="D71" s="761"/>
      <c r="E71" s="961">
        <f>ROUND(IF(预付账款!$D$9&lt;&gt;0,D71/预付账款!$D$9*100,0),2)</f>
        <v>0</v>
      </c>
      <c r="F71" s="761"/>
      <c r="G71" s="961">
        <f>ROUND(IF(预付账款!$G$9&lt;&gt;0,F71/预付账款!$G$9*100,0),2)</f>
        <v>0</v>
      </c>
      <c r="H71" s="338"/>
      <c r="I71" s="338"/>
      <c r="J71" s="162">
        <v>7</v>
      </c>
    </row>
    <row r="72" spans="1:10">
      <c r="A72" s="162">
        <v>8</v>
      </c>
      <c r="B72" s="162">
        <v>53</v>
      </c>
      <c r="C72" s="338"/>
      <c r="D72" s="761"/>
      <c r="E72" s="961">
        <f>ROUND(IF(预付账款!$D$9&lt;&gt;0,D72/预付账款!$D$9*100,0),2)</f>
        <v>0</v>
      </c>
      <c r="F72" s="761"/>
      <c r="G72" s="961">
        <f>ROUND(IF(预付账款!$G$9&lt;&gt;0,F72/预付账款!$G$9*100,0),2)</f>
        <v>0</v>
      </c>
      <c r="H72" s="338"/>
      <c r="I72" s="338"/>
      <c r="J72" s="162">
        <v>8</v>
      </c>
    </row>
    <row r="73" spans="1:10">
      <c r="A73" s="162">
        <v>9</v>
      </c>
      <c r="B73" s="162">
        <v>54</v>
      </c>
      <c r="C73" s="338"/>
      <c r="D73" s="761"/>
      <c r="E73" s="961">
        <f>ROUND(IF(预付账款!$D$9&lt;&gt;0,D73/预付账款!$D$9*100,0),2)</f>
        <v>0</v>
      </c>
      <c r="F73" s="761"/>
      <c r="G73" s="961">
        <f>ROUND(IF(预付账款!$G$9&lt;&gt;0,F73/预付账款!$G$9*100,0),2)</f>
        <v>0</v>
      </c>
      <c r="H73" s="338"/>
      <c r="I73" s="338"/>
      <c r="J73" s="162">
        <v>9</v>
      </c>
    </row>
    <row r="74" spans="1:10">
      <c r="A74" s="162">
        <v>10</v>
      </c>
      <c r="B74" s="162">
        <v>55</v>
      </c>
      <c r="C74" s="338"/>
      <c r="D74" s="761"/>
      <c r="E74" s="961">
        <f>ROUND(IF(预付账款!$D$9&lt;&gt;0,D74/预付账款!$D$9*100,0),2)</f>
        <v>0</v>
      </c>
      <c r="F74" s="761"/>
      <c r="G74" s="961">
        <f>ROUND(IF(预付账款!$G$9&lt;&gt;0,F74/预付账款!$G$9*100,0),2)</f>
        <v>0</v>
      </c>
      <c r="H74" s="338"/>
      <c r="I74" s="338"/>
      <c r="J74" s="162">
        <v>10</v>
      </c>
    </row>
    <row r="75" spans="1:10">
      <c r="A75" s="162">
        <v>11</v>
      </c>
      <c r="B75" s="162">
        <v>56</v>
      </c>
      <c r="C75" s="338"/>
      <c r="D75" s="761"/>
      <c r="E75" s="961">
        <f>ROUND(IF(预付账款!$D$9&lt;&gt;0,D75/预付账款!$D$9*100,0),2)</f>
        <v>0</v>
      </c>
      <c r="F75" s="761"/>
      <c r="G75" s="961">
        <f>ROUND(IF(预付账款!$G$9&lt;&gt;0,F75/预付账款!$G$9*100,0),2)</f>
        <v>0</v>
      </c>
      <c r="H75" s="338"/>
      <c r="I75" s="338"/>
      <c r="J75" s="162">
        <v>11</v>
      </c>
    </row>
    <row r="76" spans="1:10">
      <c r="A76" s="162">
        <v>12</v>
      </c>
      <c r="B76" s="162">
        <v>57</v>
      </c>
      <c r="C76" s="338"/>
      <c r="D76" s="761"/>
      <c r="E76" s="961">
        <f>ROUND(IF(预付账款!$D$9&lt;&gt;0,D76/预付账款!$D$9*100,0),2)</f>
        <v>0</v>
      </c>
      <c r="F76" s="761"/>
      <c r="G76" s="961">
        <f>ROUND(IF(预付账款!$G$9&lt;&gt;0,F76/预付账款!$G$9*100,0),2)</f>
        <v>0</v>
      </c>
      <c r="H76" s="338"/>
      <c r="I76" s="338"/>
      <c r="J76" s="162">
        <v>12</v>
      </c>
    </row>
    <row r="77" spans="1:10">
      <c r="A77" s="162">
        <v>13</v>
      </c>
      <c r="B77" s="162">
        <v>58</v>
      </c>
      <c r="C77" s="338"/>
      <c r="D77" s="761"/>
      <c r="E77" s="961">
        <f>ROUND(IF(预付账款!$D$9&lt;&gt;0,D77/预付账款!$D$9*100,0),2)</f>
        <v>0</v>
      </c>
      <c r="F77" s="761"/>
      <c r="G77" s="961">
        <f>ROUND(IF(预付账款!$G$9&lt;&gt;0,F77/预付账款!$G$9*100,0),2)</f>
        <v>0</v>
      </c>
      <c r="H77" s="338"/>
      <c r="I77" s="338"/>
      <c r="J77" s="162">
        <v>13</v>
      </c>
    </row>
    <row r="78" spans="1:10">
      <c r="A78" s="162">
        <v>14</v>
      </c>
      <c r="B78" s="162">
        <v>59</v>
      </c>
      <c r="C78" s="338"/>
      <c r="D78" s="761"/>
      <c r="E78" s="961">
        <f>ROUND(IF(预付账款!$D$9&lt;&gt;0,D78/预付账款!$D$9*100,0),2)</f>
        <v>0</v>
      </c>
      <c r="F78" s="761"/>
      <c r="G78" s="961">
        <f>ROUND(IF(预付账款!$G$9&lt;&gt;0,F78/预付账款!$G$9*100,0),2)</f>
        <v>0</v>
      </c>
      <c r="H78" s="338"/>
      <c r="I78" s="338"/>
      <c r="J78" s="162">
        <v>14</v>
      </c>
    </row>
    <row r="79" spans="1:10">
      <c r="A79" s="162">
        <v>15</v>
      </c>
      <c r="B79" s="162">
        <v>60</v>
      </c>
      <c r="C79" s="889"/>
      <c r="D79" s="761"/>
      <c r="E79" s="961">
        <f>ROUND(IF(预付账款!$D$9&lt;&gt;0,D79/预付账款!$D$9*100,0),2)</f>
        <v>0</v>
      </c>
      <c r="F79" s="761"/>
      <c r="G79" s="961">
        <f>ROUND(IF(预付账款!$G$9&lt;&gt;0,F79/预付账款!$G$9*100,0),2)</f>
        <v>0</v>
      </c>
      <c r="H79" s="338"/>
      <c r="I79" s="338"/>
      <c r="J79" s="162">
        <v>15</v>
      </c>
    </row>
    <row r="80" spans="1:10">
      <c r="A80" s="162">
        <v>16</v>
      </c>
      <c r="B80" s="162">
        <v>61</v>
      </c>
      <c r="C80" s="338"/>
      <c r="D80" s="761"/>
      <c r="E80" s="961">
        <f>ROUND(IF(预付账款!$D$9&lt;&gt;0,D80/预付账款!$D$9*100,0),2)</f>
        <v>0</v>
      </c>
      <c r="F80" s="761"/>
      <c r="G80" s="961">
        <f>ROUND(IF(预付账款!$G$9&lt;&gt;0,F80/预付账款!$G$9*100,0),2)</f>
        <v>0</v>
      </c>
      <c r="H80" s="338"/>
      <c r="I80" s="338"/>
      <c r="J80" s="162">
        <v>16</v>
      </c>
    </row>
    <row r="81" spans="1:10">
      <c r="B81" s="162">
        <v>62</v>
      </c>
      <c r="C81" s="889" t="s">
        <v>1005</v>
      </c>
      <c r="D81" s="961">
        <f>SUM(D65:D80)</f>
        <v>0</v>
      </c>
      <c r="E81" s="961">
        <f>SUM(E65:E80)</f>
        <v>0</v>
      </c>
      <c r="F81" s="961">
        <f>SUM(F65:F80)</f>
        <v>0</v>
      </c>
      <c r="G81" s="961">
        <f>SUM(G65:G80)</f>
        <v>0</v>
      </c>
      <c r="H81" s="338"/>
      <c r="I81" s="338"/>
    </row>
    <row r="82" spans="1:10">
      <c r="B82" s="162">
        <v>63</v>
      </c>
      <c r="C82" s="889" t="s">
        <v>2688</v>
      </c>
      <c r="D82" s="761"/>
      <c r="E82" s="961">
        <f>IF(预付账款!$D$9&lt;&gt;0,D81/预付账款!$D$9*100,0)-E81</f>
        <v>0</v>
      </c>
      <c r="F82" s="761"/>
      <c r="G82" s="961">
        <f>IF(预付账款!$G$9&lt;&gt;0,F81/预付账款!$G$9*100,0)-G81</f>
        <v>0</v>
      </c>
      <c r="H82" s="338"/>
      <c r="I82" s="338"/>
    </row>
    <row r="83" spans="1:10">
      <c r="A83" s="1001" t="str">
        <f>HYPERLINK("#C1","置顶")</f>
        <v>置顶</v>
      </c>
      <c r="B83" s="162">
        <v>64</v>
      </c>
      <c r="C83" s="338" t="s">
        <v>3489</v>
      </c>
      <c r="D83" s="761"/>
      <c r="E83" s="761"/>
      <c r="F83" s="761"/>
      <c r="G83" s="761"/>
      <c r="H83" s="338"/>
      <c r="I83" s="338"/>
    </row>
    <row r="84" spans="1:10">
      <c r="A84" s="162">
        <v>1</v>
      </c>
      <c r="B84" s="162">
        <v>65</v>
      </c>
      <c r="C84" s="338"/>
      <c r="D84" s="761"/>
      <c r="E84" s="961">
        <f>ROUND(IF(其他应收款!$D$10&lt;&gt;0,D84/其他应收款!$D$10*100,0),2)</f>
        <v>0</v>
      </c>
      <c r="F84" s="761"/>
      <c r="G84" s="961">
        <f>ROUND(IF(其他应收款!$D$21&lt;&gt;0,F84/其他应收款!$D$21*100,0),2)</f>
        <v>0</v>
      </c>
      <c r="H84" s="338"/>
      <c r="I84" s="338"/>
      <c r="J84" s="162">
        <v>1</v>
      </c>
    </row>
    <row r="85" spans="1:10">
      <c r="A85" s="162">
        <v>2</v>
      </c>
      <c r="B85" s="162">
        <v>66</v>
      </c>
      <c r="C85" s="338"/>
      <c r="D85" s="761"/>
      <c r="E85" s="961">
        <f>ROUND(IF(其他应收款!$D$10&lt;&gt;0,D85/其他应收款!$D$10*100,0),2)</f>
        <v>0</v>
      </c>
      <c r="F85" s="761"/>
      <c r="G85" s="961">
        <f>ROUND(IF(其他应收款!$D$21&lt;&gt;0,F85/其他应收款!$D$21*100,0),2)</f>
        <v>0</v>
      </c>
      <c r="H85" s="338"/>
      <c r="I85" s="338"/>
      <c r="J85" s="162">
        <v>2</v>
      </c>
    </row>
    <row r="86" spans="1:10">
      <c r="A86" s="162">
        <v>3</v>
      </c>
      <c r="B86" s="162">
        <v>67</v>
      </c>
      <c r="C86" s="338"/>
      <c r="D86" s="761"/>
      <c r="E86" s="961">
        <f>ROUND(IF(其他应收款!$D$10&lt;&gt;0,D86/其他应收款!$D$10*100,0),2)</f>
        <v>0</v>
      </c>
      <c r="F86" s="761"/>
      <c r="G86" s="961">
        <f>ROUND(IF(其他应收款!$D$21&lt;&gt;0,F86/其他应收款!$D$21*100,0),2)</f>
        <v>0</v>
      </c>
      <c r="H86" s="338"/>
      <c r="I86" s="338"/>
      <c r="J86" s="162">
        <v>3</v>
      </c>
    </row>
    <row r="87" spans="1:10">
      <c r="A87" s="162">
        <v>4</v>
      </c>
      <c r="B87" s="162">
        <v>68</v>
      </c>
      <c r="C87" s="338"/>
      <c r="D87" s="761"/>
      <c r="E87" s="961">
        <f>ROUND(IF(其他应收款!$D$10&lt;&gt;0,D87/其他应收款!$D$10*100,0),2)</f>
        <v>0</v>
      </c>
      <c r="F87" s="761"/>
      <c r="G87" s="961">
        <f>ROUND(IF(其他应收款!$D$21&lt;&gt;0,F87/其他应收款!$D$21*100,0),2)</f>
        <v>0</v>
      </c>
      <c r="H87" s="338"/>
      <c r="I87" s="338"/>
      <c r="J87" s="162">
        <v>4</v>
      </c>
    </row>
    <row r="88" spans="1:10">
      <c r="A88" s="162">
        <v>5</v>
      </c>
      <c r="B88" s="162">
        <v>69</v>
      </c>
      <c r="C88" s="338"/>
      <c r="D88" s="761"/>
      <c r="E88" s="961">
        <f>ROUND(IF(其他应收款!$D$10&lt;&gt;0,D88/其他应收款!$D$10*100,0),2)</f>
        <v>0</v>
      </c>
      <c r="F88" s="761"/>
      <c r="G88" s="961">
        <f>ROUND(IF(其他应收款!$D$21&lt;&gt;0,F88/其他应收款!$D$21*100,0),2)</f>
        <v>0</v>
      </c>
      <c r="H88" s="338"/>
      <c r="I88" s="338"/>
      <c r="J88" s="162">
        <v>5</v>
      </c>
    </row>
    <row r="89" spans="1:10">
      <c r="A89" s="162">
        <v>6</v>
      </c>
      <c r="B89" s="162">
        <v>70</v>
      </c>
      <c r="C89" s="338"/>
      <c r="D89" s="761"/>
      <c r="E89" s="961">
        <f>ROUND(IF(其他应收款!$D$10&lt;&gt;0,D89/其他应收款!$D$10*100,0),2)</f>
        <v>0</v>
      </c>
      <c r="F89" s="761"/>
      <c r="G89" s="961">
        <f>ROUND(IF(其他应收款!$D$21&lt;&gt;0,F89/其他应收款!$D$21*100,0),2)</f>
        <v>0</v>
      </c>
      <c r="H89" s="338"/>
      <c r="I89" s="338"/>
      <c r="J89" s="162">
        <v>6</v>
      </c>
    </row>
    <row r="90" spans="1:10">
      <c r="A90" s="162">
        <v>7</v>
      </c>
      <c r="B90" s="162">
        <v>71</v>
      </c>
      <c r="C90" s="338"/>
      <c r="D90" s="761"/>
      <c r="E90" s="961">
        <f>ROUND(IF(其他应收款!$D$10&lt;&gt;0,D90/其他应收款!$D$10*100,0),2)</f>
        <v>0</v>
      </c>
      <c r="F90" s="761"/>
      <c r="G90" s="961">
        <f>ROUND(IF(其他应收款!$D$21&lt;&gt;0,F90/其他应收款!$D$21*100,0),2)</f>
        <v>0</v>
      </c>
      <c r="H90" s="338"/>
      <c r="I90" s="338"/>
      <c r="J90" s="162">
        <v>7</v>
      </c>
    </row>
    <row r="91" spans="1:10">
      <c r="A91" s="162">
        <v>8</v>
      </c>
      <c r="B91" s="162">
        <v>72</v>
      </c>
      <c r="C91" s="338"/>
      <c r="D91" s="761"/>
      <c r="E91" s="961">
        <f>ROUND(IF(其他应收款!$D$10&lt;&gt;0,D91/其他应收款!$D$10*100,0),2)</f>
        <v>0</v>
      </c>
      <c r="F91" s="761"/>
      <c r="G91" s="961">
        <f>ROUND(IF(其他应收款!$D$21&lt;&gt;0,F91/其他应收款!$D$21*100,0),2)</f>
        <v>0</v>
      </c>
      <c r="H91" s="338"/>
      <c r="I91" s="338"/>
      <c r="J91" s="162">
        <v>8</v>
      </c>
    </row>
    <row r="92" spans="1:10">
      <c r="A92" s="162">
        <v>9</v>
      </c>
      <c r="B92" s="162">
        <v>73</v>
      </c>
      <c r="C92" s="338"/>
      <c r="D92" s="761"/>
      <c r="E92" s="961">
        <f>ROUND(IF(其他应收款!$D$10&lt;&gt;0,D92/其他应收款!$D$10*100,0),2)</f>
        <v>0</v>
      </c>
      <c r="F92" s="761"/>
      <c r="G92" s="961">
        <f>ROUND(IF(其他应收款!$D$21&lt;&gt;0,F92/其他应收款!$D$21*100,0),2)</f>
        <v>0</v>
      </c>
      <c r="H92" s="338"/>
      <c r="I92" s="338"/>
      <c r="J92" s="162">
        <v>9</v>
      </c>
    </row>
    <row r="93" spans="1:10">
      <c r="A93" s="162">
        <v>10</v>
      </c>
      <c r="B93" s="162">
        <v>74</v>
      </c>
      <c r="C93" s="338"/>
      <c r="D93" s="761"/>
      <c r="E93" s="961">
        <f>ROUND(IF(其他应收款!$D$10&lt;&gt;0,D93/其他应收款!$D$10*100,0),2)</f>
        <v>0</v>
      </c>
      <c r="F93" s="761"/>
      <c r="G93" s="961">
        <f>ROUND(IF(其他应收款!$D$21&lt;&gt;0,F93/其他应收款!$D$21*100,0),2)</f>
        <v>0</v>
      </c>
      <c r="H93" s="338"/>
      <c r="I93" s="338"/>
      <c r="J93" s="162">
        <v>10</v>
      </c>
    </row>
    <row r="94" spans="1:10">
      <c r="A94" s="162">
        <v>11</v>
      </c>
      <c r="B94" s="162">
        <v>75</v>
      </c>
      <c r="C94" s="338"/>
      <c r="D94" s="761"/>
      <c r="E94" s="961">
        <f>ROUND(IF(其他应收款!$D$10&lt;&gt;0,D94/其他应收款!$D$10*100,0),2)</f>
        <v>0</v>
      </c>
      <c r="F94" s="761"/>
      <c r="G94" s="961">
        <f>ROUND(IF(其他应收款!$D$21&lt;&gt;0,F94/其他应收款!$D$21*100,0),2)</f>
        <v>0</v>
      </c>
      <c r="H94" s="338"/>
      <c r="I94" s="338"/>
      <c r="J94" s="162">
        <v>11</v>
      </c>
    </row>
    <row r="95" spans="1:10">
      <c r="A95" s="162">
        <v>12</v>
      </c>
      <c r="B95" s="162">
        <v>76</v>
      </c>
      <c r="C95" s="338"/>
      <c r="D95" s="761"/>
      <c r="E95" s="961">
        <f>ROUND(IF(其他应收款!$D$10&lt;&gt;0,D95/其他应收款!$D$10*100,0),2)</f>
        <v>0</v>
      </c>
      <c r="F95" s="761"/>
      <c r="G95" s="961">
        <f>ROUND(IF(其他应收款!$D$21&lt;&gt;0,F95/其他应收款!$D$21*100,0),2)</f>
        <v>0</v>
      </c>
      <c r="H95" s="338"/>
      <c r="I95" s="338"/>
      <c r="J95" s="162">
        <v>12</v>
      </c>
    </row>
    <row r="96" spans="1:10">
      <c r="A96" s="162">
        <v>13</v>
      </c>
      <c r="B96" s="162">
        <v>77</v>
      </c>
      <c r="C96" s="338"/>
      <c r="D96" s="761"/>
      <c r="E96" s="961">
        <f>ROUND(IF(其他应收款!$D$10&lt;&gt;0,D96/其他应收款!$D$10*100,0),2)</f>
        <v>0</v>
      </c>
      <c r="F96" s="761"/>
      <c r="G96" s="961">
        <f>ROUND(IF(其他应收款!$D$21&lt;&gt;0,F96/其他应收款!$D$21*100,0),2)</f>
        <v>0</v>
      </c>
      <c r="H96" s="338"/>
      <c r="I96" s="338"/>
      <c r="J96" s="162">
        <v>13</v>
      </c>
    </row>
    <row r="97" spans="1:10">
      <c r="A97" s="162">
        <v>14</v>
      </c>
      <c r="B97" s="162">
        <v>78</v>
      </c>
      <c r="C97" s="338"/>
      <c r="D97" s="761"/>
      <c r="E97" s="961">
        <f>ROUND(IF(其他应收款!$D$10&lt;&gt;0,D97/其他应收款!$D$10*100,0),2)</f>
        <v>0</v>
      </c>
      <c r="F97" s="761"/>
      <c r="G97" s="961">
        <f>ROUND(IF(其他应收款!$D$21&lt;&gt;0,F97/其他应收款!$D$21*100,0),2)</f>
        <v>0</v>
      </c>
      <c r="H97" s="338"/>
      <c r="I97" s="338"/>
      <c r="J97" s="162">
        <v>14</v>
      </c>
    </row>
    <row r="98" spans="1:10">
      <c r="A98" s="162">
        <v>15</v>
      </c>
      <c r="B98" s="162">
        <v>79</v>
      </c>
      <c r="C98" s="338"/>
      <c r="D98" s="761"/>
      <c r="E98" s="961">
        <f>ROUND(IF(其他应收款!$D$10&lt;&gt;0,D98/其他应收款!$D$10*100,0),2)</f>
        <v>0</v>
      </c>
      <c r="F98" s="761"/>
      <c r="G98" s="961">
        <f>ROUND(IF(其他应收款!$D$21&lt;&gt;0,F98/其他应收款!$D$21*100,0),2)</f>
        <v>0</v>
      </c>
      <c r="H98" s="338"/>
      <c r="I98" s="338"/>
      <c r="J98" s="162">
        <v>15</v>
      </c>
    </row>
    <row r="99" spans="1:10" ht="11.25" customHeight="1">
      <c r="A99" s="162">
        <v>16</v>
      </c>
      <c r="B99" s="162">
        <v>80</v>
      </c>
      <c r="C99" s="338"/>
      <c r="D99" s="761"/>
      <c r="E99" s="961">
        <f>ROUND(IF(其他应收款!$D$10&lt;&gt;0,D99/其他应收款!$D$10*100,0),2)</f>
        <v>0</v>
      </c>
      <c r="F99" s="761"/>
      <c r="G99" s="961">
        <f>ROUND(IF(其他应收款!$D$21&lt;&gt;0,F99/其他应收款!$D$21*100,0),2)</f>
        <v>0</v>
      </c>
      <c r="H99" s="338"/>
      <c r="I99" s="338"/>
      <c r="J99" s="162">
        <v>16</v>
      </c>
    </row>
    <row r="100" spans="1:10">
      <c r="B100" s="162">
        <v>81</v>
      </c>
      <c r="C100" s="889" t="s">
        <v>1005</v>
      </c>
      <c r="D100" s="961">
        <f>SUM(D84:D99)</f>
        <v>0</v>
      </c>
      <c r="E100" s="961">
        <f>SUM(E84:E99)</f>
        <v>0</v>
      </c>
      <c r="F100" s="961">
        <f>SUM(F84:F99)</f>
        <v>0</v>
      </c>
      <c r="G100" s="961">
        <f>SUM(G84:G99)</f>
        <v>0</v>
      </c>
      <c r="H100" s="338"/>
      <c r="I100" s="338"/>
    </row>
    <row r="101" spans="1:10">
      <c r="B101" s="162">
        <v>82</v>
      </c>
      <c r="C101" s="889" t="s">
        <v>2688</v>
      </c>
      <c r="D101" s="761"/>
      <c r="E101" s="961">
        <f>IF(其他应收款!$D$10&lt;&gt;0,D100/其他应收款!$D$10*100,0)-E100</f>
        <v>0</v>
      </c>
      <c r="F101" s="761"/>
      <c r="G101" s="961">
        <f>IF(其他应收款!$D$21&lt;&gt;0,F100/其他应收款!$D$21*100,0)-G100</f>
        <v>0</v>
      </c>
      <c r="H101" s="338"/>
      <c r="I101" s="338"/>
    </row>
    <row r="102" spans="1:10">
      <c r="A102" s="1001" t="str">
        <f>HYPERLINK("#C1","置顶")</f>
        <v>置顶</v>
      </c>
      <c r="B102" s="162">
        <v>64</v>
      </c>
      <c r="C102" s="359" t="s">
        <v>4538</v>
      </c>
      <c r="D102" s="761"/>
      <c r="E102" s="761"/>
      <c r="F102" s="761"/>
      <c r="G102" s="761"/>
      <c r="H102" s="1322"/>
      <c r="I102" s="1322"/>
    </row>
    <row r="103" spans="1:10">
      <c r="A103" s="162">
        <v>1</v>
      </c>
      <c r="B103" s="162">
        <v>65</v>
      </c>
      <c r="C103" s="1322"/>
      <c r="D103" s="761"/>
      <c r="E103" s="961">
        <f>ROUND(IF(其他应收款!$D$10&lt;&gt;0,D103/其他应收款!$D$10*100,0),2)</f>
        <v>0</v>
      </c>
      <c r="F103" s="761"/>
      <c r="G103" s="961">
        <f>ROUND(IF(其他应收款!$D$21&lt;&gt;0,F103/其他应收款!$D$21*100,0),2)</f>
        <v>0</v>
      </c>
      <c r="H103" s="1322"/>
      <c r="I103" s="1322"/>
      <c r="J103" s="162">
        <v>1</v>
      </c>
    </row>
    <row r="104" spans="1:10">
      <c r="A104" s="162">
        <v>2</v>
      </c>
      <c r="B104" s="162">
        <v>66</v>
      </c>
      <c r="C104" s="1322"/>
      <c r="D104" s="761"/>
      <c r="E104" s="961">
        <f>ROUND(IF(其他应收款!$D$10&lt;&gt;0,D104/其他应收款!$D$10*100,0),2)</f>
        <v>0</v>
      </c>
      <c r="F104" s="761"/>
      <c r="G104" s="961">
        <f>ROUND(IF(其他应收款!$D$21&lt;&gt;0,F104/其他应收款!$D$21*100,0),2)</f>
        <v>0</v>
      </c>
      <c r="H104" s="1322"/>
      <c r="I104" s="1322"/>
      <c r="J104" s="162">
        <v>2</v>
      </c>
    </row>
    <row r="105" spans="1:10">
      <c r="A105" s="162">
        <v>3</v>
      </c>
      <c r="B105" s="162">
        <v>67</v>
      </c>
      <c r="C105" s="1322"/>
      <c r="D105" s="761"/>
      <c r="E105" s="961">
        <f>ROUND(IF(其他应收款!$D$10&lt;&gt;0,D105/其他应收款!$D$10*100,0),2)</f>
        <v>0</v>
      </c>
      <c r="F105" s="761"/>
      <c r="G105" s="961">
        <f>ROUND(IF(其他应收款!$D$21&lt;&gt;0,F105/其他应收款!$D$21*100,0),2)</f>
        <v>0</v>
      </c>
      <c r="H105" s="1322"/>
      <c r="I105" s="1322"/>
      <c r="J105" s="162">
        <v>3</v>
      </c>
    </row>
    <row r="106" spans="1:10">
      <c r="A106" s="162">
        <v>4</v>
      </c>
      <c r="B106" s="162">
        <v>68</v>
      </c>
      <c r="C106" s="1322"/>
      <c r="D106" s="761"/>
      <c r="E106" s="961">
        <f>ROUND(IF(其他应收款!$D$10&lt;&gt;0,D106/其他应收款!$D$10*100,0),2)</f>
        <v>0</v>
      </c>
      <c r="F106" s="761"/>
      <c r="G106" s="961">
        <f>ROUND(IF(其他应收款!$D$21&lt;&gt;0,F106/其他应收款!$D$21*100,0),2)</f>
        <v>0</v>
      </c>
      <c r="H106" s="1322"/>
      <c r="I106" s="1322"/>
      <c r="J106" s="162">
        <v>4</v>
      </c>
    </row>
    <row r="107" spans="1:10">
      <c r="A107" s="162">
        <v>5</v>
      </c>
      <c r="B107" s="162">
        <v>69</v>
      </c>
      <c r="C107" s="1322"/>
      <c r="D107" s="761"/>
      <c r="E107" s="961">
        <f>ROUND(IF(其他应收款!$D$10&lt;&gt;0,D107/其他应收款!$D$10*100,0),2)</f>
        <v>0</v>
      </c>
      <c r="F107" s="761"/>
      <c r="G107" s="961">
        <f>ROUND(IF(其他应收款!$D$21&lt;&gt;0,F107/其他应收款!$D$21*100,0),2)</f>
        <v>0</v>
      </c>
      <c r="H107" s="1322"/>
      <c r="I107" s="1322"/>
      <c r="J107" s="162">
        <v>5</v>
      </c>
    </row>
    <row r="108" spans="1:10">
      <c r="A108" s="162">
        <v>6</v>
      </c>
      <c r="B108" s="162">
        <v>70</v>
      </c>
      <c r="C108" s="1322"/>
      <c r="D108" s="761"/>
      <c r="E108" s="961">
        <f>ROUND(IF(其他应收款!$D$10&lt;&gt;0,D108/其他应收款!$D$10*100,0),2)</f>
        <v>0</v>
      </c>
      <c r="F108" s="761"/>
      <c r="G108" s="961">
        <f>ROUND(IF(其他应收款!$D$21&lt;&gt;0,F108/其他应收款!$D$21*100,0),2)</f>
        <v>0</v>
      </c>
      <c r="H108" s="1322"/>
      <c r="I108" s="1322"/>
      <c r="J108" s="162">
        <v>6</v>
      </c>
    </row>
    <row r="109" spans="1:10">
      <c r="A109" s="162">
        <v>7</v>
      </c>
      <c r="B109" s="162">
        <v>71</v>
      </c>
      <c r="C109" s="1322"/>
      <c r="D109" s="761"/>
      <c r="E109" s="961">
        <f>ROUND(IF(其他应收款!$D$10&lt;&gt;0,D109/其他应收款!$D$10*100,0),2)</f>
        <v>0</v>
      </c>
      <c r="F109" s="761"/>
      <c r="G109" s="961">
        <f>ROUND(IF(其他应收款!$D$21&lt;&gt;0,F109/其他应收款!$D$21*100,0),2)</f>
        <v>0</v>
      </c>
      <c r="H109" s="1322"/>
      <c r="I109" s="1322"/>
      <c r="J109" s="162">
        <v>7</v>
      </c>
    </row>
    <row r="110" spans="1:10">
      <c r="A110" s="162">
        <v>8</v>
      </c>
      <c r="B110" s="162">
        <v>72</v>
      </c>
      <c r="C110" s="1322"/>
      <c r="D110" s="761"/>
      <c r="E110" s="961">
        <f>ROUND(IF(其他应收款!$D$10&lt;&gt;0,D110/其他应收款!$D$10*100,0),2)</f>
        <v>0</v>
      </c>
      <c r="F110" s="761"/>
      <c r="G110" s="961">
        <f>ROUND(IF(其他应收款!$D$21&lt;&gt;0,F110/其他应收款!$D$21*100,0),2)</f>
        <v>0</v>
      </c>
      <c r="H110" s="1322"/>
      <c r="I110" s="1322"/>
      <c r="J110" s="162">
        <v>8</v>
      </c>
    </row>
    <row r="111" spans="1:10">
      <c r="A111" s="162">
        <v>9</v>
      </c>
      <c r="B111" s="162">
        <v>73</v>
      </c>
      <c r="C111" s="1322"/>
      <c r="D111" s="761"/>
      <c r="E111" s="961">
        <f>ROUND(IF(其他应收款!$D$10&lt;&gt;0,D111/其他应收款!$D$10*100,0),2)</f>
        <v>0</v>
      </c>
      <c r="F111" s="761"/>
      <c r="G111" s="961">
        <f>ROUND(IF(其他应收款!$D$21&lt;&gt;0,F111/其他应收款!$D$21*100,0),2)</f>
        <v>0</v>
      </c>
      <c r="H111" s="1322"/>
      <c r="I111" s="1322"/>
      <c r="J111" s="162">
        <v>9</v>
      </c>
    </row>
    <row r="112" spans="1:10">
      <c r="A112" s="162">
        <v>10</v>
      </c>
      <c r="B112" s="162">
        <v>74</v>
      </c>
      <c r="C112" s="1322"/>
      <c r="D112" s="761"/>
      <c r="E112" s="961">
        <f>ROUND(IF(其他应收款!$D$10&lt;&gt;0,D112/其他应收款!$D$10*100,0),2)</f>
        <v>0</v>
      </c>
      <c r="F112" s="761"/>
      <c r="G112" s="961">
        <f>ROUND(IF(其他应收款!$D$21&lt;&gt;0,F112/其他应收款!$D$21*100,0),2)</f>
        <v>0</v>
      </c>
      <c r="H112" s="1322"/>
      <c r="I112" s="1322"/>
      <c r="J112" s="162">
        <v>10</v>
      </c>
    </row>
    <row r="113" spans="1:10">
      <c r="A113" s="162">
        <v>11</v>
      </c>
      <c r="B113" s="162">
        <v>75</v>
      </c>
      <c r="C113" s="1322"/>
      <c r="D113" s="761"/>
      <c r="E113" s="961">
        <f>ROUND(IF(其他应收款!$D$10&lt;&gt;0,D113/其他应收款!$D$10*100,0),2)</f>
        <v>0</v>
      </c>
      <c r="F113" s="761"/>
      <c r="G113" s="961">
        <f>ROUND(IF(其他应收款!$D$21&lt;&gt;0,F113/其他应收款!$D$21*100,0),2)</f>
        <v>0</v>
      </c>
      <c r="H113" s="1322"/>
      <c r="I113" s="1322"/>
      <c r="J113" s="162">
        <v>11</v>
      </c>
    </row>
    <row r="114" spans="1:10">
      <c r="A114" s="162">
        <v>12</v>
      </c>
      <c r="B114" s="162">
        <v>76</v>
      </c>
      <c r="C114" s="1322"/>
      <c r="D114" s="761"/>
      <c r="E114" s="961">
        <f>ROUND(IF(其他应收款!$D$10&lt;&gt;0,D114/其他应收款!$D$10*100,0),2)</f>
        <v>0</v>
      </c>
      <c r="F114" s="761"/>
      <c r="G114" s="961">
        <f>ROUND(IF(其他应收款!$D$21&lt;&gt;0,F114/其他应收款!$D$21*100,0),2)</f>
        <v>0</v>
      </c>
      <c r="H114" s="1322"/>
      <c r="I114" s="1322"/>
      <c r="J114" s="162">
        <v>12</v>
      </c>
    </row>
    <row r="115" spans="1:10">
      <c r="A115" s="162">
        <v>13</v>
      </c>
      <c r="B115" s="162">
        <v>77</v>
      </c>
      <c r="C115" s="1322"/>
      <c r="D115" s="761"/>
      <c r="E115" s="961">
        <f>ROUND(IF(其他应收款!$D$10&lt;&gt;0,D115/其他应收款!$D$10*100,0),2)</f>
        <v>0</v>
      </c>
      <c r="F115" s="761"/>
      <c r="G115" s="961">
        <f>ROUND(IF(其他应收款!$D$21&lt;&gt;0,F115/其他应收款!$D$21*100,0),2)</f>
        <v>0</v>
      </c>
      <c r="H115" s="1322"/>
      <c r="I115" s="1322"/>
      <c r="J115" s="162">
        <v>13</v>
      </c>
    </row>
    <row r="116" spans="1:10">
      <c r="A116" s="162">
        <v>14</v>
      </c>
      <c r="B116" s="162">
        <v>78</v>
      </c>
      <c r="C116" s="1322"/>
      <c r="D116" s="761"/>
      <c r="E116" s="961">
        <f>ROUND(IF(其他应收款!$D$10&lt;&gt;0,D116/其他应收款!$D$10*100,0),2)</f>
        <v>0</v>
      </c>
      <c r="F116" s="761"/>
      <c r="G116" s="961">
        <f>ROUND(IF(其他应收款!$D$21&lt;&gt;0,F116/其他应收款!$D$21*100,0),2)</f>
        <v>0</v>
      </c>
      <c r="H116" s="1322"/>
      <c r="I116" s="1322"/>
      <c r="J116" s="162">
        <v>14</v>
      </c>
    </row>
    <row r="117" spans="1:10">
      <c r="A117" s="162">
        <v>15</v>
      </c>
      <c r="B117" s="162">
        <v>79</v>
      </c>
      <c r="C117" s="1322"/>
      <c r="D117" s="761"/>
      <c r="E117" s="961">
        <f>ROUND(IF(其他应收款!$D$10&lt;&gt;0,D117/其他应收款!$D$10*100,0),2)</f>
        <v>0</v>
      </c>
      <c r="F117" s="761"/>
      <c r="G117" s="961">
        <f>ROUND(IF(其他应收款!$D$21&lt;&gt;0,F117/其他应收款!$D$21*100,0),2)</f>
        <v>0</v>
      </c>
      <c r="H117" s="1322"/>
      <c r="I117" s="1322"/>
      <c r="J117" s="162">
        <v>15</v>
      </c>
    </row>
    <row r="118" spans="1:10" ht="11.25" customHeight="1">
      <c r="A118" s="162">
        <v>16</v>
      </c>
      <c r="B118" s="162">
        <v>80</v>
      </c>
      <c r="C118" s="1322"/>
      <c r="D118" s="761"/>
      <c r="E118" s="961">
        <f>ROUND(IF(其他应收款!$D$10&lt;&gt;0,D118/其他应收款!$D$10*100,0),2)</f>
        <v>0</v>
      </c>
      <c r="F118" s="761"/>
      <c r="G118" s="961">
        <f>ROUND(IF(其他应收款!$D$21&lt;&gt;0,F118/其他应收款!$D$21*100,0),2)</f>
        <v>0</v>
      </c>
      <c r="H118" s="1322"/>
      <c r="I118" s="1322"/>
      <c r="J118" s="162">
        <v>16</v>
      </c>
    </row>
    <row r="119" spans="1:10">
      <c r="B119" s="162">
        <v>81</v>
      </c>
      <c r="C119" s="1320" t="s">
        <v>1005</v>
      </c>
      <c r="D119" s="961">
        <f>SUM(D103:D118)</f>
        <v>0</v>
      </c>
      <c r="E119" s="961">
        <f>SUM(E103:E118)</f>
        <v>0</v>
      </c>
      <c r="F119" s="961">
        <f>SUM(F103:F118)</f>
        <v>0</v>
      </c>
      <c r="G119" s="961">
        <f>SUM(G103:G118)</f>
        <v>0</v>
      </c>
      <c r="H119" s="1322"/>
      <c r="I119" s="1322"/>
    </row>
    <row r="120" spans="1:10">
      <c r="B120" s="162">
        <v>82</v>
      </c>
      <c r="C120" s="1320" t="s">
        <v>2688</v>
      </c>
      <c r="D120" s="761"/>
      <c r="E120" s="961">
        <f>IF(其他应收款!$D$10&lt;&gt;0,D119/其他应收款!$D$10*100,0)-E119</f>
        <v>0</v>
      </c>
      <c r="F120" s="761"/>
      <c r="G120" s="961">
        <f>IF(其他应收款!$D$21&lt;&gt;0,F119/其他应收款!$D$21*100,0)-G119</f>
        <v>0</v>
      </c>
      <c r="H120" s="1322"/>
      <c r="I120" s="1322"/>
    </row>
    <row r="121" spans="1:10">
      <c r="A121" s="1001" t="str">
        <f>HYPERLINK("#C1","置顶")</f>
        <v>置顶</v>
      </c>
      <c r="B121" s="162">
        <v>83</v>
      </c>
      <c r="C121" s="338" t="s">
        <v>3464</v>
      </c>
      <c r="D121" s="761"/>
      <c r="E121" s="761"/>
      <c r="F121" s="761"/>
      <c r="G121" s="761"/>
      <c r="H121" s="338"/>
      <c r="I121" s="338"/>
    </row>
    <row r="122" spans="1:10">
      <c r="A122" s="162">
        <v>1</v>
      </c>
      <c r="B122" s="162">
        <v>84</v>
      </c>
      <c r="C122" s="338"/>
      <c r="D122" s="761"/>
      <c r="E122" s="961">
        <f>ROUND(IF(应付账款!$D$8&lt;&gt;0,D122/应付账款!$D$8*100,0),2)</f>
        <v>0</v>
      </c>
      <c r="F122" s="761"/>
      <c r="G122" s="961">
        <f>ROUND(IF(应付账款!$E$8&lt;&gt;0,F122/应付账款!$E$8*100,0),2)</f>
        <v>0</v>
      </c>
      <c r="H122" s="338"/>
      <c r="I122" s="338"/>
      <c r="J122" s="162">
        <v>1</v>
      </c>
    </row>
    <row r="123" spans="1:10">
      <c r="A123" s="162">
        <v>2</v>
      </c>
      <c r="B123" s="162">
        <v>85</v>
      </c>
      <c r="C123" s="338"/>
      <c r="D123" s="761"/>
      <c r="E123" s="961">
        <f>ROUND(IF(应付账款!$D$8&lt;&gt;0,D123/应付账款!$D$8*100,0),2)</f>
        <v>0</v>
      </c>
      <c r="F123" s="761"/>
      <c r="G123" s="961">
        <f>ROUND(IF(应付账款!$E$8&lt;&gt;0,F123/应付账款!$E$8*100,0),2)</f>
        <v>0</v>
      </c>
      <c r="H123" s="338"/>
      <c r="I123" s="338"/>
      <c r="J123" s="162">
        <v>2</v>
      </c>
    </row>
    <row r="124" spans="1:10">
      <c r="A124" s="162">
        <v>3</v>
      </c>
      <c r="B124" s="162">
        <v>86</v>
      </c>
      <c r="C124" s="338"/>
      <c r="D124" s="761"/>
      <c r="E124" s="961">
        <f>ROUND(IF(应付账款!$D$8&lt;&gt;0,D124/应付账款!$D$8*100,0),2)</f>
        <v>0</v>
      </c>
      <c r="F124" s="761"/>
      <c r="G124" s="961">
        <f>ROUND(IF(应付账款!$E$8&lt;&gt;0,F124/应付账款!$E$8*100,0),2)</f>
        <v>0</v>
      </c>
      <c r="H124" s="338"/>
      <c r="I124" s="338"/>
      <c r="J124" s="162">
        <v>3</v>
      </c>
    </row>
    <row r="125" spans="1:10">
      <c r="A125" s="162">
        <v>4</v>
      </c>
      <c r="B125" s="162">
        <v>87</v>
      </c>
      <c r="C125" s="338"/>
      <c r="D125" s="761"/>
      <c r="E125" s="961">
        <f>ROUND(IF(应付账款!$D$8&lt;&gt;0,D125/应付账款!$D$8*100,0),2)</f>
        <v>0</v>
      </c>
      <c r="F125" s="761"/>
      <c r="G125" s="961">
        <f>ROUND(IF(应付账款!$E$8&lt;&gt;0,F125/应付账款!$E$8*100,0),2)</f>
        <v>0</v>
      </c>
      <c r="H125" s="338"/>
      <c r="I125" s="338"/>
      <c r="J125" s="162">
        <v>4</v>
      </c>
    </row>
    <row r="126" spans="1:10">
      <c r="A126" s="162">
        <v>5</v>
      </c>
      <c r="B126" s="162">
        <v>88</v>
      </c>
      <c r="C126" s="338"/>
      <c r="D126" s="761"/>
      <c r="E126" s="961">
        <f>ROUND(IF(应付账款!$D$8&lt;&gt;0,D126/应付账款!$D$8*100,0),2)</f>
        <v>0</v>
      </c>
      <c r="F126" s="761"/>
      <c r="G126" s="961">
        <f>ROUND(IF(应付账款!$E$8&lt;&gt;0,F126/应付账款!$E$8*100,0),2)</f>
        <v>0</v>
      </c>
      <c r="H126" s="338"/>
      <c r="I126" s="338"/>
      <c r="J126" s="162">
        <v>5</v>
      </c>
    </row>
    <row r="127" spans="1:10">
      <c r="A127" s="162">
        <v>6</v>
      </c>
      <c r="B127" s="162">
        <v>89</v>
      </c>
      <c r="C127" s="338"/>
      <c r="D127" s="761"/>
      <c r="E127" s="961">
        <f>ROUND(IF(应付账款!$D$8&lt;&gt;0,D127/应付账款!$D$8*100,0),2)</f>
        <v>0</v>
      </c>
      <c r="F127" s="761"/>
      <c r="G127" s="961">
        <f>ROUND(IF(应付账款!$E$8&lt;&gt;0,F127/应付账款!$E$8*100,0),2)</f>
        <v>0</v>
      </c>
      <c r="H127" s="338"/>
      <c r="I127" s="338"/>
      <c r="J127" s="162">
        <v>6</v>
      </c>
    </row>
    <row r="128" spans="1:10">
      <c r="A128" s="162">
        <v>7</v>
      </c>
      <c r="B128" s="162">
        <v>90</v>
      </c>
      <c r="C128" s="338"/>
      <c r="D128" s="761"/>
      <c r="E128" s="961">
        <f>ROUND(IF(应付账款!$D$8&lt;&gt;0,D128/应付账款!$D$8*100,0),2)</f>
        <v>0</v>
      </c>
      <c r="F128" s="761"/>
      <c r="G128" s="961">
        <f>ROUND(IF(应付账款!$E$8&lt;&gt;0,F128/应付账款!$E$8*100,0),2)</f>
        <v>0</v>
      </c>
      <c r="H128" s="338"/>
      <c r="I128" s="338"/>
      <c r="J128" s="162">
        <v>7</v>
      </c>
    </row>
    <row r="129" spans="1:10">
      <c r="A129" s="162">
        <v>8</v>
      </c>
      <c r="B129" s="162">
        <v>91</v>
      </c>
      <c r="C129" s="338"/>
      <c r="D129" s="761"/>
      <c r="E129" s="961">
        <f>ROUND(IF(应付账款!$D$8&lt;&gt;0,D129/应付账款!$D$8*100,0),2)</f>
        <v>0</v>
      </c>
      <c r="F129" s="761"/>
      <c r="G129" s="961">
        <f>ROUND(IF(应付账款!$E$8&lt;&gt;0,F129/应付账款!$E$8*100,0),2)</f>
        <v>0</v>
      </c>
      <c r="H129" s="338"/>
      <c r="I129" s="338"/>
      <c r="J129" s="162">
        <v>8</v>
      </c>
    </row>
    <row r="130" spans="1:10">
      <c r="A130" s="162">
        <v>9</v>
      </c>
      <c r="B130" s="162">
        <v>92</v>
      </c>
      <c r="C130" s="338"/>
      <c r="D130" s="761"/>
      <c r="E130" s="961">
        <f>ROUND(IF(应付账款!$D$8&lt;&gt;0,D130/应付账款!$D$8*100,0),2)</f>
        <v>0</v>
      </c>
      <c r="F130" s="761"/>
      <c r="G130" s="961">
        <f>ROUND(IF(应付账款!$E$8&lt;&gt;0,F130/应付账款!$E$8*100,0),2)</f>
        <v>0</v>
      </c>
      <c r="H130" s="338"/>
      <c r="I130" s="338"/>
      <c r="J130" s="162">
        <v>9</v>
      </c>
    </row>
    <row r="131" spans="1:10">
      <c r="A131" s="162">
        <v>10</v>
      </c>
      <c r="B131" s="162">
        <v>93</v>
      </c>
      <c r="C131" s="338"/>
      <c r="D131" s="761"/>
      <c r="E131" s="961">
        <f>ROUND(IF(应付账款!$D$8&lt;&gt;0,D131/应付账款!$D$8*100,0),2)</f>
        <v>0</v>
      </c>
      <c r="F131" s="761"/>
      <c r="G131" s="961">
        <f>ROUND(IF(应付账款!$E$8&lt;&gt;0,F131/应付账款!$E$8*100,0),2)</f>
        <v>0</v>
      </c>
      <c r="H131" s="338"/>
      <c r="I131" s="338"/>
      <c r="J131" s="162">
        <v>10</v>
      </c>
    </row>
    <row r="132" spans="1:10">
      <c r="A132" s="162">
        <v>11</v>
      </c>
      <c r="B132" s="162">
        <v>94</v>
      </c>
      <c r="C132" s="338"/>
      <c r="D132" s="761"/>
      <c r="E132" s="961">
        <f>ROUND(IF(应付账款!$D$8&lt;&gt;0,D132/应付账款!$D$8*100,0),2)</f>
        <v>0</v>
      </c>
      <c r="F132" s="761"/>
      <c r="G132" s="961">
        <f>ROUND(IF(应付账款!$E$8&lt;&gt;0,F132/应付账款!$E$8*100,0),2)</f>
        <v>0</v>
      </c>
      <c r="H132" s="338"/>
      <c r="I132" s="338"/>
      <c r="J132" s="162">
        <v>11</v>
      </c>
    </row>
    <row r="133" spans="1:10">
      <c r="A133" s="162">
        <v>12</v>
      </c>
      <c r="B133" s="162">
        <v>95</v>
      </c>
      <c r="C133" s="338"/>
      <c r="D133" s="761"/>
      <c r="E133" s="961">
        <f>ROUND(IF(应付账款!$D$8&lt;&gt;0,D133/应付账款!$D$8*100,0),2)</f>
        <v>0</v>
      </c>
      <c r="F133" s="761"/>
      <c r="G133" s="961">
        <f>ROUND(IF(应付账款!$E$8&lt;&gt;0,F133/应付账款!$E$8*100,0),2)</f>
        <v>0</v>
      </c>
      <c r="H133" s="338"/>
      <c r="I133" s="338"/>
      <c r="J133" s="162">
        <v>12</v>
      </c>
    </row>
    <row r="134" spans="1:10">
      <c r="A134" s="162">
        <v>13</v>
      </c>
      <c r="B134" s="162">
        <v>96</v>
      </c>
      <c r="C134" s="338"/>
      <c r="D134" s="761"/>
      <c r="E134" s="961">
        <f>ROUND(IF(应付账款!$D$8&lt;&gt;0,D134/应付账款!$D$8*100,0),2)</f>
        <v>0</v>
      </c>
      <c r="F134" s="761"/>
      <c r="G134" s="961">
        <f>ROUND(IF(应付账款!$E$8&lt;&gt;0,F134/应付账款!$E$8*100,0),2)</f>
        <v>0</v>
      </c>
      <c r="H134" s="338"/>
      <c r="I134" s="338"/>
      <c r="J134" s="162">
        <v>13</v>
      </c>
    </row>
    <row r="135" spans="1:10">
      <c r="A135" s="162">
        <v>14</v>
      </c>
      <c r="B135" s="162">
        <v>97</v>
      </c>
      <c r="C135" s="338"/>
      <c r="D135" s="761"/>
      <c r="E135" s="961">
        <f>ROUND(IF(应付账款!$D$8&lt;&gt;0,D135/应付账款!$D$8*100,0),2)</f>
        <v>0</v>
      </c>
      <c r="F135" s="761"/>
      <c r="G135" s="961">
        <f>ROUND(IF(应付账款!$E$8&lt;&gt;0,F135/应付账款!$E$8*100,0),2)</f>
        <v>0</v>
      </c>
      <c r="H135" s="338"/>
      <c r="I135" s="338"/>
      <c r="J135" s="162">
        <v>14</v>
      </c>
    </row>
    <row r="136" spans="1:10">
      <c r="A136" s="162">
        <v>15</v>
      </c>
      <c r="B136" s="162">
        <v>98</v>
      </c>
      <c r="C136" s="338"/>
      <c r="D136" s="761"/>
      <c r="E136" s="961">
        <f>ROUND(IF(应付账款!$D$8&lt;&gt;0,D136/应付账款!$D$8*100,0),2)</f>
        <v>0</v>
      </c>
      <c r="F136" s="761"/>
      <c r="G136" s="961">
        <f>ROUND(IF(应付账款!$E$8&lt;&gt;0,F136/应付账款!$E$8*100,0),2)</f>
        <v>0</v>
      </c>
      <c r="H136" s="338"/>
      <c r="I136" s="338"/>
      <c r="J136" s="162">
        <v>15</v>
      </c>
    </row>
    <row r="137" spans="1:10">
      <c r="A137" s="162">
        <v>16</v>
      </c>
      <c r="B137" s="162">
        <v>99</v>
      </c>
      <c r="C137" s="338"/>
      <c r="D137" s="761"/>
      <c r="E137" s="961">
        <f>ROUND(IF(应付账款!$D$8&lt;&gt;0,D137/应付账款!$D$8*100,0),2)</f>
        <v>0</v>
      </c>
      <c r="F137" s="761"/>
      <c r="G137" s="961">
        <f>ROUND(IF(应付账款!$E$8&lt;&gt;0,F137/应付账款!$E$8*100,0),2)</f>
        <v>0</v>
      </c>
      <c r="H137" s="338"/>
      <c r="I137" s="338"/>
      <c r="J137" s="162">
        <v>16</v>
      </c>
    </row>
    <row r="138" spans="1:10">
      <c r="B138" s="162">
        <v>100</v>
      </c>
      <c r="C138" s="338"/>
      <c r="D138" s="761"/>
      <c r="E138" s="961">
        <f>ROUND(IF(应付账款!$D$8&lt;&gt;0,D138/应付账款!$D$8*100,0),2)</f>
        <v>0</v>
      </c>
      <c r="F138" s="761"/>
      <c r="G138" s="961">
        <f>ROUND(IF(应付账款!$E$8&lt;&gt;0,F138/应付账款!$E$8*100,0),2)</f>
        <v>0</v>
      </c>
      <c r="H138" s="338"/>
      <c r="I138" s="338"/>
    </row>
    <row r="139" spans="1:10">
      <c r="A139" s="1053" t="s">
        <v>2260</v>
      </c>
      <c r="B139" s="162">
        <v>101</v>
      </c>
      <c r="C139" s="889" t="s">
        <v>1005</v>
      </c>
      <c r="D139" s="961">
        <f>SUM(D122:D138)</f>
        <v>0</v>
      </c>
      <c r="E139" s="961">
        <f>SUM(E122:E138)</f>
        <v>0</v>
      </c>
      <c r="F139" s="961">
        <f>SUM(F122:F138)</f>
        <v>0</v>
      </c>
      <c r="G139" s="961">
        <f>SUM(G122:G138)</f>
        <v>0</v>
      </c>
      <c r="H139" s="338"/>
      <c r="I139" s="338"/>
    </row>
    <row r="140" spans="1:10">
      <c r="A140" s="1053"/>
      <c r="B140" s="162">
        <v>102</v>
      </c>
      <c r="C140" s="889" t="s">
        <v>2688</v>
      </c>
      <c r="D140" s="761"/>
      <c r="E140" s="961">
        <f>IF(应付账款!$D$8&lt;&gt;0,D139/应付账款!$D$8*100,0)-E139</f>
        <v>0</v>
      </c>
      <c r="F140" s="761"/>
      <c r="G140" s="961">
        <f>IF(应付账款!$E$8&lt;&gt;0,F139/应付账款!$E$8*100,0)-G139</f>
        <v>0</v>
      </c>
      <c r="H140" s="338"/>
      <c r="I140" s="338"/>
    </row>
    <row r="141" spans="1:10">
      <c r="A141" s="1001" t="str">
        <f>HYPERLINK("#C1","置顶")</f>
        <v>置顶</v>
      </c>
      <c r="B141" s="162">
        <v>103</v>
      </c>
      <c r="C141" s="338" t="s">
        <v>3479</v>
      </c>
      <c r="D141" s="761"/>
      <c r="E141" s="761"/>
      <c r="F141" s="761"/>
      <c r="G141" s="761"/>
      <c r="H141" s="338"/>
      <c r="I141" s="338"/>
    </row>
    <row r="142" spans="1:10">
      <c r="A142" s="162">
        <v>1</v>
      </c>
      <c r="B142" s="162">
        <v>104</v>
      </c>
      <c r="C142" s="338"/>
      <c r="D142" s="761"/>
      <c r="E142" s="961">
        <f>ROUND(IF(应付票据!$D$5&lt;&gt;0,D142/应付票据!$D$5*100,0),2)</f>
        <v>0</v>
      </c>
      <c r="F142" s="761"/>
      <c r="G142" s="961">
        <f>ROUND(IF(应付票据!$E$5&lt;&gt;0,F142/应付票据!$E$5*100,0),2)</f>
        <v>0</v>
      </c>
      <c r="H142" s="338"/>
      <c r="I142" s="338"/>
      <c r="J142" s="162">
        <v>1</v>
      </c>
    </row>
    <row r="143" spans="1:10">
      <c r="A143" s="162">
        <v>2</v>
      </c>
      <c r="B143" s="162">
        <v>105</v>
      </c>
      <c r="C143" s="338"/>
      <c r="D143" s="761"/>
      <c r="E143" s="961">
        <f>ROUND(IF(应付票据!$D$5&lt;&gt;0,D143/应付票据!$D$5*100,0),2)</f>
        <v>0</v>
      </c>
      <c r="F143" s="761"/>
      <c r="G143" s="961">
        <f>ROUND(IF(应付票据!$E$5&lt;&gt;0,F143/应付票据!$E$5*100,0),2)</f>
        <v>0</v>
      </c>
      <c r="H143" s="338"/>
      <c r="I143" s="338"/>
      <c r="J143" s="162">
        <v>2</v>
      </c>
    </row>
    <row r="144" spans="1:10">
      <c r="A144" s="162">
        <v>3</v>
      </c>
      <c r="B144" s="162">
        <v>106</v>
      </c>
      <c r="C144" s="338"/>
      <c r="D144" s="761"/>
      <c r="E144" s="961">
        <f>ROUND(IF(应付票据!$D$5&lt;&gt;0,D144/应付票据!$D$5*100,0),2)</f>
        <v>0</v>
      </c>
      <c r="F144" s="761"/>
      <c r="G144" s="961">
        <f>ROUND(IF(应付票据!$E$5&lt;&gt;0,F144/应付票据!$E$5*100,0),2)</f>
        <v>0</v>
      </c>
      <c r="H144" s="338"/>
      <c r="I144" s="338"/>
      <c r="J144" s="162">
        <v>3</v>
      </c>
    </row>
    <row r="145" spans="1:10">
      <c r="A145" s="162">
        <v>4</v>
      </c>
      <c r="B145" s="162">
        <v>107</v>
      </c>
      <c r="C145" s="338"/>
      <c r="D145" s="761"/>
      <c r="E145" s="961">
        <f>ROUND(IF(应付票据!$D$5&lt;&gt;0,D145/应付票据!$D$5*100,0),2)</f>
        <v>0</v>
      </c>
      <c r="F145" s="761"/>
      <c r="G145" s="961">
        <f>ROUND(IF(应付票据!$E$5&lt;&gt;0,F145/应付票据!$E$5*100,0),2)</f>
        <v>0</v>
      </c>
      <c r="H145" s="338"/>
      <c r="I145" s="338"/>
      <c r="J145" s="162">
        <v>4</v>
      </c>
    </row>
    <row r="146" spans="1:10">
      <c r="A146" s="162">
        <v>5</v>
      </c>
      <c r="B146" s="162">
        <v>108</v>
      </c>
      <c r="C146" s="338"/>
      <c r="D146" s="761"/>
      <c r="E146" s="961">
        <f>ROUND(IF(应付票据!$D$5&lt;&gt;0,D146/应付票据!$D$5*100,0),2)</f>
        <v>0</v>
      </c>
      <c r="F146" s="761"/>
      <c r="G146" s="961">
        <f>ROUND(IF(应付票据!$E$5&lt;&gt;0,F146/应付票据!$E$5*100,0),2)</f>
        <v>0</v>
      </c>
      <c r="H146" s="338"/>
      <c r="I146" s="338"/>
      <c r="J146" s="162">
        <v>5</v>
      </c>
    </row>
    <row r="147" spans="1:10">
      <c r="A147" s="162">
        <v>6</v>
      </c>
      <c r="B147" s="162">
        <v>109</v>
      </c>
      <c r="C147" s="338"/>
      <c r="D147" s="761"/>
      <c r="E147" s="961">
        <f>ROUND(IF(应付票据!$D$5&lt;&gt;0,D147/应付票据!$D$5*100,0),2)</f>
        <v>0</v>
      </c>
      <c r="F147" s="761"/>
      <c r="G147" s="961">
        <f>ROUND(IF(应付票据!$E$5&lt;&gt;0,F147/应付票据!$E$5*100,0),2)</f>
        <v>0</v>
      </c>
      <c r="H147" s="338"/>
      <c r="I147" s="338"/>
      <c r="J147" s="162">
        <v>6</v>
      </c>
    </row>
    <row r="148" spans="1:10">
      <c r="A148" s="162">
        <v>7</v>
      </c>
      <c r="B148" s="162">
        <v>110</v>
      </c>
      <c r="C148" s="338"/>
      <c r="D148" s="761"/>
      <c r="E148" s="961">
        <f>ROUND(IF(应付票据!$D$5&lt;&gt;0,D148/应付票据!$D$5*100,0),2)</f>
        <v>0</v>
      </c>
      <c r="F148" s="761"/>
      <c r="G148" s="961">
        <f>ROUND(IF(应付票据!$E$5&lt;&gt;0,F148/应付票据!$E$5*100,0),2)</f>
        <v>0</v>
      </c>
      <c r="H148" s="338"/>
      <c r="I148" s="338"/>
      <c r="J148" s="162">
        <v>7</v>
      </c>
    </row>
    <row r="149" spans="1:10">
      <c r="A149" s="162">
        <v>8</v>
      </c>
      <c r="B149" s="162">
        <v>111</v>
      </c>
      <c r="C149" s="338"/>
      <c r="D149" s="761"/>
      <c r="E149" s="961">
        <f>ROUND(IF(应付票据!$D$5&lt;&gt;0,D149/应付票据!$D$5*100,0),2)</f>
        <v>0</v>
      </c>
      <c r="F149" s="761"/>
      <c r="G149" s="961">
        <f>ROUND(IF(应付票据!$E$5&lt;&gt;0,F149/应付票据!$E$5*100,0),2)</f>
        <v>0</v>
      </c>
      <c r="H149" s="338"/>
      <c r="I149" s="338"/>
      <c r="J149" s="162">
        <v>8</v>
      </c>
    </row>
    <row r="150" spans="1:10">
      <c r="A150" s="162">
        <v>9</v>
      </c>
      <c r="B150" s="162">
        <v>112</v>
      </c>
      <c r="C150" s="338"/>
      <c r="D150" s="761"/>
      <c r="E150" s="961">
        <f>ROUND(IF(应付票据!$D$5&lt;&gt;0,D150/应付票据!$D$5*100,0),2)</f>
        <v>0</v>
      </c>
      <c r="F150" s="761"/>
      <c r="G150" s="961">
        <f>ROUND(IF(应付票据!$E$5&lt;&gt;0,F150/应付票据!$E$5*100,0),2)</f>
        <v>0</v>
      </c>
      <c r="H150" s="338"/>
      <c r="I150" s="338"/>
      <c r="J150" s="162">
        <v>9</v>
      </c>
    </row>
    <row r="151" spans="1:10">
      <c r="A151" s="162">
        <v>10</v>
      </c>
      <c r="B151" s="162">
        <v>113</v>
      </c>
      <c r="C151" s="338"/>
      <c r="D151" s="761"/>
      <c r="E151" s="961">
        <f>ROUND(IF(应付票据!$D$5&lt;&gt;0,D151/应付票据!$D$5*100,0),2)</f>
        <v>0</v>
      </c>
      <c r="F151" s="761"/>
      <c r="G151" s="961">
        <f>ROUND(IF(应付票据!$E$5&lt;&gt;0,F151/应付票据!$E$5*100,0),2)</f>
        <v>0</v>
      </c>
      <c r="H151" s="338"/>
      <c r="I151" s="338"/>
      <c r="J151" s="162">
        <v>10</v>
      </c>
    </row>
    <row r="152" spans="1:10">
      <c r="A152" s="162">
        <v>11</v>
      </c>
      <c r="B152" s="162">
        <v>114</v>
      </c>
      <c r="C152" s="338"/>
      <c r="D152" s="761"/>
      <c r="E152" s="961">
        <f>ROUND(IF(应付票据!$D$5&lt;&gt;0,D152/应付票据!$D$5*100,0),2)</f>
        <v>0</v>
      </c>
      <c r="F152" s="761"/>
      <c r="G152" s="961">
        <f>ROUND(IF(应付票据!$E$5&lt;&gt;0,F152/应付票据!$E$5*100,0),2)</f>
        <v>0</v>
      </c>
      <c r="H152" s="338"/>
      <c r="I152" s="338"/>
      <c r="J152" s="162">
        <v>11</v>
      </c>
    </row>
    <row r="153" spans="1:10">
      <c r="A153" s="162">
        <v>12</v>
      </c>
      <c r="B153" s="162">
        <v>115</v>
      </c>
      <c r="C153" s="338"/>
      <c r="D153" s="761"/>
      <c r="E153" s="961">
        <f>ROUND(IF(应付票据!$D$5&lt;&gt;0,D153/应付票据!$D$5*100,0),2)</f>
        <v>0</v>
      </c>
      <c r="F153" s="761"/>
      <c r="G153" s="961">
        <f>ROUND(IF(应付票据!$E$5&lt;&gt;0,F153/应付票据!$E$5*100,0),2)</f>
        <v>0</v>
      </c>
      <c r="H153" s="338"/>
      <c r="I153" s="338"/>
      <c r="J153" s="162">
        <v>12</v>
      </c>
    </row>
    <row r="154" spans="1:10">
      <c r="A154" s="162">
        <v>13</v>
      </c>
      <c r="B154" s="162">
        <v>116</v>
      </c>
      <c r="C154" s="338"/>
      <c r="D154" s="761"/>
      <c r="E154" s="961">
        <f>ROUND(IF(应付票据!$D$5&lt;&gt;0,D154/应付票据!$D$5*100,0),2)</f>
        <v>0</v>
      </c>
      <c r="F154" s="761"/>
      <c r="G154" s="961">
        <f>ROUND(IF(应付票据!$E$5&lt;&gt;0,F154/应付票据!$E$5*100,0),2)</f>
        <v>0</v>
      </c>
      <c r="H154" s="338"/>
      <c r="I154" s="338"/>
      <c r="J154" s="162">
        <v>13</v>
      </c>
    </row>
    <row r="155" spans="1:10">
      <c r="A155" s="162">
        <v>14</v>
      </c>
      <c r="B155" s="162">
        <v>117</v>
      </c>
      <c r="C155" s="338"/>
      <c r="D155" s="761"/>
      <c r="E155" s="961">
        <f>ROUND(IF(应付票据!$D$5&lt;&gt;0,D155/应付票据!$D$5*100,0),2)</f>
        <v>0</v>
      </c>
      <c r="F155" s="761"/>
      <c r="G155" s="961">
        <f>ROUND(IF(应付票据!$E$5&lt;&gt;0,F155/应付票据!$E$5*100,0),2)</f>
        <v>0</v>
      </c>
      <c r="H155" s="338"/>
      <c r="I155" s="338"/>
      <c r="J155" s="162">
        <v>14</v>
      </c>
    </row>
    <row r="156" spans="1:10">
      <c r="A156" s="162">
        <v>15</v>
      </c>
      <c r="B156" s="162">
        <v>118</v>
      </c>
      <c r="C156" s="338"/>
      <c r="D156" s="761"/>
      <c r="E156" s="961">
        <f>ROUND(IF(应付票据!$D$5&lt;&gt;0,D156/应付票据!$D$5*100,0),2)</f>
        <v>0</v>
      </c>
      <c r="F156" s="761"/>
      <c r="G156" s="961">
        <f>ROUND(IF(应付票据!$E$5&lt;&gt;0,F156/应付票据!$E$5*100,0),2)</f>
        <v>0</v>
      </c>
      <c r="H156" s="338"/>
      <c r="I156" s="338"/>
      <c r="J156" s="162">
        <v>15</v>
      </c>
    </row>
    <row r="157" spans="1:10">
      <c r="A157" s="162">
        <v>16</v>
      </c>
      <c r="B157" s="162">
        <v>119</v>
      </c>
      <c r="C157" s="889" t="s">
        <v>1005</v>
      </c>
      <c r="D157" s="961">
        <f>SUM(D142:D156)</f>
        <v>0</v>
      </c>
      <c r="E157" s="961">
        <f>SUM(E142:E156)</f>
        <v>0</v>
      </c>
      <c r="F157" s="961">
        <f>SUM(F142:F156)</f>
        <v>0</v>
      </c>
      <c r="G157" s="961">
        <f>SUM(G142:G156)</f>
        <v>0</v>
      </c>
      <c r="H157" s="338"/>
      <c r="I157" s="338"/>
      <c r="J157" s="162">
        <v>16</v>
      </c>
    </row>
    <row r="158" spans="1:10">
      <c r="B158" s="162">
        <v>120</v>
      </c>
      <c r="C158" s="889" t="s">
        <v>2688</v>
      </c>
      <c r="D158" s="761"/>
      <c r="E158" s="961">
        <f>IF(应付票据!$D$5&lt;&gt;0,D157/应付票据!$D$5*100,0)-E157</f>
        <v>0</v>
      </c>
      <c r="F158" s="761"/>
      <c r="G158" s="961">
        <f>IF(应付票据!$E$5&lt;&gt;0,F157/应付票据!$E$5*100,0)-G157</f>
        <v>0</v>
      </c>
      <c r="H158" s="338"/>
      <c r="I158" s="338"/>
      <c r="J158" s="162"/>
    </row>
    <row r="159" spans="1:10">
      <c r="A159" s="1053" t="s">
        <v>2260</v>
      </c>
      <c r="B159" s="162">
        <v>121</v>
      </c>
      <c r="C159" s="338" t="s">
        <v>3476</v>
      </c>
      <c r="D159" s="761"/>
      <c r="E159" s="761"/>
      <c r="F159" s="761"/>
      <c r="G159" s="761"/>
      <c r="H159" s="338"/>
      <c r="I159" s="338"/>
    </row>
    <row r="160" spans="1:10">
      <c r="A160" s="162">
        <v>1</v>
      </c>
      <c r="B160" s="162">
        <v>122</v>
      </c>
      <c r="C160" s="338"/>
      <c r="D160" s="761"/>
      <c r="E160" s="961">
        <f>ROUND(IF(预收款项!$D$8&lt;&gt;0,D160/预收款项!$D$8*100,0),2)</f>
        <v>0</v>
      </c>
      <c r="F160" s="761"/>
      <c r="G160" s="961">
        <f>ROUND(IF(预收款项!$E$8&lt;&gt;0,F160/预收款项!$E$8*100,0),2)</f>
        <v>0</v>
      </c>
      <c r="H160" s="338"/>
      <c r="I160" s="338"/>
      <c r="J160" s="162">
        <v>1</v>
      </c>
    </row>
    <row r="161" spans="1:10">
      <c r="A161" s="162">
        <v>2</v>
      </c>
      <c r="B161" s="162">
        <v>123</v>
      </c>
      <c r="C161" s="338"/>
      <c r="D161" s="761"/>
      <c r="E161" s="961">
        <f>ROUND(IF(预收款项!$D$8&lt;&gt;0,D161/预收款项!$D$8*100,0),2)</f>
        <v>0</v>
      </c>
      <c r="F161" s="761"/>
      <c r="G161" s="961">
        <f>ROUND(IF(预收款项!$E$8&lt;&gt;0,F161/预收款项!$E$8*100,0),2)</f>
        <v>0</v>
      </c>
      <c r="H161" s="338"/>
      <c r="I161" s="338"/>
      <c r="J161" s="162">
        <v>2</v>
      </c>
    </row>
    <row r="162" spans="1:10">
      <c r="A162" s="162">
        <v>3</v>
      </c>
      <c r="B162" s="162">
        <v>124</v>
      </c>
      <c r="C162" s="338"/>
      <c r="D162" s="761"/>
      <c r="E162" s="961">
        <f>ROUND(IF(预收款项!$D$8&lt;&gt;0,D162/预收款项!$D$8*100,0),2)</f>
        <v>0</v>
      </c>
      <c r="F162" s="761"/>
      <c r="G162" s="961">
        <f>ROUND(IF(预收款项!$E$8&lt;&gt;0,F162/预收款项!$E$8*100,0),2)</f>
        <v>0</v>
      </c>
      <c r="H162" s="338"/>
      <c r="I162" s="338"/>
      <c r="J162" s="162">
        <v>3</v>
      </c>
    </row>
    <row r="163" spans="1:10">
      <c r="A163" s="162">
        <v>4</v>
      </c>
      <c r="B163" s="162">
        <v>125</v>
      </c>
      <c r="C163" s="338"/>
      <c r="D163" s="761"/>
      <c r="E163" s="961">
        <f>ROUND(IF(预收款项!$D$8&lt;&gt;0,D163/预收款项!$D$8*100,0),2)</f>
        <v>0</v>
      </c>
      <c r="F163" s="761"/>
      <c r="G163" s="961">
        <f>ROUND(IF(预收款项!$E$8&lt;&gt;0,F163/预收款项!$E$8*100,0),2)</f>
        <v>0</v>
      </c>
      <c r="H163" s="338"/>
      <c r="I163" s="338"/>
      <c r="J163" s="162">
        <v>4</v>
      </c>
    </row>
    <row r="164" spans="1:10">
      <c r="A164" s="162">
        <v>5</v>
      </c>
      <c r="B164" s="162">
        <v>126</v>
      </c>
      <c r="C164" s="338"/>
      <c r="D164" s="761"/>
      <c r="E164" s="961">
        <f>ROUND(IF(预收款项!$D$8&lt;&gt;0,D164/预收款项!$D$8*100,0),2)</f>
        <v>0</v>
      </c>
      <c r="F164" s="761"/>
      <c r="G164" s="961">
        <f>ROUND(IF(预收款项!$E$8&lt;&gt;0,F164/预收款项!$E$8*100,0),2)</f>
        <v>0</v>
      </c>
      <c r="H164" s="338"/>
      <c r="I164" s="338"/>
      <c r="J164" s="162">
        <v>5</v>
      </c>
    </row>
    <row r="165" spans="1:10">
      <c r="A165" s="162">
        <v>6</v>
      </c>
      <c r="B165" s="162">
        <v>127</v>
      </c>
      <c r="C165" s="338"/>
      <c r="D165" s="761"/>
      <c r="E165" s="961">
        <f>ROUND(IF(预收款项!$D$8&lt;&gt;0,D165/预收款项!$D$8*100,0),2)</f>
        <v>0</v>
      </c>
      <c r="F165" s="761"/>
      <c r="G165" s="961">
        <f>ROUND(IF(预收款项!$E$8&lt;&gt;0,F165/预收款项!$E$8*100,0),2)</f>
        <v>0</v>
      </c>
      <c r="H165" s="338"/>
      <c r="I165" s="338"/>
      <c r="J165" s="162">
        <v>6</v>
      </c>
    </row>
    <row r="166" spans="1:10">
      <c r="A166" s="162">
        <v>7</v>
      </c>
      <c r="B166" s="162">
        <v>128</v>
      </c>
      <c r="C166" s="338"/>
      <c r="D166" s="761"/>
      <c r="E166" s="961">
        <f>ROUND(IF(预收款项!$D$8&lt;&gt;0,D166/预收款项!$D$8*100,0),2)</f>
        <v>0</v>
      </c>
      <c r="F166" s="761"/>
      <c r="G166" s="961">
        <f>ROUND(IF(预收款项!$E$8&lt;&gt;0,F166/预收款项!$E$8*100,0),2)</f>
        <v>0</v>
      </c>
      <c r="H166" s="338"/>
      <c r="I166" s="338"/>
      <c r="J166" s="162">
        <v>7</v>
      </c>
    </row>
    <row r="167" spans="1:10">
      <c r="A167" s="162">
        <v>8</v>
      </c>
      <c r="B167" s="162">
        <v>129</v>
      </c>
      <c r="C167" s="338"/>
      <c r="D167" s="761"/>
      <c r="E167" s="961">
        <f>ROUND(IF(预收款项!$D$8&lt;&gt;0,D167/预收款项!$D$8*100,0),2)</f>
        <v>0</v>
      </c>
      <c r="F167" s="761"/>
      <c r="G167" s="961">
        <f>ROUND(IF(预收款项!$E$8&lt;&gt;0,F167/预收款项!$E$8*100,0),2)</f>
        <v>0</v>
      </c>
      <c r="H167" s="338"/>
      <c r="I167" s="338"/>
      <c r="J167" s="162">
        <v>8</v>
      </c>
    </row>
    <row r="168" spans="1:10">
      <c r="A168" s="162">
        <v>9</v>
      </c>
      <c r="B168" s="162">
        <v>130</v>
      </c>
      <c r="C168" s="338"/>
      <c r="D168" s="761"/>
      <c r="E168" s="961">
        <f>ROUND(IF(预收款项!$D$8&lt;&gt;0,D168/预收款项!$D$8*100,0),2)</f>
        <v>0</v>
      </c>
      <c r="F168" s="761"/>
      <c r="G168" s="961">
        <f>ROUND(IF(预收款项!$E$8&lt;&gt;0,F168/预收款项!$E$8*100,0),2)</f>
        <v>0</v>
      </c>
      <c r="H168" s="338"/>
      <c r="I168" s="338"/>
      <c r="J168" s="162">
        <v>9</v>
      </c>
    </row>
    <row r="169" spans="1:10">
      <c r="A169" s="162">
        <v>10</v>
      </c>
      <c r="B169" s="162">
        <v>131</v>
      </c>
      <c r="C169" s="338"/>
      <c r="D169" s="761"/>
      <c r="E169" s="961">
        <f>ROUND(IF(预收款项!$D$8&lt;&gt;0,D169/预收款项!$D$8*100,0),2)</f>
        <v>0</v>
      </c>
      <c r="F169" s="761"/>
      <c r="G169" s="961">
        <f>ROUND(IF(预收款项!$E$8&lt;&gt;0,F169/预收款项!$E$8*100,0),2)</f>
        <v>0</v>
      </c>
      <c r="H169" s="338"/>
      <c r="I169" s="338"/>
      <c r="J169" s="162">
        <v>10</v>
      </c>
    </row>
    <row r="170" spans="1:10">
      <c r="A170" s="162">
        <v>11</v>
      </c>
      <c r="B170" s="162">
        <v>132</v>
      </c>
      <c r="C170" s="338"/>
      <c r="D170" s="761"/>
      <c r="E170" s="961">
        <f>ROUND(IF(预收款项!$D$8&lt;&gt;0,D170/预收款项!$D$8*100,0),2)</f>
        <v>0</v>
      </c>
      <c r="F170" s="761"/>
      <c r="G170" s="961">
        <f>ROUND(IF(预收款项!$E$8&lt;&gt;0,F170/预收款项!$E$8*100,0),2)</f>
        <v>0</v>
      </c>
      <c r="H170" s="338"/>
      <c r="I170" s="338"/>
      <c r="J170" s="162">
        <v>11</v>
      </c>
    </row>
    <row r="171" spans="1:10">
      <c r="A171" s="162">
        <v>12</v>
      </c>
      <c r="B171" s="162">
        <v>133</v>
      </c>
      <c r="C171" s="338"/>
      <c r="D171" s="761"/>
      <c r="E171" s="961">
        <f>ROUND(IF(预收款项!$D$8&lt;&gt;0,D171/预收款项!$D$8*100,0),2)</f>
        <v>0</v>
      </c>
      <c r="F171" s="761"/>
      <c r="G171" s="961">
        <f>ROUND(IF(预收款项!$E$8&lt;&gt;0,F171/预收款项!$E$8*100,0),2)</f>
        <v>0</v>
      </c>
      <c r="H171" s="338"/>
      <c r="I171" s="338"/>
      <c r="J171" s="162">
        <v>12</v>
      </c>
    </row>
    <row r="172" spans="1:10">
      <c r="A172" s="162">
        <v>13</v>
      </c>
      <c r="B172" s="162">
        <v>134</v>
      </c>
      <c r="C172" s="338"/>
      <c r="D172" s="761"/>
      <c r="E172" s="961">
        <f>ROUND(IF(预收款项!$D$8&lt;&gt;0,D172/预收款项!$D$8*100,0),2)</f>
        <v>0</v>
      </c>
      <c r="F172" s="761"/>
      <c r="G172" s="961">
        <f>ROUND(IF(预收款项!$E$8&lt;&gt;0,F172/预收款项!$E$8*100,0),2)</f>
        <v>0</v>
      </c>
      <c r="H172" s="338"/>
      <c r="I172" s="338"/>
      <c r="J172" s="162">
        <v>13</v>
      </c>
    </row>
    <row r="173" spans="1:10">
      <c r="A173" s="162">
        <v>14</v>
      </c>
      <c r="B173" s="162">
        <v>135</v>
      </c>
      <c r="C173" s="338"/>
      <c r="D173" s="761"/>
      <c r="E173" s="961">
        <f>ROUND(IF(预收款项!$D$8&lt;&gt;0,D173/预收款项!$D$8*100,0),2)</f>
        <v>0</v>
      </c>
      <c r="F173" s="761"/>
      <c r="G173" s="961">
        <f>ROUND(IF(预收款项!$E$8&lt;&gt;0,F173/预收款项!$E$8*100,0),2)</f>
        <v>0</v>
      </c>
      <c r="H173" s="338"/>
      <c r="I173" s="338"/>
      <c r="J173" s="162">
        <v>14</v>
      </c>
    </row>
    <row r="174" spans="1:10">
      <c r="A174" s="162">
        <v>15</v>
      </c>
      <c r="B174" s="162">
        <v>136</v>
      </c>
      <c r="C174" s="338"/>
      <c r="D174" s="761"/>
      <c r="E174" s="961">
        <f>ROUND(IF(预收款项!$D$8&lt;&gt;0,D174/预收款项!$D$8*100,0),2)</f>
        <v>0</v>
      </c>
      <c r="F174" s="761"/>
      <c r="G174" s="961">
        <f>ROUND(IF(预收款项!$E$8&lt;&gt;0,F174/预收款项!$E$8*100,0),2)</f>
        <v>0</v>
      </c>
      <c r="H174" s="338"/>
      <c r="I174" s="338"/>
      <c r="J174" s="162">
        <v>15</v>
      </c>
    </row>
    <row r="175" spans="1:10">
      <c r="A175" s="162">
        <v>16</v>
      </c>
      <c r="B175" s="162">
        <v>137</v>
      </c>
      <c r="C175" s="338"/>
      <c r="D175" s="761"/>
      <c r="E175" s="961">
        <f>ROUND(IF(预收款项!$D$8&lt;&gt;0,D175/预收款项!$D$8*100,0),2)</f>
        <v>0</v>
      </c>
      <c r="F175" s="761"/>
      <c r="G175" s="961">
        <f>ROUND(IF(预收款项!$E$8&lt;&gt;0,F175/预收款项!$E$8*100,0),2)</f>
        <v>0</v>
      </c>
      <c r="H175" s="338"/>
      <c r="I175" s="338"/>
      <c r="J175" s="162">
        <v>16</v>
      </c>
    </row>
    <row r="176" spans="1:10">
      <c r="A176" s="1001" t="str">
        <f>HYPERLINK("#C1","置顶")</f>
        <v>置顶</v>
      </c>
      <c r="B176" s="162">
        <v>138</v>
      </c>
      <c r="C176" s="889" t="s">
        <v>1005</v>
      </c>
      <c r="D176" s="961">
        <f>SUM(D160:D175)</f>
        <v>0</v>
      </c>
      <c r="E176" s="961">
        <f>SUM(E160:E175)</f>
        <v>0</v>
      </c>
      <c r="F176" s="961">
        <f>SUM(F160:F175)</f>
        <v>0</v>
      </c>
      <c r="G176" s="961">
        <f>SUM(G160:G175)</f>
        <v>0</v>
      </c>
      <c r="H176" s="338"/>
      <c r="I176" s="338"/>
    </row>
    <row r="177" spans="1:10">
      <c r="A177" s="860"/>
      <c r="B177" s="162">
        <v>139</v>
      </c>
      <c r="C177" s="889" t="s">
        <v>2688</v>
      </c>
      <c r="D177" s="761"/>
      <c r="E177" s="961">
        <f>IF(预收款项!$D$8&lt;&gt;0,D176/预收款项!$D$8*100,0)-E176</f>
        <v>0</v>
      </c>
      <c r="F177" s="761"/>
      <c r="G177" s="961">
        <f>IF(预收款项!$E$8&lt;&gt;0,F176/预收款项!$E$8*100,0)-G176</f>
        <v>0</v>
      </c>
      <c r="H177" s="338"/>
      <c r="I177" s="338"/>
    </row>
    <row r="178" spans="1:10">
      <c r="A178" s="1053" t="s">
        <v>2260</v>
      </c>
      <c r="B178" s="162">
        <v>140</v>
      </c>
      <c r="C178" s="338" t="s">
        <v>3470</v>
      </c>
      <c r="D178" s="761"/>
      <c r="E178" s="761"/>
      <c r="F178" s="761"/>
      <c r="G178" s="761"/>
      <c r="H178" s="338"/>
      <c r="I178" s="338"/>
    </row>
    <row r="179" spans="1:10">
      <c r="A179" s="162">
        <v>1</v>
      </c>
      <c r="B179" s="162">
        <v>141</v>
      </c>
      <c r="C179" s="338"/>
      <c r="D179" s="761"/>
      <c r="E179" s="961">
        <f>ROUND(IF(其他应付款!$D$24&lt;&gt;0,D179/其他应付款!$D$24*100,0),2)</f>
        <v>0</v>
      </c>
      <c r="F179" s="761"/>
      <c r="G179" s="961">
        <f>ROUND(IF(其他应付款!$E$24&lt;&gt;0,F179/其他应付款!$E$24*100,0),2)</f>
        <v>0</v>
      </c>
      <c r="H179" s="338"/>
      <c r="I179" s="338"/>
      <c r="J179" s="162">
        <v>1</v>
      </c>
    </row>
    <row r="180" spans="1:10">
      <c r="A180" s="162">
        <v>2</v>
      </c>
      <c r="B180" s="162">
        <v>142</v>
      </c>
      <c r="C180" s="338"/>
      <c r="D180" s="761"/>
      <c r="E180" s="961">
        <f>ROUND(IF(其他应付款!$D$24&lt;&gt;0,D180/其他应付款!$D$24*100,0),2)</f>
        <v>0</v>
      </c>
      <c r="F180" s="761"/>
      <c r="G180" s="961">
        <f>ROUND(IF(其他应付款!$E$24&lt;&gt;0,F180/其他应付款!$E$24*100,0),2)</f>
        <v>0</v>
      </c>
      <c r="H180" s="338"/>
      <c r="I180" s="338"/>
      <c r="J180" s="162">
        <v>2</v>
      </c>
    </row>
    <row r="181" spans="1:10">
      <c r="A181" s="162">
        <v>3</v>
      </c>
      <c r="B181" s="162">
        <v>143</v>
      </c>
      <c r="C181" s="338"/>
      <c r="D181" s="761"/>
      <c r="E181" s="961">
        <f>ROUND(IF(其他应付款!$D$24&lt;&gt;0,D181/其他应付款!$D$24*100,0),2)</f>
        <v>0</v>
      </c>
      <c r="F181" s="761"/>
      <c r="G181" s="961">
        <f>ROUND(IF(其他应付款!$E$24&lt;&gt;0,F181/其他应付款!$E$24*100,0),2)</f>
        <v>0</v>
      </c>
      <c r="H181" s="338"/>
      <c r="I181" s="338"/>
      <c r="J181" s="162">
        <v>3</v>
      </c>
    </row>
    <row r="182" spans="1:10">
      <c r="A182" s="162">
        <v>4</v>
      </c>
      <c r="B182" s="162">
        <v>144</v>
      </c>
      <c r="C182" s="338"/>
      <c r="D182" s="761"/>
      <c r="E182" s="961">
        <f>ROUND(IF(其他应付款!$D$24&lt;&gt;0,D182/其他应付款!$D$24*100,0),2)</f>
        <v>0</v>
      </c>
      <c r="F182" s="761"/>
      <c r="G182" s="961">
        <f>ROUND(IF(其他应付款!$E$24&lt;&gt;0,F182/其他应付款!$E$24*100,0),2)</f>
        <v>0</v>
      </c>
      <c r="H182" s="338"/>
      <c r="I182" s="338"/>
      <c r="J182" s="162">
        <v>4</v>
      </c>
    </row>
    <row r="183" spans="1:10">
      <c r="A183" s="162">
        <v>5</v>
      </c>
      <c r="B183" s="162">
        <v>145</v>
      </c>
      <c r="C183" s="338"/>
      <c r="D183" s="761"/>
      <c r="E183" s="961">
        <f>ROUND(IF(其他应付款!$D$24&lt;&gt;0,D183/其他应付款!$D$24*100,0),2)</f>
        <v>0</v>
      </c>
      <c r="F183" s="761"/>
      <c r="G183" s="961">
        <f>ROUND(IF(其他应付款!$E$24&lt;&gt;0,F183/其他应付款!$E$24*100,0),2)</f>
        <v>0</v>
      </c>
      <c r="H183" s="338"/>
      <c r="I183" s="338"/>
      <c r="J183" s="162">
        <v>5</v>
      </c>
    </row>
    <row r="184" spans="1:10">
      <c r="A184" s="162">
        <v>6</v>
      </c>
      <c r="B184" s="162">
        <v>146</v>
      </c>
      <c r="C184" s="338"/>
      <c r="D184" s="761"/>
      <c r="E184" s="961">
        <f>ROUND(IF(其他应付款!$D$24&lt;&gt;0,D184/其他应付款!$D$24*100,0),2)</f>
        <v>0</v>
      </c>
      <c r="F184" s="761"/>
      <c r="G184" s="961">
        <f>ROUND(IF(其他应付款!$E$24&lt;&gt;0,F184/其他应付款!$E$24*100,0),2)</f>
        <v>0</v>
      </c>
      <c r="H184" s="338"/>
      <c r="I184" s="338"/>
      <c r="J184" s="162">
        <v>6</v>
      </c>
    </row>
    <row r="185" spans="1:10">
      <c r="A185" s="162">
        <v>7</v>
      </c>
      <c r="B185" s="162">
        <v>147</v>
      </c>
      <c r="C185" s="338"/>
      <c r="D185" s="761"/>
      <c r="E185" s="961">
        <f>ROUND(IF(其他应付款!$D$24&lt;&gt;0,D185/其他应付款!$D$24*100,0),2)</f>
        <v>0</v>
      </c>
      <c r="F185" s="761"/>
      <c r="G185" s="961">
        <f>ROUND(IF(其他应付款!$E$24&lt;&gt;0,F185/其他应付款!$E$24*100,0),2)</f>
        <v>0</v>
      </c>
      <c r="H185" s="338"/>
      <c r="I185" s="338"/>
      <c r="J185" s="162">
        <v>7</v>
      </c>
    </row>
    <row r="186" spans="1:10">
      <c r="A186" s="162">
        <v>8</v>
      </c>
      <c r="B186" s="162">
        <v>148</v>
      </c>
      <c r="C186" s="338"/>
      <c r="D186" s="761"/>
      <c r="E186" s="961">
        <f>ROUND(IF(其他应付款!$D$24&lt;&gt;0,D186/其他应付款!$D$24*100,0),2)</f>
        <v>0</v>
      </c>
      <c r="F186" s="761"/>
      <c r="G186" s="961">
        <f>ROUND(IF(其他应付款!$E$24&lt;&gt;0,F186/其他应付款!$E$24*100,0),2)</f>
        <v>0</v>
      </c>
      <c r="H186" s="338"/>
      <c r="I186" s="338"/>
      <c r="J186" s="162">
        <v>8</v>
      </c>
    </row>
    <row r="187" spans="1:10">
      <c r="A187" s="162">
        <v>9</v>
      </c>
      <c r="B187" s="162">
        <v>149</v>
      </c>
      <c r="C187" s="338"/>
      <c r="D187" s="761"/>
      <c r="E187" s="961">
        <f>ROUND(IF(其他应付款!$D$24&lt;&gt;0,D187/其他应付款!$D$24*100,0),2)</f>
        <v>0</v>
      </c>
      <c r="F187" s="761"/>
      <c r="G187" s="961">
        <f>ROUND(IF(其他应付款!$E$24&lt;&gt;0,F187/其他应付款!$E$24*100,0),2)</f>
        <v>0</v>
      </c>
      <c r="H187" s="338"/>
      <c r="I187" s="338"/>
      <c r="J187" s="162">
        <v>9</v>
      </c>
    </row>
    <row r="188" spans="1:10">
      <c r="A188" s="162">
        <v>10</v>
      </c>
      <c r="B188" s="162">
        <v>150</v>
      </c>
      <c r="C188" s="338"/>
      <c r="D188" s="761"/>
      <c r="E188" s="961">
        <f>ROUND(IF(其他应付款!$D$24&lt;&gt;0,D188/其他应付款!$D$24*100,0),2)</f>
        <v>0</v>
      </c>
      <c r="F188" s="761"/>
      <c r="G188" s="961">
        <f>ROUND(IF(其他应付款!$E$24&lt;&gt;0,F188/其他应付款!$E$24*100,0),2)</f>
        <v>0</v>
      </c>
      <c r="H188" s="338"/>
      <c r="I188" s="338"/>
      <c r="J188" s="162">
        <v>10</v>
      </c>
    </row>
    <row r="189" spans="1:10">
      <c r="A189" s="162">
        <v>11</v>
      </c>
      <c r="B189" s="162">
        <v>151</v>
      </c>
      <c r="C189" s="338"/>
      <c r="D189" s="761"/>
      <c r="E189" s="961">
        <f>ROUND(IF(其他应付款!$D$24&lt;&gt;0,D189/其他应付款!$D$24*100,0),2)</f>
        <v>0</v>
      </c>
      <c r="F189" s="761"/>
      <c r="G189" s="961">
        <f>ROUND(IF(其他应付款!$E$24&lt;&gt;0,F189/其他应付款!$E$24*100,0),2)</f>
        <v>0</v>
      </c>
      <c r="H189" s="338"/>
      <c r="I189" s="338"/>
      <c r="J189" s="162">
        <v>11</v>
      </c>
    </row>
    <row r="190" spans="1:10">
      <c r="A190" s="162">
        <v>12</v>
      </c>
      <c r="B190" s="162">
        <v>152</v>
      </c>
      <c r="C190" s="338"/>
      <c r="D190" s="761"/>
      <c r="E190" s="961">
        <f>ROUND(IF(其他应付款!$D$24&lt;&gt;0,D190/其他应付款!$D$24*100,0),2)</f>
        <v>0</v>
      </c>
      <c r="F190" s="761"/>
      <c r="G190" s="961">
        <f>ROUND(IF(其他应付款!$E$24&lt;&gt;0,F190/其他应付款!$E$24*100,0),2)</f>
        <v>0</v>
      </c>
      <c r="H190" s="338"/>
      <c r="I190" s="338"/>
      <c r="J190" s="162">
        <v>12</v>
      </c>
    </row>
    <row r="191" spans="1:10">
      <c r="A191" s="162">
        <v>13</v>
      </c>
      <c r="B191" s="162">
        <v>153</v>
      </c>
      <c r="C191" s="338"/>
      <c r="D191" s="761"/>
      <c r="E191" s="961">
        <f>ROUND(IF(其他应付款!$D$24&lt;&gt;0,D191/其他应付款!$D$24*100,0),2)</f>
        <v>0</v>
      </c>
      <c r="F191" s="761"/>
      <c r="G191" s="961">
        <f>ROUND(IF(其他应付款!$E$24&lt;&gt;0,F191/其他应付款!$E$24*100,0),2)</f>
        <v>0</v>
      </c>
      <c r="H191" s="338"/>
      <c r="I191" s="338"/>
      <c r="J191" s="162">
        <v>13</v>
      </c>
    </row>
    <row r="192" spans="1:10">
      <c r="A192" s="162">
        <v>14</v>
      </c>
      <c r="B192" s="162">
        <v>154</v>
      </c>
      <c r="C192" s="338"/>
      <c r="D192" s="761"/>
      <c r="E192" s="961">
        <f>ROUND(IF(其他应付款!$D$24&lt;&gt;0,D192/其他应付款!$D$24*100,0),2)</f>
        <v>0</v>
      </c>
      <c r="F192" s="761"/>
      <c r="G192" s="961">
        <f>ROUND(IF(其他应付款!$E$24&lt;&gt;0,F192/其他应付款!$E$24*100,0),2)</f>
        <v>0</v>
      </c>
      <c r="H192" s="338"/>
      <c r="I192" s="338"/>
      <c r="J192" s="162">
        <v>14</v>
      </c>
    </row>
    <row r="193" spans="1:10">
      <c r="A193" s="162">
        <v>15</v>
      </c>
      <c r="B193" s="162">
        <v>155</v>
      </c>
      <c r="C193" s="338"/>
      <c r="D193" s="761"/>
      <c r="E193" s="961">
        <f>ROUND(IF(其他应付款!$D$24&lt;&gt;0,D193/其他应付款!$D$24*100,0),2)</f>
        <v>0</v>
      </c>
      <c r="F193" s="761"/>
      <c r="G193" s="961">
        <f>ROUND(IF(其他应付款!$E$24&lt;&gt;0,F193/其他应付款!$E$24*100,0),2)</f>
        <v>0</v>
      </c>
      <c r="H193" s="338"/>
      <c r="I193" s="338"/>
      <c r="J193" s="162">
        <v>15</v>
      </c>
    </row>
    <row r="194" spans="1:10">
      <c r="A194" s="162">
        <v>16</v>
      </c>
      <c r="B194" s="162">
        <v>156</v>
      </c>
      <c r="C194" s="338"/>
      <c r="D194" s="761"/>
      <c r="E194" s="961">
        <f>ROUND(IF(其他应付款!$D$24&lt;&gt;0,D194/其他应付款!$D$24*100,0),2)</f>
        <v>0</v>
      </c>
      <c r="F194" s="761"/>
      <c r="G194" s="961">
        <f>ROUND(IF(其他应付款!$E$24&lt;&gt;0,F194/其他应付款!$E$24*100,0),2)</f>
        <v>0</v>
      </c>
      <c r="H194" s="338"/>
      <c r="I194" s="338"/>
      <c r="J194" s="162">
        <v>16</v>
      </c>
    </row>
    <row r="195" spans="1:10">
      <c r="A195" s="1001" t="str">
        <f>HYPERLINK("#C1","置顶")</f>
        <v>置顶</v>
      </c>
      <c r="B195" s="162">
        <v>157</v>
      </c>
      <c r="C195" s="889" t="s">
        <v>1005</v>
      </c>
      <c r="D195" s="961">
        <f>SUM(D179:D194)</f>
        <v>0</v>
      </c>
      <c r="E195" s="961">
        <f>SUM(E179:E194)</f>
        <v>0</v>
      </c>
      <c r="F195" s="961">
        <f>SUM(F179:F194)</f>
        <v>0</v>
      </c>
      <c r="G195" s="961">
        <f>SUM(G179:G194)</f>
        <v>0</v>
      </c>
      <c r="H195" s="338"/>
      <c r="I195" s="338"/>
    </row>
    <row r="196" spans="1:10">
      <c r="A196" s="860"/>
      <c r="B196" s="162">
        <v>158</v>
      </c>
      <c r="C196" s="889" t="s">
        <v>2688</v>
      </c>
      <c r="D196" s="761"/>
      <c r="E196" s="961">
        <f>IF(其他应付款!$D$24&lt;&gt;0,D195/其他应付款!$D$24*100,0)-E195</f>
        <v>0</v>
      </c>
      <c r="F196" s="761"/>
      <c r="G196" s="961">
        <f>IF(其他应付款!$E$24&lt;&gt;0,F195/其他应付款!$E$24*100,0)-G195</f>
        <v>0</v>
      </c>
      <c r="H196" s="338"/>
      <c r="I196" s="338"/>
    </row>
    <row r="197" spans="1:10">
      <c r="A197" s="1053" t="s">
        <v>2260</v>
      </c>
      <c r="B197" s="162">
        <v>159</v>
      </c>
      <c r="C197" s="338" t="s">
        <v>3480</v>
      </c>
      <c r="D197" s="761"/>
      <c r="E197" s="761"/>
      <c r="F197" s="761"/>
      <c r="G197" s="761"/>
      <c r="H197" s="338"/>
      <c r="I197" s="338"/>
    </row>
    <row r="198" spans="1:10">
      <c r="A198" s="162">
        <v>1</v>
      </c>
      <c r="B198" s="162">
        <v>160</v>
      </c>
      <c r="C198" s="338"/>
      <c r="D198" s="761"/>
      <c r="E198" s="961">
        <f>ROUND(IF(长期应付款!$D$4&lt;&gt;0,D198/长期应付款!$D$4*100,0),2)</f>
        <v>0</v>
      </c>
      <c r="F198" s="761"/>
      <c r="G198" s="961">
        <f>ROUND(IF(长期应付款!$E$4&lt;&gt;0,F198/长期应付款!$E$4*100,0),2)</f>
        <v>0</v>
      </c>
      <c r="H198" s="338"/>
      <c r="I198" s="338"/>
      <c r="J198" s="162">
        <v>1</v>
      </c>
    </row>
    <row r="199" spans="1:10">
      <c r="A199" s="162">
        <v>2</v>
      </c>
      <c r="B199" s="162">
        <v>161</v>
      </c>
      <c r="C199" s="338"/>
      <c r="D199" s="761"/>
      <c r="E199" s="961">
        <f>ROUND(IF(长期应付款!$D$4&lt;&gt;0,D199/长期应付款!$D$4*100,0),2)</f>
        <v>0</v>
      </c>
      <c r="F199" s="761"/>
      <c r="G199" s="961">
        <f>ROUND(IF(长期应付款!$E$4&lt;&gt;0,F199/长期应付款!$E$4*100,0),2)</f>
        <v>0</v>
      </c>
      <c r="H199" s="338"/>
      <c r="I199" s="338"/>
      <c r="J199" s="162">
        <v>2</v>
      </c>
    </row>
    <row r="200" spans="1:10">
      <c r="A200" s="162">
        <v>3</v>
      </c>
      <c r="B200" s="162">
        <v>162</v>
      </c>
      <c r="C200" s="338"/>
      <c r="D200" s="761"/>
      <c r="E200" s="961">
        <f>ROUND(IF(长期应付款!$D$4&lt;&gt;0,D200/长期应付款!$D$4*100,0),2)</f>
        <v>0</v>
      </c>
      <c r="F200" s="761"/>
      <c r="G200" s="961">
        <f>ROUND(IF(长期应付款!$E$4&lt;&gt;0,F200/长期应付款!$E$4*100,0),2)</f>
        <v>0</v>
      </c>
      <c r="H200" s="338"/>
      <c r="I200" s="338"/>
      <c r="J200" s="162">
        <v>3</v>
      </c>
    </row>
    <row r="201" spans="1:10">
      <c r="A201" s="162">
        <v>4</v>
      </c>
      <c r="B201" s="162">
        <v>163</v>
      </c>
      <c r="C201" s="338"/>
      <c r="D201" s="761"/>
      <c r="E201" s="961">
        <f>ROUND(IF(长期应付款!$D$4&lt;&gt;0,D201/长期应付款!$D$4*100,0),2)</f>
        <v>0</v>
      </c>
      <c r="F201" s="761"/>
      <c r="G201" s="961">
        <f>ROUND(IF(长期应付款!$E$4&lt;&gt;0,F201/长期应付款!$E$4*100,0),2)</f>
        <v>0</v>
      </c>
      <c r="H201" s="338"/>
      <c r="I201" s="338"/>
      <c r="J201" s="162">
        <v>4</v>
      </c>
    </row>
    <row r="202" spans="1:10">
      <c r="A202" s="162">
        <v>5</v>
      </c>
      <c r="B202" s="162">
        <v>164</v>
      </c>
      <c r="C202" s="338"/>
      <c r="D202" s="761"/>
      <c r="E202" s="961">
        <f>ROUND(IF(长期应付款!$D$4&lt;&gt;0,D202/长期应付款!$D$4*100,0),2)</f>
        <v>0</v>
      </c>
      <c r="F202" s="761"/>
      <c r="G202" s="961">
        <f>ROUND(IF(长期应付款!$E$4&lt;&gt;0,F202/长期应付款!$E$4*100,0),2)</f>
        <v>0</v>
      </c>
      <c r="H202" s="338"/>
      <c r="I202" s="338"/>
      <c r="J202" s="162">
        <v>5</v>
      </c>
    </row>
    <row r="203" spans="1:10">
      <c r="A203" s="162">
        <v>6</v>
      </c>
      <c r="B203" s="162">
        <v>165</v>
      </c>
      <c r="C203" s="338"/>
      <c r="D203" s="761"/>
      <c r="E203" s="961">
        <f>ROUND(IF(长期应付款!$D$4&lt;&gt;0,D203/长期应付款!$D$4*100,0),2)</f>
        <v>0</v>
      </c>
      <c r="F203" s="761"/>
      <c r="G203" s="961">
        <f>ROUND(IF(长期应付款!$E$4&lt;&gt;0,F203/长期应付款!$E$4*100,0),2)</f>
        <v>0</v>
      </c>
      <c r="H203" s="338"/>
      <c r="I203" s="338"/>
      <c r="J203" s="162">
        <v>6</v>
      </c>
    </row>
    <row r="204" spans="1:10">
      <c r="A204" s="162">
        <v>7</v>
      </c>
      <c r="B204" s="162">
        <v>166</v>
      </c>
      <c r="C204" s="338"/>
      <c r="D204" s="761"/>
      <c r="E204" s="961">
        <f>ROUND(IF(长期应付款!$D$4&lt;&gt;0,D204/长期应付款!$D$4*100,0),2)</f>
        <v>0</v>
      </c>
      <c r="F204" s="761"/>
      <c r="G204" s="961">
        <f>ROUND(IF(长期应付款!$E$4&lt;&gt;0,F204/长期应付款!$E$4*100,0),2)</f>
        <v>0</v>
      </c>
      <c r="H204" s="338"/>
      <c r="I204" s="338"/>
      <c r="J204" s="162">
        <v>7</v>
      </c>
    </row>
    <row r="205" spans="1:10">
      <c r="A205" s="162">
        <v>8</v>
      </c>
      <c r="B205" s="162">
        <v>167</v>
      </c>
      <c r="C205" s="338"/>
      <c r="D205" s="761"/>
      <c r="E205" s="961">
        <f>ROUND(IF(长期应付款!$D$4&lt;&gt;0,D205/长期应付款!$D$4*100,0),2)</f>
        <v>0</v>
      </c>
      <c r="F205" s="761"/>
      <c r="G205" s="961">
        <f>ROUND(IF(长期应付款!$E$4&lt;&gt;0,F205/长期应付款!$E$4*100,0),2)</f>
        <v>0</v>
      </c>
      <c r="H205" s="338"/>
      <c r="I205" s="338"/>
      <c r="J205" s="162">
        <v>8</v>
      </c>
    </row>
    <row r="206" spans="1:10">
      <c r="A206" s="162">
        <v>9</v>
      </c>
      <c r="B206" s="162">
        <v>168</v>
      </c>
      <c r="C206" s="338"/>
      <c r="D206" s="761"/>
      <c r="E206" s="961">
        <f>ROUND(IF(长期应付款!$D$4&lt;&gt;0,D206/长期应付款!$D$4*100,0),2)</f>
        <v>0</v>
      </c>
      <c r="F206" s="761"/>
      <c r="G206" s="961">
        <f>ROUND(IF(长期应付款!$E$4&lt;&gt;0,F206/长期应付款!$E$4*100,0),2)</f>
        <v>0</v>
      </c>
      <c r="H206" s="338"/>
      <c r="I206" s="338"/>
      <c r="J206" s="162">
        <v>9</v>
      </c>
    </row>
    <row r="207" spans="1:10">
      <c r="A207" s="162">
        <v>10</v>
      </c>
      <c r="B207" s="162">
        <v>169</v>
      </c>
      <c r="C207" s="338"/>
      <c r="D207" s="761"/>
      <c r="E207" s="961">
        <f>ROUND(IF(长期应付款!$D$4&lt;&gt;0,D207/长期应付款!$D$4*100,0),2)</f>
        <v>0</v>
      </c>
      <c r="F207" s="761"/>
      <c r="G207" s="961">
        <f>ROUND(IF(长期应付款!$E$4&lt;&gt;0,F207/长期应付款!$E$4*100,0),2)</f>
        <v>0</v>
      </c>
      <c r="H207" s="338"/>
      <c r="I207" s="338"/>
      <c r="J207" s="162">
        <v>10</v>
      </c>
    </row>
    <row r="208" spans="1:10">
      <c r="A208" s="162">
        <v>11</v>
      </c>
      <c r="B208" s="162">
        <v>170</v>
      </c>
      <c r="C208" s="338"/>
      <c r="D208" s="761"/>
      <c r="E208" s="961">
        <f>ROUND(IF(长期应付款!$D$4&lt;&gt;0,D208/长期应付款!$D$4*100,0),2)</f>
        <v>0</v>
      </c>
      <c r="F208" s="761"/>
      <c r="G208" s="961">
        <f>ROUND(IF(长期应付款!$E$4&lt;&gt;0,F208/长期应付款!$E$4*100,0),2)</f>
        <v>0</v>
      </c>
      <c r="H208" s="338"/>
      <c r="I208" s="338"/>
      <c r="J208" s="162">
        <v>11</v>
      </c>
    </row>
    <row r="209" spans="1:10">
      <c r="A209" s="162">
        <v>12</v>
      </c>
      <c r="B209" s="162">
        <v>171</v>
      </c>
      <c r="C209" s="338"/>
      <c r="D209" s="761"/>
      <c r="E209" s="961">
        <f>ROUND(IF(长期应付款!$D$4&lt;&gt;0,D209/长期应付款!$D$4*100,0),2)</f>
        <v>0</v>
      </c>
      <c r="F209" s="761"/>
      <c r="G209" s="961">
        <f>ROUND(IF(长期应付款!$E$4&lt;&gt;0,F209/长期应付款!$E$4*100,0),2)</f>
        <v>0</v>
      </c>
      <c r="H209" s="338"/>
      <c r="I209" s="338"/>
      <c r="J209" s="162">
        <v>12</v>
      </c>
    </row>
    <row r="210" spans="1:10">
      <c r="A210" s="162">
        <v>13</v>
      </c>
      <c r="B210" s="162">
        <v>172</v>
      </c>
      <c r="C210" s="338"/>
      <c r="D210" s="761"/>
      <c r="E210" s="961">
        <f>ROUND(IF(长期应付款!$D$4&lt;&gt;0,D210/长期应付款!$D$4*100,0),2)</f>
        <v>0</v>
      </c>
      <c r="F210" s="761"/>
      <c r="G210" s="961">
        <f>ROUND(IF(长期应付款!$E$4&lt;&gt;0,F210/长期应付款!$E$4*100,0),2)</f>
        <v>0</v>
      </c>
      <c r="H210" s="338"/>
      <c r="I210" s="338"/>
      <c r="J210" s="162">
        <v>13</v>
      </c>
    </row>
    <row r="211" spans="1:10">
      <c r="A211" s="162">
        <v>14</v>
      </c>
      <c r="B211" s="162">
        <v>173</v>
      </c>
      <c r="C211" s="338"/>
      <c r="D211" s="761"/>
      <c r="E211" s="961">
        <f>ROUND(IF(长期应付款!$D$4&lt;&gt;0,D211/长期应付款!$D$4*100,0),2)</f>
        <v>0</v>
      </c>
      <c r="F211" s="761"/>
      <c r="G211" s="961">
        <f>ROUND(IF(长期应付款!$E$4&lt;&gt;0,F211/长期应付款!$E$4*100,0),2)</f>
        <v>0</v>
      </c>
      <c r="H211" s="338"/>
      <c r="I211" s="338"/>
      <c r="J211" s="162">
        <v>14</v>
      </c>
    </row>
    <row r="212" spans="1:10">
      <c r="A212" s="162">
        <v>15</v>
      </c>
      <c r="B212" s="162">
        <v>174</v>
      </c>
      <c r="C212" s="338"/>
      <c r="D212" s="761"/>
      <c r="E212" s="961">
        <f>ROUND(IF(长期应付款!$D$4&lt;&gt;0,D212/长期应付款!$D$4*100,0),2)</f>
        <v>0</v>
      </c>
      <c r="F212" s="761"/>
      <c r="G212" s="961">
        <f>ROUND(IF(长期应付款!$E$4&lt;&gt;0,F212/长期应付款!$E$4*100,0),2)</f>
        <v>0</v>
      </c>
      <c r="H212" s="338"/>
      <c r="I212" s="338"/>
      <c r="J212" s="162">
        <v>15</v>
      </c>
    </row>
    <row r="213" spans="1:10">
      <c r="A213" s="162">
        <v>16</v>
      </c>
      <c r="B213" s="162">
        <v>175</v>
      </c>
      <c r="C213" s="338"/>
      <c r="D213" s="761"/>
      <c r="E213" s="961">
        <f>ROUND(IF(长期应付款!$D$4&lt;&gt;0,D213/长期应付款!$D$4*100,0),2)</f>
        <v>0</v>
      </c>
      <c r="F213" s="761"/>
      <c r="G213" s="961">
        <f>ROUND(IF(长期应付款!$E$4&lt;&gt;0,F213/长期应付款!$E$4*100,0),2)</f>
        <v>0</v>
      </c>
      <c r="H213" s="338"/>
      <c r="I213" s="338"/>
      <c r="J213" s="162">
        <v>16</v>
      </c>
    </row>
    <row r="214" spans="1:10">
      <c r="B214" s="162">
        <v>176</v>
      </c>
      <c r="C214" s="889" t="s">
        <v>1005</v>
      </c>
      <c r="D214" s="961">
        <f>SUM(D198:D213)</f>
        <v>0</v>
      </c>
      <c r="E214" s="961">
        <f>SUM(E198:E213)</f>
        <v>0</v>
      </c>
      <c r="F214" s="961">
        <f>SUM(F198:F213)</f>
        <v>0</v>
      </c>
      <c r="G214" s="961">
        <f>SUM(G198:G213)</f>
        <v>0</v>
      </c>
      <c r="H214" s="338"/>
      <c r="I214" s="338"/>
    </row>
    <row r="215" spans="1:10">
      <c r="B215" s="162">
        <v>177</v>
      </c>
      <c r="C215" s="889" t="s">
        <v>2688</v>
      </c>
      <c r="D215" s="761"/>
      <c r="E215" s="961">
        <f>IF(长期应付款!$D$4&lt;&gt;0,D214/长期应付款!$D$4*100,0)-E214</f>
        <v>0</v>
      </c>
      <c r="F215" s="761"/>
      <c r="G215" s="961">
        <f>IF(长期应付款!$E$4&lt;&gt;0,F214/长期应付款!$E$4*100,0)-G214</f>
        <v>0</v>
      </c>
      <c r="H215" s="952"/>
      <c r="I215" s="952"/>
    </row>
    <row r="216" spans="1:10">
      <c r="A216" s="1053" t="s">
        <v>2260</v>
      </c>
      <c r="B216" s="162">
        <v>178</v>
      </c>
    </row>
    <row r="217" spans="1:10">
      <c r="B217" s="162">
        <v>179</v>
      </c>
    </row>
  </sheetData>
  <sheetProtection formatCells="0" formatColumns="0" formatRows="0" autoFilter="0"/>
  <mergeCells count="5">
    <mergeCell ref="C5:C6"/>
    <mergeCell ref="H5:H6"/>
    <mergeCell ref="I5:I6"/>
    <mergeCell ref="D5:E5"/>
    <mergeCell ref="F5:G5"/>
  </mergeCells>
  <phoneticPr fontId="5" type="noConversion"/>
  <conditionalFormatting sqref="A45 A64 A83 A121 A141 A176:A177 A195:A196">
    <cfRule type="expression" dxfId="111" priority="19" stopIfTrue="1">
      <formula>0</formula>
    </cfRule>
    <cfRule type="cellIs" dxfId="110" priority="20" stopIfTrue="1" operator="equal">
      <formula>"报表数减附注数"</formula>
    </cfRule>
  </conditionalFormatting>
  <conditionalFormatting sqref="A102">
    <cfRule type="expression" dxfId="109" priority="1" stopIfTrue="1">
      <formula>0</formula>
    </cfRule>
    <cfRule type="cellIs" dxfId="108" priority="2" stopIfTrue="1" operator="equal">
      <formula>"报表数减附注数"</formula>
    </cfRule>
  </conditionalFormatting>
  <hyperlinks>
    <hyperlink ref="A1" location="附注填写封面!B3" display="返回目录" xr:uid="{00000000-0004-0000-6800-000000000000}"/>
    <hyperlink ref="A6" location="附注填写封面!B3" display="返回目录" xr:uid="{00000000-0004-0000-6800-000001000000}"/>
    <hyperlink ref="A24" location="附注填写封面!B3" display="返回目录" xr:uid="{00000000-0004-0000-6800-000002000000}"/>
    <hyperlink ref="A139" location="附注填写封面!B3" display="返回目录" xr:uid="{00000000-0004-0000-6800-000003000000}"/>
    <hyperlink ref="A159" location="附注填写封面!B3" display="返回目录" xr:uid="{00000000-0004-0000-6800-000004000000}"/>
    <hyperlink ref="A178" location="附注填写封面!B3" display="返回目录" xr:uid="{00000000-0004-0000-6800-000005000000}"/>
    <hyperlink ref="A197" location="附注填写封面!B3" display="返回目录" xr:uid="{00000000-0004-0000-6800-000006000000}"/>
    <hyperlink ref="A216" location="附注填写封面!B3" display="返回目录" xr:uid="{00000000-0004-0000-6800-000007000000}"/>
    <hyperlink ref="C2" location="关联方应收应付款项!B8" display="应收账款" xr:uid="{00000000-0004-0000-6800-000008000000}"/>
    <hyperlink ref="C3" location="关联方应收应付款项!B30" display="应收票据" xr:uid="{00000000-0004-0000-6800-000009000000}"/>
    <hyperlink ref="D2" location="关联方应收应付款项!B50" display="预付款项" xr:uid="{00000000-0004-0000-6800-00000A000000}"/>
    <hyperlink ref="D3" location="关联方应收应付款项!B67" display="其他应收款" xr:uid="{00000000-0004-0000-6800-00000B000000}"/>
    <hyperlink ref="E2" location="关联方应收应付款项!B86" display="应付账款" xr:uid="{00000000-0004-0000-6800-00000C000000}"/>
    <hyperlink ref="E3" location="关联方应收应付款项!B106" display="应付票据" xr:uid="{00000000-0004-0000-6800-00000D000000}"/>
    <hyperlink ref="F2" location="关联方应收应付款项!B124" display="预收款项" xr:uid="{00000000-0004-0000-6800-00000E000000}"/>
    <hyperlink ref="F3" location="关联方应收应付款项!B143" display="其他应付款" xr:uid="{00000000-0004-0000-6800-00000F000000}"/>
    <hyperlink ref="G3" location="关联方应收应付款项!B165" display="长期应付款" xr:uid="{00000000-0004-0000-6800-000010000000}"/>
    <hyperlink ref="A43" location="附注填写封面!B3" display="返回目录" xr:uid="{00000000-0004-0000-6800-000011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extLst>
    <ext xmlns:mx="http://schemas.microsoft.com/office/mac/excel/2008/main" uri="{64002731-A6B0-56B0-2670-7721B7C09600}">
      <mx:PLV Mode="0" OnePage="0" WScale="0"/>
    </ext>
  </extLst>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03"/>
  <dimension ref="A1:O187"/>
  <sheetViews>
    <sheetView showZeros="0" workbookViewId="0">
      <pane xSplit="4" ySplit="4" topLeftCell="E71" activePane="bottomRight" state="frozen"/>
      <selection sqref="A1:A1048576"/>
      <selection pane="topRight" sqref="A1:A1048576"/>
      <selection pane="bottomLeft" sqref="A1:A1048576"/>
      <selection pane="bottomRight" activeCell="N10" sqref="N10"/>
    </sheetView>
  </sheetViews>
  <sheetFormatPr defaultColWidth="9" defaultRowHeight="12.75"/>
  <cols>
    <col min="1" max="1" width="8.875" style="1047" customWidth="1"/>
    <col min="2" max="2" width="5.125" style="162" hidden="1" customWidth="1"/>
    <col min="3" max="3" width="7" style="162" hidden="1" customWidth="1"/>
    <col min="4" max="4" width="4.625" style="344" hidden="1" customWidth="1"/>
    <col min="5" max="5" width="3.875" style="344" customWidth="1"/>
    <col min="6" max="6" width="21.375" style="345" customWidth="1"/>
    <col min="7" max="7" width="8.875" style="345" customWidth="1"/>
    <col min="8" max="8" width="12.375" style="345" bestFit="1" customWidth="1"/>
    <col min="9" max="12" width="10.125" style="345" bestFit="1" customWidth="1"/>
    <col min="13" max="13" width="7.625" style="345" customWidth="1"/>
    <col min="14" max="14" width="10.125" style="345" customWidth="1"/>
    <col min="15" max="15" width="8" style="345" customWidth="1"/>
    <col min="16" max="16384" width="9" style="344"/>
  </cols>
  <sheetData>
    <row r="1" spans="1:15" ht="21.75" customHeight="1">
      <c r="F1" s="345" t="s">
        <v>3444</v>
      </c>
    </row>
    <row r="2" spans="1:15" ht="16.5" customHeight="1">
      <c r="A2" s="1048" t="s">
        <v>2260</v>
      </c>
      <c r="B2" s="343" t="s">
        <v>1446</v>
      </c>
      <c r="F2" s="412" t="s">
        <v>3445</v>
      </c>
      <c r="G2" s="412"/>
      <c r="H2" s="412"/>
      <c r="I2" s="412" t="s">
        <v>3446</v>
      </c>
      <c r="J2" s="412"/>
      <c r="K2" s="412" t="s">
        <v>3447</v>
      </c>
      <c r="L2" s="412"/>
      <c r="M2" s="412" t="s">
        <v>3448</v>
      </c>
      <c r="N2" s="346"/>
    </row>
    <row r="3" spans="1:15" ht="11.25" customHeight="1">
      <c r="A3" s="1048"/>
      <c r="B3" s="343">
        <v>2</v>
      </c>
      <c r="F3" s="412" t="s">
        <v>3449</v>
      </c>
      <c r="G3" s="412"/>
      <c r="H3" s="412"/>
      <c r="I3" s="412"/>
      <c r="J3" s="412"/>
      <c r="K3" s="412" t="s">
        <v>3450</v>
      </c>
      <c r="L3" s="412"/>
      <c r="M3" s="412"/>
      <c r="N3" s="346"/>
    </row>
    <row r="4" spans="1:15" ht="11.25" customHeight="1">
      <c r="A4" s="1048"/>
      <c r="B4" s="343">
        <v>3</v>
      </c>
    </row>
    <row r="5" spans="1:15">
      <c r="B5" s="343">
        <v>4</v>
      </c>
    </row>
    <row r="6" spans="1:15">
      <c r="B6" s="343">
        <v>5</v>
      </c>
      <c r="C6" s="162" t="s">
        <v>3451</v>
      </c>
      <c r="F6" s="344"/>
    </row>
    <row r="7" spans="1:15" ht="24">
      <c r="A7" s="1048" t="s">
        <v>3452</v>
      </c>
      <c r="B7" s="343">
        <v>6</v>
      </c>
      <c r="C7" s="162" t="s">
        <v>353</v>
      </c>
      <c r="F7" s="781" t="s">
        <v>4464</v>
      </c>
      <c r="N7" s="759"/>
    </row>
    <row r="8" spans="1:15">
      <c r="B8" s="343">
        <v>7</v>
      </c>
      <c r="C8" s="162" t="s">
        <v>353</v>
      </c>
      <c r="E8" s="1824" t="s">
        <v>3439</v>
      </c>
      <c r="F8" s="1882" t="s">
        <v>3453</v>
      </c>
      <c r="G8" s="1820" t="s">
        <v>2810</v>
      </c>
      <c r="H8" s="1820" t="s">
        <v>3438</v>
      </c>
      <c r="I8" s="1820"/>
      <c r="J8" s="1820"/>
      <c r="K8" s="1820"/>
      <c r="L8" s="1820"/>
      <c r="M8" s="1820"/>
      <c r="N8" s="1820"/>
      <c r="O8" s="1884" t="s">
        <v>2551</v>
      </c>
    </row>
    <row r="9" spans="1:15">
      <c r="B9" s="343">
        <v>8</v>
      </c>
      <c r="C9" s="162" t="s">
        <v>353</v>
      </c>
      <c r="E9" s="1824"/>
      <c r="F9" s="1883"/>
      <c r="G9" s="1820"/>
      <c r="H9" s="883" t="s">
        <v>355</v>
      </c>
      <c r="I9" s="883" t="s">
        <v>356</v>
      </c>
      <c r="J9" s="883" t="s">
        <v>357</v>
      </c>
      <c r="K9" s="883" t="s">
        <v>358</v>
      </c>
      <c r="L9" s="883" t="s">
        <v>359</v>
      </c>
      <c r="M9" s="883" t="s">
        <v>352</v>
      </c>
      <c r="N9" s="883" t="s">
        <v>2680</v>
      </c>
      <c r="O9" s="1885"/>
    </row>
    <row r="10" spans="1:15">
      <c r="A10" s="811" t="str">
        <f>HYPERLINK("#C1","置顶")</f>
        <v>置顶</v>
      </c>
      <c r="B10" s="343">
        <v>9</v>
      </c>
      <c r="C10" s="162" t="s">
        <v>353</v>
      </c>
      <c r="E10" s="881">
        <v>1</v>
      </c>
      <c r="F10" s="335"/>
      <c r="G10" s="335"/>
      <c r="H10" s="335"/>
      <c r="I10" s="335"/>
      <c r="J10" s="335"/>
      <c r="K10" s="335"/>
      <c r="L10" s="335"/>
      <c r="M10" s="335"/>
      <c r="N10" s="348">
        <f>SUM(H10:M10)</f>
        <v>0</v>
      </c>
      <c r="O10" s="348">
        <f>N10-G10</f>
        <v>0</v>
      </c>
    </row>
    <row r="11" spans="1:15">
      <c r="B11" s="343">
        <v>10</v>
      </c>
      <c r="C11" s="162" t="s">
        <v>353</v>
      </c>
      <c r="E11" s="881">
        <v>2</v>
      </c>
      <c r="F11" s="335"/>
      <c r="G11" s="335"/>
      <c r="H11" s="335"/>
      <c r="I11" s="335"/>
      <c r="J11" s="335"/>
      <c r="K11" s="335"/>
      <c r="L11" s="335"/>
      <c r="M11" s="335"/>
      <c r="N11" s="348">
        <f t="shared" ref="N11:N19" si="0">SUM(H11:M11)</f>
        <v>0</v>
      </c>
      <c r="O11" s="348">
        <f t="shared" ref="O11:O19" si="1">N11-G11</f>
        <v>0</v>
      </c>
    </row>
    <row r="12" spans="1:15">
      <c r="B12" s="343">
        <v>11</v>
      </c>
      <c r="C12" s="162" t="s">
        <v>353</v>
      </c>
      <c r="E12" s="881">
        <v>3</v>
      </c>
      <c r="F12" s="335"/>
      <c r="G12" s="335"/>
      <c r="H12" s="335"/>
      <c r="I12" s="335"/>
      <c r="J12" s="335"/>
      <c r="K12" s="335"/>
      <c r="L12" s="335"/>
      <c r="M12" s="335"/>
      <c r="N12" s="348">
        <f t="shared" si="0"/>
        <v>0</v>
      </c>
      <c r="O12" s="348">
        <f t="shared" si="1"/>
        <v>0</v>
      </c>
    </row>
    <row r="13" spans="1:15">
      <c r="A13" s="1048" t="s">
        <v>2260</v>
      </c>
      <c r="B13" s="343">
        <v>12</v>
      </c>
      <c r="C13" s="162" t="s">
        <v>353</v>
      </c>
      <c r="E13" s="881">
        <v>4</v>
      </c>
      <c r="F13" s="335"/>
      <c r="G13" s="335"/>
      <c r="H13" s="335"/>
      <c r="I13" s="335"/>
      <c r="J13" s="335"/>
      <c r="K13" s="335"/>
      <c r="L13" s="335"/>
      <c r="M13" s="335"/>
      <c r="N13" s="348">
        <f t="shared" si="0"/>
        <v>0</v>
      </c>
      <c r="O13" s="348">
        <f t="shared" si="1"/>
        <v>0</v>
      </c>
    </row>
    <row r="14" spans="1:15">
      <c r="B14" s="343">
        <v>13</v>
      </c>
      <c r="C14" s="162" t="s">
        <v>353</v>
      </c>
      <c r="E14" s="881">
        <v>5</v>
      </c>
      <c r="F14" s="335"/>
      <c r="G14" s="335"/>
      <c r="H14" s="335"/>
      <c r="I14" s="335"/>
      <c r="J14" s="335"/>
      <c r="K14" s="335"/>
      <c r="L14" s="335"/>
      <c r="M14" s="335"/>
      <c r="N14" s="348">
        <f t="shared" si="0"/>
        <v>0</v>
      </c>
      <c r="O14" s="348">
        <f t="shared" si="1"/>
        <v>0</v>
      </c>
    </row>
    <row r="15" spans="1:15">
      <c r="B15" s="343">
        <v>14</v>
      </c>
      <c r="C15" s="162" t="s">
        <v>353</v>
      </c>
      <c r="E15" s="881">
        <v>6</v>
      </c>
      <c r="F15" s="335"/>
      <c r="G15" s="335"/>
      <c r="H15" s="335"/>
      <c r="I15" s="335"/>
      <c r="J15" s="335"/>
      <c r="K15" s="335"/>
      <c r="L15" s="335"/>
      <c r="M15" s="335"/>
      <c r="N15" s="348">
        <f t="shared" si="0"/>
        <v>0</v>
      </c>
      <c r="O15" s="348">
        <f t="shared" si="1"/>
        <v>0</v>
      </c>
    </row>
    <row r="16" spans="1:15" ht="24">
      <c r="A16" s="1048" t="s">
        <v>3452</v>
      </c>
      <c r="B16" s="343">
        <v>15</v>
      </c>
      <c r="C16" s="162" t="s">
        <v>353</v>
      </c>
      <c r="E16" s="881">
        <v>7</v>
      </c>
      <c r="F16" s="335"/>
      <c r="G16" s="335"/>
      <c r="H16" s="335"/>
      <c r="I16" s="335"/>
      <c r="J16" s="335"/>
      <c r="K16" s="335"/>
      <c r="L16" s="335"/>
      <c r="M16" s="335"/>
      <c r="N16" s="348">
        <f t="shared" si="0"/>
        <v>0</v>
      </c>
      <c r="O16" s="348">
        <f t="shared" si="1"/>
        <v>0</v>
      </c>
    </row>
    <row r="17" spans="1:15">
      <c r="B17" s="343">
        <v>16</v>
      </c>
      <c r="C17" s="162" t="s">
        <v>353</v>
      </c>
      <c r="E17" s="881">
        <v>8</v>
      </c>
      <c r="F17" s="335"/>
      <c r="G17" s="335"/>
      <c r="H17" s="335"/>
      <c r="I17" s="335"/>
      <c r="J17" s="335"/>
      <c r="K17" s="335"/>
      <c r="L17" s="335"/>
      <c r="M17" s="335"/>
      <c r="N17" s="348">
        <f t="shared" si="0"/>
        <v>0</v>
      </c>
      <c r="O17" s="348">
        <f t="shared" si="1"/>
        <v>0</v>
      </c>
    </row>
    <row r="18" spans="1:15">
      <c r="A18" s="957"/>
      <c r="B18" s="343">
        <v>17</v>
      </c>
      <c r="C18" s="162" t="s">
        <v>353</v>
      </c>
      <c r="E18" s="881">
        <v>9</v>
      </c>
      <c r="F18" s="335"/>
      <c r="G18" s="335"/>
      <c r="H18" s="335"/>
      <c r="I18" s="335"/>
      <c r="J18" s="335"/>
      <c r="K18" s="335"/>
      <c r="L18" s="335"/>
      <c r="M18" s="335"/>
      <c r="N18" s="348">
        <f t="shared" si="0"/>
        <v>0</v>
      </c>
      <c r="O18" s="348">
        <f t="shared" si="1"/>
        <v>0</v>
      </c>
    </row>
    <row r="19" spans="1:15">
      <c r="B19" s="343">
        <v>18</v>
      </c>
      <c r="C19" s="162" t="s">
        <v>353</v>
      </c>
      <c r="E19" s="881">
        <v>10</v>
      </c>
      <c r="F19" s="335"/>
      <c r="G19" s="335"/>
      <c r="H19" s="335"/>
      <c r="I19" s="335"/>
      <c r="J19" s="335"/>
      <c r="K19" s="335"/>
      <c r="L19" s="335"/>
      <c r="M19" s="335"/>
      <c r="N19" s="348">
        <f t="shared" si="0"/>
        <v>0</v>
      </c>
      <c r="O19" s="348">
        <f t="shared" si="1"/>
        <v>0</v>
      </c>
    </row>
    <row r="20" spans="1:15">
      <c r="A20" s="1048" t="s">
        <v>2260</v>
      </c>
      <c r="B20" s="343">
        <v>19</v>
      </c>
      <c r="C20" s="162" t="s">
        <v>353</v>
      </c>
      <c r="E20" s="881" t="s">
        <v>2680</v>
      </c>
      <c r="F20" s="348">
        <f t="shared" ref="F20:O20" si="2">SUM(F10:F19)</f>
        <v>0</v>
      </c>
      <c r="G20" s="348">
        <f t="shared" si="2"/>
        <v>0</v>
      </c>
      <c r="H20" s="348">
        <f t="shared" si="2"/>
        <v>0</v>
      </c>
      <c r="I20" s="348">
        <f t="shared" si="2"/>
        <v>0</v>
      </c>
      <c r="J20" s="348">
        <f t="shared" si="2"/>
        <v>0</v>
      </c>
      <c r="K20" s="348">
        <f t="shared" si="2"/>
        <v>0</v>
      </c>
      <c r="L20" s="348">
        <f t="shared" si="2"/>
        <v>0</v>
      </c>
      <c r="M20" s="348">
        <f t="shared" si="2"/>
        <v>0</v>
      </c>
      <c r="N20" s="348">
        <f t="shared" si="2"/>
        <v>0</v>
      </c>
      <c r="O20" s="348">
        <f t="shared" si="2"/>
        <v>0</v>
      </c>
    </row>
    <row r="21" spans="1:15">
      <c r="A21" s="1048"/>
      <c r="B21" s="343"/>
    </row>
    <row r="22" spans="1:15">
      <c r="B22" s="343">
        <v>20</v>
      </c>
      <c r="C22" s="162" t="s">
        <v>353</v>
      </c>
      <c r="F22" s="344"/>
    </row>
    <row r="23" spans="1:15">
      <c r="B23" s="343">
        <v>21</v>
      </c>
      <c r="C23" s="162" t="s">
        <v>353</v>
      </c>
      <c r="F23" s="759" t="s">
        <v>4465</v>
      </c>
    </row>
    <row r="24" spans="1:15">
      <c r="B24" s="343">
        <v>22</v>
      </c>
      <c r="C24" s="162" t="s">
        <v>353</v>
      </c>
      <c r="E24" s="1824" t="s">
        <v>3439</v>
      </c>
      <c r="F24" s="1882" t="s">
        <v>3454</v>
      </c>
      <c r="G24" s="1820" t="s">
        <v>2810</v>
      </c>
      <c r="H24" s="1820" t="s">
        <v>3438</v>
      </c>
      <c r="I24" s="1820"/>
      <c r="J24" s="1820"/>
      <c r="K24" s="1820"/>
      <c r="L24" s="1820"/>
      <c r="M24" s="1820"/>
      <c r="N24" s="1820"/>
      <c r="O24" s="1884" t="s">
        <v>2551</v>
      </c>
    </row>
    <row r="25" spans="1:15">
      <c r="A25" s="1048"/>
      <c r="B25" s="343">
        <v>23</v>
      </c>
      <c r="C25" s="162" t="s">
        <v>353</v>
      </c>
      <c r="E25" s="1824"/>
      <c r="F25" s="1883"/>
      <c r="G25" s="1820"/>
      <c r="H25" s="883" t="s">
        <v>355</v>
      </c>
      <c r="I25" s="883" t="s">
        <v>356</v>
      </c>
      <c r="J25" s="883" t="s">
        <v>357</v>
      </c>
      <c r="K25" s="883" t="s">
        <v>358</v>
      </c>
      <c r="L25" s="883" t="s">
        <v>359</v>
      </c>
      <c r="M25" s="883" t="s">
        <v>352</v>
      </c>
      <c r="N25" s="883" t="s">
        <v>2680</v>
      </c>
      <c r="O25" s="1885"/>
    </row>
    <row r="26" spans="1:15">
      <c r="A26" s="811" t="str">
        <f>HYPERLINK("#C1","置顶")</f>
        <v>置顶</v>
      </c>
      <c r="B26" s="343">
        <v>24</v>
      </c>
      <c r="C26" s="162" t="s">
        <v>353</v>
      </c>
      <c r="E26" s="881">
        <v>1</v>
      </c>
      <c r="F26" s="335"/>
      <c r="G26" s="335"/>
      <c r="H26" s="335"/>
      <c r="I26" s="335"/>
      <c r="J26" s="335"/>
      <c r="K26" s="335"/>
      <c r="L26" s="335"/>
      <c r="M26" s="335"/>
      <c r="N26" s="348">
        <f>SUM(H26:M26)</f>
        <v>0</v>
      </c>
      <c r="O26" s="348">
        <f>N26-G26</f>
        <v>0</v>
      </c>
    </row>
    <row r="27" spans="1:15">
      <c r="B27" s="343">
        <v>25</v>
      </c>
      <c r="C27" s="162" t="s">
        <v>353</v>
      </c>
      <c r="E27" s="881">
        <v>2</v>
      </c>
      <c r="F27" s="335"/>
      <c r="G27" s="335"/>
      <c r="H27" s="335"/>
      <c r="I27" s="335"/>
      <c r="J27" s="335"/>
      <c r="K27" s="335"/>
      <c r="L27" s="335"/>
      <c r="M27" s="335"/>
      <c r="N27" s="348">
        <f>SUM(H27:M27)</f>
        <v>0</v>
      </c>
      <c r="O27" s="348">
        <f>N27-G27</f>
        <v>0</v>
      </c>
    </row>
    <row r="28" spans="1:15">
      <c r="B28" s="343">
        <v>26</v>
      </c>
      <c r="C28" s="162" t="s">
        <v>353</v>
      </c>
      <c r="E28" s="881">
        <v>3</v>
      </c>
      <c r="F28" s="335"/>
      <c r="G28" s="335"/>
      <c r="H28" s="335"/>
      <c r="I28" s="335"/>
      <c r="J28" s="335"/>
      <c r="K28" s="335"/>
      <c r="L28" s="335"/>
      <c r="M28" s="335"/>
      <c r="N28" s="348">
        <f>SUM(H28:M28)</f>
        <v>0</v>
      </c>
      <c r="O28" s="348">
        <f>N28-G28</f>
        <v>0</v>
      </c>
    </row>
    <row r="29" spans="1:15">
      <c r="B29" s="343">
        <v>27</v>
      </c>
      <c r="C29" s="162" t="s">
        <v>353</v>
      </c>
      <c r="E29" s="881">
        <v>4</v>
      </c>
      <c r="F29" s="335"/>
      <c r="G29" s="335"/>
      <c r="H29" s="335"/>
      <c r="I29" s="335"/>
      <c r="J29" s="335"/>
      <c r="K29" s="335"/>
      <c r="L29" s="335"/>
      <c r="M29" s="335"/>
      <c r="N29" s="348">
        <f>SUM(H29:M29)</f>
        <v>0</v>
      </c>
      <c r="O29" s="348">
        <f>N29-G29</f>
        <v>0</v>
      </c>
    </row>
    <row r="30" spans="1:15">
      <c r="A30" s="1048" t="s">
        <v>2260</v>
      </c>
      <c r="B30" s="343">
        <v>28</v>
      </c>
      <c r="C30" s="162" t="s">
        <v>353</v>
      </c>
      <c r="E30" s="881">
        <v>5</v>
      </c>
      <c r="F30" s="335"/>
      <c r="G30" s="335"/>
      <c r="H30" s="335"/>
      <c r="I30" s="335"/>
      <c r="J30" s="335"/>
      <c r="K30" s="335"/>
      <c r="L30" s="335"/>
      <c r="M30" s="335"/>
      <c r="N30" s="348">
        <f>SUM(H30:M30)</f>
        <v>0</v>
      </c>
      <c r="O30" s="348">
        <f>N30-G30</f>
        <v>0</v>
      </c>
    </row>
    <row r="31" spans="1:15">
      <c r="A31" s="957"/>
      <c r="B31" s="343">
        <v>34</v>
      </c>
      <c r="C31" s="162" t="s">
        <v>353</v>
      </c>
      <c r="E31" s="881" t="s">
        <v>2680</v>
      </c>
      <c r="F31" s="348">
        <f>SUM(F26:F30)</f>
        <v>0</v>
      </c>
      <c r="G31" s="348">
        <f t="shared" ref="G31:O31" si="3">SUM(G26:G30)</f>
        <v>0</v>
      </c>
      <c r="H31" s="348">
        <f t="shared" si="3"/>
        <v>0</v>
      </c>
      <c r="I31" s="348">
        <f t="shared" si="3"/>
        <v>0</v>
      </c>
      <c r="J31" s="348">
        <f t="shared" si="3"/>
        <v>0</v>
      </c>
      <c r="K31" s="348">
        <f t="shared" si="3"/>
        <v>0</v>
      </c>
      <c r="L31" s="348">
        <f t="shared" si="3"/>
        <v>0</v>
      </c>
      <c r="M31" s="348">
        <f t="shared" si="3"/>
        <v>0</v>
      </c>
      <c r="N31" s="348">
        <f t="shared" si="3"/>
        <v>0</v>
      </c>
      <c r="O31" s="348">
        <f t="shared" si="3"/>
        <v>0</v>
      </c>
    </row>
    <row r="32" spans="1:15">
      <c r="B32" s="343">
        <v>35</v>
      </c>
      <c r="C32" s="162" t="s">
        <v>353</v>
      </c>
    </row>
    <row r="33" spans="1:15">
      <c r="B33" s="343"/>
      <c r="C33" s="162" t="s">
        <v>353</v>
      </c>
      <c r="E33" s="347"/>
      <c r="F33" s="347" t="s">
        <v>3455</v>
      </c>
      <c r="G33" s="348">
        <f>G20-关联方应收应付款项!D24</f>
        <v>0</v>
      </c>
    </row>
    <row r="34" spans="1:15">
      <c r="A34" s="1048"/>
      <c r="B34" s="343">
        <v>36</v>
      </c>
      <c r="C34" s="162" t="s">
        <v>353</v>
      </c>
      <c r="F34" s="344" t="s">
        <v>3440</v>
      </c>
      <c r="G34" s="348">
        <f>G20+G31-应收账款!D66</f>
        <v>0</v>
      </c>
    </row>
    <row r="35" spans="1:15">
      <c r="B35" s="343">
        <v>37</v>
      </c>
    </row>
    <row r="36" spans="1:15">
      <c r="B36" s="343"/>
    </row>
    <row r="37" spans="1:15">
      <c r="A37" s="957"/>
      <c r="B37" s="343">
        <v>38</v>
      </c>
      <c r="C37" s="162" t="s">
        <v>360</v>
      </c>
      <c r="F37" s="344"/>
    </row>
    <row r="38" spans="1:15">
      <c r="B38" s="343">
        <v>39</v>
      </c>
      <c r="C38" s="162" t="s">
        <v>360</v>
      </c>
      <c r="F38" s="759" t="s">
        <v>4466</v>
      </c>
    </row>
    <row r="39" spans="1:15">
      <c r="A39" s="1048" t="s">
        <v>2260</v>
      </c>
      <c r="B39" s="343">
        <v>40</v>
      </c>
      <c r="C39" s="162" t="s">
        <v>360</v>
      </c>
      <c r="E39" s="1824" t="s">
        <v>3439</v>
      </c>
      <c r="F39" s="1882" t="s">
        <v>3453</v>
      </c>
      <c r="G39" s="1820" t="s">
        <v>2810</v>
      </c>
      <c r="H39" s="1820" t="s">
        <v>3438</v>
      </c>
      <c r="I39" s="1820"/>
      <c r="J39" s="1820"/>
      <c r="K39" s="1820"/>
      <c r="L39" s="1820"/>
      <c r="M39" s="1820"/>
      <c r="N39" s="1820"/>
      <c r="O39" s="1884" t="s">
        <v>2551</v>
      </c>
    </row>
    <row r="40" spans="1:15">
      <c r="B40" s="343">
        <v>41</v>
      </c>
      <c r="C40" s="162" t="s">
        <v>360</v>
      </c>
      <c r="E40" s="1824"/>
      <c r="F40" s="1883"/>
      <c r="G40" s="1820"/>
      <c r="H40" s="883" t="s">
        <v>355</v>
      </c>
      <c r="I40" s="883" t="s">
        <v>356</v>
      </c>
      <c r="J40" s="883" t="s">
        <v>357</v>
      </c>
      <c r="K40" s="883" t="s">
        <v>358</v>
      </c>
      <c r="L40" s="883" t="s">
        <v>359</v>
      </c>
      <c r="M40" s="883" t="s">
        <v>352</v>
      </c>
      <c r="N40" s="883" t="s">
        <v>2680</v>
      </c>
      <c r="O40" s="1885"/>
    </row>
    <row r="41" spans="1:15">
      <c r="B41" s="343">
        <v>42</v>
      </c>
      <c r="C41" s="162" t="s">
        <v>360</v>
      </c>
      <c r="E41" s="881">
        <v>1</v>
      </c>
      <c r="F41" s="335"/>
      <c r="G41" s="335"/>
      <c r="H41" s="335"/>
      <c r="I41" s="335"/>
      <c r="J41" s="335"/>
      <c r="K41" s="335"/>
      <c r="L41" s="335"/>
      <c r="M41" s="335"/>
      <c r="N41" s="348">
        <f>SUM(H41:M41)</f>
        <v>0</v>
      </c>
      <c r="O41" s="348">
        <f>N41-G41</f>
        <v>0</v>
      </c>
    </row>
    <row r="42" spans="1:15">
      <c r="B42" s="343">
        <v>43</v>
      </c>
      <c r="C42" s="162" t="s">
        <v>360</v>
      </c>
      <c r="E42" s="881">
        <v>2</v>
      </c>
      <c r="F42" s="335"/>
      <c r="G42" s="335"/>
      <c r="H42" s="335"/>
      <c r="I42" s="335"/>
      <c r="J42" s="335"/>
      <c r="K42" s="335"/>
      <c r="L42" s="335"/>
      <c r="M42" s="335"/>
      <c r="N42" s="348">
        <f t="shared" ref="N42:N50" si="4">SUM(H42:M42)</f>
        <v>0</v>
      </c>
      <c r="O42" s="348">
        <f t="shared" ref="O42:O50" si="5">N42-G42</f>
        <v>0</v>
      </c>
    </row>
    <row r="43" spans="1:15">
      <c r="B43" s="343">
        <v>44</v>
      </c>
      <c r="C43" s="162" t="s">
        <v>360</v>
      </c>
      <c r="E43" s="881">
        <v>3</v>
      </c>
      <c r="F43" s="335"/>
      <c r="G43" s="335"/>
      <c r="H43" s="335"/>
      <c r="I43" s="335"/>
      <c r="J43" s="335"/>
      <c r="K43" s="335"/>
      <c r="L43" s="335"/>
      <c r="M43" s="335"/>
      <c r="N43" s="348">
        <f t="shared" si="4"/>
        <v>0</v>
      </c>
      <c r="O43" s="348">
        <f t="shared" si="5"/>
        <v>0</v>
      </c>
    </row>
    <row r="44" spans="1:15">
      <c r="A44" s="811" t="str">
        <f>HYPERLINK("#C1","置顶")</f>
        <v>置顶</v>
      </c>
      <c r="B44" s="343">
        <v>45</v>
      </c>
      <c r="C44" s="162" t="s">
        <v>360</v>
      </c>
      <c r="E44" s="881">
        <v>4</v>
      </c>
      <c r="F44" s="335"/>
      <c r="G44" s="335"/>
      <c r="H44" s="335"/>
      <c r="I44" s="335"/>
      <c r="J44" s="335"/>
      <c r="K44" s="335"/>
      <c r="L44" s="335"/>
      <c r="M44" s="335"/>
      <c r="N44" s="348">
        <f t="shared" si="4"/>
        <v>0</v>
      </c>
      <c r="O44" s="348">
        <f t="shared" si="5"/>
        <v>0</v>
      </c>
    </row>
    <row r="45" spans="1:15">
      <c r="B45" s="343">
        <v>46</v>
      </c>
      <c r="C45" s="162" t="s">
        <v>360</v>
      </c>
      <c r="E45" s="881">
        <v>5</v>
      </c>
      <c r="F45" s="335"/>
      <c r="G45" s="335"/>
      <c r="H45" s="335"/>
      <c r="I45" s="335"/>
      <c r="J45" s="335"/>
      <c r="K45" s="335"/>
      <c r="L45" s="335"/>
      <c r="M45" s="335"/>
      <c r="N45" s="348">
        <f t="shared" si="4"/>
        <v>0</v>
      </c>
      <c r="O45" s="348">
        <f t="shared" si="5"/>
        <v>0</v>
      </c>
    </row>
    <row r="46" spans="1:15">
      <c r="B46" s="343">
        <v>47</v>
      </c>
      <c r="C46" s="162" t="s">
        <v>360</v>
      </c>
      <c r="E46" s="881">
        <v>6</v>
      </c>
      <c r="F46" s="335"/>
      <c r="G46" s="335"/>
      <c r="H46" s="335"/>
      <c r="I46" s="335"/>
      <c r="J46" s="335"/>
      <c r="K46" s="335"/>
      <c r="L46" s="335"/>
      <c r="M46" s="335"/>
      <c r="N46" s="348">
        <f t="shared" si="4"/>
        <v>0</v>
      </c>
      <c r="O46" s="348">
        <f t="shared" si="5"/>
        <v>0</v>
      </c>
    </row>
    <row r="47" spans="1:15" ht="24">
      <c r="A47" s="957" t="s">
        <v>3456</v>
      </c>
      <c r="B47" s="343">
        <v>48</v>
      </c>
      <c r="C47" s="162" t="s">
        <v>360</v>
      </c>
      <c r="E47" s="881">
        <v>7</v>
      </c>
      <c r="F47" s="335"/>
      <c r="G47" s="335"/>
      <c r="H47" s="335"/>
      <c r="I47" s="335"/>
      <c r="J47" s="335"/>
      <c r="K47" s="335"/>
      <c r="L47" s="335"/>
      <c r="M47" s="335"/>
      <c r="N47" s="348">
        <f t="shared" si="4"/>
        <v>0</v>
      </c>
      <c r="O47" s="348">
        <f t="shared" si="5"/>
        <v>0</v>
      </c>
    </row>
    <row r="48" spans="1:15">
      <c r="B48" s="343">
        <v>49</v>
      </c>
      <c r="C48" s="162" t="s">
        <v>360</v>
      </c>
      <c r="E48" s="881">
        <v>8</v>
      </c>
      <c r="F48" s="335"/>
      <c r="G48" s="335"/>
      <c r="H48" s="335"/>
      <c r="I48" s="335"/>
      <c r="J48" s="335"/>
      <c r="K48" s="335"/>
      <c r="L48" s="335"/>
      <c r="M48" s="335"/>
      <c r="N48" s="348">
        <f t="shared" si="4"/>
        <v>0</v>
      </c>
      <c r="O48" s="348">
        <f t="shared" si="5"/>
        <v>0</v>
      </c>
    </row>
    <row r="49" spans="1:15">
      <c r="B49" s="343">
        <v>50</v>
      </c>
      <c r="C49" s="162" t="s">
        <v>360</v>
      </c>
      <c r="E49" s="881">
        <v>9</v>
      </c>
      <c r="F49" s="335"/>
      <c r="G49" s="335"/>
      <c r="H49" s="335"/>
      <c r="I49" s="335"/>
      <c r="J49" s="335"/>
      <c r="K49" s="335"/>
      <c r="L49" s="335"/>
      <c r="M49" s="335"/>
      <c r="N49" s="348">
        <f t="shared" si="4"/>
        <v>0</v>
      </c>
      <c r="O49" s="348">
        <f t="shared" si="5"/>
        <v>0</v>
      </c>
    </row>
    <row r="50" spans="1:15">
      <c r="B50" s="343">
        <v>51</v>
      </c>
      <c r="C50" s="162" t="s">
        <v>360</v>
      </c>
      <c r="E50" s="881">
        <v>10</v>
      </c>
      <c r="F50" s="335"/>
      <c r="G50" s="335"/>
      <c r="H50" s="335"/>
      <c r="I50" s="335"/>
      <c r="J50" s="335"/>
      <c r="K50" s="335"/>
      <c r="L50" s="335"/>
      <c r="M50" s="335"/>
      <c r="N50" s="348">
        <f t="shared" si="4"/>
        <v>0</v>
      </c>
      <c r="O50" s="348">
        <f t="shared" si="5"/>
        <v>0</v>
      </c>
    </row>
    <row r="51" spans="1:15">
      <c r="B51" s="343">
        <v>52</v>
      </c>
      <c r="C51" s="162" t="s">
        <v>360</v>
      </c>
      <c r="E51" s="881" t="s">
        <v>2680</v>
      </c>
      <c r="F51" s="348">
        <f t="shared" ref="F51:O51" si="6">SUM(F41:F50)</f>
        <v>0</v>
      </c>
      <c r="G51" s="348">
        <f t="shared" si="6"/>
        <v>0</v>
      </c>
      <c r="H51" s="348">
        <f t="shared" si="6"/>
        <v>0</v>
      </c>
      <c r="I51" s="348">
        <f t="shared" si="6"/>
        <v>0</v>
      </c>
      <c r="J51" s="348">
        <f t="shared" si="6"/>
        <v>0</v>
      </c>
      <c r="K51" s="348">
        <f t="shared" si="6"/>
        <v>0</v>
      </c>
      <c r="L51" s="348">
        <f t="shared" si="6"/>
        <v>0</v>
      </c>
      <c r="M51" s="348">
        <f t="shared" si="6"/>
        <v>0</v>
      </c>
      <c r="N51" s="348">
        <f t="shared" si="6"/>
        <v>0</v>
      </c>
      <c r="O51" s="348">
        <f t="shared" si="6"/>
        <v>0</v>
      </c>
    </row>
    <row r="52" spans="1:15">
      <c r="B52" s="343"/>
      <c r="C52" s="162" t="s">
        <v>360</v>
      </c>
    </row>
    <row r="53" spans="1:15">
      <c r="B53" s="343">
        <v>53</v>
      </c>
      <c r="C53" s="162" t="s">
        <v>360</v>
      </c>
      <c r="F53" s="344"/>
    </row>
    <row r="54" spans="1:15">
      <c r="A54" s="1048" t="s">
        <v>2260</v>
      </c>
      <c r="B54" s="343">
        <v>54</v>
      </c>
      <c r="C54" s="162" t="s">
        <v>360</v>
      </c>
      <c r="F54" s="759" t="s">
        <v>4467</v>
      </c>
    </row>
    <row r="55" spans="1:15">
      <c r="B55" s="343">
        <v>55</v>
      </c>
      <c r="C55" s="162" t="s">
        <v>360</v>
      </c>
      <c r="E55" s="1824" t="s">
        <v>3439</v>
      </c>
      <c r="F55" s="1882" t="s">
        <v>3454</v>
      </c>
      <c r="G55" s="1820" t="s">
        <v>2810</v>
      </c>
      <c r="H55" s="1820" t="s">
        <v>3438</v>
      </c>
      <c r="I55" s="1820"/>
      <c r="J55" s="1820"/>
      <c r="K55" s="1820"/>
      <c r="L55" s="1820"/>
      <c r="M55" s="1820"/>
      <c r="N55" s="1820"/>
      <c r="O55" s="1884" t="s">
        <v>2551</v>
      </c>
    </row>
    <row r="56" spans="1:15">
      <c r="B56" s="343">
        <v>56</v>
      </c>
      <c r="C56" s="162" t="s">
        <v>360</v>
      </c>
      <c r="E56" s="1824"/>
      <c r="F56" s="1883"/>
      <c r="G56" s="1820"/>
      <c r="H56" s="883" t="s">
        <v>355</v>
      </c>
      <c r="I56" s="883" t="s">
        <v>356</v>
      </c>
      <c r="J56" s="883" t="s">
        <v>357</v>
      </c>
      <c r="K56" s="883" t="s">
        <v>358</v>
      </c>
      <c r="L56" s="883" t="s">
        <v>359</v>
      </c>
      <c r="M56" s="883" t="s">
        <v>352</v>
      </c>
      <c r="N56" s="883" t="s">
        <v>2680</v>
      </c>
      <c r="O56" s="1885"/>
    </row>
    <row r="57" spans="1:15">
      <c r="B57" s="343">
        <v>57</v>
      </c>
      <c r="C57" s="162" t="s">
        <v>360</v>
      </c>
      <c r="E57" s="881">
        <v>1</v>
      </c>
      <c r="F57" s="335"/>
      <c r="G57" s="335"/>
      <c r="H57" s="335"/>
      <c r="I57" s="335"/>
      <c r="J57" s="335"/>
      <c r="K57" s="335"/>
      <c r="L57" s="335"/>
      <c r="M57" s="335"/>
      <c r="N57" s="348">
        <f>SUM(H57:M57)</f>
        <v>0</v>
      </c>
      <c r="O57" s="348">
        <f>N57-G57</f>
        <v>0</v>
      </c>
    </row>
    <row r="58" spans="1:15">
      <c r="A58" s="811" t="str">
        <f>HYPERLINK("#C1","置顶")</f>
        <v>置顶</v>
      </c>
      <c r="B58" s="343">
        <v>58</v>
      </c>
      <c r="C58" s="162" t="s">
        <v>360</v>
      </c>
      <c r="E58" s="881">
        <v>2</v>
      </c>
      <c r="F58" s="335"/>
      <c r="G58" s="335"/>
      <c r="H58" s="335"/>
      <c r="I58" s="335"/>
      <c r="J58" s="335"/>
      <c r="K58" s="335"/>
      <c r="L58" s="335"/>
      <c r="M58" s="335"/>
      <c r="N58" s="348">
        <f>SUM(H58:M58)</f>
        <v>0</v>
      </c>
      <c r="O58" s="348">
        <f>N58-G58</f>
        <v>0</v>
      </c>
    </row>
    <row r="59" spans="1:15">
      <c r="B59" s="343">
        <v>59</v>
      </c>
      <c r="C59" s="162" t="s">
        <v>360</v>
      </c>
      <c r="E59" s="881">
        <v>3</v>
      </c>
      <c r="F59" s="335"/>
      <c r="G59" s="335"/>
      <c r="H59" s="335"/>
      <c r="I59" s="335"/>
      <c r="J59" s="335"/>
      <c r="K59" s="335"/>
      <c r="L59" s="335"/>
      <c r="M59" s="335"/>
      <c r="N59" s="348">
        <f>SUM(H59:M59)</f>
        <v>0</v>
      </c>
      <c r="O59" s="348">
        <f>N59-G59</f>
        <v>0</v>
      </c>
    </row>
    <row r="60" spans="1:15" ht="24">
      <c r="A60" s="957" t="s">
        <v>3456</v>
      </c>
      <c r="B60" s="343">
        <v>60</v>
      </c>
      <c r="C60" s="162" t="s">
        <v>360</v>
      </c>
      <c r="E60" s="881">
        <v>4</v>
      </c>
      <c r="F60" s="335"/>
      <c r="G60" s="335"/>
      <c r="H60" s="335"/>
      <c r="I60" s="335"/>
      <c r="J60" s="335"/>
      <c r="K60" s="335"/>
      <c r="L60" s="335"/>
      <c r="M60" s="335"/>
      <c r="N60" s="348">
        <f>SUM(H60:M60)</f>
        <v>0</v>
      </c>
      <c r="O60" s="348">
        <f>N60-G60</f>
        <v>0</v>
      </c>
    </row>
    <row r="61" spans="1:15">
      <c r="B61" s="343">
        <v>61</v>
      </c>
      <c r="C61" s="162" t="s">
        <v>360</v>
      </c>
      <c r="E61" s="881">
        <v>5</v>
      </c>
      <c r="F61" s="335"/>
      <c r="G61" s="335"/>
      <c r="H61" s="335"/>
      <c r="I61" s="335"/>
      <c r="J61" s="335"/>
      <c r="K61" s="335"/>
      <c r="L61" s="335"/>
      <c r="M61" s="335"/>
      <c r="N61" s="348">
        <f>SUM(H61:M61)</f>
        <v>0</v>
      </c>
      <c r="O61" s="348">
        <f>N61-G61</f>
        <v>0</v>
      </c>
    </row>
    <row r="62" spans="1:15">
      <c r="B62" s="343">
        <v>67</v>
      </c>
      <c r="C62" s="162" t="s">
        <v>360</v>
      </c>
      <c r="E62" s="881" t="s">
        <v>2680</v>
      </c>
      <c r="F62" s="348">
        <f t="shared" ref="F62:O62" si="7">SUM(F57:F61)</f>
        <v>0</v>
      </c>
      <c r="G62" s="348">
        <f t="shared" si="7"/>
        <v>0</v>
      </c>
      <c r="H62" s="348">
        <f t="shared" si="7"/>
        <v>0</v>
      </c>
      <c r="I62" s="348">
        <f t="shared" si="7"/>
        <v>0</v>
      </c>
      <c r="J62" s="348">
        <f t="shared" si="7"/>
        <v>0</v>
      </c>
      <c r="K62" s="348">
        <f t="shared" si="7"/>
        <v>0</v>
      </c>
      <c r="L62" s="348">
        <f t="shared" si="7"/>
        <v>0</v>
      </c>
      <c r="M62" s="348">
        <f t="shared" si="7"/>
        <v>0</v>
      </c>
      <c r="N62" s="348">
        <f t="shared" si="7"/>
        <v>0</v>
      </c>
      <c r="O62" s="348">
        <f t="shared" si="7"/>
        <v>0</v>
      </c>
    </row>
    <row r="63" spans="1:15">
      <c r="B63" s="343"/>
      <c r="C63" s="162" t="s">
        <v>360</v>
      </c>
      <c r="E63" s="162"/>
      <c r="F63" s="162"/>
      <c r="G63" s="162"/>
      <c r="H63" s="162"/>
      <c r="I63" s="162"/>
      <c r="J63" s="162"/>
      <c r="K63" s="162"/>
      <c r="L63" s="162"/>
      <c r="M63" s="162"/>
      <c r="N63" s="162"/>
      <c r="O63" s="162"/>
    </row>
    <row r="64" spans="1:15">
      <c r="B64" s="343"/>
      <c r="C64" s="162" t="s">
        <v>360</v>
      </c>
      <c r="F64" s="347" t="s">
        <v>3457</v>
      </c>
      <c r="G64" s="348">
        <f>G51-关联方应收应付款项!D100</f>
        <v>0</v>
      </c>
      <c r="H64" s="162"/>
      <c r="I64" s="162"/>
      <c r="J64" s="162"/>
      <c r="K64" s="162"/>
      <c r="L64" s="162"/>
      <c r="M64" s="162"/>
      <c r="N64" s="162"/>
      <c r="O64" s="162"/>
    </row>
    <row r="65" spans="1:15">
      <c r="B65" s="343"/>
      <c r="C65" s="162" t="s">
        <v>360</v>
      </c>
      <c r="F65" s="347" t="s">
        <v>3458</v>
      </c>
      <c r="G65" s="348">
        <f>G51+G62-其他应收款!D66</f>
        <v>-573987.9</v>
      </c>
      <c r="H65" s="162"/>
      <c r="I65" s="162"/>
      <c r="J65" s="162"/>
      <c r="K65" s="162"/>
      <c r="L65" s="162"/>
      <c r="M65" s="162"/>
      <c r="N65" s="162"/>
      <c r="O65" s="162"/>
    </row>
    <row r="66" spans="1:15">
      <c r="B66" s="343">
        <v>68</v>
      </c>
    </row>
    <row r="67" spans="1:15">
      <c r="B67" s="343"/>
    </row>
    <row r="68" spans="1:15">
      <c r="B68" s="343">
        <v>69</v>
      </c>
      <c r="C68" s="162" t="s">
        <v>3459</v>
      </c>
      <c r="F68" s="347"/>
    </row>
    <row r="69" spans="1:15">
      <c r="B69" s="343">
        <v>70</v>
      </c>
      <c r="C69" s="162" t="s">
        <v>3459</v>
      </c>
      <c r="F69" s="759" t="s">
        <v>4468</v>
      </c>
    </row>
    <row r="70" spans="1:15">
      <c r="A70" s="811" t="str">
        <f>HYPERLINK("#C1","置顶")</f>
        <v>置顶</v>
      </c>
      <c r="B70" s="343">
        <v>71</v>
      </c>
      <c r="C70" s="162" t="s">
        <v>3459</v>
      </c>
      <c r="E70" s="1824" t="s">
        <v>3439</v>
      </c>
      <c r="F70" s="1882" t="s">
        <v>3460</v>
      </c>
      <c r="G70" s="1820" t="s">
        <v>2810</v>
      </c>
      <c r="H70" s="1820" t="s">
        <v>3438</v>
      </c>
      <c r="I70" s="1820"/>
      <c r="J70" s="1820"/>
      <c r="K70" s="1820"/>
      <c r="L70" s="1820"/>
      <c r="M70" s="1820"/>
      <c r="N70" s="1820"/>
      <c r="O70" s="1884" t="s">
        <v>2551</v>
      </c>
    </row>
    <row r="71" spans="1:15">
      <c r="B71" s="343">
        <v>72</v>
      </c>
      <c r="C71" s="162" t="s">
        <v>3459</v>
      </c>
      <c r="E71" s="1824"/>
      <c r="F71" s="1883"/>
      <c r="G71" s="1820"/>
      <c r="H71" s="883" t="s">
        <v>355</v>
      </c>
      <c r="I71" s="883" t="s">
        <v>356</v>
      </c>
      <c r="J71" s="883" t="s">
        <v>357</v>
      </c>
      <c r="K71" s="883" t="s">
        <v>358</v>
      </c>
      <c r="L71" s="883" t="s">
        <v>359</v>
      </c>
      <c r="M71" s="883" t="s">
        <v>352</v>
      </c>
      <c r="N71" s="883" t="s">
        <v>2680</v>
      </c>
      <c r="O71" s="1885"/>
    </row>
    <row r="72" spans="1:15">
      <c r="B72" s="343">
        <v>73</v>
      </c>
      <c r="C72" s="162" t="s">
        <v>3459</v>
      </c>
      <c r="E72" s="881">
        <v>1</v>
      </c>
      <c r="F72" s="335"/>
      <c r="G72" s="335"/>
      <c r="H72" s="335"/>
      <c r="I72" s="335"/>
      <c r="J72" s="335"/>
      <c r="K72" s="335"/>
      <c r="L72" s="335"/>
      <c r="M72" s="335"/>
      <c r="N72" s="348">
        <f>SUM(H72:M72)</f>
        <v>0</v>
      </c>
      <c r="O72" s="348">
        <f>N72-G72</f>
        <v>0</v>
      </c>
    </row>
    <row r="73" spans="1:15">
      <c r="A73" s="957"/>
      <c r="B73" s="343">
        <v>74</v>
      </c>
      <c r="C73" s="162" t="s">
        <v>3459</v>
      </c>
      <c r="E73" s="881">
        <v>2</v>
      </c>
      <c r="F73" s="335"/>
      <c r="G73" s="335"/>
      <c r="H73" s="335"/>
      <c r="I73" s="335"/>
      <c r="J73" s="335"/>
      <c r="K73" s="335"/>
      <c r="L73" s="335"/>
      <c r="M73" s="335"/>
      <c r="N73" s="348">
        <f t="shared" ref="N73:N81" si="8">SUM(H73:M73)</f>
        <v>0</v>
      </c>
      <c r="O73" s="348">
        <f t="shared" ref="O73:O81" si="9">N73-G73</f>
        <v>0</v>
      </c>
    </row>
    <row r="74" spans="1:15">
      <c r="B74" s="343">
        <v>75</v>
      </c>
      <c r="C74" s="162" t="s">
        <v>3459</v>
      </c>
      <c r="E74" s="881">
        <v>3</v>
      </c>
      <c r="F74" s="335"/>
      <c r="G74" s="335"/>
      <c r="H74" s="335"/>
      <c r="I74" s="335"/>
      <c r="J74" s="335"/>
      <c r="K74" s="335"/>
      <c r="L74" s="335"/>
      <c r="M74" s="335"/>
      <c r="N74" s="348">
        <f t="shared" si="8"/>
        <v>0</v>
      </c>
      <c r="O74" s="348">
        <f t="shared" si="9"/>
        <v>0</v>
      </c>
    </row>
    <row r="75" spans="1:15">
      <c r="B75" s="343">
        <v>76</v>
      </c>
      <c r="C75" s="162" t="s">
        <v>3459</v>
      </c>
      <c r="E75" s="881">
        <v>4</v>
      </c>
      <c r="F75" s="335"/>
      <c r="G75" s="335"/>
      <c r="H75" s="335"/>
      <c r="I75" s="335"/>
      <c r="J75" s="335"/>
      <c r="K75" s="335"/>
      <c r="L75" s="335"/>
      <c r="M75" s="335"/>
      <c r="N75" s="348">
        <f t="shared" si="8"/>
        <v>0</v>
      </c>
      <c r="O75" s="348">
        <f t="shared" si="9"/>
        <v>0</v>
      </c>
    </row>
    <row r="76" spans="1:15">
      <c r="B76" s="343">
        <v>77</v>
      </c>
      <c r="C76" s="162" t="s">
        <v>3459</v>
      </c>
      <c r="E76" s="881">
        <v>5</v>
      </c>
      <c r="F76" s="335"/>
      <c r="G76" s="335"/>
      <c r="H76" s="335"/>
      <c r="I76" s="335"/>
      <c r="J76" s="335"/>
      <c r="K76" s="335"/>
      <c r="L76" s="335"/>
      <c r="M76" s="335"/>
      <c r="N76" s="348">
        <f t="shared" si="8"/>
        <v>0</v>
      </c>
      <c r="O76" s="348">
        <f t="shared" si="9"/>
        <v>0</v>
      </c>
    </row>
    <row r="77" spans="1:15">
      <c r="B77" s="343">
        <v>78</v>
      </c>
      <c r="C77" s="162" t="s">
        <v>3459</v>
      </c>
      <c r="E77" s="881">
        <v>6</v>
      </c>
      <c r="F77" s="335"/>
      <c r="G77" s="335"/>
      <c r="H77" s="335"/>
      <c r="I77" s="335"/>
      <c r="J77" s="335"/>
      <c r="K77" s="335"/>
      <c r="L77" s="335"/>
      <c r="M77" s="335"/>
      <c r="N77" s="348">
        <f t="shared" si="8"/>
        <v>0</v>
      </c>
      <c r="O77" s="348">
        <f t="shared" si="9"/>
        <v>0</v>
      </c>
    </row>
    <row r="78" spans="1:15">
      <c r="B78" s="343">
        <v>79</v>
      </c>
      <c r="C78" s="162" t="s">
        <v>3459</v>
      </c>
      <c r="E78" s="881">
        <v>7</v>
      </c>
      <c r="F78" s="335"/>
      <c r="G78" s="335"/>
      <c r="H78" s="335"/>
      <c r="I78" s="335"/>
      <c r="J78" s="335"/>
      <c r="K78" s="335"/>
      <c r="L78" s="335"/>
      <c r="M78" s="335"/>
      <c r="N78" s="348">
        <f t="shared" si="8"/>
        <v>0</v>
      </c>
      <c r="O78" s="348">
        <f t="shared" si="9"/>
        <v>0</v>
      </c>
    </row>
    <row r="79" spans="1:15" ht="36">
      <c r="A79" s="957" t="s">
        <v>3461</v>
      </c>
      <c r="B79" s="343">
        <v>80</v>
      </c>
      <c r="C79" s="162" t="s">
        <v>3459</v>
      </c>
      <c r="E79" s="881">
        <v>8</v>
      </c>
      <c r="F79" s="335"/>
      <c r="G79" s="335"/>
      <c r="H79" s="335"/>
      <c r="I79" s="335"/>
      <c r="J79" s="335"/>
      <c r="K79" s="335"/>
      <c r="L79" s="335"/>
      <c r="M79" s="335"/>
      <c r="N79" s="348">
        <f t="shared" si="8"/>
        <v>0</v>
      </c>
      <c r="O79" s="348">
        <f t="shared" si="9"/>
        <v>0</v>
      </c>
    </row>
    <row r="80" spans="1:15">
      <c r="B80" s="343">
        <v>81</v>
      </c>
      <c r="C80" s="162" t="s">
        <v>3459</v>
      </c>
      <c r="E80" s="881">
        <v>9</v>
      </c>
      <c r="F80" s="335"/>
      <c r="G80" s="335"/>
      <c r="H80" s="335"/>
      <c r="I80" s="335"/>
      <c r="J80" s="335"/>
      <c r="K80" s="335"/>
      <c r="L80" s="335"/>
      <c r="M80" s="335"/>
      <c r="N80" s="348">
        <f t="shared" si="8"/>
        <v>0</v>
      </c>
      <c r="O80" s="348">
        <f t="shared" si="9"/>
        <v>0</v>
      </c>
    </row>
    <row r="81" spans="1:15">
      <c r="B81" s="343">
        <v>82</v>
      </c>
      <c r="C81" s="162" t="s">
        <v>3459</v>
      </c>
      <c r="E81" s="881">
        <v>10</v>
      </c>
      <c r="F81" s="335"/>
      <c r="G81" s="335"/>
      <c r="H81" s="335"/>
      <c r="I81" s="335"/>
      <c r="J81" s="335"/>
      <c r="K81" s="335"/>
      <c r="L81" s="335"/>
      <c r="M81" s="335"/>
      <c r="N81" s="348">
        <f t="shared" si="8"/>
        <v>0</v>
      </c>
      <c r="O81" s="348">
        <f t="shared" si="9"/>
        <v>0</v>
      </c>
    </row>
    <row r="82" spans="1:15">
      <c r="B82" s="343">
        <v>83</v>
      </c>
      <c r="C82" s="162" t="s">
        <v>3459</v>
      </c>
      <c r="E82" s="881" t="s">
        <v>2680</v>
      </c>
      <c r="F82" s="348">
        <f t="shared" ref="F82:O82" si="10">SUM(F72:F81)</f>
        <v>0</v>
      </c>
      <c r="G82" s="348">
        <f t="shared" si="10"/>
        <v>0</v>
      </c>
      <c r="H82" s="348">
        <f t="shared" si="10"/>
        <v>0</v>
      </c>
      <c r="I82" s="348">
        <f t="shared" si="10"/>
        <v>0</v>
      </c>
      <c r="J82" s="348">
        <f t="shared" si="10"/>
        <v>0</v>
      </c>
      <c r="K82" s="348">
        <f t="shared" si="10"/>
        <v>0</v>
      </c>
      <c r="L82" s="348">
        <f t="shared" si="10"/>
        <v>0</v>
      </c>
      <c r="M82" s="348">
        <f t="shared" si="10"/>
        <v>0</v>
      </c>
      <c r="N82" s="348">
        <f t="shared" si="10"/>
        <v>0</v>
      </c>
      <c r="O82" s="348">
        <f t="shared" si="10"/>
        <v>0</v>
      </c>
    </row>
    <row r="83" spans="1:15">
      <c r="B83" s="343">
        <v>84</v>
      </c>
      <c r="C83" s="162" t="s">
        <v>3459</v>
      </c>
    </row>
    <row r="84" spans="1:15">
      <c r="B84" s="343"/>
      <c r="C84" s="162" t="s">
        <v>3459</v>
      </c>
      <c r="F84" s="344" t="s">
        <v>3462</v>
      </c>
      <c r="G84" s="348">
        <f>G82-关联方应收应付款项!D81</f>
        <v>0</v>
      </c>
    </row>
    <row r="85" spans="1:15">
      <c r="B85" s="343">
        <v>85</v>
      </c>
      <c r="C85" s="162" t="s">
        <v>3459</v>
      </c>
      <c r="F85" s="344" t="s">
        <v>3463</v>
      </c>
      <c r="G85" s="348">
        <f>IF(G82&gt;预付账款!D9,"请核实,明细大于总计",0)</f>
        <v>0</v>
      </c>
    </row>
    <row r="86" spans="1:15" ht="16.5" customHeight="1">
      <c r="B86" s="343">
        <v>86</v>
      </c>
    </row>
    <row r="87" spans="1:15" ht="16.5" customHeight="1">
      <c r="B87" s="343">
        <v>87</v>
      </c>
    </row>
    <row r="88" spans="1:15">
      <c r="B88" s="343">
        <v>88</v>
      </c>
      <c r="C88" s="162" t="s">
        <v>3464</v>
      </c>
      <c r="F88" s="347"/>
    </row>
    <row r="89" spans="1:15" ht="36">
      <c r="A89" s="957" t="s">
        <v>3461</v>
      </c>
      <c r="B89" s="343">
        <v>89</v>
      </c>
      <c r="C89" s="162" t="s">
        <v>3464</v>
      </c>
      <c r="F89" s="781" t="s">
        <v>4469</v>
      </c>
    </row>
    <row r="90" spans="1:15">
      <c r="B90" s="343">
        <v>87</v>
      </c>
      <c r="C90" s="162" t="s">
        <v>3464</v>
      </c>
      <c r="E90" s="1824" t="s">
        <v>3439</v>
      </c>
      <c r="F90" s="1882" t="s">
        <v>3465</v>
      </c>
      <c r="G90" s="1820" t="s">
        <v>2810</v>
      </c>
      <c r="H90" s="1820" t="s">
        <v>3438</v>
      </c>
      <c r="I90" s="1820"/>
      <c r="J90" s="1820"/>
      <c r="K90" s="1820"/>
      <c r="L90" s="1820"/>
      <c r="M90" s="1820"/>
      <c r="N90" s="1820"/>
      <c r="O90" s="1884" t="s">
        <v>2551</v>
      </c>
    </row>
    <row r="91" spans="1:15">
      <c r="B91" s="343">
        <v>88</v>
      </c>
      <c r="C91" s="162" t="s">
        <v>3464</v>
      </c>
      <c r="E91" s="1824"/>
      <c r="F91" s="1883"/>
      <c r="G91" s="1820"/>
      <c r="H91" s="883" t="s">
        <v>355</v>
      </c>
      <c r="I91" s="883" t="s">
        <v>356</v>
      </c>
      <c r="J91" s="883" t="s">
        <v>357</v>
      </c>
      <c r="K91" s="883" t="s">
        <v>358</v>
      </c>
      <c r="L91" s="883" t="s">
        <v>359</v>
      </c>
      <c r="M91" s="883" t="s">
        <v>352</v>
      </c>
      <c r="N91" s="883" t="s">
        <v>2680</v>
      </c>
      <c r="O91" s="1885"/>
    </row>
    <row r="92" spans="1:15">
      <c r="B92" s="343">
        <v>89</v>
      </c>
      <c r="C92" s="162" t="s">
        <v>3464</v>
      </c>
      <c r="E92" s="881">
        <v>1</v>
      </c>
      <c r="F92" s="335"/>
      <c r="G92" s="335"/>
      <c r="H92" s="335"/>
      <c r="I92" s="335"/>
      <c r="J92" s="335"/>
      <c r="K92" s="335"/>
      <c r="L92" s="335"/>
      <c r="M92" s="335"/>
      <c r="N92" s="348">
        <f>SUM(H92:M92)</f>
        <v>0</v>
      </c>
      <c r="O92" s="348">
        <f>N92-G92</f>
        <v>0</v>
      </c>
    </row>
    <row r="93" spans="1:15">
      <c r="A93" s="1048" t="s">
        <v>2260</v>
      </c>
      <c r="B93" s="343">
        <v>90</v>
      </c>
      <c r="C93" s="162" t="s">
        <v>3464</v>
      </c>
      <c r="E93" s="881">
        <v>2</v>
      </c>
      <c r="F93" s="335"/>
      <c r="G93" s="335"/>
      <c r="H93" s="335"/>
      <c r="I93" s="335"/>
      <c r="J93" s="335"/>
      <c r="K93" s="335"/>
      <c r="L93" s="335"/>
      <c r="M93" s="335"/>
      <c r="N93" s="348">
        <f t="shared" ref="N93:N101" si="11">SUM(H93:M93)</f>
        <v>0</v>
      </c>
      <c r="O93" s="348">
        <f t="shared" ref="O93:O101" si="12">N93-G93</f>
        <v>0</v>
      </c>
    </row>
    <row r="94" spans="1:15">
      <c r="B94" s="343">
        <v>91</v>
      </c>
      <c r="C94" s="162" t="s">
        <v>3464</v>
      </c>
      <c r="E94" s="881">
        <v>3</v>
      </c>
      <c r="F94" s="335"/>
      <c r="G94" s="335"/>
      <c r="H94" s="335"/>
      <c r="I94" s="335"/>
      <c r="J94" s="335"/>
      <c r="K94" s="335"/>
      <c r="L94" s="335"/>
      <c r="M94" s="335"/>
      <c r="N94" s="348">
        <f t="shared" si="11"/>
        <v>0</v>
      </c>
      <c r="O94" s="348">
        <f t="shared" si="12"/>
        <v>0</v>
      </c>
    </row>
    <row r="95" spans="1:15">
      <c r="B95" s="343">
        <v>92</v>
      </c>
      <c r="C95" s="162" t="s">
        <v>3464</v>
      </c>
      <c r="E95" s="881">
        <v>4</v>
      </c>
      <c r="F95" s="335"/>
      <c r="G95" s="335"/>
      <c r="H95" s="335"/>
      <c r="I95" s="335"/>
      <c r="J95" s="335"/>
      <c r="K95" s="335"/>
      <c r="L95" s="335"/>
      <c r="M95" s="335"/>
      <c r="N95" s="348">
        <f t="shared" si="11"/>
        <v>0</v>
      </c>
      <c r="O95" s="348">
        <f t="shared" si="12"/>
        <v>0</v>
      </c>
    </row>
    <row r="96" spans="1:15">
      <c r="B96" s="343">
        <v>93</v>
      </c>
      <c r="C96" s="162" t="s">
        <v>3464</v>
      </c>
      <c r="E96" s="881">
        <v>5</v>
      </c>
      <c r="F96" s="335"/>
      <c r="G96" s="335"/>
      <c r="H96" s="335"/>
      <c r="I96" s="335"/>
      <c r="J96" s="335"/>
      <c r="K96" s="335"/>
      <c r="L96" s="335"/>
      <c r="M96" s="335"/>
      <c r="N96" s="348">
        <f t="shared" si="11"/>
        <v>0</v>
      </c>
      <c r="O96" s="348">
        <f t="shared" si="12"/>
        <v>0</v>
      </c>
    </row>
    <row r="97" spans="1:15">
      <c r="B97" s="343">
        <v>94</v>
      </c>
      <c r="C97" s="162" t="s">
        <v>3464</v>
      </c>
      <c r="E97" s="881">
        <v>6</v>
      </c>
      <c r="F97" s="335"/>
      <c r="G97" s="335"/>
      <c r="H97" s="335"/>
      <c r="I97" s="335"/>
      <c r="J97" s="335"/>
      <c r="K97" s="335"/>
      <c r="L97" s="335"/>
      <c r="M97" s="335"/>
      <c r="N97" s="348">
        <f t="shared" si="11"/>
        <v>0</v>
      </c>
      <c r="O97" s="348">
        <f t="shared" si="12"/>
        <v>0</v>
      </c>
    </row>
    <row r="98" spans="1:15">
      <c r="A98" s="811" t="str">
        <f>HYPERLINK("#C1","置顶")</f>
        <v>置顶</v>
      </c>
      <c r="B98" s="343">
        <v>95</v>
      </c>
      <c r="C98" s="162" t="s">
        <v>3464</v>
      </c>
      <c r="E98" s="881">
        <v>7</v>
      </c>
      <c r="F98" s="335"/>
      <c r="G98" s="335"/>
      <c r="H98" s="335"/>
      <c r="I98" s="335"/>
      <c r="J98" s="335"/>
      <c r="K98" s="335"/>
      <c r="L98" s="335"/>
      <c r="M98" s="335"/>
      <c r="N98" s="348">
        <f t="shared" si="11"/>
        <v>0</v>
      </c>
      <c r="O98" s="348">
        <f t="shared" si="12"/>
        <v>0</v>
      </c>
    </row>
    <row r="99" spans="1:15">
      <c r="B99" s="343">
        <v>96</v>
      </c>
      <c r="C99" s="162" t="s">
        <v>3464</v>
      </c>
      <c r="E99" s="881">
        <v>8</v>
      </c>
      <c r="F99" s="335"/>
      <c r="G99" s="335"/>
      <c r="H99" s="335"/>
      <c r="I99" s="335"/>
      <c r="J99" s="335"/>
      <c r="K99" s="335"/>
      <c r="L99" s="335"/>
      <c r="M99" s="335"/>
      <c r="N99" s="348">
        <f t="shared" si="11"/>
        <v>0</v>
      </c>
      <c r="O99" s="348">
        <f t="shared" si="12"/>
        <v>0</v>
      </c>
    </row>
    <row r="100" spans="1:15">
      <c r="A100" s="1048"/>
      <c r="B100" s="343">
        <v>97</v>
      </c>
      <c r="C100" s="162" t="s">
        <v>3464</v>
      </c>
      <c r="E100" s="881">
        <v>9</v>
      </c>
      <c r="F100" s="335"/>
      <c r="G100" s="335"/>
      <c r="H100" s="335"/>
      <c r="I100" s="335"/>
      <c r="J100" s="335"/>
      <c r="K100" s="335"/>
      <c r="L100" s="335"/>
      <c r="M100" s="335"/>
      <c r="N100" s="348">
        <f t="shared" si="11"/>
        <v>0</v>
      </c>
      <c r="O100" s="348">
        <f t="shared" si="12"/>
        <v>0</v>
      </c>
    </row>
    <row r="101" spans="1:15">
      <c r="B101" s="343">
        <v>98</v>
      </c>
      <c r="C101" s="162" t="s">
        <v>3464</v>
      </c>
      <c r="E101" s="881">
        <v>10</v>
      </c>
      <c r="F101" s="335"/>
      <c r="G101" s="335"/>
      <c r="H101" s="335"/>
      <c r="I101" s="335"/>
      <c r="J101" s="335"/>
      <c r="K101" s="335"/>
      <c r="L101" s="335"/>
      <c r="M101" s="335"/>
      <c r="N101" s="348">
        <f t="shared" si="11"/>
        <v>0</v>
      </c>
      <c r="O101" s="348">
        <f t="shared" si="12"/>
        <v>0</v>
      </c>
    </row>
    <row r="102" spans="1:15">
      <c r="B102" s="343">
        <v>99</v>
      </c>
      <c r="C102" s="162" t="s">
        <v>3464</v>
      </c>
      <c r="E102" s="881" t="s">
        <v>2680</v>
      </c>
      <c r="F102" s="348">
        <f t="shared" ref="F102:O102" si="13">SUM(F92:F101)</f>
        <v>0</v>
      </c>
      <c r="G102" s="348">
        <f t="shared" si="13"/>
        <v>0</v>
      </c>
      <c r="H102" s="348">
        <f t="shared" si="13"/>
        <v>0</v>
      </c>
      <c r="I102" s="348">
        <f t="shared" si="13"/>
        <v>0</v>
      </c>
      <c r="J102" s="348">
        <f t="shared" si="13"/>
        <v>0</v>
      </c>
      <c r="K102" s="348">
        <f t="shared" si="13"/>
        <v>0</v>
      </c>
      <c r="L102" s="348">
        <f t="shared" si="13"/>
        <v>0</v>
      </c>
      <c r="M102" s="348">
        <f t="shared" si="13"/>
        <v>0</v>
      </c>
      <c r="N102" s="348">
        <f t="shared" si="13"/>
        <v>0</v>
      </c>
      <c r="O102" s="348">
        <f t="shared" si="13"/>
        <v>0</v>
      </c>
    </row>
    <row r="103" spans="1:15">
      <c r="B103" s="343">
        <v>100</v>
      </c>
      <c r="C103" s="162" t="s">
        <v>3464</v>
      </c>
      <c r="F103" s="344"/>
    </row>
    <row r="104" spans="1:15">
      <c r="B104" s="343"/>
      <c r="C104" s="162" t="s">
        <v>3464</v>
      </c>
      <c r="F104" s="344" t="s">
        <v>3441</v>
      </c>
      <c r="G104" s="348">
        <f>G102-关联方应收应付款项!D139</f>
        <v>0</v>
      </c>
    </row>
    <row r="105" spans="1:15">
      <c r="B105" s="343">
        <v>101</v>
      </c>
      <c r="C105" s="162" t="s">
        <v>3464</v>
      </c>
      <c r="F105" s="347" t="s">
        <v>3466</v>
      </c>
      <c r="G105" s="348">
        <f>IF(G102&gt;应付账款!D8,"请核实,明细大于总计",0)</f>
        <v>0</v>
      </c>
      <c r="L105" s="344"/>
    </row>
    <row r="106" spans="1:15">
      <c r="B106" s="343">
        <v>102</v>
      </c>
      <c r="E106" s="347"/>
    </row>
    <row r="107" spans="1:15">
      <c r="B107" s="343">
        <v>103</v>
      </c>
      <c r="E107" s="347"/>
    </row>
    <row r="108" spans="1:15">
      <c r="B108" s="343">
        <v>104</v>
      </c>
      <c r="C108" s="162" t="s">
        <v>3467</v>
      </c>
      <c r="F108" s="347"/>
    </row>
    <row r="109" spans="1:15">
      <c r="B109" s="343">
        <v>105</v>
      </c>
      <c r="C109" s="162" t="s">
        <v>3467</v>
      </c>
      <c r="F109" s="781" t="s">
        <v>4470</v>
      </c>
    </row>
    <row r="110" spans="1:15" ht="36">
      <c r="A110" s="957" t="s">
        <v>3461</v>
      </c>
      <c r="B110" s="343">
        <v>106</v>
      </c>
      <c r="C110" s="162" t="s">
        <v>3467</v>
      </c>
      <c r="E110" s="1824" t="s">
        <v>3439</v>
      </c>
      <c r="F110" s="1882" t="s">
        <v>3468</v>
      </c>
      <c r="G110" s="1820" t="s">
        <v>2810</v>
      </c>
      <c r="H110" s="1820" t="s">
        <v>3438</v>
      </c>
      <c r="I110" s="1820"/>
      <c r="J110" s="1820"/>
      <c r="K110" s="1820"/>
      <c r="L110" s="1820"/>
      <c r="M110" s="1820"/>
      <c r="N110" s="1820"/>
      <c r="O110" s="1884" t="s">
        <v>2551</v>
      </c>
    </row>
    <row r="111" spans="1:15">
      <c r="B111" s="343">
        <v>104</v>
      </c>
      <c r="C111" s="162" t="s">
        <v>3467</v>
      </c>
      <c r="E111" s="1824"/>
      <c r="F111" s="1883"/>
      <c r="G111" s="1820"/>
      <c r="H111" s="883" t="s">
        <v>355</v>
      </c>
      <c r="I111" s="883" t="s">
        <v>356</v>
      </c>
      <c r="J111" s="883" t="s">
        <v>357</v>
      </c>
      <c r="K111" s="883" t="s">
        <v>358</v>
      </c>
      <c r="L111" s="883" t="s">
        <v>359</v>
      </c>
      <c r="M111" s="883" t="s">
        <v>352</v>
      </c>
      <c r="N111" s="883" t="s">
        <v>2680</v>
      </c>
      <c r="O111" s="1885"/>
    </row>
    <row r="112" spans="1:15">
      <c r="B112" s="343">
        <v>105</v>
      </c>
      <c r="C112" s="162" t="s">
        <v>3467</v>
      </c>
      <c r="E112" s="881">
        <v>1</v>
      </c>
      <c r="F112" s="335"/>
      <c r="G112" s="335"/>
      <c r="H112" s="335"/>
      <c r="I112" s="335"/>
      <c r="J112" s="335"/>
      <c r="K112" s="335"/>
      <c r="L112" s="335"/>
      <c r="M112" s="335"/>
      <c r="N112" s="348">
        <f>SUM(H112:M112)</f>
        <v>0</v>
      </c>
      <c r="O112" s="348">
        <f>N112-G112</f>
        <v>0</v>
      </c>
    </row>
    <row r="113" spans="1:15">
      <c r="B113" s="343">
        <v>106</v>
      </c>
      <c r="C113" s="162" t="s">
        <v>3467</v>
      </c>
      <c r="E113" s="881">
        <v>2</v>
      </c>
      <c r="F113" s="335"/>
      <c r="G113" s="335"/>
      <c r="H113" s="335"/>
      <c r="I113" s="335"/>
      <c r="J113" s="335"/>
      <c r="K113" s="335"/>
      <c r="L113" s="335"/>
      <c r="M113" s="335"/>
      <c r="N113" s="348">
        <f t="shared" ref="N113:N121" si="14">SUM(H113:M113)</f>
        <v>0</v>
      </c>
      <c r="O113" s="348">
        <f t="shared" ref="O113:O121" si="15">N113-G113</f>
        <v>0</v>
      </c>
    </row>
    <row r="114" spans="1:15">
      <c r="A114" s="811" t="str">
        <f>HYPERLINK("#C1","置顶")</f>
        <v>置顶</v>
      </c>
      <c r="B114" s="343">
        <v>107</v>
      </c>
      <c r="C114" s="162" t="s">
        <v>3467</v>
      </c>
      <c r="E114" s="881">
        <v>3</v>
      </c>
      <c r="F114" s="335"/>
      <c r="G114" s="335"/>
      <c r="H114" s="335"/>
      <c r="I114" s="335"/>
      <c r="J114" s="335"/>
      <c r="K114" s="335"/>
      <c r="L114" s="335"/>
      <c r="M114" s="335"/>
      <c r="N114" s="348">
        <f t="shared" si="14"/>
        <v>0</v>
      </c>
      <c r="O114" s="348">
        <f t="shared" si="15"/>
        <v>0</v>
      </c>
    </row>
    <row r="115" spans="1:15">
      <c r="B115" s="343">
        <v>108</v>
      </c>
      <c r="C115" s="162" t="s">
        <v>3467</v>
      </c>
      <c r="E115" s="881">
        <v>4</v>
      </c>
      <c r="F115" s="335"/>
      <c r="G115" s="335"/>
      <c r="H115" s="335"/>
      <c r="I115" s="335"/>
      <c r="J115" s="335"/>
      <c r="K115" s="335"/>
      <c r="L115" s="335"/>
      <c r="M115" s="335"/>
      <c r="N115" s="348">
        <f t="shared" si="14"/>
        <v>0</v>
      </c>
      <c r="O115" s="348">
        <f t="shared" si="15"/>
        <v>0</v>
      </c>
    </row>
    <row r="116" spans="1:15">
      <c r="B116" s="343">
        <v>109</v>
      </c>
      <c r="C116" s="162" t="s">
        <v>3467</v>
      </c>
      <c r="E116" s="881">
        <v>5</v>
      </c>
      <c r="F116" s="335"/>
      <c r="G116" s="335"/>
      <c r="H116" s="335"/>
      <c r="I116" s="335"/>
      <c r="J116" s="335"/>
      <c r="K116" s="335"/>
      <c r="L116" s="335"/>
      <c r="M116" s="335"/>
      <c r="N116" s="348">
        <f t="shared" si="14"/>
        <v>0</v>
      </c>
      <c r="O116" s="348">
        <f t="shared" si="15"/>
        <v>0</v>
      </c>
    </row>
    <row r="117" spans="1:15">
      <c r="B117" s="343">
        <v>110</v>
      </c>
      <c r="C117" s="162" t="s">
        <v>3467</v>
      </c>
      <c r="E117" s="881">
        <v>6</v>
      </c>
      <c r="F117" s="335"/>
      <c r="G117" s="335"/>
      <c r="H117" s="335"/>
      <c r="I117" s="335"/>
      <c r="J117" s="335"/>
      <c r="K117" s="335"/>
      <c r="L117" s="335"/>
      <c r="M117" s="335"/>
      <c r="N117" s="348">
        <f t="shared" si="14"/>
        <v>0</v>
      </c>
      <c r="O117" s="348">
        <f t="shared" si="15"/>
        <v>0</v>
      </c>
    </row>
    <row r="118" spans="1:15">
      <c r="A118" s="1048" t="s">
        <v>2260</v>
      </c>
      <c r="B118" s="343">
        <v>111</v>
      </c>
      <c r="C118" s="162" t="s">
        <v>3467</v>
      </c>
      <c r="E118" s="881">
        <v>7</v>
      </c>
      <c r="F118" s="335"/>
      <c r="G118" s="335"/>
      <c r="H118" s="335"/>
      <c r="I118" s="335"/>
      <c r="J118" s="335"/>
      <c r="K118" s="335"/>
      <c r="L118" s="335"/>
      <c r="M118" s="335"/>
      <c r="N118" s="348">
        <f t="shared" si="14"/>
        <v>0</v>
      </c>
      <c r="O118" s="348">
        <f t="shared" si="15"/>
        <v>0</v>
      </c>
    </row>
    <row r="119" spans="1:15">
      <c r="B119" s="343">
        <v>112</v>
      </c>
      <c r="C119" s="162" t="s">
        <v>3467</v>
      </c>
      <c r="E119" s="881">
        <v>8</v>
      </c>
      <c r="F119" s="335"/>
      <c r="G119" s="335"/>
      <c r="H119" s="335"/>
      <c r="I119" s="335"/>
      <c r="J119" s="335"/>
      <c r="K119" s="335"/>
      <c r="L119" s="335"/>
      <c r="M119" s="335"/>
      <c r="N119" s="348">
        <f t="shared" si="14"/>
        <v>0</v>
      </c>
      <c r="O119" s="348">
        <f t="shared" si="15"/>
        <v>0</v>
      </c>
    </row>
    <row r="120" spans="1:15">
      <c r="B120" s="343">
        <v>113</v>
      </c>
      <c r="C120" s="162" t="s">
        <v>3467</v>
      </c>
      <c r="E120" s="881">
        <v>9</v>
      </c>
      <c r="F120" s="335"/>
      <c r="G120" s="335"/>
      <c r="H120" s="335"/>
      <c r="I120" s="335"/>
      <c r="J120" s="335"/>
      <c r="K120" s="335"/>
      <c r="L120" s="335"/>
      <c r="M120" s="335"/>
      <c r="N120" s="348">
        <f t="shared" si="14"/>
        <v>0</v>
      </c>
      <c r="O120" s="348">
        <f t="shared" si="15"/>
        <v>0</v>
      </c>
    </row>
    <row r="121" spans="1:15">
      <c r="B121" s="343">
        <v>114</v>
      </c>
      <c r="C121" s="162" t="s">
        <v>3467</v>
      </c>
      <c r="E121" s="881">
        <v>10</v>
      </c>
      <c r="F121" s="335"/>
      <c r="G121" s="335"/>
      <c r="H121" s="335"/>
      <c r="I121" s="335"/>
      <c r="J121" s="335"/>
      <c r="K121" s="335"/>
      <c r="L121" s="335"/>
      <c r="M121" s="335"/>
      <c r="N121" s="348">
        <f t="shared" si="14"/>
        <v>0</v>
      </c>
      <c r="O121" s="348">
        <f t="shared" si="15"/>
        <v>0</v>
      </c>
    </row>
    <row r="122" spans="1:15">
      <c r="A122" s="1048"/>
      <c r="B122" s="343">
        <v>115</v>
      </c>
      <c r="C122" s="162" t="s">
        <v>3467</v>
      </c>
      <c r="E122" s="881" t="s">
        <v>2680</v>
      </c>
      <c r="F122" s="348">
        <f>SUM(F112:F121)</f>
        <v>0</v>
      </c>
      <c r="G122" s="348">
        <f t="shared" ref="G122:O122" si="16">SUM(G112:G121)</f>
        <v>0</v>
      </c>
      <c r="H122" s="348">
        <f t="shared" si="16"/>
        <v>0</v>
      </c>
      <c r="I122" s="348">
        <f t="shared" si="16"/>
        <v>0</v>
      </c>
      <c r="J122" s="348">
        <f t="shared" si="16"/>
        <v>0</v>
      </c>
      <c r="K122" s="348">
        <f t="shared" si="16"/>
        <v>0</v>
      </c>
      <c r="L122" s="348">
        <f t="shared" si="16"/>
        <v>0</v>
      </c>
      <c r="M122" s="348">
        <f t="shared" si="16"/>
        <v>0</v>
      </c>
      <c r="N122" s="348">
        <f t="shared" si="16"/>
        <v>0</v>
      </c>
      <c r="O122" s="348">
        <f t="shared" si="16"/>
        <v>0</v>
      </c>
    </row>
    <row r="123" spans="1:15">
      <c r="B123" s="343">
        <v>116</v>
      </c>
      <c r="C123" s="162" t="s">
        <v>3467</v>
      </c>
    </row>
    <row r="124" spans="1:15">
      <c r="B124" s="343"/>
      <c r="C124" s="162" t="s">
        <v>3467</v>
      </c>
      <c r="F124" s="344" t="s">
        <v>3442</v>
      </c>
      <c r="G124" s="348">
        <f>G122-关联方应收应付款项!D176</f>
        <v>0</v>
      </c>
    </row>
    <row r="125" spans="1:15">
      <c r="B125" s="343"/>
      <c r="C125" s="162" t="s">
        <v>3467</v>
      </c>
      <c r="F125" s="347" t="s">
        <v>3469</v>
      </c>
      <c r="G125" s="348">
        <f>IF(G122&gt;预收款项!D8,"请核实,明细大于总计",0)</f>
        <v>0</v>
      </c>
    </row>
    <row r="126" spans="1:15">
      <c r="A126" s="1048" t="s">
        <v>2260</v>
      </c>
      <c r="B126" s="343">
        <v>117</v>
      </c>
    </row>
    <row r="127" spans="1:15">
      <c r="B127" s="343"/>
    </row>
    <row r="128" spans="1:15">
      <c r="B128" s="343"/>
      <c r="C128" s="162" t="s">
        <v>3470</v>
      </c>
      <c r="F128" s="347"/>
    </row>
    <row r="129" spans="1:15">
      <c r="B129" s="343"/>
      <c r="C129" s="162" t="s">
        <v>3470</v>
      </c>
      <c r="F129" s="759" t="s">
        <v>4471</v>
      </c>
    </row>
    <row r="130" spans="1:15">
      <c r="B130" s="343">
        <v>118</v>
      </c>
      <c r="C130" s="162" t="s">
        <v>3470</v>
      </c>
      <c r="E130" s="1824" t="s">
        <v>3439</v>
      </c>
      <c r="F130" s="1882" t="s">
        <v>3471</v>
      </c>
      <c r="G130" s="1820" t="s">
        <v>2810</v>
      </c>
      <c r="H130" s="1820" t="s">
        <v>3438</v>
      </c>
      <c r="I130" s="1820"/>
      <c r="J130" s="1820"/>
      <c r="K130" s="1820"/>
      <c r="L130" s="1820"/>
      <c r="M130" s="1820"/>
      <c r="N130" s="1820"/>
      <c r="O130" s="1884" t="s">
        <v>2551</v>
      </c>
    </row>
    <row r="131" spans="1:15">
      <c r="B131" s="343">
        <v>119</v>
      </c>
      <c r="C131" s="162" t="s">
        <v>3470</v>
      </c>
      <c r="E131" s="1824"/>
      <c r="F131" s="1883"/>
      <c r="G131" s="1820"/>
      <c r="H131" s="883" t="s">
        <v>355</v>
      </c>
      <c r="I131" s="883" t="s">
        <v>356</v>
      </c>
      <c r="J131" s="883" t="s">
        <v>357</v>
      </c>
      <c r="K131" s="883" t="s">
        <v>358</v>
      </c>
      <c r="L131" s="883" t="s">
        <v>359</v>
      </c>
      <c r="M131" s="883" t="s">
        <v>352</v>
      </c>
      <c r="N131" s="883" t="s">
        <v>2680</v>
      </c>
      <c r="O131" s="1885"/>
    </row>
    <row r="132" spans="1:15" ht="36">
      <c r="A132" s="957" t="s">
        <v>3461</v>
      </c>
      <c r="B132" s="343">
        <v>120</v>
      </c>
      <c r="C132" s="162" t="s">
        <v>3470</v>
      </c>
      <c r="E132" s="881">
        <v>1</v>
      </c>
      <c r="F132" s="335"/>
      <c r="G132" s="335"/>
      <c r="H132" s="335"/>
      <c r="I132" s="335"/>
      <c r="J132" s="335"/>
      <c r="K132" s="335"/>
      <c r="L132" s="335"/>
      <c r="M132" s="335"/>
      <c r="N132" s="348">
        <f>SUM(H132:M132)</f>
        <v>0</v>
      </c>
      <c r="O132" s="348">
        <f>N132-G132</f>
        <v>0</v>
      </c>
    </row>
    <row r="133" spans="1:15">
      <c r="B133" s="343">
        <v>121</v>
      </c>
      <c r="C133" s="162" t="s">
        <v>3470</v>
      </c>
      <c r="E133" s="881">
        <v>2</v>
      </c>
      <c r="F133" s="335"/>
      <c r="H133" s="335"/>
      <c r="I133" s="335"/>
      <c r="J133" s="335"/>
      <c r="K133" s="335"/>
      <c r="L133" s="335"/>
      <c r="M133" s="335"/>
      <c r="N133" s="348">
        <f t="shared" ref="N133:N141" si="17">SUM(H133:M133)</f>
        <v>0</v>
      </c>
      <c r="O133" s="348">
        <f>N133-H132</f>
        <v>0</v>
      </c>
    </row>
    <row r="134" spans="1:15">
      <c r="B134" s="343">
        <v>122</v>
      </c>
      <c r="C134" s="162" t="s">
        <v>3470</v>
      </c>
      <c r="E134" s="881">
        <v>3</v>
      </c>
      <c r="F134" s="335"/>
      <c r="G134" s="335"/>
      <c r="H134" s="335"/>
      <c r="I134" s="335"/>
      <c r="J134" s="335"/>
      <c r="K134" s="335"/>
      <c r="L134" s="335"/>
      <c r="M134" s="335"/>
      <c r="N134" s="348">
        <f t="shared" si="17"/>
        <v>0</v>
      </c>
      <c r="O134" s="348">
        <f t="shared" ref="O134:O141" si="18">N134-G134</f>
        <v>0</v>
      </c>
    </row>
    <row r="135" spans="1:15">
      <c r="B135" s="343">
        <v>123</v>
      </c>
      <c r="C135" s="162" t="s">
        <v>3470</v>
      </c>
      <c r="E135" s="881">
        <v>4</v>
      </c>
      <c r="F135" s="335"/>
      <c r="G135" s="335"/>
      <c r="H135" s="335"/>
      <c r="I135" s="335"/>
      <c r="J135" s="335"/>
      <c r="K135" s="335"/>
      <c r="L135" s="335"/>
      <c r="M135" s="335"/>
      <c r="N135" s="348">
        <f t="shared" si="17"/>
        <v>0</v>
      </c>
      <c r="O135" s="348">
        <f t="shared" si="18"/>
        <v>0</v>
      </c>
    </row>
    <row r="136" spans="1:15">
      <c r="B136" s="343">
        <v>124</v>
      </c>
      <c r="C136" s="162" t="s">
        <v>3470</v>
      </c>
      <c r="E136" s="881">
        <v>5</v>
      </c>
      <c r="F136" s="335"/>
      <c r="G136" s="335"/>
      <c r="H136" s="335"/>
      <c r="I136" s="335"/>
      <c r="J136" s="335"/>
      <c r="K136" s="335"/>
      <c r="L136" s="335"/>
      <c r="M136" s="335"/>
      <c r="N136" s="348">
        <f t="shared" si="17"/>
        <v>0</v>
      </c>
      <c r="O136" s="348">
        <f t="shared" si="18"/>
        <v>0</v>
      </c>
    </row>
    <row r="137" spans="1:15">
      <c r="A137" s="811" t="str">
        <f>HYPERLINK("#C1","置顶")</f>
        <v>置顶</v>
      </c>
      <c r="B137" s="343">
        <v>125</v>
      </c>
      <c r="C137" s="162" t="s">
        <v>3470</v>
      </c>
      <c r="E137" s="881">
        <v>6</v>
      </c>
      <c r="F137" s="335"/>
      <c r="G137" s="335"/>
      <c r="H137" s="335"/>
      <c r="I137" s="335"/>
      <c r="J137" s="335"/>
      <c r="K137" s="335"/>
      <c r="L137" s="335"/>
      <c r="M137" s="335"/>
      <c r="N137" s="348">
        <f t="shared" si="17"/>
        <v>0</v>
      </c>
      <c r="O137" s="348">
        <f t="shared" si="18"/>
        <v>0</v>
      </c>
    </row>
    <row r="138" spans="1:15">
      <c r="B138" s="343">
        <v>126</v>
      </c>
      <c r="C138" s="162" t="s">
        <v>3470</v>
      </c>
      <c r="E138" s="881">
        <v>7</v>
      </c>
      <c r="F138" s="335"/>
      <c r="G138" s="335"/>
      <c r="H138" s="335"/>
      <c r="I138" s="335"/>
      <c r="J138" s="335"/>
      <c r="K138" s="335"/>
      <c r="L138" s="335"/>
      <c r="M138" s="335"/>
      <c r="N138" s="348">
        <f t="shared" si="17"/>
        <v>0</v>
      </c>
      <c r="O138" s="348">
        <f t="shared" si="18"/>
        <v>0</v>
      </c>
    </row>
    <row r="139" spans="1:15">
      <c r="B139" s="343">
        <v>127</v>
      </c>
      <c r="C139" s="162" t="s">
        <v>3470</v>
      </c>
      <c r="E139" s="881">
        <v>8</v>
      </c>
      <c r="F139" s="335"/>
      <c r="G139" s="335"/>
      <c r="H139" s="335"/>
      <c r="I139" s="335"/>
      <c r="J139" s="335"/>
      <c r="K139" s="335"/>
      <c r="L139" s="335"/>
      <c r="M139" s="335"/>
      <c r="N139" s="348">
        <f t="shared" si="17"/>
        <v>0</v>
      </c>
      <c r="O139" s="348">
        <f t="shared" si="18"/>
        <v>0</v>
      </c>
    </row>
    <row r="140" spans="1:15">
      <c r="B140" s="343">
        <v>128</v>
      </c>
      <c r="C140" s="162" t="s">
        <v>3470</v>
      </c>
      <c r="E140" s="881">
        <v>9</v>
      </c>
      <c r="F140" s="335"/>
      <c r="G140" s="335"/>
      <c r="H140" s="335"/>
      <c r="I140" s="335"/>
      <c r="J140" s="335"/>
      <c r="K140" s="335"/>
      <c r="L140" s="335"/>
      <c r="M140" s="335"/>
      <c r="N140" s="348">
        <f t="shared" si="17"/>
        <v>0</v>
      </c>
      <c r="O140" s="348">
        <f t="shared" si="18"/>
        <v>0</v>
      </c>
    </row>
    <row r="141" spans="1:15">
      <c r="A141" s="1048" t="s">
        <v>2260</v>
      </c>
      <c r="B141" s="343">
        <v>129</v>
      </c>
      <c r="C141" s="162" t="s">
        <v>3470</v>
      </c>
      <c r="E141" s="881">
        <v>10</v>
      </c>
      <c r="F141" s="335"/>
      <c r="G141" s="335"/>
      <c r="H141" s="335"/>
      <c r="I141" s="335"/>
      <c r="J141" s="335"/>
      <c r="K141" s="335"/>
      <c r="L141" s="335"/>
      <c r="M141" s="335"/>
      <c r="N141" s="348">
        <f t="shared" si="17"/>
        <v>0</v>
      </c>
      <c r="O141" s="348">
        <f t="shared" si="18"/>
        <v>0</v>
      </c>
    </row>
    <row r="142" spans="1:15">
      <c r="B142" s="343">
        <v>130</v>
      </c>
      <c r="C142" s="162" t="s">
        <v>3470</v>
      </c>
      <c r="E142" s="881" t="s">
        <v>2680</v>
      </c>
      <c r="F142" s="348">
        <f t="shared" ref="F142:O142" si="19">SUM(F132:F141)</f>
        <v>0</v>
      </c>
      <c r="G142" s="348">
        <f t="shared" si="19"/>
        <v>0</v>
      </c>
      <c r="H142" s="348">
        <f t="shared" si="19"/>
        <v>0</v>
      </c>
      <c r="I142" s="348">
        <f t="shared" si="19"/>
        <v>0</v>
      </c>
      <c r="J142" s="348">
        <f t="shared" si="19"/>
        <v>0</v>
      </c>
      <c r="K142" s="348">
        <f t="shared" si="19"/>
        <v>0</v>
      </c>
      <c r="L142" s="348">
        <f t="shared" si="19"/>
        <v>0</v>
      </c>
      <c r="M142" s="348">
        <f t="shared" si="19"/>
        <v>0</v>
      </c>
      <c r="N142" s="348">
        <f t="shared" si="19"/>
        <v>0</v>
      </c>
      <c r="O142" s="348">
        <f t="shared" si="19"/>
        <v>0</v>
      </c>
    </row>
    <row r="143" spans="1:15">
      <c r="B143" s="343">
        <v>131</v>
      </c>
      <c r="C143" s="162" t="s">
        <v>3470</v>
      </c>
    </row>
    <row r="144" spans="1:15">
      <c r="B144" s="343">
        <v>130</v>
      </c>
      <c r="C144" s="162" t="s">
        <v>3470</v>
      </c>
      <c r="F144" s="344" t="s">
        <v>3443</v>
      </c>
      <c r="G144" s="348">
        <f>G142-关联方应收应付款项!D195</f>
        <v>0</v>
      </c>
    </row>
    <row r="145" spans="1:7">
      <c r="A145" s="1048"/>
      <c r="B145" s="343">
        <v>132</v>
      </c>
      <c r="C145" s="162" t="s">
        <v>3470</v>
      </c>
      <c r="F145" s="347" t="s">
        <v>3472</v>
      </c>
      <c r="G145" s="348">
        <f>IF(G142&gt;其他应付款!D24,"请核实,明细大于总计",0)</f>
        <v>0</v>
      </c>
    </row>
    <row r="146" spans="1:7">
      <c r="B146" s="343"/>
    </row>
    <row r="147" spans="1:7">
      <c r="A147" s="1048"/>
      <c r="B147" s="343"/>
    </row>
    <row r="148" spans="1:7">
      <c r="B148" s="343"/>
    </row>
    <row r="149" spans="1:7">
      <c r="B149" s="343"/>
    </row>
    <row r="150" spans="1:7">
      <c r="B150" s="343"/>
    </row>
    <row r="151" spans="1:7">
      <c r="B151" s="343"/>
    </row>
    <row r="152" spans="1:7">
      <c r="B152" s="343"/>
    </row>
    <row r="153" spans="1:7">
      <c r="B153" s="343"/>
    </row>
    <row r="154" spans="1:7">
      <c r="B154" s="343"/>
    </row>
    <row r="155" spans="1:7">
      <c r="B155" s="343"/>
    </row>
    <row r="156" spans="1:7">
      <c r="B156" s="343"/>
    </row>
    <row r="157" spans="1:7">
      <c r="B157" s="343"/>
    </row>
    <row r="158" spans="1:7">
      <c r="B158" s="343"/>
    </row>
    <row r="159" spans="1:7">
      <c r="B159" s="343"/>
    </row>
    <row r="160" spans="1:7">
      <c r="B160" s="343"/>
    </row>
    <row r="161" spans="1:2">
      <c r="B161" s="343"/>
    </row>
    <row r="162" spans="1:2">
      <c r="B162" s="343"/>
    </row>
    <row r="163" spans="1:2">
      <c r="B163" s="343"/>
    </row>
    <row r="164" spans="1:2">
      <c r="B164" s="343"/>
    </row>
    <row r="165" spans="1:2">
      <c r="A165" s="1048"/>
      <c r="B165" s="343"/>
    </row>
    <row r="166" spans="1:2">
      <c r="B166" s="343"/>
    </row>
    <row r="167" spans="1:2">
      <c r="A167" s="957"/>
      <c r="B167" s="343"/>
    </row>
    <row r="168" spans="1:2">
      <c r="B168" s="343"/>
    </row>
    <row r="169" spans="1:2">
      <c r="A169" s="1048"/>
      <c r="B169" s="343"/>
    </row>
    <row r="170" spans="1:2">
      <c r="B170" s="343"/>
    </row>
    <row r="171" spans="1:2">
      <c r="A171" s="957"/>
      <c r="B171" s="343"/>
    </row>
    <row r="172" spans="1:2">
      <c r="A172" s="1049"/>
      <c r="B172" s="343"/>
    </row>
    <row r="173" spans="1:2">
      <c r="A173" s="1048"/>
      <c r="B173" s="343"/>
    </row>
    <row r="174" spans="1:2">
      <c r="B174" s="343"/>
    </row>
    <row r="175" spans="1:2">
      <c r="A175" s="957"/>
      <c r="B175" s="343"/>
    </row>
    <row r="176" spans="1:2">
      <c r="B176" s="343"/>
    </row>
    <row r="177" spans="1:2">
      <c r="A177" s="1048"/>
      <c r="B177" s="343"/>
    </row>
    <row r="178" spans="1:2">
      <c r="B178" s="343"/>
    </row>
    <row r="179" spans="1:2">
      <c r="A179" s="1049"/>
      <c r="B179" s="343"/>
    </row>
    <row r="180" spans="1:2">
      <c r="A180" s="1048"/>
      <c r="B180" s="343"/>
    </row>
    <row r="181" spans="1:2">
      <c r="B181" s="343"/>
    </row>
    <row r="182" spans="1:2">
      <c r="A182" s="957"/>
      <c r="B182" s="343"/>
    </row>
    <row r="183" spans="1:2">
      <c r="B183" s="343"/>
    </row>
    <row r="184" spans="1:2">
      <c r="A184" s="1048"/>
      <c r="B184" s="343"/>
    </row>
    <row r="185" spans="1:2">
      <c r="B185" s="343"/>
    </row>
    <row r="186" spans="1:2">
      <c r="B186" s="343"/>
    </row>
    <row r="187" spans="1:2">
      <c r="A187" s="957"/>
      <c r="B187" s="343"/>
    </row>
  </sheetData>
  <sheetProtection formatCells="0" formatColumns="0" formatRows="0" autoFilter="0"/>
  <mergeCells count="40">
    <mergeCell ref="E130:E131"/>
    <mergeCell ref="F130:F131"/>
    <mergeCell ref="G130:G131"/>
    <mergeCell ref="H130:N130"/>
    <mergeCell ref="O130:O131"/>
    <mergeCell ref="E110:E111"/>
    <mergeCell ref="F110:F111"/>
    <mergeCell ref="G110:G111"/>
    <mergeCell ref="H110:N110"/>
    <mergeCell ref="O110:O111"/>
    <mergeCell ref="E90:E91"/>
    <mergeCell ref="F90:F91"/>
    <mergeCell ref="G90:G91"/>
    <mergeCell ref="H90:N90"/>
    <mergeCell ref="O90:O91"/>
    <mergeCell ref="E70:E71"/>
    <mergeCell ref="F70:F71"/>
    <mergeCell ref="G70:G71"/>
    <mergeCell ref="H70:N70"/>
    <mergeCell ref="O70:O71"/>
    <mergeCell ref="G8:G9"/>
    <mergeCell ref="H8:N8"/>
    <mergeCell ref="F8:F9"/>
    <mergeCell ref="E8:E9"/>
    <mergeCell ref="O8:O9"/>
    <mergeCell ref="E24:E25"/>
    <mergeCell ref="F24:F25"/>
    <mergeCell ref="G24:G25"/>
    <mergeCell ref="H24:N24"/>
    <mergeCell ref="O24:O25"/>
    <mergeCell ref="E39:E40"/>
    <mergeCell ref="F39:F40"/>
    <mergeCell ref="G39:G40"/>
    <mergeCell ref="H39:N39"/>
    <mergeCell ref="O39:O40"/>
    <mergeCell ref="E55:E56"/>
    <mergeCell ref="F55:F56"/>
    <mergeCell ref="G55:G56"/>
    <mergeCell ref="H55:N55"/>
    <mergeCell ref="O55:O56"/>
  </mergeCells>
  <phoneticPr fontId="5" type="noConversion"/>
  <hyperlinks>
    <hyperlink ref="A2" location="附注填写封面!B3" display="返回目录" xr:uid="{00000000-0004-0000-6900-000000000000}"/>
    <hyperlink ref="A13" location="附注填写封面!B3" display="返回目录" xr:uid="{00000000-0004-0000-6900-000001000000}"/>
    <hyperlink ref="A20" location="附注填写封面!B3" display="返回目录" xr:uid="{00000000-0004-0000-6900-000002000000}"/>
    <hyperlink ref="A30" location="附注填写封面!B3" display="返回目录" xr:uid="{00000000-0004-0000-6900-000003000000}"/>
    <hyperlink ref="A39" location="附注填写封面!B3" display="返回目录" xr:uid="{00000000-0004-0000-6900-000004000000}"/>
    <hyperlink ref="A54" location="附注填写封面!B3" display="返回目录" xr:uid="{00000000-0004-0000-6900-000005000000}"/>
    <hyperlink ref="A93" location="附注填写封面!B3" display="返回目录" xr:uid="{00000000-0004-0000-6900-000006000000}"/>
    <hyperlink ref="A118" location="附注填写封面!B3" display="返回目录" xr:uid="{00000000-0004-0000-6900-000007000000}"/>
    <hyperlink ref="A16" location="应收账款!B62" display="返回应收账款" xr:uid="{00000000-0004-0000-6900-000008000000}"/>
    <hyperlink ref="A7" location="应收账款!B62" display="返回应收账款" xr:uid="{00000000-0004-0000-6900-000009000000}"/>
    <hyperlink ref="A47" location="其他应收款!B62" display="返回其他应收款" xr:uid="{00000000-0004-0000-6900-00000A000000}"/>
    <hyperlink ref="A60" location="其他应收款!B62" display="返回其他应收款" xr:uid="{00000000-0004-0000-6900-00000B000000}"/>
    <hyperlink ref="A79" location="关联方应收应付款项!B3" display="返回关联方应收应付款项" xr:uid="{00000000-0004-0000-6900-00000C000000}"/>
    <hyperlink ref="A89" location="关联方应收应付款项!B3" display="返回关联方应收应付款项" xr:uid="{00000000-0004-0000-6900-00000D000000}"/>
    <hyperlink ref="A110" location="关联方应收应付款项!B3" display="返回关联方应收应付款项" xr:uid="{00000000-0004-0000-6900-00000E000000}"/>
    <hyperlink ref="A132" location="关联方应收应付款项!B3" display="返回关联方应收应付款项" xr:uid="{00000000-0004-0000-6900-00000F000000}"/>
    <hyperlink ref="F2" location="往来科目补充资料!F9" display="应收账款—无风险组合明细：" xr:uid="{00000000-0004-0000-6900-000010000000}"/>
    <hyperlink ref="F3" location="往来科目补充资料!F40" display="其他应收款—无风险组合明细：" xr:uid="{00000000-0004-0000-6900-000011000000}"/>
    <hyperlink ref="I2" location="往来科目补充资料!F71" display="预付账款-关联方" xr:uid="{00000000-0004-0000-6900-000012000000}"/>
    <hyperlink ref="K2" location="往来科目补充资料!F93" display="应付账款-关联方" xr:uid="{00000000-0004-0000-6900-000013000000}"/>
    <hyperlink ref="K3" location="往来科目补充资料!F112" display="预收账款-关联方" xr:uid="{00000000-0004-0000-6900-000014000000}"/>
    <hyperlink ref="M2" location="往来科目补充资料!F131" display="其他应付款-关联方" xr:uid="{00000000-0004-0000-6900-000015000000}"/>
    <hyperlink ref="A126" location="附注填写封面!B3" display="返回目录" xr:uid="{00000000-0004-0000-6900-000016000000}"/>
    <hyperlink ref="A141" location="附注填写封面!B3" display="返回目录" xr:uid="{00000000-0004-0000-6900-000017000000}"/>
  </hyperlinks>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80"/>
  <dimension ref="A1:M399"/>
  <sheetViews>
    <sheetView showGridLines="0" showZeros="0" workbookViewId="0">
      <pane xSplit="4" ySplit="6" topLeftCell="E96" activePane="bottomRight" state="frozen"/>
      <selection activeCell="C16" sqref="C16"/>
      <selection pane="topRight" activeCell="C16" sqref="C16"/>
      <selection pane="bottomLeft" activeCell="C16" sqref="C16"/>
      <selection pane="bottomRight" activeCell="G106" sqref="G106"/>
    </sheetView>
  </sheetViews>
  <sheetFormatPr defaultColWidth="11.625" defaultRowHeight="12.75"/>
  <cols>
    <col min="1" max="1" width="10.625" style="1083" customWidth="1"/>
    <col min="2" max="2" width="5.5" style="344" hidden="1" customWidth="1"/>
    <col min="3" max="3" width="5.375" style="1084" customWidth="1"/>
    <col min="4" max="4" width="30.375" style="1086" customWidth="1"/>
    <col min="5" max="5" width="16.625" style="1086" customWidth="1"/>
    <col min="6" max="6" width="14.125" style="1086" customWidth="1"/>
    <col min="7" max="7" width="18.875" style="1086" customWidth="1"/>
    <col min="8" max="8" width="11.625" style="1086"/>
    <col min="9" max="9" width="24.375" style="1086" customWidth="1"/>
    <col min="10" max="10" width="16.875" style="1086" customWidth="1"/>
    <col min="11" max="16384" width="11.625" style="1086"/>
  </cols>
  <sheetData>
    <row r="1" spans="1:11" s="344" customFormat="1" ht="24" customHeight="1">
      <c r="A1" s="1152" t="s">
        <v>3755</v>
      </c>
      <c r="B1" s="765" t="s">
        <v>1446</v>
      </c>
      <c r="C1" s="860"/>
      <c r="D1" s="759" t="s">
        <v>3775</v>
      </c>
      <c r="E1" s="1002" t="s">
        <v>3776</v>
      </c>
      <c r="F1" s="1002" t="s">
        <v>3777</v>
      </c>
      <c r="G1" s="1002" t="s">
        <v>3668</v>
      </c>
      <c r="H1" s="1002" t="s">
        <v>3778</v>
      </c>
      <c r="I1" s="1002"/>
    </row>
    <row r="2" spans="1:11" s="344" customFormat="1">
      <c r="A2" s="1081"/>
      <c r="B2" s="344">
        <v>2</v>
      </c>
      <c r="C2" s="1082"/>
      <c r="D2" s="781" t="s">
        <v>3756</v>
      </c>
      <c r="E2" s="1002" t="s">
        <v>3779</v>
      </c>
      <c r="F2" s="1002" t="s">
        <v>3780</v>
      </c>
      <c r="G2" s="1002" t="s">
        <v>3707</v>
      </c>
      <c r="H2" s="1002" t="s">
        <v>3781</v>
      </c>
      <c r="I2" s="1002"/>
    </row>
    <row r="3" spans="1:11" s="344" customFormat="1">
      <c r="A3" s="1081"/>
      <c r="B3" s="344">
        <v>3</v>
      </c>
      <c r="E3" s="1002" t="s">
        <v>3782</v>
      </c>
      <c r="F3" s="1002" t="s">
        <v>3783</v>
      </c>
      <c r="G3" s="1002"/>
      <c r="H3" s="1002" t="s">
        <v>3784</v>
      </c>
      <c r="I3" s="1002"/>
    </row>
    <row r="4" spans="1:11">
      <c r="B4" s="344">
        <v>4</v>
      </c>
      <c r="D4" s="781" t="s">
        <v>3577</v>
      </c>
      <c r="E4" s="781"/>
      <c r="F4" s="781"/>
      <c r="G4" s="1085"/>
      <c r="I4" s="344"/>
    </row>
    <row r="5" spans="1:11">
      <c r="A5" s="1152" t="s">
        <v>2260</v>
      </c>
      <c r="B5" s="344">
        <v>5</v>
      </c>
      <c r="D5" s="1087" t="s">
        <v>3578</v>
      </c>
    </row>
    <row r="6" spans="1:11" ht="24">
      <c r="B6" s="344">
        <v>6</v>
      </c>
      <c r="D6" s="1088" t="s">
        <v>366</v>
      </c>
      <c r="E6" s="1088" t="s">
        <v>3579</v>
      </c>
      <c r="F6" s="1088" t="s">
        <v>3580</v>
      </c>
      <c r="G6" s="1088" t="s">
        <v>3581</v>
      </c>
      <c r="H6" s="1088" t="s">
        <v>3582</v>
      </c>
      <c r="I6" s="1088" t="s">
        <v>3583</v>
      </c>
      <c r="J6" s="1088" t="s">
        <v>391</v>
      </c>
      <c r="K6" s="1088" t="s">
        <v>1005</v>
      </c>
    </row>
    <row r="7" spans="1:11">
      <c r="B7" s="344">
        <v>7</v>
      </c>
      <c r="D7" s="1089" t="s">
        <v>3584</v>
      </c>
      <c r="E7" s="761"/>
      <c r="F7" s="761"/>
      <c r="G7" s="761"/>
      <c r="H7" s="761"/>
      <c r="I7" s="761"/>
      <c r="J7" s="761"/>
      <c r="K7" s="961">
        <f>SUM(E7:J7)</f>
        <v>0</v>
      </c>
    </row>
    <row r="8" spans="1:11">
      <c r="B8" s="344">
        <v>8</v>
      </c>
      <c r="D8" s="1089" t="s">
        <v>1552</v>
      </c>
      <c r="E8" s="761"/>
      <c r="F8" s="761"/>
      <c r="G8" s="761"/>
      <c r="H8" s="761"/>
      <c r="I8" s="761"/>
      <c r="J8" s="761"/>
      <c r="K8" s="961">
        <f t="shared" ref="K8:K14" si="0">SUM(E8:J8)</f>
        <v>0</v>
      </c>
    </row>
    <row r="9" spans="1:11">
      <c r="B9" s="344">
        <v>9</v>
      </c>
      <c r="D9" s="1089" t="s">
        <v>1553</v>
      </c>
      <c r="E9" s="761"/>
      <c r="F9" s="761"/>
      <c r="G9" s="761"/>
      <c r="H9" s="761"/>
      <c r="I9" s="761"/>
      <c r="J9" s="761"/>
      <c r="K9" s="961">
        <f t="shared" si="0"/>
        <v>0</v>
      </c>
    </row>
    <row r="10" spans="1:11">
      <c r="B10" s="344">
        <v>10</v>
      </c>
      <c r="D10" s="1089" t="s">
        <v>1554</v>
      </c>
      <c r="E10" s="761"/>
      <c r="F10" s="761"/>
      <c r="G10" s="761"/>
      <c r="H10" s="761"/>
      <c r="I10" s="761"/>
      <c r="J10" s="761"/>
      <c r="K10" s="961">
        <f t="shared" si="0"/>
        <v>0</v>
      </c>
    </row>
    <row r="11" spans="1:11">
      <c r="A11" s="1152" t="s">
        <v>2260</v>
      </c>
      <c r="B11" s="344">
        <v>11</v>
      </c>
      <c r="D11" s="1089" t="s">
        <v>1555</v>
      </c>
      <c r="E11" s="761"/>
      <c r="F11" s="761"/>
      <c r="G11" s="761"/>
      <c r="H11" s="761"/>
      <c r="I11" s="761"/>
      <c r="J11" s="761"/>
      <c r="K11" s="961">
        <f>SUM(E11:J11)</f>
        <v>0</v>
      </c>
    </row>
    <row r="12" spans="1:11">
      <c r="B12" s="344">
        <v>12</v>
      </c>
      <c r="D12" s="1089" t="s">
        <v>3757</v>
      </c>
      <c r="E12" s="761"/>
      <c r="F12" s="761"/>
      <c r="G12" s="761"/>
      <c r="H12" s="761"/>
      <c r="I12" s="761"/>
      <c r="J12" s="761"/>
      <c r="K12" s="961">
        <f t="shared" si="0"/>
        <v>0</v>
      </c>
    </row>
    <row r="13" spans="1:11">
      <c r="B13" s="344">
        <v>13</v>
      </c>
      <c r="D13" s="1089" t="s">
        <v>3585</v>
      </c>
      <c r="E13" s="761"/>
      <c r="F13" s="761"/>
      <c r="G13" s="761"/>
      <c r="H13" s="761"/>
      <c r="I13" s="761"/>
      <c r="J13" s="761"/>
      <c r="K13" s="961">
        <f t="shared" si="0"/>
        <v>0</v>
      </c>
    </row>
    <row r="14" spans="1:11">
      <c r="B14" s="344">
        <v>14</v>
      </c>
      <c r="D14" s="1089" t="s">
        <v>391</v>
      </c>
      <c r="E14" s="761"/>
      <c r="F14" s="761"/>
      <c r="G14" s="761"/>
      <c r="H14" s="761"/>
      <c r="I14" s="761"/>
      <c r="J14" s="761"/>
      <c r="K14" s="961">
        <f t="shared" si="0"/>
        <v>0</v>
      </c>
    </row>
    <row r="15" spans="1:11">
      <c r="B15" s="344">
        <v>15</v>
      </c>
      <c r="D15" s="1088" t="s">
        <v>1005</v>
      </c>
      <c r="E15" s="961">
        <f t="shared" ref="E15:K15" si="1">SUM(E7:E14)</f>
        <v>0</v>
      </c>
      <c r="F15" s="961">
        <f t="shared" si="1"/>
        <v>0</v>
      </c>
      <c r="G15" s="961">
        <f t="shared" si="1"/>
        <v>0</v>
      </c>
      <c r="H15" s="961">
        <f t="shared" si="1"/>
        <v>0</v>
      </c>
      <c r="I15" s="961">
        <f t="shared" si="1"/>
        <v>0</v>
      </c>
      <c r="J15" s="961">
        <f t="shared" si="1"/>
        <v>0</v>
      </c>
      <c r="K15" s="961">
        <f t="shared" si="1"/>
        <v>0</v>
      </c>
    </row>
    <row r="16" spans="1:11">
      <c r="B16" s="344">
        <v>16</v>
      </c>
      <c r="D16" s="1082"/>
      <c r="E16" s="1090"/>
      <c r="F16" s="1090"/>
      <c r="G16" s="1090"/>
      <c r="H16" s="1090"/>
      <c r="I16" s="1090"/>
      <c r="J16" s="1090"/>
      <c r="K16" s="1090"/>
    </row>
    <row r="17" spans="1:11">
      <c r="A17" s="1152" t="s">
        <v>2260</v>
      </c>
      <c r="B17" s="344">
        <v>17</v>
      </c>
      <c r="D17" s="1091" t="s">
        <v>3586</v>
      </c>
    </row>
    <row r="18" spans="1:11">
      <c r="B18" s="344">
        <v>18</v>
      </c>
      <c r="D18" s="1092" t="s">
        <v>3587</v>
      </c>
      <c r="G18" s="1086" t="s">
        <v>3588</v>
      </c>
      <c r="H18" s="835" t="s">
        <v>2094</v>
      </c>
      <c r="J18" s="1086" t="s">
        <v>3588</v>
      </c>
      <c r="K18" s="835" t="s">
        <v>2095</v>
      </c>
    </row>
    <row r="19" spans="1:11">
      <c r="B19" s="344">
        <v>19</v>
      </c>
      <c r="D19" s="1093" t="s">
        <v>811</v>
      </c>
      <c r="E19" s="1093" t="s">
        <v>829</v>
      </c>
      <c r="G19" s="1094" t="s">
        <v>4480</v>
      </c>
      <c r="H19" s="1094" t="s">
        <v>4953</v>
      </c>
      <c r="J19" s="1094" t="s">
        <v>4480</v>
      </c>
      <c r="K19" s="1094" t="s">
        <v>4953</v>
      </c>
    </row>
    <row r="20" spans="1:11">
      <c r="B20" s="344">
        <v>20</v>
      </c>
      <c r="D20" s="1093" t="s">
        <v>811</v>
      </c>
      <c r="E20" s="1093" t="s">
        <v>829</v>
      </c>
      <c r="G20" s="1095" t="str">
        <f>营业外收入!C4</f>
        <v>非流动资产处置利得</v>
      </c>
      <c r="H20" s="1095">
        <f>营业外收入!D4</f>
        <v>0</v>
      </c>
      <c r="J20" s="1095" t="str">
        <f>营业外支出!C4</f>
        <v>非流动资产处置损失合计</v>
      </c>
      <c r="K20" s="1095">
        <f>营业外支出!D4</f>
        <v>0</v>
      </c>
    </row>
    <row r="21" spans="1:11">
      <c r="B21" s="344">
        <v>21</v>
      </c>
      <c r="D21" s="1089" t="s">
        <v>3758</v>
      </c>
      <c r="E21" s="761"/>
      <c r="G21" s="1095" t="str">
        <f>营业外收入!C5</f>
        <v>其中：固定资产处置利得</v>
      </c>
      <c r="H21" s="1095">
        <f>营业外收入!D5</f>
        <v>0</v>
      </c>
      <c r="J21" s="1095" t="str">
        <f>营业外支出!C5</f>
        <v>其中：固定资产处置损失</v>
      </c>
      <c r="K21" s="1095">
        <f>营业外支出!D5</f>
        <v>0</v>
      </c>
    </row>
    <row r="22" spans="1:11">
      <c r="A22" s="811" t="str">
        <f>HYPERLINK("#C1","置顶")</f>
        <v>置顶</v>
      </c>
      <c r="B22" s="344">
        <v>22</v>
      </c>
      <c r="D22" s="1089" t="s">
        <v>3589</v>
      </c>
      <c r="E22" s="761"/>
      <c r="G22" s="1095" t="str">
        <f>营业外收入!C6</f>
        <v xml:space="preserve"> 无形资产处置利得</v>
      </c>
      <c r="H22" s="1095">
        <f>营业外收入!D6</f>
        <v>0</v>
      </c>
      <c r="J22" s="1095" t="str">
        <f>营业外支出!C6</f>
        <v xml:space="preserve"> 无形资产处置损失</v>
      </c>
      <c r="K22" s="1095">
        <f>营业外支出!D6</f>
        <v>0</v>
      </c>
    </row>
    <row r="23" spans="1:11" ht="24">
      <c r="B23" s="344">
        <v>23</v>
      </c>
      <c r="D23" s="1089" t="s">
        <v>3759</v>
      </c>
      <c r="E23" s="761"/>
      <c r="G23" s="1095" t="str">
        <f>营业外收入!C7</f>
        <v xml:space="preserve"> 在建工程处置利得</v>
      </c>
      <c r="H23" s="1095">
        <f>营业外收入!D7</f>
        <v>0</v>
      </c>
      <c r="J23" s="1095" t="str">
        <f>营业外支出!C7</f>
        <v xml:space="preserve"> 在建工程处置损失</v>
      </c>
      <c r="K23" s="1095">
        <f>营业外支出!D7</f>
        <v>0</v>
      </c>
    </row>
    <row r="24" spans="1:11">
      <c r="B24" s="344">
        <v>24</v>
      </c>
      <c r="D24" s="1089" t="s">
        <v>3590</v>
      </c>
      <c r="E24" s="761"/>
      <c r="G24" s="1095" t="str">
        <f>营业外收入!C8</f>
        <v xml:space="preserve"> 其他</v>
      </c>
      <c r="H24" s="1095">
        <f>营业外收入!D8</f>
        <v>0</v>
      </c>
      <c r="J24" s="1095" t="str">
        <f>营业外支出!C8</f>
        <v xml:space="preserve"> 其他</v>
      </c>
      <c r="K24" s="1095">
        <f>营业外支出!D8</f>
        <v>0</v>
      </c>
    </row>
    <row r="25" spans="1:11">
      <c r="B25" s="344">
        <v>25</v>
      </c>
      <c r="D25" s="1089" t="s">
        <v>3591</v>
      </c>
      <c r="E25" s="761"/>
      <c r="G25" s="1095" t="str">
        <f>营业外收入!C9</f>
        <v>非货币性资产交换利得</v>
      </c>
      <c r="H25" s="1095">
        <f>营业外收入!D9</f>
        <v>0</v>
      </c>
      <c r="J25" s="1095" t="str">
        <f>营业外支出!C9</f>
        <v>非货币性资产交换损失</v>
      </c>
      <c r="K25" s="1095">
        <f>营业外支出!D9</f>
        <v>0</v>
      </c>
    </row>
    <row r="26" spans="1:11">
      <c r="B26" s="344">
        <v>26</v>
      </c>
      <c r="D26" s="1089" t="s">
        <v>3592</v>
      </c>
      <c r="E26" s="761"/>
      <c r="G26" s="1095" t="str">
        <f>营业外收入!C10</f>
        <v>债务重组利得</v>
      </c>
      <c r="H26" s="1095">
        <f>营业外收入!D10</f>
        <v>0</v>
      </c>
      <c r="J26" s="1095" t="str">
        <f>营业外支出!C10</f>
        <v>债务重组损失</v>
      </c>
      <c r="K26" s="1095">
        <f>营业外支出!D10</f>
        <v>0</v>
      </c>
    </row>
    <row r="27" spans="1:11">
      <c r="A27" s="1152" t="s">
        <v>2260</v>
      </c>
      <c r="B27" s="344">
        <v>27</v>
      </c>
      <c r="D27" s="1089" t="s">
        <v>3593</v>
      </c>
      <c r="E27" s="761"/>
      <c r="G27" s="1095" t="str">
        <f>营业外收入!C11</f>
        <v>政府补助（详见下表）</v>
      </c>
      <c r="H27" s="1095">
        <f>营业外收入!D11</f>
        <v>0</v>
      </c>
      <c r="J27" s="1095" t="str">
        <f>营业外支出!C11</f>
        <v>对外捐赠支出</v>
      </c>
      <c r="K27" s="1095">
        <f>营业外支出!D11</f>
        <v>0</v>
      </c>
    </row>
    <row r="28" spans="1:11">
      <c r="B28" s="344">
        <v>28</v>
      </c>
      <c r="D28" s="1089" t="s">
        <v>3594</v>
      </c>
      <c r="E28" s="761"/>
      <c r="G28" s="1095" t="str">
        <f>营业外收入!C12</f>
        <v>盘盈利得</v>
      </c>
      <c r="H28" s="1095">
        <f>营业外收入!D12</f>
        <v>0</v>
      </c>
      <c r="J28" s="1095" t="str">
        <f>营业外支出!C12</f>
        <v>非常损失</v>
      </c>
      <c r="K28" s="1095">
        <f>营业外支出!D12</f>
        <v>0</v>
      </c>
    </row>
    <row r="29" spans="1:11">
      <c r="B29" s="344">
        <v>29</v>
      </c>
      <c r="D29" s="1089" t="s">
        <v>3595</v>
      </c>
      <c r="E29" s="761"/>
      <c r="G29" s="1095" t="str">
        <f>营业外收入!C13</f>
        <v>接受捐赠收入</v>
      </c>
      <c r="H29" s="1095">
        <f>营业外收入!D13</f>
        <v>0</v>
      </c>
      <c r="J29" s="1095" t="str">
        <f>营业外支出!C13</f>
        <v>盘亏损失</v>
      </c>
      <c r="K29" s="1095">
        <f>营业外支出!D13</f>
        <v>1874.89</v>
      </c>
    </row>
    <row r="30" spans="1:11">
      <c r="B30" s="344">
        <v>30</v>
      </c>
      <c r="D30" s="1089" t="s">
        <v>3596</v>
      </c>
      <c r="E30" s="761"/>
      <c r="G30" s="1095" t="str">
        <f>营业外收入!C14</f>
        <v>违约赔偿收入</v>
      </c>
      <c r="H30" s="1095">
        <f>营业外收入!D14</f>
        <v>0</v>
      </c>
      <c r="J30" s="1095" t="str">
        <f>营业外支出!C14</f>
        <v>资产报废、毁损损失</v>
      </c>
      <c r="K30" s="1095">
        <f>营业外支出!D14</f>
        <v>0</v>
      </c>
    </row>
    <row r="31" spans="1:11">
      <c r="B31" s="344">
        <v>31</v>
      </c>
      <c r="D31" s="1089" t="s">
        <v>3597</v>
      </c>
      <c r="E31" s="761"/>
      <c r="G31" s="1095" t="str">
        <f>营业外收入!C15</f>
        <v>处罚收入</v>
      </c>
      <c r="H31" s="1095">
        <f>营业外收入!D15</f>
        <v>0</v>
      </c>
      <c r="J31" s="1095" t="str">
        <f>营业外支出!C15</f>
        <v>罚款支出</v>
      </c>
      <c r="K31" s="1095">
        <f>营业外支出!D15</f>
        <v>0</v>
      </c>
    </row>
    <row r="32" spans="1:11">
      <c r="A32" s="1152" t="s">
        <v>2260</v>
      </c>
      <c r="B32" s="344">
        <v>32</v>
      </c>
      <c r="D32" s="1089" t="s">
        <v>1001</v>
      </c>
      <c r="E32" s="761"/>
      <c r="G32" s="1095" t="str">
        <f>营业外收入!C16</f>
        <v>无法支付的应付款项</v>
      </c>
      <c r="H32" s="1095">
        <f>营业外收入!D16</f>
        <v>0</v>
      </c>
      <c r="J32" s="1095" t="str">
        <f>营业外支出!C16</f>
        <v>预计担保损失</v>
      </c>
      <c r="K32" s="1095">
        <f>营业外支出!D16</f>
        <v>0</v>
      </c>
    </row>
    <row r="33" spans="1:13">
      <c r="B33" s="344">
        <v>33</v>
      </c>
      <c r="D33" s="1089" t="s">
        <v>1002</v>
      </c>
      <c r="E33" s="761"/>
      <c r="G33" s="1095" t="str">
        <f>营业外收入!C17</f>
        <v>预计负债重组利得</v>
      </c>
      <c r="H33" s="1095">
        <f>营业外收入!D17</f>
        <v>0</v>
      </c>
      <c r="J33" s="1095" t="str">
        <f>营业外支出!C17</f>
        <v>预计未决诉讼损失</v>
      </c>
      <c r="K33" s="1095">
        <f>营业外支出!D17</f>
        <v>0</v>
      </c>
    </row>
    <row r="34" spans="1:13">
      <c r="B34" s="344">
        <v>34</v>
      </c>
      <c r="D34" s="1089" t="s">
        <v>1003</v>
      </c>
      <c r="E34" s="761"/>
      <c r="G34" s="1095" t="str">
        <f>营业外收入!C18</f>
        <v>其他</v>
      </c>
      <c r="H34" s="1095">
        <f>营业外收入!D18</f>
        <v>0</v>
      </c>
      <c r="J34" s="1095" t="str">
        <f>营业外支出!C18</f>
        <v>预计重组损失</v>
      </c>
      <c r="K34" s="1095">
        <f>营业外支出!D18</f>
        <v>0</v>
      </c>
    </row>
    <row r="35" spans="1:13">
      <c r="B35" s="344">
        <v>35</v>
      </c>
      <c r="D35" s="1089" t="s">
        <v>1016</v>
      </c>
      <c r="E35" s="1096"/>
      <c r="G35" s="1094" t="str">
        <f>营业外收入!C19</f>
        <v>合    计</v>
      </c>
      <c r="H35" s="1095">
        <f>营业外收入!D19</f>
        <v>0</v>
      </c>
      <c r="J35" s="1095" t="str">
        <f>营业外支出!C19</f>
        <v>预计负债损失</v>
      </c>
      <c r="K35" s="1095">
        <f>营业外支出!D19</f>
        <v>0</v>
      </c>
    </row>
    <row r="36" spans="1:13">
      <c r="B36" s="344">
        <v>36</v>
      </c>
      <c r="D36" s="1088" t="s">
        <v>3598</v>
      </c>
      <c r="E36" s="961">
        <f>SUM(E21:E35)</f>
        <v>0</v>
      </c>
      <c r="G36" s="1097">
        <f>营业外收入!C20</f>
        <v>0</v>
      </c>
      <c r="H36" s="1097">
        <f>营业外收入!D20</f>
        <v>0</v>
      </c>
      <c r="J36" s="1095" t="str">
        <f>营业外支出!C20</f>
        <v>赔偿金、违约金等支出</v>
      </c>
      <c r="K36" s="1095">
        <f>营业外支出!D20</f>
        <v>0</v>
      </c>
    </row>
    <row r="37" spans="1:13">
      <c r="A37" s="811" t="str">
        <f>HYPERLINK("#C1","置顶")</f>
        <v>置顶</v>
      </c>
      <c r="B37" s="344">
        <v>37</v>
      </c>
      <c r="D37" s="1098"/>
      <c r="E37" s="1098"/>
      <c r="F37" s="1098"/>
      <c r="G37" s="1098"/>
      <c r="H37" s="992">
        <f>SUM(H20:H34)-H21-H22-H23-H24-H35</f>
        <v>0</v>
      </c>
      <c r="J37" s="1095" t="str">
        <f>营业外支出!C21</f>
        <v>其他支出</v>
      </c>
      <c r="K37" s="1095">
        <f>营业外支出!D21</f>
        <v>0</v>
      </c>
    </row>
    <row r="38" spans="1:13">
      <c r="B38" s="344">
        <v>38</v>
      </c>
      <c r="D38" s="1098"/>
      <c r="E38" s="1098"/>
      <c r="F38" s="1098"/>
      <c r="G38" s="1098"/>
      <c r="J38" s="1094" t="str">
        <f>营业外支出!C22</f>
        <v>合   计</v>
      </c>
      <c r="K38" s="1095">
        <f>营业外支出!D22</f>
        <v>1874.89</v>
      </c>
    </row>
    <row r="39" spans="1:13">
      <c r="B39" s="344">
        <v>39</v>
      </c>
      <c r="D39" s="1098"/>
      <c r="E39" s="1098"/>
      <c r="F39" s="1098"/>
      <c r="G39" s="1098"/>
      <c r="J39" s="1099"/>
      <c r="K39" s="1100"/>
    </row>
    <row r="40" spans="1:13">
      <c r="B40" s="344">
        <v>40</v>
      </c>
      <c r="D40" s="1098"/>
      <c r="E40" s="1098"/>
      <c r="F40" s="1098"/>
      <c r="G40" s="1098"/>
      <c r="J40" s="1099"/>
      <c r="K40" s="1100"/>
    </row>
    <row r="41" spans="1:13">
      <c r="B41" s="344">
        <v>41</v>
      </c>
      <c r="D41" s="1091" t="s">
        <v>3599</v>
      </c>
    </row>
    <row r="42" spans="1:13">
      <c r="B42" s="344">
        <v>42</v>
      </c>
      <c r="D42" s="1092" t="s">
        <v>3600</v>
      </c>
      <c r="K42" s="992">
        <f>SUM(K20:K37)-K21-K22-K23-K24-K38</f>
        <v>0</v>
      </c>
    </row>
    <row r="43" spans="1:13">
      <c r="B43" s="344">
        <v>41</v>
      </c>
      <c r="D43" s="1889" t="s">
        <v>1013</v>
      </c>
      <c r="E43" s="1889" t="s">
        <v>3601</v>
      </c>
      <c r="F43" s="1889" t="s">
        <v>526</v>
      </c>
      <c r="G43" s="1889" t="s">
        <v>527</v>
      </c>
      <c r="H43" s="1889"/>
      <c r="I43" s="1889"/>
      <c r="J43" s="1889"/>
      <c r="K43" s="1887" t="s">
        <v>3602</v>
      </c>
      <c r="L43" s="1887" t="s">
        <v>3603</v>
      </c>
      <c r="M43" s="1887" t="s">
        <v>3604</v>
      </c>
    </row>
    <row r="44" spans="1:13">
      <c r="A44" s="1152" t="s">
        <v>2260</v>
      </c>
      <c r="B44" s="344">
        <v>42</v>
      </c>
      <c r="D44" s="1889"/>
      <c r="E44" s="1889"/>
      <c r="F44" s="1889"/>
      <c r="G44" s="1889" t="s">
        <v>3605</v>
      </c>
      <c r="H44" s="1889" t="s">
        <v>2610</v>
      </c>
      <c r="I44" s="1887" t="s">
        <v>3606</v>
      </c>
      <c r="J44" s="1889" t="s">
        <v>3607</v>
      </c>
      <c r="K44" s="1890"/>
      <c r="L44" s="1890"/>
      <c r="M44" s="1890"/>
    </row>
    <row r="45" spans="1:13">
      <c r="B45" s="344">
        <v>43</v>
      </c>
      <c r="D45" s="1889"/>
      <c r="E45" s="1889"/>
      <c r="F45" s="1889"/>
      <c r="G45" s="1889"/>
      <c r="H45" s="1889"/>
      <c r="I45" s="1888"/>
      <c r="J45" s="1889"/>
      <c r="K45" s="1888"/>
      <c r="L45" s="1888"/>
      <c r="M45" s="1888"/>
    </row>
    <row r="46" spans="1:13">
      <c r="B46" s="344">
        <v>44</v>
      </c>
      <c r="D46" s="1088" t="s">
        <v>823</v>
      </c>
      <c r="E46" s="1088"/>
      <c r="F46" s="961">
        <f t="shared" ref="F46:L46" si="2">SUM(F47:F57)</f>
        <v>0</v>
      </c>
      <c r="G46" s="961">
        <f t="shared" si="2"/>
        <v>0</v>
      </c>
      <c r="H46" s="961">
        <f t="shared" si="2"/>
        <v>0</v>
      </c>
      <c r="I46" s="961">
        <f t="shared" si="2"/>
        <v>0</v>
      </c>
      <c r="J46" s="961">
        <f t="shared" si="2"/>
        <v>0</v>
      </c>
      <c r="K46" s="961">
        <f t="shared" si="2"/>
        <v>0</v>
      </c>
      <c r="L46" s="961">
        <f t="shared" si="2"/>
        <v>0</v>
      </c>
      <c r="M46" s="1088"/>
    </row>
    <row r="47" spans="1:13">
      <c r="A47" s="1101">
        <v>1</v>
      </c>
      <c r="B47" s="344">
        <v>45</v>
      </c>
      <c r="D47" s="1089" t="s">
        <v>3158</v>
      </c>
      <c r="E47" s="1088"/>
      <c r="F47" s="761"/>
      <c r="G47" s="761"/>
      <c r="H47" s="761"/>
      <c r="I47" s="761"/>
      <c r="J47" s="761"/>
      <c r="K47" s="761"/>
      <c r="L47" s="761"/>
      <c r="M47" s="1088"/>
    </row>
    <row r="48" spans="1:13">
      <c r="A48" s="1101">
        <v>2</v>
      </c>
      <c r="B48" s="344">
        <v>46</v>
      </c>
      <c r="D48" s="1089"/>
      <c r="E48" s="1088"/>
      <c r="F48" s="761"/>
      <c r="G48" s="761"/>
      <c r="H48" s="761"/>
      <c r="I48" s="761"/>
      <c r="J48" s="761"/>
      <c r="K48" s="761"/>
      <c r="L48" s="761"/>
      <c r="M48" s="1088"/>
    </row>
    <row r="49" spans="1:13">
      <c r="A49" s="1101">
        <v>3</v>
      </c>
      <c r="B49" s="344">
        <v>47</v>
      </c>
      <c r="D49" s="1089"/>
      <c r="E49" s="1088"/>
      <c r="F49" s="761"/>
      <c r="G49" s="761"/>
      <c r="H49" s="761"/>
      <c r="I49" s="761"/>
      <c r="J49" s="761"/>
      <c r="K49" s="761"/>
      <c r="L49" s="761"/>
      <c r="M49" s="1088"/>
    </row>
    <row r="50" spans="1:13">
      <c r="A50" s="1101">
        <v>4</v>
      </c>
      <c r="B50" s="344">
        <v>48</v>
      </c>
      <c r="D50" s="1089"/>
      <c r="E50" s="1088"/>
      <c r="F50" s="761"/>
      <c r="G50" s="761"/>
      <c r="H50" s="761"/>
      <c r="I50" s="761"/>
      <c r="J50" s="761"/>
      <c r="K50" s="761"/>
      <c r="L50" s="761"/>
      <c r="M50" s="1088"/>
    </row>
    <row r="51" spans="1:13">
      <c r="A51" s="1101">
        <v>5</v>
      </c>
      <c r="B51" s="344">
        <v>49</v>
      </c>
      <c r="D51" s="1089"/>
      <c r="E51" s="1088"/>
      <c r="F51" s="761"/>
      <c r="G51" s="761"/>
      <c r="H51" s="761"/>
      <c r="I51" s="761"/>
      <c r="J51" s="761"/>
      <c r="K51" s="761"/>
      <c r="L51" s="761"/>
      <c r="M51" s="1088"/>
    </row>
    <row r="52" spans="1:13">
      <c r="A52" s="1101">
        <v>6</v>
      </c>
      <c r="B52" s="344">
        <v>50</v>
      </c>
      <c r="D52" s="1089"/>
      <c r="E52" s="1088"/>
      <c r="F52" s="761"/>
      <c r="G52" s="761"/>
      <c r="H52" s="761"/>
      <c r="I52" s="761"/>
      <c r="J52" s="761"/>
      <c r="K52" s="761"/>
      <c r="L52" s="761"/>
      <c r="M52" s="1088"/>
    </row>
    <row r="53" spans="1:13">
      <c r="A53" s="1101">
        <v>7</v>
      </c>
      <c r="B53" s="344">
        <v>51</v>
      </c>
      <c r="D53" s="1089"/>
      <c r="E53" s="1088"/>
      <c r="F53" s="761"/>
      <c r="G53" s="761"/>
      <c r="H53" s="761"/>
      <c r="I53" s="761"/>
      <c r="J53" s="761"/>
      <c r="K53" s="761"/>
      <c r="L53" s="761"/>
      <c r="M53" s="1088"/>
    </row>
    <row r="54" spans="1:13">
      <c r="A54" s="1101">
        <v>8</v>
      </c>
      <c r="B54" s="344">
        <v>52</v>
      </c>
      <c r="D54" s="1089"/>
      <c r="E54" s="1088"/>
      <c r="F54" s="761"/>
      <c r="G54" s="761"/>
      <c r="H54" s="761"/>
      <c r="I54" s="761"/>
      <c r="J54" s="761"/>
      <c r="K54" s="761"/>
      <c r="L54" s="761"/>
      <c r="M54" s="1088"/>
    </row>
    <row r="55" spans="1:13">
      <c r="A55" s="1101">
        <v>9</v>
      </c>
      <c r="B55" s="344">
        <v>53</v>
      </c>
      <c r="D55" s="1089"/>
      <c r="E55" s="1088"/>
      <c r="F55" s="761"/>
      <c r="G55" s="761"/>
      <c r="H55" s="761"/>
      <c r="I55" s="761"/>
      <c r="J55" s="761"/>
      <c r="K55" s="761"/>
      <c r="L55" s="761"/>
      <c r="M55" s="1088"/>
    </row>
    <row r="56" spans="1:13">
      <c r="A56" s="1101">
        <v>10</v>
      </c>
      <c r="B56" s="344">
        <v>54</v>
      </c>
      <c r="D56" s="1088"/>
      <c r="E56" s="1088"/>
      <c r="F56" s="761"/>
      <c r="G56" s="761"/>
      <c r="H56" s="761"/>
      <c r="I56" s="761"/>
      <c r="J56" s="761"/>
      <c r="K56" s="761"/>
      <c r="L56" s="761"/>
      <c r="M56" s="1088"/>
    </row>
    <row r="57" spans="1:13">
      <c r="A57" s="1101">
        <v>11</v>
      </c>
      <c r="B57" s="344">
        <v>55</v>
      </c>
      <c r="D57" s="1088"/>
      <c r="E57" s="1088"/>
      <c r="F57" s="761"/>
      <c r="G57" s="761"/>
      <c r="H57" s="761"/>
      <c r="I57" s="761"/>
      <c r="J57" s="761"/>
      <c r="K57" s="761"/>
      <c r="L57" s="761"/>
      <c r="M57" s="1088"/>
    </row>
    <row r="58" spans="1:13">
      <c r="A58" s="811" t="str">
        <f>HYPERLINK("#C1","置顶")</f>
        <v>置顶</v>
      </c>
      <c r="B58" s="344">
        <v>56</v>
      </c>
      <c r="D58" s="1082"/>
      <c r="E58" s="1082"/>
      <c r="F58" s="1082"/>
      <c r="G58" s="1082"/>
      <c r="H58" s="1082"/>
      <c r="I58" s="1082"/>
      <c r="J58" s="1082"/>
      <c r="K58" s="1082"/>
      <c r="L58" s="1082"/>
      <c r="M58" s="1082"/>
    </row>
    <row r="59" spans="1:13">
      <c r="B59" s="344">
        <v>57</v>
      </c>
      <c r="D59" s="1082"/>
      <c r="E59" s="1082"/>
      <c r="F59" s="1082"/>
      <c r="G59" s="1082"/>
      <c r="H59" s="1082"/>
      <c r="I59" s="1082"/>
      <c r="J59" s="1082"/>
      <c r="K59" s="1082"/>
      <c r="L59" s="1082"/>
      <c r="M59" s="1082"/>
    </row>
    <row r="60" spans="1:13">
      <c r="B60" s="344">
        <v>58</v>
      </c>
      <c r="D60" s="1092" t="s">
        <v>3608</v>
      </c>
    </row>
    <row r="61" spans="1:13">
      <c r="A61" s="1152" t="s">
        <v>2260</v>
      </c>
      <c r="B61" s="344">
        <v>59</v>
      </c>
      <c r="D61" s="1887" t="s">
        <v>2884</v>
      </c>
      <c r="E61" s="1889" t="s">
        <v>3609</v>
      </c>
      <c r="F61" s="1889" t="s">
        <v>3610</v>
      </c>
      <c r="G61" s="1889" t="s">
        <v>3611</v>
      </c>
      <c r="H61" s="1889" t="s">
        <v>3602</v>
      </c>
      <c r="I61" s="1889" t="s">
        <v>3612</v>
      </c>
      <c r="J61" s="1889" t="s">
        <v>3613</v>
      </c>
    </row>
    <row r="62" spans="1:13">
      <c r="B62" s="344">
        <v>60</v>
      </c>
      <c r="D62" s="1888"/>
      <c r="E62" s="1889"/>
      <c r="F62" s="1889"/>
      <c r="G62" s="1889"/>
      <c r="H62" s="1889"/>
      <c r="I62" s="1889"/>
      <c r="J62" s="1889"/>
    </row>
    <row r="63" spans="1:13">
      <c r="B63" s="344">
        <v>61</v>
      </c>
      <c r="D63" s="1102" t="s">
        <v>3614</v>
      </c>
      <c r="E63" s="761"/>
      <c r="F63" s="761"/>
      <c r="G63" s="761"/>
      <c r="H63" s="761"/>
      <c r="I63" s="761"/>
      <c r="J63" s="761"/>
    </row>
    <row r="64" spans="1:13">
      <c r="A64" s="1083">
        <v>1</v>
      </c>
      <c r="B64" s="344">
        <v>62</v>
      </c>
      <c r="D64" s="1102"/>
      <c r="E64" s="761"/>
      <c r="F64" s="761"/>
      <c r="G64" s="761"/>
      <c r="H64" s="761"/>
      <c r="I64" s="761"/>
      <c r="J64" s="761"/>
    </row>
    <row r="65" spans="1:10">
      <c r="A65" s="1083">
        <v>2</v>
      </c>
      <c r="B65" s="344">
        <v>63</v>
      </c>
      <c r="D65" s="1102"/>
      <c r="E65" s="761"/>
      <c r="F65" s="761"/>
      <c r="G65" s="761"/>
      <c r="H65" s="761"/>
      <c r="I65" s="761"/>
      <c r="J65" s="761"/>
    </row>
    <row r="66" spans="1:10">
      <c r="A66" s="1083">
        <v>3</v>
      </c>
      <c r="B66" s="344">
        <v>64</v>
      </c>
      <c r="D66" s="1102"/>
      <c r="E66" s="761"/>
      <c r="F66" s="761"/>
      <c r="G66" s="761"/>
      <c r="H66" s="761"/>
      <c r="I66" s="761"/>
      <c r="J66" s="761"/>
    </row>
    <row r="67" spans="1:10">
      <c r="A67" s="1083">
        <v>4</v>
      </c>
      <c r="B67" s="344">
        <v>65</v>
      </c>
      <c r="D67" s="1102"/>
      <c r="E67" s="761"/>
      <c r="F67" s="761"/>
      <c r="G67" s="761"/>
      <c r="H67" s="761"/>
      <c r="I67" s="761"/>
      <c r="J67" s="761"/>
    </row>
    <row r="68" spans="1:10">
      <c r="A68" s="1083">
        <v>5</v>
      </c>
      <c r="B68" s="344">
        <v>66</v>
      </c>
      <c r="D68" s="1102"/>
      <c r="E68" s="761"/>
      <c r="F68" s="761"/>
      <c r="G68" s="761"/>
      <c r="H68" s="761"/>
      <c r="I68" s="761"/>
      <c r="J68" s="761"/>
    </row>
    <row r="69" spans="1:10">
      <c r="A69" s="1083">
        <v>6</v>
      </c>
      <c r="B69" s="344">
        <v>67</v>
      </c>
      <c r="D69" s="1102"/>
      <c r="E69" s="761"/>
      <c r="F69" s="761"/>
      <c r="G69" s="761"/>
      <c r="H69" s="761"/>
      <c r="I69" s="761"/>
      <c r="J69" s="761"/>
    </row>
    <row r="70" spans="1:10">
      <c r="B70" s="344">
        <v>68</v>
      </c>
      <c r="D70" s="1103" t="s">
        <v>3615</v>
      </c>
      <c r="E70" s="761"/>
      <c r="F70" s="761"/>
      <c r="G70" s="761"/>
      <c r="H70" s="761"/>
      <c r="I70" s="761"/>
      <c r="J70" s="761"/>
    </row>
    <row r="71" spans="1:10">
      <c r="A71" s="1083">
        <v>1</v>
      </c>
      <c r="B71" s="344">
        <v>69</v>
      </c>
      <c r="D71" s="1102"/>
      <c r="E71" s="761"/>
      <c r="F71" s="761"/>
      <c r="G71" s="761"/>
      <c r="H71" s="761"/>
      <c r="I71" s="761"/>
      <c r="J71" s="761"/>
    </row>
    <row r="72" spans="1:10">
      <c r="A72" s="1083">
        <v>2</v>
      </c>
      <c r="B72" s="344">
        <v>70</v>
      </c>
      <c r="D72" s="1102"/>
      <c r="E72" s="761"/>
      <c r="F72" s="761"/>
      <c r="G72" s="761"/>
      <c r="H72" s="761"/>
      <c r="I72" s="761"/>
      <c r="J72" s="761"/>
    </row>
    <row r="73" spans="1:10">
      <c r="A73" s="1083">
        <v>3</v>
      </c>
      <c r="B73" s="344">
        <v>71</v>
      </c>
      <c r="D73" s="1102"/>
      <c r="E73" s="761"/>
      <c r="F73" s="761"/>
      <c r="G73" s="761"/>
      <c r="H73" s="761"/>
      <c r="I73" s="761"/>
      <c r="J73" s="761"/>
    </row>
    <row r="74" spans="1:10">
      <c r="A74" s="1083">
        <v>4</v>
      </c>
      <c r="B74" s="344">
        <v>72</v>
      </c>
      <c r="D74" s="1102"/>
      <c r="E74" s="761"/>
      <c r="F74" s="761"/>
      <c r="G74" s="761"/>
      <c r="H74" s="761"/>
      <c r="I74" s="761"/>
      <c r="J74" s="761"/>
    </row>
    <row r="75" spans="1:10">
      <c r="A75" s="1083">
        <v>5</v>
      </c>
      <c r="B75" s="344">
        <v>73</v>
      </c>
      <c r="D75" s="1102"/>
      <c r="E75" s="761"/>
      <c r="F75" s="761"/>
      <c r="G75" s="761"/>
      <c r="H75" s="761"/>
      <c r="I75" s="761"/>
      <c r="J75" s="761"/>
    </row>
    <row r="76" spans="1:10">
      <c r="A76" s="1083">
        <v>6</v>
      </c>
      <c r="B76" s="344">
        <v>74</v>
      </c>
      <c r="D76" s="1102"/>
      <c r="E76" s="761"/>
      <c r="F76" s="761"/>
      <c r="G76" s="761"/>
      <c r="H76" s="761"/>
      <c r="I76" s="761"/>
      <c r="J76" s="761"/>
    </row>
    <row r="77" spans="1:10">
      <c r="A77" s="811" t="str">
        <f>HYPERLINK("#C1","置顶")</f>
        <v>置顶</v>
      </c>
      <c r="B77" s="344">
        <v>75</v>
      </c>
    </row>
    <row r="78" spans="1:10">
      <c r="B78" s="344">
        <v>76</v>
      </c>
    </row>
    <row r="79" spans="1:10" ht="24.75">
      <c r="A79" s="1152" t="s">
        <v>2260</v>
      </c>
      <c r="B79" s="344">
        <v>77</v>
      </c>
      <c r="D79" s="1092" t="s">
        <v>3616</v>
      </c>
    </row>
    <row r="80" spans="1:10">
      <c r="B80" s="344">
        <v>78</v>
      </c>
      <c r="D80" s="1889" t="s">
        <v>1013</v>
      </c>
      <c r="E80" s="1889" t="s">
        <v>526</v>
      </c>
      <c r="F80" s="1889" t="s">
        <v>2535</v>
      </c>
      <c r="G80" s="1889"/>
      <c r="H80" s="1889"/>
      <c r="I80" s="1889"/>
    </row>
    <row r="81" spans="1:10">
      <c r="B81" s="344">
        <v>79</v>
      </c>
      <c r="D81" s="1889"/>
      <c r="E81" s="1889"/>
      <c r="F81" s="1088" t="s">
        <v>826</v>
      </c>
      <c r="G81" s="1088" t="s">
        <v>3617</v>
      </c>
      <c r="H81" s="1088" t="s">
        <v>2611</v>
      </c>
      <c r="I81" s="1088" t="s">
        <v>3618</v>
      </c>
    </row>
    <row r="82" spans="1:10">
      <c r="B82" s="344">
        <v>80</v>
      </c>
      <c r="D82" s="1104" t="s">
        <v>823</v>
      </c>
      <c r="E82" s="961">
        <f>SUM(E83:E87)</f>
        <v>0</v>
      </c>
      <c r="F82" s="961">
        <f>SUM(F83:F87)</f>
        <v>0</v>
      </c>
      <c r="G82" s="961">
        <f>SUM(G83:G87)</f>
        <v>0</v>
      </c>
      <c r="H82" s="961">
        <f>SUM(H83:H87)</f>
        <v>0</v>
      </c>
      <c r="I82" s="961">
        <f>SUM(I83:I87)</f>
        <v>0</v>
      </c>
    </row>
    <row r="83" spans="1:10">
      <c r="A83" s="1083">
        <v>1</v>
      </c>
      <c r="B83" s="344">
        <v>81</v>
      </c>
      <c r="D83" s="1105" t="s">
        <v>3619</v>
      </c>
      <c r="E83" s="761"/>
      <c r="F83" s="761"/>
      <c r="G83" s="761"/>
      <c r="H83" s="761"/>
      <c r="I83" s="761"/>
    </row>
    <row r="84" spans="1:10">
      <c r="A84" s="1083">
        <v>2</v>
      </c>
      <c r="B84" s="344">
        <v>82</v>
      </c>
      <c r="D84" s="1106" t="s">
        <v>2356</v>
      </c>
      <c r="E84" s="761"/>
      <c r="F84" s="761"/>
      <c r="G84" s="761"/>
      <c r="H84" s="761"/>
      <c r="I84" s="761"/>
    </row>
    <row r="85" spans="1:10">
      <c r="A85" s="1083">
        <v>3</v>
      </c>
      <c r="B85" s="344">
        <v>83</v>
      </c>
      <c r="D85" s="1106" t="s">
        <v>2404</v>
      </c>
      <c r="E85" s="761"/>
      <c r="F85" s="761"/>
      <c r="G85" s="761"/>
      <c r="H85" s="761"/>
      <c r="I85" s="761"/>
    </row>
    <row r="86" spans="1:10">
      <c r="A86" s="1083">
        <v>4</v>
      </c>
      <c r="B86" s="344">
        <v>84</v>
      </c>
      <c r="D86" s="1106" t="s">
        <v>2394</v>
      </c>
      <c r="E86" s="761"/>
      <c r="F86" s="761"/>
      <c r="G86" s="761"/>
      <c r="H86" s="761"/>
      <c r="I86" s="761"/>
    </row>
    <row r="87" spans="1:10">
      <c r="A87" s="1083">
        <v>5</v>
      </c>
      <c r="B87" s="344">
        <v>85</v>
      </c>
      <c r="D87" s="1106" t="s">
        <v>3620</v>
      </c>
      <c r="E87" s="761"/>
      <c r="F87" s="761"/>
      <c r="G87" s="761"/>
      <c r="H87" s="761"/>
      <c r="I87" s="761"/>
    </row>
    <row r="88" spans="1:10">
      <c r="B88" s="344">
        <v>86</v>
      </c>
      <c r="D88" s="1107"/>
      <c r="E88" s="1108"/>
      <c r="F88" s="1108"/>
      <c r="G88" s="1108"/>
      <c r="H88" s="1108"/>
      <c r="I88" s="1108"/>
    </row>
    <row r="89" spans="1:10">
      <c r="B89" s="344">
        <v>87</v>
      </c>
      <c r="D89" s="1107"/>
      <c r="E89" s="1108"/>
      <c r="F89" s="1108"/>
      <c r="G89" s="1108"/>
      <c r="H89" s="1108"/>
      <c r="I89" s="1108"/>
    </row>
    <row r="90" spans="1:10">
      <c r="A90" s="811" t="str">
        <f>HYPERLINK("#C1","置顶")</f>
        <v>置顶</v>
      </c>
      <c r="B90" s="344">
        <v>88</v>
      </c>
      <c r="D90" s="1092" t="s">
        <v>3621</v>
      </c>
    </row>
    <row r="91" spans="1:10">
      <c r="B91" s="344">
        <v>89</v>
      </c>
      <c r="D91" s="1889" t="s">
        <v>1013</v>
      </c>
      <c r="E91" s="1889" t="s">
        <v>3622</v>
      </c>
      <c r="F91" s="1887" t="s">
        <v>526</v>
      </c>
      <c r="G91" s="1889" t="s">
        <v>2810</v>
      </c>
      <c r="H91" s="1889" t="s">
        <v>3760</v>
      </c>
      <c r="I91" s="1889" t="s">
        <v>869</v>
      </c>
      <c r="J91" s="1889" t="s">
        <v>3602</v>
      </c>
    </row>
    <row r="92" spans="1:10">
      <c r="B92" s="344">
        <v>90</v>
      </c>
      <c r="D92" s="1889"/>
      <c r="E92" s="1889"/>
      <c r="F92" s="1888"/>
      <c r="G92" s="1889"/>
      <c r="H92" s="1889"/>
      <c r="I92" s="1889"/>
      <c r="J92" s="1889"/>
    </row>
    <row r="93" spans="1:10">
      <c r="B93" s="344">
        <v>91</v>
      </c>
      <c r="D93" s="1104" t="s">
        <v>823</v>
      </c>
      <c r="E93" s="961">
        <f t="shared" ref="E93:J93" si="3">SUM(E94:E98)</f>
        <v>0</v>
      </c>
      <c r="F93" s="961">
        <f t="shared" si="3"/>
        <v>0</v>
      </c>
      <c r="G93" s="961">
        <f t="shared" si="3"/>
        <v>0</v>
      </c>
      <c r="H93" s="961">
        <f t="shared" si="3"/>
        <v>0</v>
      </c>
      <c r="I93" s="961">
        <f t="shared" si="3"/>
        <v>0</v>
      </c>
      <c r="J93" s="961">
        <f t="shared" si="3"/>
        <v>0</v>
      </c>
    </row>
    <row r="94" spans="1:10">
      <c r="A94" s="1083">
        <v>1</v>
      </c>
      <c r="B94" s="344">
        <v>92</v>
      </c>
      <c r="D94" s="1105"/>
      <c r="E94" s="761"/>
      <c r="F94" s="761"/>
      <c r="G94" s="761"/>
      <c r="H94" s="761"/>
      <c r="I94" s="761"/>
      <c r="J94" s="761"/>
    </row>
    <row r="95" spans="1:10">
      <c r="A95" s="1083">
        <v>2</v>
      </c>
      <c r="B95" s="344">
        <v>93</v>
      </c>
      <c r="D95" s="1106"/>
      <c r="E95" s="761"/>
      <c r="F95" s="761"/>
      <c r="G95" s="761"/>
      <c r="H95" s="761"/>
      <c r="I95" s="761"/>
      <c r="J95" s="761"/>
    </row>
    <row r="96" spans="1:10">
      <c r="A96" s="1083">
        <v>3</v>
      </c>
      <c r="B96" s="344">
        <v>94</v>
      </c>
      <c r="D96" s="1106"/>
      <c r="E96" s="761"/>
      <c r="F96" s="761"/>
      <c r="G96" s="761"/>
      <c r="H96" s="761"/>
      <c r="I96" s="761"/>
      <c r="J96" s="761"/>
    </row>
    <row r="97" spans="1:10">
      <c r="A97" s="1083">
        <v>4</v>
      </c>
      <c r="B97" s="344">
        <v>95</v>
      </c>
      <c r="D97" s="1106"/>
      <c r="E97" s="761"/>
      <c r="F97" s="761"/>
      <c r="G97" s="761"/>
      <c r="H97" s="761"/>
      <c r="I97" s="761"/>
      <c r="J97" s="761"/>
    </row>
    <row r="98" spans="1:10">
      <c r="A98" s="1083">
        <v>5</v>
      </c>
      <c r="B98" s="344">
        <v>96</v>
      </c>
      <c r="D98" s="1106"/>
      <c r="E98" s="761"/>
      <c r="F98" s="761"/>
      <c r="G98" s="761"/>
      <c r="H98" s="761"/>
      <c r="I98" s="761"/>
      <c r="J98" s="761"/>
    </row>
    <row r="99" spans="1:10">
      <c r="B99" s="344">
        <v>97</v>
      </c>
      <c r="D99" s="1107"/>
      <c r="E99" s="1107"/>
      <c r="F99" s="1108"/>
      <c r="G99" s="1108"/>
      <c r="H99" s="1108"/>
      <c r="I99" s="1108"/>
    </row>
    <row r="100" spans="1:10">
      <c r="B100" s="344">
        <v>98</v>
      </c>
      <c r="D100" s="1092"/>
    </row>
    <row r="101" spans="1:10">
      <c r="A101" s="1152" t="s">
        <v>2260</v>
      </c>
      <c r="B101" s="344">
        <v>99</v>
      </c>
      <c r="D101" s="1091" t="s">
        <v>3623</v>
      </c>
    </row>
    <row r="102" spans="1:10">
      <c r="B102" s="344">
        <v>100</v>
      </c>
      <c r="D102" s="1092" t="s">
        <v>3624</v>
      </c>
    </row>
    <row r="103" spans="1:10">
      <c r="B103" s="344">
        <v>101</v>
      </c>
      <c r="D103" s="1088" t="s">
        <v>890</v>
      </c>
      <c r="E103" s="1088" t="s">
        <v>3625</v>
      </c>
    </row>
    <row r="104" spans="1:10">
      <c r="B104" s="344">
        <v>102</v>
      </c>
      <c r="D104" s="1109" t="s">
        <v>3626</v>
      </c>
      <c r="E104" s="761"/>
      <c r="F104" s="1088" t="s">
        <v>2884</v>
      </c>
      <c r="G104" s="1088" t="s">
        <v>3173</v>
      </c>
    </row>
    <row r="105" spans="1:10" ht="24">
      <c r="B105" s="344">
        <v>103</v>
      </c>
      <c r="D105" s="1109" t="s">
        <v>3627</v>
      </c>
      <c r="E105" s="961">
        <f>E106+E120</f>
        <v>0</v>
      </c>
      <c r="F105" s="1110" t="s">
        <v>3761</v>
      </c>
      <c r="G105" s="611">
        <f>审定资产负债表!D127</f>
        <v>6921834.7999999998</v>
      </c>
    </row>
    <row r="106" spans="1:10" ht="24">
      <c r="B106" s="344">
        <v>104</v>
      </c>
      <c r="D106" s="1089" t="s">
        <v>3628</v>
      </c>
      <c r="E106" s="961">
        <f>SUM(E107:E119)</f>
        <v>0</v>
      </c>
      <c r="F106" s="1110" t="s">
        <v>3762</v>
      </c>
      <c r="G106" s="611">
        <f>审定资产负债表!C127</f>
        <v>6996985.0199999996</v>
      </c>
    </row>
    <row r="107" spans="1:10" ht="24.75">
      <c r="A107" s="811" t="str">
        <f>HYPERLINK("#C1","置顶")</f>
        <v>置顶</v>
      </c>
      <c r="B107" s="344">
        <v>105</v>
      </c>
      <c r="D107" s="1089" t="s">
        <v>3629</v>
      </c>
      <c r="E107" s="761" t="s">
        <v>3630</v>
      </c>
      <c r="F107" s="1110" t="s">
        <v>3785</v>
      </c>
      <c r="G107" s="611">
        <f>E104-G105</f>
        <v>-6921834.7999999998</v>
      </c>
    </row>
    <row r="108" spans="1:10">
      <c r="B108" s="344">
        <v>106</v>
      </c>
      <c r="D108" s="1089" t="s">
        <v>3631</v>
      </c>
      <c r="E108" s="761" t="s">
        <v>3630</v>
      </c>
      <c r="F108" s="1111" t="s">
        <v>3785</v>
      </c>
      <c r="G108" s="617">
        <f>E135-G106</f>
        <v>-6996985.0199999996</v>
      </c>
    </row>
    <row r="109" spans="1:10">
      <c r="B109" s="344">
        <v>107</v>
      </c>
      <c r="D109" s="1089" t="s">
        <v>3632</v>
      </c>
      <c r="E109" s="761"/>
    </row>
    <row r="110" spans="1:10">
      <c r="B110" s="344">
        <v>108</v>
      </c>
      <c r="D110" s="1089" t="s">
        <v>3633</v>
      </c>
      <c r="E110" s="761" t="s">
        <v>3630</v>
      </c>
    </row>
    <row r="111" spans="1:10">
      <c r="B111" s="344">
        <v>109</v>
      </c>
      <c r="D111" s="1089" t="s">
        <v>3634</v>
      </c>
      <c r="E111" s="761" t="s">
        <v>3630</v>
      </c>
    </row>
    <row r="112" spans="1:10">
      <c r="A112" s="1152" t="s">
        <v>2260</v>
      </c>
      <c r="B112" s="344">
        <v>110</v>
      </c>
      <c r="D112" s="1089" t="s">
        <v>3635</v>
      </c>
      <c r="E112" s="761" t="s">
        <v>3630</v>
      </c>
    </row>
    <row r="113" spans="1:10">
      <c r="B113" s="344">
        <v>111</v>
      </c>
      <c r="D113" s="1089" t="s">
        <v>3636</v>
      </c>
      <c r="E113" s="761" t="s">
        <v>3630</v>
      </c>
    </row>
    <row r="114" spans="1:10">
      <c r="A114" s="957"/>
      <c r="B114" s="344">
        <v>112</v>
      </c>
      <c r="D114" s="1089" t="s">
        <v>3637</v>
      </c>
      <c r="E114" s="761" t="s">
        <v>3630</v>
      </c>
    </row>
    <row r="115" spans="1:10">
      <c r="B115" s="344">
        <v>113</v>
      </c>
      <c r="D115" s="1089" t="s">
        <v>3638</v>
      </c>
      <c r="E115" s="761" t="s">
        <v>3630</v>
      </c>
    </row>
    <row r="116" spans="1:10">
      <c r="B116" s="344">
        <v>114</v>
      </c>
      <c r="D116" s="1089" t="s">
        <v>3639</v>
      </c>
      <c r="E116" s="761" t="s">
        <v>3630</v>
      </c>
    </row>
    <row r="117" spans="1:10">
      <c r="B117" s="344">
        <v>115</v>
      </c>
      <c r="D117" s="1089" t="s">
        <v>3640</v>
      </c>
      <c r="E117" s="761" t="s">
        <v>3630</v>
      </c>
    </row>
    <row r="118" spans="1:10">
      <c r="B118" s="344">
        <v>116</v>
      </c>
      <c r="D118" s="1089" t="s">
        <v>3641</v>
      </c>
      <c r="E118" s="761" t="s">
        <v>3630</v>
      </c>
    </row>
    <row r="119" spans="1:10" ht="24.75">
      <c r="B119" s="344">
        <v>117</v>
      </c>
      <c r="D119" s="1089" t="s">
        <v>3642</v>
      </c>
      <c r="E119" s="761"/>
    </row>
    <row r="120" spans="1:10">
      <c r="A120" s="811" t="str">
        <f>HYPERLINK("#C1","置顶")</f>
        <v>置顶</v>
      </c>
      <c r="B120" s="344">
        <v>118</v>
      </c>
      <c r="D120" s="1089" t="s">
        <v>3643</v>
      </c>
      <c r="E120" s="761"/>
      <c r="F120" s="1112">
        <f>未分配利润!D5</f>
        <v>75150.22</v>
      </c>
      <c r="G120" s="1113">
        <f>E120/F120</f>
        <v>0</v>
      </c>
      <c r="H120" s="1114"/>
      <c r="I120" s="1114"/>
      <c r="J120" s="1114"/>
    </row>
    <row r="121" spans="1:10">
      <c r="B121" s="344">
        <v>119</v>
      </c>
      <c r="D121" s="1109" t="s">
        <v>3644</v>
      </c>
      <c r="E121" s="961">
        <f>E122+E134</f>
        <v>0</v>
      </c>
      <c r="F121" s="1114"/>
      <c r="G121" s="1114"/>
      <c r="H121" s="1114"/>
      <c r="I121" s="1114"/>
      <c r="J121" s="1114"/>
    </row>
    <row r="122" spans="1:10">
      <c r="B122" s="344">
        <v>120</v>
      </c>
      <c r="D122" s="1089" t="s">
        <v>3645</v>
      </c>
      <c r="E122" s="961">
        <f>SUM(E123:E133)</f>
        <v>0</v>
      </c>
      <c r="F122" s="1114"/>
      <c r="G122" s="1114"/>
      <c r="H122" s="1114"/>
      <c r="I122" s="1114"/>
      <c r="J122" s="1114"/>
    </row>
    <row r="123" spans="1:10">
      <c r="B123" s="344">
        <v>121</v>
      </c>
      <c r="D123" s="1089" t="s">
        <v>3646</v>
      </c>
      <c r="E123" s="761"/>
      <c r="F123" s="1114"/>
      <c r="G123" s="1114"/>
      <c r="H123" s="1114"/>
      <c r="I123" s="1114"/>
      <c r="J123" s="1114"/>
    </row>
    <row r="124" spans="1:10">
      <c r="A124" s="957"/>
      <c r="B124" s="344">
        <v>122</v>
      </c>
      <c r="D124" s="1089" t="s">
        <v>3647</v>
      </c>
      <c r="E124" s="761"/>
      <c r="F124" s="1114"/>
      <c r="G124" s="1114"/>
      <c r="H124" s="1114"/>
      <c r="I124" s="1114"/>
      <c r="J124" s="1114"/>
    </row>
    <row r="125" spans="1:10">
      <c r="B125" s="344">
        <v>123</v>
      </c>
      <c r="D125" s="1089" t="s">
        <v>3648</v>
      </c>
      <c r="E125" s="761"/>
      <c r="F125" s="1114"/>
      <c r="G125" s="1114"/>
      <c r="H125" s="1114"/>
      <c r="I125" s="1114"/>
      <c r="J125" s="1114"/>
    </row>
    <row r="126" spans="1:10">
      <c r="B126" s="344">
        <v>124</v>
      </c>
      <c r="D126" s="1089" t="s">
        <v>3649</v>
      </c>
      <c r="E126" s="761"/>
      <c r="F126" s="1114"/>
      <c r="G126" s="1114"/>
      <c r="H126" s="1114"/>
      <c r="I126" s="1114"/>
      <c r="J126" s="1114"/>
    </row>
    <row r="127" spans="1:10">
      <c r="B127" s="344">
        <v>125</v>
      </c>
      <c r="D127" s="1089" t="s">
        <v>3650</v>
      </c>
      <c r="E127" s="761"/>
      <c r="F127" s="1114"/>
      <c r="G127" s="1114"/>
      <c r="H127" s="1114"/>
      <c r="I127" s="1114"/>
      <c r="J127" s="1114"/>
    </row>
    <row r="128" spans="1:10" ht="24.75">
      <c r="A128" s="1152" t="s">
        <v>2260</v>
      </c>
      <c r="B128" s="344">
        <v>126</v>
      </c>
      <c r="D128" s="1089" t="s">
        <v>3651</v>
      </c>
      <c r="E128" s="761"/>
      <c r="F128" s="1114"/>
      <c r="G128" s="1114"/>
      <c r="H128" s="1114"/>
      <c r="I128" s="1114"/>
      <c r="J128" s="1114"/>
    </row>
    <row r="129" spans="1:11" ht="24.75">
      <c r="A129" s="957"/>
      <c r="B129" s="344">
        <v>127</v>
      </c>
      <c r="D129" s="1089" t="s">
        <v>3652</v>
      </c>
      <c r="E129" s="761"/>
      <c r="F129" s="1114"/>
      <c r="G129" s="1114"/>
      <c r="H129" s="1114"/>
      <c r="I129" s="1114"/>
      <c r="J129" s="1114"/>
    </row>
    <row r="130" spans="1:11">
      <c r="B130" s="344">
        <v>128</v>
      </c>
      <c r="D130" s="1089" t="s">
        <v>3653</v>
      </c>
      <c r="E130" s="761"/>
      <c r="F130" s="1115"/>
      <c r="G130" s="1114"/>
      <c r="H130" s="1114"/>
      <c r="I130" s="1114"/>
      <c r="J130" s="1114"/>
    </row>
    <row r="131" spans="1:11">
      <c r="B131" s="344">
        <v>129</v>
      </c>
      <c r="D131" s="1089" t="s">
        <v>3654</v>
      </c>
      <c r="E131" s="761"/>
      <c r="F131" s="1112">
        <f>未分配利润!D10</f>
        <v>0</v>
      </c>
      <c r="G131" s="1113" t="e">
        <f>E131/F131</f>
        <v>#DIV/0!</v>
      </c>
      <c r="H131" s="1114"/>
      <c r="I131" s="1114"/>
      <c r="J131" s="1114"/>
    </row>
    <row r="132" spans="1:11">
      <c r="B132" s="344">
        <v>130</v>
      </c>
      <c r="D132" s="1089" t="s">
        <v>3655</v>
      </c>
      <c r="E132" s="761"/>
      <c r="F132" s="1115"/>
      <c r="G132" s="1114"/>
      <c r="H132" s="1114"/>
      <c r="I132" s="1114"/>
      <c r="J132" s="1114"/>
    </row>
    <row r="133" spans="1:11" ht="24.75">
      <c r="B133" s="344">
        <v>131</v>
      </c>
      <c r="D133" s="1089" t="s">
        <v>3656</v>
      </c>
      <c r="E133" s="761"/>
      <c r="F133" s="1115"/>
      <c r="G133" s="350"/>
      <c r="H133" s="1114"/>
      <c r="I133" s="1114"/>
    </row>
    <row r="134" spans="1:11">
      <c r="A134" s="811" t="str">
        <f>HYPERLINK("#C1","置顶")</f>
        <v>置顶</v>
      </c>
      <c r="B134" s="344">
        <v>132</v>
      </c>
      <c r="D134" s="1089" t="s">
        <v>3657</v>
      </c>
      <c r="E134" s="761"/>
      <c r="F134" s="1115"/>
      <c r="G134" s="1114"/>
      <c r="H134" s="1114"/>
      <c r="I134" s="1114"/>
    </row>
    <row r="135" spans="1:11">
      <c r="B135" s="344">
        <v>133</v>
      </c>
      <c r="D135" s="1109" t="s">
        <v>3786</v>
      </c>
      <c r="E135" s="961">
        <f>E104+E105-E121</f>
        <v>0</v>
      </c>
      <c r="F135" s="1112">
        <f>G106</f>
        <v>6996985.0199999996</v>
      </c>
      <c r="G135" s="1113">
        <f>E135/F135</f>
        <v>0</v>
      </c>
      <c r="H135" s="1114"/>
      <c r="I135" s="351"/>
    </row>
    <row r="136" spans="1:11">
      <c r="B136" s="344">
        <v>134</v>
      </c>
      <c r="D136" s="1116"/>
      <c r="E136" s="1090"/>
      <c r="F136" s="1084"/>
    </row>
    <row r="137" spans="1:11" ht="25.5">
      <c r="B137" s="344">
        <v>135</v>
      </c>
      <c r="D137" s="352" t="s">
        <v>1447</v>
      </c>
      <c r="E137" s="1117" t="e">
        <f>(E135+E122-E106)/E104</f>
        <v>#DIV/0!</v>
      </c>
    </row>
    <row r="138" spans="1:11">
      <c r="B138" s="344">
        <v>136</v>
      </c>
      <c r="D138" s="1116"/>
      <c r="E138" s="1090"/>
    </row>
    <row r="139" spans="1:11">
      <c r="A139" s="1152" t="s">
        <v>2260</v>
      </c>
      <c r="B139" s="344">
        <v>137</v>
      </c>
      <c r="D139" s="1091" t="s">
        <v>1332</v>
      </c>
    </row>
    <row r="140" spans="1:11">
      <c r="B140" s="344">
        <v>138</v>
      </c>
      <c r="D140" s="1093" t="s">
        <v>811</v>
      </c>
      <c r="E140" s="1889" t="s">
        <v>368</v>
      </c>
      <c r="F140" s="1889"/>
      <c r="G140" s="1889" t="s">
        <v>369</v>
      </c>
      <c r="H140" s="1889"/>
    </row>
    <row r="141" spans="1:11">
      <c r="B141" s="344">
        <v>139</v>
      </c>
      <c r="D141" s="1294" t="s">
        <v>811</v>
      </c>
      <c r="E141" s="1088" t="s">
        <v>1333</v>
      </c>
      <c r="F141" s="1088" t="s">
        <v>1334</v>
      </c>
      <c r="G141" s="1088" t="s">
        <v>1333</v>
      </c>
      <c r="H141" s="1088" t="s">
        <v>1334</v>
      </c>
    </row>
    <row r="142" spans="1:11">
      <c r="B142" s="344">
        <v>140</v>
      </c>
      <c r="D142" s="1296" t="s">
        <v>4481</v>
      </c>
      <c r="E142" s="1298">
        <f>E147</f>
        <v>2798627.12</v>
      </c>
      <c r="F142" s="1298">
        <f t="shared" ref="F142:H142" si="4">F147</f>
        <v>2805661.87</v>
      </c>
      <c r="G142" s="1298">
        <f t="shared" si="4"/>
        <v>0</v>
      </c>
      <c r="H142" s="1298">
        <f t="shared" si="4"/>
        <v>0</v>
      </c>
      <c r="I142" s="1088" t="s">
        <v>2884</v>
      </c>
      <c r="J142" s="1088" t="s">
        <v>3658</v>
      </c>
      <c r="K142" s="1088" t="s">
        <v>3763</v>
      </c>
    </row>
    <row r="143" spans="1:11" ht="13.5">
      <c r="D143" s="1297" t="s">
        <v>4482</v>
      </c>
      <c r="E143" s="761"/>
      <c r="F143" s="761"/>
      <c r="G143" s="761"/>
      <c r="H143" s="761"/>
      <c r="I143" s="1118"/>
      <c r="J143" s="1082"/>
      <c r="K143" s="1119"/>
    </row>
    <row r="144" spans="1:11">
      <c r="B144" s="344">
        <v>141</v>
      </c>
      <c r="D144" s="1296" t="s">
        <v>4483</v>
      </c>
      <c r="E144" s="1298">
        <f>E147</f>
        <v>2798627.12</v>
      </c>
      <c r="F144" s="1298">
        <f t="shared" ref="F144:H144" si="5">F147</f>
        <v>2805661.87</v>
      </c>
      <c r="G144" s="1298">
        <f t="shared" si="5"/>
        <v>0</v>
      </c>
      <c r="H144" s="1298">
        <f t="shared" si="5"/>
        <v>0</v>
      </c>
      <c r="I144" s="1110" t="s">
        <v>3659</v>
      </c>
      <c r="J144" s="1015">
        <f>应付职工薪酬!E9+长期应付职工薪酬!E7</f>
        <v>2798627.1200000006</v>
      </c>
      <c r="K144" s="1120">
        <f>应付职工薪酬!F9+长期应付职工薪酬!F7</f>
        <v>2805661.87</v>
      </c>
    </row>
    <row r="145" spans="1:13" ht="13.5">
      <c r="B145" s="344">
        <v>142</v>
      </c>
      <c r="D145" s="1297" t="s">
        <v>4484</v>
      </c>
      <c r="E145" s="1298">
        <f>E148</f>
        <v>0</v>
      </c>
      <c r="F145" s="1298">
        <f t="shared" ref="F145:H145" si="6">F148</f>
        <v>0</v>
      </c>
      <c r="G145" s="1298">
        <f t="shared" si="6"/>
        <v>0</v>
      </c>
      <c r="H145" s="1298">
        <f t="shared" si="6"/>
        <v>0</v>
      </c>
      <c r="I145" s="1110" t="s">
        <v>3660</v>
      </c>
      <c r="J145" s="1015">
        <f>应付职工薪酬!J12</f>
        <v>0</v>
      </c>
      <c r="K145" s="1015">
        <f>应付职工薪酬!K12</f>
        <v>0</v>
      </c>
      <c r="M145" s="834"/>
    </row>
    <row r="146" spans="1:13" ht="13.5">
      <c r="B146" s="344">
        <v>143</v>
      </c>
      <c r="D146" s="1297" t="s">
        <v>4485</v>
      </c>
      <c r="E146" s="981"/>
      <c r="F146" s="981"/>
      <c r="G146" s="981"/>
      <c r="H146" s="981"/>
      <c r="I146" s="1110" t="s">
        <v>3661</v>
      </c>
      <c r="J146" s="1015">
        <f>应付职工薪酬!E14+应付职工薪酬!E30-应付职工薪酬!E18-应付职工薪酬!E29</f>
        <v>239665.90000000002</v>
      </c>
      <c r="K146" s="1015">
        <f>应付职工薪酬!F14+应付职工薪酬!F30-应付职工薪酬!F18-应付职工薪酬!F29</f>
        <v>246784.65000000002</v>
      </c>
      <c r="M146" s="835"/>
    </row>
    <row r="147" spans="1:13">
      <c r="A147" s="811" t="str">
        <f>HYPERLINK("#C1","置顶")</f>
        <v>置顶</v>
      </c>
      <c r="B147" s="344">
        <v>144</v>
      </c>
      <c r="D147" s="1296" t="s">
        <v>4486</v>
      </c>
      <c r="E147" s="1298">
        <f>E148+E149+E150+E153+E155+E156+E157+E158+E161+E162+E163+E164</f>
        <v>2798627.12</v>
      </c>
      <c r="F147" s="1298">
        <f t="shared" ref="F147:H147" si="7">F148+F149+F150+F153+F155+F156+F157+F158+F161+F162+F163+F164</f>
        <v>2805661.87</v>
      </c>
      <c r="G147" s="1298">
        <f t="shared" si="7"/>
        <v>0</v>
      </c>
      <c r="H147" s="1298">
        <f t="shared" si="7"/>
        <v>0</v>
      </c>
      <c r="I147" s="1121" t="s">
        <v>3662</v>
      </c>
      <c r="J147" s="1015">
        <f>应付职工薪酬!E20</f>
        <v>0</v>
      </c>
      <c r="K147" s="1120">
        <f>应付职工薪酬!F20</f>
        <v>0</v>
      </c>
      <c r="M147" s="835"/>
    </row>
    <row r="148" spans="1:13" ht="13.5">
      <c r="B148" s="344">
        <v>145</v>
      </c>
      <c r="D148" s="1297" t="s">
        <v>4487</v>
      </c>
      <c r="E148" s="761">
        <f>应付职工薪酬!J12</f>
        <v>0</v>
      </c>
      <c r="F148" s="761">
        <f>应付职工薪酬!K12</f>
        <v>0</v>
      </c>
      <c r="G148" s="761"/>
      <c r="H148" s="761"/>
      <c r="I148" s="1121" t="s">
        <v>3663</v>
      </c>
      <c r="J148" s="1015">
        <f>应付职工薪酬!E19</f>
        <v>89286</v>
      </c>
      <c r="K148" s="1120">
        <f>应付职工薪酬!F19</f>
        <v>89202</v>
      </c>
      <c r="M148" s="835"/>
    </row>
    <row r="149" spans="1:13" ht="13.5">
      <c r="B149" s="344">
        <v>146</v>
      </c>
      <c r="D149" s="1297" t="s">
        <v>4488</v>
      </c>
      <c r="E149" s="761">
        <f>应付职工薪酬!E14+应付职工薪酬!E30-应付职工薪酬!E18-应付职工薪酬!E29</f>
        <v>239665.90000000002</v>
      </c>
      <c r="F149" s="761">
        <f>应付职工薪酬!F14+应付职工薪酬!F30-应付职工薪酬!F18-应付职工薪酬!F29</f>
        <v>246784.65000000002</v>
      </c>
      <c r="G149" s="761"/>
      <c r="H149" s="761"/>
      <c r="I149" s="1121" t="s">
        <v>3664</v>
      </c>
      <c r="J149" s="1015">
        <f t="shared" ref="J149:K151" si="8">E147-J144</f>
        <v>0</v>
      </c>
      <c r="K149" s="1015">
        <f t="shared" si="8"/>
        <v>0</v>
      </c>
      <c r="M149" s="835"/>
    </row>
    <row r="150" spans="1:13" ht="13.5">
      <c r="B150" s="344">
        <v>147</v>
      </c>
      <c r="D150" s="1297" t="s">
        <v>4489</v>
      </c>
      <c r="E150" s="1298">
        <f>E151+E152</f>
        <v>0</v>
      </c>
      <c r="F150" s="1298">
        <f t="shared" ref="F150:H150" si="9">F151+F152</f>
        <v>0</v>
      </c>
      <c r="G150" s="1298">
        <f t="shared" si="9"/>
        <v>0</v>
      </c>
      <c r="H150" s="1298">
        <f t="shared" si="9"/>
        <v>0</v>
      </c>
      <c r="I150" s="1121" t="s">
        <v>3664</v>
      </c>
      <c r="J150" s="1015">
        <f t="shared" si="8"/>
        <v>0</v>
      </c>
      <c r="K150" s="1015">
        <f t="shared" si="8"/>
        <v>0</v>
      </c>
      <c r="M150" s="835"/>
    </row>
    <row r="151" spans="1:13" ht="13.5">
      <c r="B151" s="344">
        <v>148</v>
      </c>
      <c r="D151" s="1297" t="s">
        <v>4490</v>
      </c>
      <c r="E151" s="761">
        <f>应付职工薪酬!E29</f>
        <v>0</v>
      </c>
      <c r="F151" s="761">
        <f>应付职工薪酬!F29</f>
        <v>0</v>
      </c>
      <c r="G151" s="761"/>
      <c r="H151" s="761"/>
      <c r="I151" s="1121" t="s">
        <v>3664</v>
      </c>
      <c r="J151" s="1015">
        <f t="shared" si="8"/>
        <v>0</v>
      </c>
      <c r="K151" s="1015">
        <f t="shared" si="8"/>
        <v>0</v>
      </c>
      <c r="M151" s="835"/>
    </row>
    <row r="152" spans="1:13" ht="13.5">
      <c r="B152" s="344">
        <v>149</v>
      </c>
      <c r="D152" s="1297" t="s">
        <v>4491</v>
      </c>
      <c r="E152" s="761">
        <f>应付职工薪酬!E18</f>
        <v>0</v>
      </c>
      <c r="F152" s="761">
        <f>应付职工薪酬!F18</f>
        <v>0</v>
      </c>
      <c r="G152" s="761"/>
      <c r="H152" s="761"/>
      <c r="I152" s="1121" t="s">
        <v>3664</v>
      </c>
      <c r="J152" s="1015">
        <f>E155+E156-J147</f>
        <v>0</v>
      </c>
      <c r="K152" s="1015">
        <f>F155+F156-K147</f>
        <v>0</v>
      </c>
      <c r="M152" s="835"/>
    </row>
    <row r="153" spans="1:13" ht="13.5">
      <c r="B153" s="344">
        <v>150</v>
      </c>
      <c r="D153" s="1297" t="s">
        <v>4492</v>
      </c>
      <c r="E153" s="761">
        <f>应付职工薪酬!E13</f>
        <v>4035.77</v>
      </c>
      <c r="F153" s="761">
        <f>应付职工薪酬!F13</f>
        <v>4035.77</v>
      </c>
      <c r="G153" s="761"/>
      <c r="H153" s="761"/>
      <c r="I153" s="1121" t="s">
        <v>3664</v>
      </c>
      <c r="J153" s="1123">
        <f>E159-J148</f>
        <v>0</v>
      </c>
      <c r="K153" s="1123">
        <f>F159-K148</f>
        <v>0</v>
      </c>
      <c r="M153" s="835"/>
    </row>
    <row r="154" spans="1:13" ht="13.5">
      <c r="B154" s="344">
        <v>151</v>
      </c>
      <c r="D154" s="1297" t="s">
        <v>4493</v>
      </c>
      <c r="E154" s="761"/>
      <c r="F154" s="761"/>
      <c r="G154" s="761"/>
      <c r="H154" s="761"/>
      <c r="I154" s="1121"/>
      <c r="J154" s="1098"/>
      <c r="K154" s="1125"/>
      <c r="L154" s="835"/>
      <c r="M154" s="835"/>
    </row>
    <row r="155" spans="1:13" ht="13.5">
      <c r="A155" s="1152" t="s">
        <v>2260</v>
      </c>
      <c r="B155" s="344">
        <v>152</v>
      </c>
      <c r="D155" s="1297" t="s">
        <v>4494</v>
      </c>
      <c r="E155" s="761">
        <f>应付职工薪酬!J22</f>
        <v>0</v>
      </c>
      <c r="F155" s="761">
        <f>应付职工薪酬!K22</f>
        <v>0</v>
      </c>
      <c r="G155" s="761"/>
      <c r="H155" s="761"/>
      <c r="I155" s="1126" t="s">
        <v>3764</v>
      </c>
      <c r="J155" s="1127">
        <f>应付职工薪酬!E13</f>
        <v>4035.77</v>
      </c>
      <c r="K155" s="1128">
        <f>应付职工薪酬!F13</f>
        <v>4035.77</v>
      </c>
      <c r="L155" s="835"/>
      <c r="M155" s="835"/>
    </row>
    <row r="156" spans="1:13" ht="13.5">
      <c r="B156" s="344">
        <v>153</v>
      </c>
      <c r="D156" s="1297" t="s">
        <v>4495</v>
      </c>
      <c r="E156" s="761">
        <f>应付职工薪酬!J21</f>
        <v>0</v>
      </c>
      <c r="F156" s="761">
        <f>应付职工薪酬!K21</f>
        <v>0</v>
      </c>
      <c r="G156" s="761"/>
      <c r="H156" s="761"/>
      <c r="I156" s="1129" t="s">
        <v>3665</v>
      </c>
      <c r="J156" s="1015"/>
      <c r="K156" s="1122"/>
      <c r="L156" s="835"/>
      <c r="M156" s="835"/>
    </row>
    <row r="157" spans="1:13" ht="13.5">
      <c r="B157" s="344">
        <v>154</v>
      </c>
      <c r="D157" s="1297" t="s">
        <v>4496</v>
      </c>
      <c r="E157" s="761"/>
      <c r="F157" s="761"/>
      <c r="G157" s="761"/>
      <c r="H157" s="761"/>
      <c r="I157" s="1129" t="s">
        <v>3666</v>
      </c>
      <c r="J157" s="1015">
        <f>J155-E153</f>
        <v>0</v>
      </c>
      <c r="K157" s="1122">
        <f>K155-F153</f>
        <v>0</v>
      </c>
      <c r="L157" s="835"/>
      <c r="M157" s="835"/>
    </row>
    <row r="158" spans="1:13" ht="13.5">
      <c r="A158" s="957"/>
      <c r="B158" s="344">
        <v>155</v>
      </c>
      <c r="D158" s="1297" t="s">
        <v>4497</v>
      </c>
      <c r="E158" s="1298">
        <f>E159+E160</f>
        <v>89286</v>
      </c>
      <c r="F158" s="1298">
        <f t="shared" ref="F158:H158" si="10">F159+F160</f>
        <v>89202</v>
      </c>
      <c r="G158" s="1298">
        <f t="shared" si="10"/>
        <v>0</v>
      </c>
      <c r="H158" s="1298">
        <f t="shared" si="10"/>
        <v>0</v>
      </c>
      <c r="I158" s="1130" t="s">
        <v>3667</v>
      </c>
      <c r="J158" s="1123"/>
      <c r="K158" s="1124"/>
      <c r="L158" s="835"/>
      <c r="M158" s="835"/>
    </row>
    <row r="159" spans="1:13" ht="13.5">
      <c r="B159" s="344">
        <v>156</v>
      </c>
      <c r="D159" s="1297" t="s">
        <v>4498</v>
      </c>
      <c r="E159" s="761">
        <f>应付职工薪酬!E19</f>
        <v>89286</v>
      </c>
      <c r="F159" s="761">
        <f>应付职工薪酬!F19</f>
        <v>89202</v>
      </c>
      <c r="G159" s="761"/>
      <c r="H159" s="761"/>
      <c r="I159" s="1131"/>
      <c r="J159" s="835"/>
      <c r="K159" s="835"/>
      <c r="L159" s="835"/>
      <c r="M159" s="835"/>
    </row>
    <row r="160" spans="1:13" ht="13.5">
      <c r="B160" s="344">
        <v>157</v>
      </c>
      <c r="D160" s="1297" t="s">
        <v>4499</v>
      </c>
      <c r="E160" s="761"/>
      <c r="F160" s="761"/>
      <c r="G160" s="761"/>
      <c r="H160" s="761"/>
      <c r="I160" s="1132"/>
      <c r="J160" s="835"/>
      <c r="K160" s="835"/>
      <c r="L160" s="835"/>
      <c r="M160" s="835"/>
    </row>
    <row r="161" spans="1:13" ht="13.5">
      <c r="A161" s="811" t="str">
        <f>HYPERLINK("#C1","置顶")</f>
        <v>置顶</v>
      </c>
      <c r="B161" s="344">
        <v>158</v>
      </c>
      <c r="D161" s="1297" t="s">
        <v>4500</v>
      </c>
      <c r="E161" s="761"/>
      <c r="F161" s="761"/>
      <c r="G161" s="761"/>
      <c r="H161" s="761"/>
      <c r="I161" s="1132"/>
      <c r="J161" s="835"/>
      <c r="K161" s="835"/>
      <c r="L161" s="835"/>
      <c r="M161" s="835"/>
    </row>
    <row r="162" spans="1:13" ht="13.5">
      <c r="B162" s="344">
        <v>159</v>
      </c>
      <c r="D162" s="1297" t="s">
        <v>4501</v>
      </c>
      <c r="E162" s="761">
        <f>应付职工薪酬!E6</f>
        <v>0</v>
      </c>
      <c r="F162" s="761">
        <f>应付职工薪酬!F6</f>
        <v>0</v>
      </c>
      <c r="G162" s="761"/>
      <c r="H162" s="761"/>
      <c r="I162" s="1132"/>
      <c r="J162" s="835"/>
      <c r="K162" s="835"/>
      <c r="L162" s="835"/>
      <c r="M162" s="835"/>
    </row>
    <row r="163" spans="1:13" ht="13.5">
      <c r="B163" s="344">
        <v>160</v>
      </c>
      <c r="D163" s="1297" t="s">
        <v>4502</v>
      </c>
      <c r="E163" s="761"/>
      <c r="F163" s="761"/>
      <c r="G163" s="761"/>
      <c r="H163" s="761"/>
      <c r="I163" s="1132"/>
      <c r="J163" s="835"/>
      <c r="K163" s="835"/>
      <c r="L163" s="835"/>
      <c r="M163" s="835"/>
    </row>
    <row r="164" spans="1:13" ht="13.5">
      <c r="B164" s="344">
        <v>161</v>
      </c>
      <c r="D164" s="1297" t="s">
        <v>4503</v>
      </c>
      <c r="E164" s="761">
        <f>应付职工薪酬!E12-应付职工薪酬!J12+应付职工薪酬!E23</f>
        <v>2465639.4500000002</v>
      </c>
      <c r="F164" s="761">
        <f>应付职工薪酬!F12-应付职工薪酬!K12+应付职工薪酬!F23</f>
        <v>2465639.4500000002</v>
      </c>
      <c r="G164" s="761"/>
      <c r="H164" s="761"/>
      <c r="I164" s="1132"/>
      <c r="J164" s="835"/>
      <c r="K164" s="835"/>
      <c r="L164" s="835"/>
      <c r="M164" s="835"/>
    </row>
    <row r="165" spans="1:13">
      <c r="B165" s="344">
        <v>162</v>
      </c>
      <c r="D165" s="1296" t="s">
        <v>4504</v>
      </c>
      <c r="E165" s="1298">
        <f>E147</f>
        <v>2798627.12</v>
      </c>
      <c r="F165" s="1298">
        <f t="shared" ref="F165:H165" si="11">F147</f>
        <v>2805661.87</v>
      </c>
      <c r="G165" s="1298">
        <f t="shared" si="11"/>
        <v>0</v>
      </c>
      <c r="H165" s="1298">
        <f t="shared" si="11"/>
        <v>0</v>
      </c>
    </row>
    <row r="166" spans="1:13" ht="13.5">
      <c r="B166" s="344">
        <v>163</v>
      </c>
      <c r="D166" s="1297" t="s">
        <v>4505</v>
      </c>
      <c r="E166" s="761">
        <f>E148</f>
        <v>0</v>
      </c>
      <c r="F166" s="761">
        <f t="shared" ref="F166:H166" si="12">F148</f>
        <v>0</v>
      </c>
      <c r="G166" s="761">
        <f t="shared" si="12"/>
        <v>0</v>
      </c>
      <c r="H166" s="761">
        <f t="shared" si="12"/>
        <v>0</v>
      </c>
    </row>
    <row r="167" spans="1:13">
      <c r="A167" s="1152" t="s">
        <v>2260</v>
      </c>
      <c r="B167" s="344">
        <v>164</v>
      </c>
      <c r="D167" s="1296" t="s">
        <v>4506</v>
      </c>
      <c r="E167" s="761"/>
      <c r="F167" s="761"/>
      <c r="G167" s="761"/>
      <c r="H167" s="761"/>
    </row>
    <row r="168" spans="1:13" ht="13.5">
      <c r="B168" s="344">
        <v>165</v>
      </c>
      <c r="D168" s="1297" t="s">
        <v>4507</v>
      </c>
      <c r="E168" s="761"/>
      <c r="F168" s="761"/>
      <c r="G168" s="761"/>
      <c r="H168" s="761"/>
    </row>
    <row r="169" spans="1:13" ht="13.5">
      <c r="A169" s="957"/>
      <c r="B169" s="344">
        <v>166</v>
      </c>
      <c r="D169" s="1297" t="s">
        <v>4508</v>
      </c>
      <c r="E169" s="761"/>
      <c r="F169" s="761"/>
      <c r="G169" s="761"/>
      <c r="H169" s="761"/>
    </row>
    <row r="170" spans="1:13" ht="13.5">
      <c r="B170" s="344">
        <v>167</v>
      </c>
      <c r="D170" s="1297" t="s">
        <v>4509</v>
      </c>
      <c r="E170" s="761"/>
      <c r="F170" s="761"/>
      <c r="G170" s="761"/>
      <c r="H170" s="761"/>
    </row>
    <row r="171" spans="1:13">
      <c r="B171" s="344">
        <v>168</v>
      </c>
      <c r="D171" s="1295"/>
      <c r="E171" s="761"/>
      <c r="F171" s="761"/>
      <c r="G171" s="761"/>
      <c r="H171" s="761"/>
    </row>
    <row r="172" spans="1:13">
      <c r="B172" s="344">
        <v>169</v>
      </c>
      <c r="D172" s="1109"/>
      <c r="E172" s="761"/>
      <c r="F172" s="761"/>
      <c r="G172" s="761"/>
      <c r="H172" s="761"/>
    </row>
    <row r="173" spans="1:13">
      <c r="B173" s="344">
        <v>170</v>
      </c>
      <c r="D173" s="1089"/>
      <c r="E173" s="761"/>
      <c r="F173" s="761"/>
      <c r="G173" s="761"/>
      <c r="H173" s="761"/>
    </row>
    <row r="174" spans="1:13">
      <c r="B174" s="344">
        <v>171</v>
      </c>
      <c r="D174" s="1089"/>
      <c r="E174" s="761"/>
      <c r="F174" s="761"/>
      <c r="G174" s="761"/>
      <c r="H174" s="761"/>
    </row>
    <row r="175" spans="1:13">
      <c r="A175" s="811" t="str">
        <f>HYPERLINK("#C1","置顶")</f>
        <v>置顶</v>
      </c>
      <c r="B175" s="344">
        <v>172</v>
      </c>
      <c r="D175" s="1089"/>
      <c r="E175" s="761"/>
      <c r="F175" s="761"/>
      <c r="G175" s="761"/>
      <c r="H175" s="761"/>
    </row>
    <row r="176" spans="1:13">
      <c r="B176" s="344">
        <v>173</v>
      </c>
      <c r="D176" s="1098"/>
      <c r="E176" s="835"/>
      <c r="F176" s="835"/>
      <c r="G176" s="835"/>
      <c r="H176" s="835"/>
    </row>
    <row r="177" spans="1:10">
      <c r="B177" s="344">
        <v>174</v>
      </c>
      <c r="D177" s="1116"/>
      <c r="E177" s="1082"/>
      <c r="F177" s="1082"/>
      <c r="G177" s="1082"/>
      <c r="H177" s="1082"/>
    </row>
    <row r="178" spans="1:10">
      <c r="B178" s="344">
        <v>175</v>
      </c>
      <c r="D178" s="1091" t="s">
        <v>3765</v>
      </c>
    </row>
    <row r="179" spans="1:10">
      <c r="A179" s="1152" t="s">
        <v>2260</v>
      </c>
      <c r="B179" s="344">
        <v>176</v>
      </c>
      <c r="D179" s="1891" t="s">
        <v>3668</v>
      </c>
      <c r="E179" s="1891"/>
      <c r="F179" s="344"/>
      <c r="G179" s="344"/>
      <c r="H179" s="344"/>
    </row>
    <row r="180" spans="1:10" ht="24.75">
      <c r="B180" s="344">
        <v>177</v>
      </c>
      <c r="D180" s="1087" t="s">
        <v>3669</v>
      </c>
      <c r="E180" s="344"/>
      <c r="F180" s="344"/>
      <c r="G180" s="344"/>
      <c r="H180" s="344"/>
      <c r="I180" s="344"/>
      <c r="J180" s="344"/>
    </row>
    <row r="181" spans="1:10">
      <c r="B181" s="344">
        <v>178</v>
      </c>
      <c r="D181" s="1887" t="s">
        <v>2884</v>
      </c>
      <c r="E181" s="1887" t="s">
        <v>3670</v>
      </c>
      <c r="F181" s="1887" t="s">
        <v>3671</v>
      </c>
      <c r="G181" s="1089"/>
      <c r="H181" s="1887" t="s">
        <v>3672</v>
      </c>
      <c r="I181" s="344"/>
      <c r="J181" s="344"/>
    </row>
    <row r="182" spans="1:10">
      <c r="B182" s="344">
        <v>179</v>
      </c>
      <c r="D182" s="1888"/>
      <c r="E182" s="1888"/>
      <c r="F182" s="1888"/>
      <c r="G182" s="1089" t="s">
        <v>3673</v>
      </c>
      <c r="H182" s="1888"/>
      <c r="I182" s="1887" t="s">
        <v>3674</v>
      </c>
    </row>
    <row r="183" spans="1:10">
      <c r="B183" s="344">
        <v>180</v>
      </c>
      <c r="D183" s="1088" t="s">
        <v>1005</v>
      </c>
      <c r="E183" s="761"/>
      <c r="F183" s="761"/>
      <c r="G183" s="761"/>
      <c r="H183" s="761"/>
      <c r="I183" s="1888"/>
    </row>
    <row r="184" spans="1:10">
      <c r="B184" s="344">
        <v>181</v>
      </c>
      <c r="D184" s="1089" t="s">
        <v>3675</v>
      </c>
      <c r="E184" s="761"/>
      <c r="F184" s="761"/>
      <c r="G184" s="761"/>
      <c r="H184" s="761"/>
      <c r="I184" s="761"/>
    </row>
    <row r="185" spans="1:10">
      <c r="B185" s="344">
        <v>182</v>
      </c>
      <c r="D185" s="1089" t="s">
        <v>3676</v>
      </c>
      <c r="E185" s="761"/>
      <c r="F185" s="761"/>
      <c r="G185" s="761"/>
      <c r="H185" s="761"/>
      <c r="I185" s="761"/>
    </row>
    <row r="186" spans="1:10">
      <c r="A186" s="811" t="str">
        <f>HYPERLINK("#C1","置顶")</f>
        <v>置顶</v>
      </c>
      <c r="B186" s="344">
        <v>183</v>
      </c>
      <c r="D186" s="1089" t="s">
        <v>3700</v>
      </c>
      <c r="E186" s="761"/>
      <c r="F186" s="761"/>
      <c r="G186" s="761"/>
      <c r="H186" s="761"/>
      <c r="I186" s="761"/>
    </row>
    <row r="187" spans="1:10">
      <c r="B187" s="344">
        <v>184</v>
      </c>
      <c r="D187" s="1089" t="s">
        <v>3677</v>
      </c>
      <c r="E187" s="761"/>
      <c r="F187" s="761"/>
      <c r="G187" s="761"/>
      <c r="H187" s="761"/>
      <c r="I187" s="761"/>
    </row>
    <row r="188" spans="1:10">
      <c r="B188" s="344">
        <v>185</v>
      </c>
      <c r="D188" s="1089" t="s">
        <v>3678</v>
      </c>
      <c r="E188" s="761"/>
      <c r="F188" s="761"/>
      <c r="G188" s="761"/>
      <c r="H188" s="761"/>
      <c r="I188" s="761"/>
    </row>
    <row r="189" spans="1:10">
      <c r="B189" s="344">
        <v>186</v>
      </c>
      <c r="D189" s="1089" t="s">
        <v>3679</v>
      </c>
      <c r="E189" s="761"/>
      <c r="F189" s="761"/>
      <c r="G189" s="761"/>
      <c r="H189" s="761"/>
      <c r="I189" s="761"/>
    </row>
    <row r="190" spans="1:10">
      <c r="B190" s="344">
        <v>187</v>
      </c>
      <c r="D190" s="1089" t="s">
        <v>3680</v>
      </c>
      <c r="E190" s="761"/>
      <c r="F190" s="761"/>
      <c r="G190" s="761"/>
      <c r="H190" s="761"/>
      <c r="I190" s="761"/>
    </row>
    <row r="191" spans="1:10">
      <c r="A191" s="1152" t="s">
        <v>2260</v>
      </c>
      <c r="B191" s="344">
        <v>188</v>
      </c>
      <c r="D191" s="1089" t="s">
        <v>3681</v>
      </c>
      <c r="E191" s="761"/>
      <c r="F191" s="761"/>
      <c r="G191" s="761"/>
      <c r="H191" s="761"/>
      <c r="I191" s="761"/>
    </row>
    <row r="192" spans="1:10">
      <c r="A192" s="1081"/>
      <c r="B192" s="344">
        <v>189</v>
      </c>
      <c r="D192" s="1089" t="s">
        <v>3682</v>
      </c>
      <c r="E192" s="761"/>
      <c r="F192" s="761"/>
      <c r="G192" s="761"/>
      <c r="H192" s="761"/>
      <c r="I192" s="761"/>
    </row>
    <row r="193" spans="1:9">
      <c r="B193" s="344">
        <v>190</v>
      </c>
      <c r="D193" s="1089" t="s">
        <v>3683</v>
      </c>
      <c r="E193" s="761"/>
      <c r="F193" s="761"/>
      <c r="G193" s="761"/>
      <c r="H193" s="761"/>
      <c r="I193" s="761"/>
    </row>
    <row r="194" spans="1:9">
      <c r="B194" s="344">
        <v>191</v>
      </c>
      <c r="D194" s="1089" t="s">
        <v>3684</v>
      </c>
      <c r="E194" s="761"/>
      <c r="F194" s="761"/>
      <c r="G194" s="761"/>
      <c r="H194" s="761"/>
      <c r="I194" s="761"/>
    </row>
    <row r="195" spans="1:9">
      <c r="B195" s="344">
        <v>192</v>
      </c>
      <c r="D195" s="1089" t="s">
        <v>3685</v>
      </c>
      <c r="E195" s="761"/>
      <c r="F195" s="761"/>
      <c r="G195" s="761"/>
      <c r="H195" s="761"/>
      <c r="I195" s="761"/>
    </row>
    <row r="196" spans="1:9">
      <c r="A196" s="811" t="str">
        <f>HYPERLINK("#C1","置顶")</f>
        <v>置顶</v>
      </c>
      <c r="B196" s="344">
        <v>193</v>
      </c>
      <c r="D196" s="1089" t="s">
        <v>3686</v>
      </c>
      <c r="E196" s="761"/>
      <c r="F196" s="761"/>
      <c r="G196" s="761"/>
      <c r="H196" s="761"/>
      <c r="I196" s="761"/>
    </row>
    <row r="197" spans="1:9">
      <c r="B197" s="344">
        <v>194</v>
      </c>
      <c r="D197" s="1089" t="s">
        <v>3687</v>
      </c>
      <c r="E197" s="761"/>
      <c r="F197" s="761"/>
      <c r="G197" s="761"/>
      <c r="H197" s="761"/>
      <c r="I197" s="761"/>
    </row>
    <row r="198" spans="1:9">
      <c r="B198" s="344">
        <v>195</v>
      </c>
      <c r="D198" s="1089" t="s">
        <v>3688</v>
      </c>
      <c r="E198" s="761"/>
      <c r="F198" s="761"/>
      <c r="G198" s="761"/>
      <c r="H198" s="761"/>
      <c r="I198" s="761"/>
    </row>
    <row r="199" spans="1:9">
      <c r="B199" s="344">
        <v>196</v>
      </c>
      <c r="D199" s="1089" t="s">
        <v>3689</v>
      </c>
      <c r="E199" s="761"/>
      <c r="F199" s="761"/>
      <c r="G199" s="761"/>
      <c r="H199" s="761"/>
      <c r="I199" s="761"/>
    </row>
    <row r="200" spans="1:9">
      <c r="B200" s="344">
        <v>197</v>
      </c>
      <c r="D200" s="1089" t="s">
        <v>3690</v>
      </c>
      <c r="E200" s="761"/>
      <c r="F200" s="761"/>
      <c r="G200" s="761"/>
      <c r="H200" s="761"/>
      <c r="I200" s="761"/>
    </row>
    <row r="201" spans="1:9">
      <c r="B201" s="344">
        <v>198</v>
      </c>
      <c r="D201" s="1089" t="s">
        <v>3691</v>
      </c>
      <c r="E201" s="761"/>
      <c r="F201" s="761"/>
      <c r="G201" s="761"/>
      <c r="H201" s="761"/>
      <c r="I201" s="761"/>
    </row>
    <row r="202" spans="1:9">
      <c r="B202" s="344">
        <v>199</v>
      </c>
      <c r="D202" s="1089" t="s">
        <v>3692</v>
      </c>
      <c r="E202" s="761"/>
      <c r="F202" s="761"/>
      <c r="G202" s="761"/>
      <c r="H202" s="761"/>
      <c r="I202" s="761"/>
    </row>
    <row r="203" spans="1:9">
      <c r="A203" s="811" t="str">
        <f>HYPERLINK("#C1","置顶")</f>
        <v>置顶</v>
      </c>
      <c r="B203" s="344">
        <v>200</v>
      </c>
      <c r="D203" s="1089" t="s">
        <v>3693</v>
      </c>
      <c r="E203" s="761"/>
      <c r="F203" s="761"/>
      <c r="G203" s="761"/>
      <c r="H203" s="761"/>
      <c r="I203" s="761"/>
    </row>
    <row r="204" spans="1:9">
      <c r="A204" s="1152" t="s">
        <v>2260</v>
      </c>
      <c r="B204" s="344">
        <v>201</v>
      </c>
      <c r="D204" s="1089" t="s">
        <v>3694</v>
      </c>
      <c r="E204" s="1089"/>
      <c r="F204" s="1089"/>
      <c r="G204" s="1089"/>
      <c r="H204" s="1089"/>
      <c r="I204" s="761"/>
    </row>
    <row r="205" spans="1:9">
      <c r="A205" s="1081"/>
      <c r="B205" s="344">
        <v>202</v>
      </c>
      <c r="D205" s="1091"/>
      <c r="I205" s="1089"/>
    </row>
    <row r="206" spans="1:9" ht="24.75">
      <c r="B206" s="344">
        <v>203</v>
      </c>
      <c r="D206" s="1014" t="s">
        <v>3695</v>
      </c>
      <c r="E206" s="344"/>
      <c r="F206" s="344"/>
      <c r="G206" s="344"/>
      <c r="H206" s="344"/>
    </row>
    <row r="207" spans="1:9">
      <c r="A207" s="1152" t="s">
        <v>2260</v>
      </c>
      <c r="B207" s="344">
        <v>204</v>
      </c>
      <c r="D207" s="1887" t="s">
        <v>890</v>
      </c>
      <c r="E207" s="1887" t="s">
        <v>3696</v>
      </c>
      <c r="F207" s="1887" t="s">
        <v>3697</v>
      </c>
      <c r="G207" s="1887" t="s">
        <v>3698</v>
      </c>
      <c r="H207" s="1887" t="s">
        <v>3699</v>
      </c>
    </row>
    <row r="208" spans="1:9">
      <c r="B208" s="344">
        <v>205</v>
      </c>
      <c r="D208" s="1888"/>
      <c r="E208" s="1888"/>
      <c r="F208" s="1888"/>
      <c r="G208" s="1888"/>
      <c r="H208" s="1888"/>
    </row>
    <row r="209" spans="1:8">
      <c r="B209" s="344">
        <v>206</v>
      </c>
      <c r="D209" s="1088" t="s">
        <v>1005</v>
      </c>
      <c r="E209" s="1089"/>
      <c r="F209" s="1089"/>
      <c r="G209" s="1089"/>
      <c r="H209" s="1089"/>
    </row>
    <row r="210" spans="1:8">
      <c r="B210" s="344">
        <v>207</v>
      </c>
      <c r="D210" s="1089" t="s">
        <v>3675</v>
      </c>
      <c r="E210" s="1089"/>
      <c r="F210" s="1089"/>
      <c r="G210" s="1089"/>
      <c r="H210" s="1089"/>
    </row>
    <row r="211" spans="1:8">
      <c r="B211" s="344">
        <v>208</v>
      </c>
      <c r="D211" s="1089" t="s">
        <v>3676</v>
      </c>
      <c r="E211" s="1089"/>
      <c r="F211" s="1089"/>
      <c r="G211" s="1089"/>
      <c r="H211" s="1089"/>
    </row>
    <row r="212" spans="1:8">
      <c r="B212" s="344">
        <v>209</v>
      </c>
      <c r="D212" s="1089" t="s">
        <v>3700</v>
      </c>
      <c r="E212" s="1089"/>
      <c r="F212" s="1089"/>
      <c r="G212" s="1089"/>
      <c r="H212" s="1089"/>
    </row>
    <row r="213" spans="1:8">
      <c r="B213" s="344">
        <v>210</v>
      </c>
      <c r="D213" s="1089" t="s">
        <v>3677</v>
      </c>
      <c r="E213" s="1089"/>
      <c r="F213" s="1089"/>
      <c r="G213" s="1089"/>
      <c r="H213" s="1089"/>
    </row>
    <row r="214" spans="1:8">
      <c r="A214" s="811" t="str">
        <f>HYPERLINK("#C1","置顶")</f>
        <v>置顶</v>
      </c>
      <c r="B214" s="344">
        <v>211</v>
      </c>
      <c r="D214" s="1089" t="s">
        <v>3678</v>
      </c>
      <c r="E214" s="1089"/>
      <c r="F214" s="1089"/>
      <c r="G214" s="1089"/>
      <c r="H214" s="1089"/>
    </row>
    <row r="215" spans="1:8">
      <c r="B215" s="344">
        <v>212</v>
      </c>
      <c r="D215" s="1089" t="s">
        <v>3679</v>
      </c>
      <c r="E215" s="1089"/>
      <c r="F215" s="1089"/>
      <c r="G215" s="1089"/>
      <c r="H215" s="1089"/>
    </row>
    <row r="216" spans="1:8">
      <c r="B216" s="344">
        <v>213</v>
      </c>
      <c r="D216" s="1089" t="s">
        <v>3680</v>
      </c>
      <c r="E216" s="1089"/>
      <c r="F216" s="1089"/>
      <c r="G216" s="1089"/>
      <c r="H216" s="1089"/>
    </row>
    <row r="217" spans="1:8">
      <c r="B217" s="344">
        <v>214</v>
      </c>
      <c r="D217" s="1089" t="s">
        <v>3681</v>
      </c>
      <c r="E217" s="1089"/>
      <c r="F217" s="1089"/>
      <c r="G217" s="1089"/>
      <c r="H217" s="1089"/>
    </row>
    <row r="218" spans="1:8">
      <c r="B218" s="344">
        <v>215</v>
      </c>
      <c r="D218" s="1089" t="s">
        <v>3682</v>
      </c>
      <c r="E218" s="1089"/>
      <c r="F218" s="1089"/>
      <c r="G218" s="1089"/>
      <c r="H218" s="1089"/>
    </row>
    <row r="219" spans="1:8">
      <c r="B219" s="344">
        <v>216</v>
      </c>
      <c r="D219" s="1089" t="s">
        <v>3683</v>
      </c>
      <c r="E219" s="1089"/>
      <c r="F219" s="1089"/>
      <c r="G219" s="1089"/>
      <c r="H219" s="1089"/>
    </row>
    <row r="220" spans="1:8">
      <c r="A220" s="811" t="str">
        <f>HYPERLINK("#C1","置顶")</f>
        <v>置顶</v>
      </c>
      <c r="B220" s="344">
        <v>217</v>
      </c>
      <c r="D220" s="1089" t="s">
        <v>3684</v>
      </c>
      <c r="E220" s="1089"/>
      <c r="F220" s="1089"/>
      <c r="G220" s="1089"/>
      <c r="H220" s="1089"/>
    </row>
    <row r="221" spans="1:8">
      <c r="A221" s="1152" t="s">
        <v>2260</v>
      </c>
      <c r="B221" s="344">
        <v>218</v>
      </c>
      <c r="D221" s="1089" t="s">
        <v>3685</v>
      </c>
      <c r="E221" s="1089"/>
      <c r="F221" s="1089"/>
      <c r="G221" s="1089"/>
      <c r="H221" s="1089"/>
    </row>
    <row r="222" spans="1:8">
      <c r="A222" s="1081"/>
      <c r="B222" s="344">
        <v>219</v>
      </c>
      <c r="D222" s="1089" t="s">
        <v>3686</v>
      </c>
      <c r="E222" s="1089"/>
      <c r="F222" s="1089"/>
      <c r="G222" s="1089"/>
      <c r="H222" s="1089"/>
    </row>
    <row r="223" spans="1:8">
      <c r="B223" s="344">
        <v>220</v>
      </c>
      <c r="D223" s="1089" t="s">
        <v>3687</v>
      </c>
      <c r="E223" s="1089"/>
      <c r="F223" s="1089"/>
      <c r="G223" s="1089"/>
      <c r="H223" s="1089"/>
    </row>
    <row r="224" spans="1:8">
      <c r="B224" s="344">
        <v>221</v>
      </c>
      <c r="D224" s="1089" t="s">
        <v>3688</v>
      </c>
      <c r="E224" s="1089"/>
      <c r="F224" s="1089"/>
      <c r="G224" s="1089"/>
      <c r="H224" s="1089"/>
    </row>
    <row r="225" spans="1:12">
      <c r="B225" s="344">
        <v>222</v>
      </c>
      <c r="D225" s="1089" t="s">
        <v>3689</v>
      </c>
      <c r="E225" s="1089"/>
      <c r="F225" s="1089"/>
      <c r="G225" s="1089"/>
      <c r="H225" s="1089"/>
    </row>
    <row r="226" spans="1:12">
      <c r="B226" s="344">
        <v>223</v>
      </c>
      <c r="D226" s="1089" t="s">
        <v>3690</v>
      </c>
      <c r="E226" s="1089"/>
      <c r="F226" s="1089"/>
      <c r="G226" s="1089"/>
      <c r="H226" s="1089"/>
    </row>
    <row r="227" spans="1:12">
      <c r="A227" s="811" t="str">
        <f>HYPERLINK("#C1","置顶")</f>
        <v>置顶</v>
      </c>
      <c r="B227" s="344">
        <v>224</v>
      </c>
      <c r="D227" s="1089" t="s">
        <v>3691</v>
      </c>
      <c r="E227" s="1089"/>
      <c r="F227" s="1089"/>
      <c r="G227" s="1089"/>
      <c r="H227" s="1089"/>
    </row>
    <row r="228" spans="1:12">
      <c r="B228" s="344">
        <v>225</v>
      </c>
      <c r="D228" s="1089" t="s">
        <v>3692</v>
      </c>
      <c r="E228" s="1089"/>
      <c r="F228" s="1089"/>
      <c r="G228" s="1089"/>
      <c r="H228" s="1089"/>
    </row>
    <row r="229" spans="1:12">
      <c r="B229" s="344">
        <v>226</v>
      </c>
      <c r="D229" s="1089" t="s">
        <v>3693</v>
      </c>
      <c r="E229" s="1089"/>
      <c r="F229" s="1089"/>
      <c r="G229" s="1089"/>
      <c r="H229" s="1089"/>
    </row>
    <row r="230" spans="1:12">
      <c r="B230" s="344">
        <v>227</v>
      </c>
      <c r="D230" s="1089" t="s">
        <v>3694</v>
      </c>
      <c r="E230" s="1089"/>
      <c r="F230" s="1089"/>
      <c r="G230" s="1089"/>
      <c r="H230" s="1089"/>
    </row>
    <row r="231" spans="1:12">
      <c r="B231" s="344">
        <v>228</v>
      </c>
      <c r="D231" s="1091"/>
    </row>
    <row r="232" spans="1:12" ht="24.75">
      <c r="B232" s="344">
        <v>229</v>
      </c>
      <c r="D232" s="1014" t="s">
        <v>3701</v>
      </c>
      <c r="E232" s="344"/>
      <c r="F232" s="344"/>
      <c r="G232" s="344"/>
      <c r="H232" s="344"/>
    </row>
    <row r="233" spans="1:12" ht="25.5">
      <c r="A233" s="1152" t="s">
        <v>2260</v>
      </c>
      <c r="B233" s="344">
        <v>230</v>
      </c>
      <c r="D233" s="1088" t="s">
        <v>890</v>
      </c>
      <c r="E233" s="1088" t="s">
        <v>3702</v>
      </c>
      <c r="F233" s="1088" t="s">
        <v>3703</v>
      </c>
      <c r="G233" s="1088" t="s">
        <v>3704</v>
      </c>
      <c r="H233" s="1088" t="s">
        <v>3705</v>
      </c>
      <c r="I233" s="344"/>
      <c r="J233" s="344"/>
      <c r="K233" s="344"/>
      <c r="L233" s="344"/>
    </row>
    <row r="234" spans="1:12">
      <c r="B234" s="344">
        <v>231</v>
      </c>
      <c r="D234" s="1088" t="s">
        <v>839</v>
      </c>
      <c r="E234" s="1089"/>
      <c r="F234" s="1089"/>
      <c r="G234" s="1089"/>
      <c r="H234" s="1089"/>
    </row>
    <row r="235" spans="1:12">
      <c r="B235" s="344">
        <v>232</v>
      </c>
      <c r="D235" s="1089" t="s">
        <v>3675</v>
      </c>
      <c r="E235" s="1089"/>
      <c r="F235" s="1089"/>
      <c r="G235" s="1089"/>
      <c r="H235" s="1089"/>
    </row>
    <row r="236" spans="1:12">
      <c r="B236" s="344">
        <v>233</v>
      </c>
      <c r="D236" s="1089" t="s">
        <v>3676</v>
      </c>
      <c r="E236" s="1089"/>
      <c r="F236" s="1089"/>
      <c r="G236" s="1089"/>
      <c r="H236" s="1089"/>
    </row>
    <row r="237" spans="1:12">
      <c r="B237" s="344">
        <v>234</v>
      </c>
      <c r="D237" s="1089" t="s">
        <v>3700</v>
      </c>
      <c r="E237" s="1089"/>
      <c r="F237" s="1089"/>
      <c r="G237" s="1089"/>
      <c r="H237" s="1089"/>
    </row>
    <row r="238" spans="1:12">
      <c r="A238" s="811" t="str">
        <f>HYPERLINK("#C1","置顶")</f>
        <v>置顶</v>
      </c>
      <c r="B238" s="344">
        <v>235</v>
      </c>
      <c r="D238" s="1089" t="s">
        <v>3677</v>
      </c>
      <c r="E238" s="1089"/>
      <c r="F238" s="1089"/>
      <c r="G238" s="1089"/>
      <c r="H238" s="1089"/>
    </row>
    <row r="239" spans="1:12">
      <c r="B239" s="344">
        <v>236</v>
      </c>
      <c r="D239" s="1089" t="s">
        <v>3678</v>
      </c>
      <c r="E239" s="1089"/>
      <c r="F239" s="1089"/>
      <c r="G239" s="1089"/>
      <c r="H239" s="1089"/>
    </row>
    <row r="240" spans="1:12">
      <c r="B240" s="344">
        <v>237</v>
      </c>
      <c r="D240" s="1089" t="s">
        <v>3679</v>
      </c>
      <c r="E240" s="1089"/>
      <c r="F240" s="1089"/>
      <c r="G240" s="1089"/>
      <c r="H240" s="1089"/>
    </row>
    <row r="241" spans="1:8">
      <c r="B241" s="344">
        <v>238</v>
      </c>
      <c r="D241" s="1089" t="s">
        <v>3680</v>
      </c>
      <c r="E241" s="1089"/>
      <c r="F241" s="1089"/>
      <c r="G241" s="1089"/>
      <c r="H241" s="1089"/>
    </row>
    <row r="242" spans="1:8">
      <c r="B242" s="344">
        <v>239</v>
      </c>
      <c r="D242" s="1089" t="s">
        <v>3681</v>
      </c>
      <c r="E242" s="1089"/>
      <c r="F242" s="1089"/>
      <c r="G242" s="1089"/>
      <c r="H242" s="1089"/>
    </row>
    <row r="243" spans="1:8">
      <c r="B243" s="344">
        <v>240</v>
      </c>
      <c r="D243" s="1089" t="s">
        <v>3682</v>
      </c>
      <c r="E243" s="1089"/>
      <c r="F243" s="1089"/>
      <c r="G243" s="1089"/>
      <c r="H243" s="1089"/>
    </row>
    <row r="244" spans="1:8">
      <c r="A244" s="1152" t="s">
        <v>2260</v>
      </c>
      <c r="B244" s="344">
        <v>241</v>
      </c>
      <c r="D244" s="1089" t="s">
        <v>3706</v>
      </c>
      <c r="E244" s="1089"/>
      <c r="F244" s="1089"/>
      <c r="G244" s="1089"/>
      <c r="H244" s="1089"/>
    </row>
    <row r="245" spans="1:8">
      <c r="B245" s="344">
        <v>242</v>
      </c>
      <c r="D245" s="1089" t="s">
        <v>3684</v>
      </c>
      <c r="E245" s="1089"/>
      <c r="F245" s="1089"/>
      <c r="G245" s="1089"/>
      <c r="H245" s="1089"/>
    </row>
    <row r="246" spans="1:8">
      <c r="B246" s="344">
        <v>243</v>
      </c>
      <c r="D246" s="1089" t="s">
        <v>3685</v>
      </c>
      <c r="E246" s="1089"/>
      <c r="F246" s="1089"/>
      <c r="G246" s="1089"/>
      <c r="H246" s="1089"/>
    </row>
    <row r="247" spans="1:8">
      <c r="A247" s="957"/>
      <c r="B247" s="344">
        <v>244</v>
      </c>
      <c r="D247" s="1089" t="s">
        <v>3686</v>
      </c>
      <c r="E247" s="1089"/>
      <c r="F247" s="1089"/>
      <c r="G247" s="1089"/>
      <c r="H247" s="1089"/>
    </row>
    <row r="248" spans="1:8">
      <c r="B248" s="344">
        <v>245</v>
      </c>
      <c r="D248" s="1089" t="s">
        <v>3687</v>
      </c>
      <c r="E248" s="1089"/>
      <c r="F248" s="1089"/>
      <c r="G248" s="1089"/>
      <c r="H248" s="1089"/>
    </row>
    <row r="249" spans="1:8">
      <c r="B249" s="344">
        <v>246</v>
      </c>
      <c r="D249" s="1089" t="s">
        <v>3688</v>
      </c>
      <c r="E249" s="1089"/>
      <c r="F249" s="1089"/>
      <c r="G249" s="1089"/>
      <c r="H249" s="1089"/>
    </row>
    <row r="250" spans="1:8">
      <c r="A250" s="811" t="str">
        <f>HYPERLINK("#C1","置顶")</f>
        <v>置顶</v>
      </c>
      <c r="B250" s="344">
        <v>247</v>
      </c>
      <c r="D250" s="1089" t="s">
        <v>3689</v>
      </c>
      <c r="E250" s="1089"/>
      <c r="F250" s="1089"/>
      <c r="G250" s="1089"/>
      <c r="H250" s="1089"/>
    </row>
    <row r="251" spans="1:8">
      <c r="B251" s="344">
        <v>248</v>
      </c>
      <c r="D251" s="1089" t="s">
        <v>3690</v>
      </c>
      <c r="E251" s="1089"/>
      <c r="F251" s="1089"/>
      <c r="G251" s="1089"/>
      <c r="H251" s="1089"/>
    </row>
    <row r="252" spans="1:8">
      <c r="B252" s="344">
        <v>249</v>
      </c>
      <c r="D252" s="1089" t="s">
        <v>3691</v>
      </c>
      <c r="E252" s="1089"/>
      <c r="F252" s="1089"/>
      <c r="G252" s="1089"/>
      <c r="H252" s="1089"/>
    </row>
    <row r="253" spans="1:8">
      <c r="B253" s="344">
        <v>250</v>
      </c>
      <c r="D253" s="1089" t="s">
        <v>3692</v>
      </c>
      <c r="E253" s="1089"/>
      <c r="F253" s="1089"/>
      <c r="G253" s="1089"/>
      <c r="H253" s="1089"/>
    </row>
    <row r="254" spans="1:8">
      <c r="A254" s="1152" t="s">
        <v>2260</v>
      </c>
      <c r="B254" s="344">
        <v>251</v>
      </c>
      <c r="D254" s="1089" t="s">
        <v>3693</v>
      </c>
      <c r="E254" s="1089"/>
      <c r="F254" s="1089"/>
      <c r="G254" s="1089"/>
      <c r="H254" s="1089"/>
    </row>
    <row r="255" spans="1:8">
      <c r="B255" s="344">
        <v>252</v>
      </c>
      <c r="D255" s="1089" t="s">
        <v>3694</v>
      </c>
      <c r="E255" s="1089"/>
      <c r="F255" s="1089"/>
      <c r="G255" s="1089"/>
      <c r="H255" s="1089"/>
    </row>
    <row r="256" spans="1:8">
      <c r="B256" s="344">
        <v>253</v>
      </c>
      <c r="D256" s="1091"/>
    </row>
    <row r="257" spans="1:8">
      <c r="B257" s="344">
        <v>254</v>
      </c>
      <c r="D257" s="1091"/>
    </row>
    <row r="258" spans="1:8">
      <c r="B258" s="344">
        <v>255</v>
      </c>
      <c r="D258" s="1092" t="s">
        <v>3707</v>
      </c>
    </row>
    <row r="259" spans="1:8">
      <c r="A259" s="1152" t="s">
        <v>2260</v>
      </c>
      <c r="B259" s="344">
        <v>256</v>
      </c>
      <c r="D259" s="1887" t="s">
        <v>2916</v>
      </c>
      <c r="E259" s="1889" t="s">
        <v>3766</v>
      </c>
      <c r="F259" s="1889"/>
      <c r="G259" s="1889"/>
      <c r="H259" s="1889" t="s">
        <v>3767</v>
      </c>
    </row>
    <row r="260" spans="1:8" ht="24">
      <c r="B260" s="344">
        <v>257</v>
      </c>
      <c r="D260" s="1888"/>
      <c r="E260" s="1088" t="s">
        <v>3768</v>
      </c>
      <c r="F260" s="1088" t="s">
        <v>3769</v>
      </c>
      <c r="G260" s="1088" t="s">
        <v>3671</v>
      </c>
      <c r="H260" s="1889"/>
    </row>
    <row r="261" spans="1:8">
      <c r="B261" s="344">
        <v>258</v>
      </c>
      <c r="D261" s="1088" t="s">
        <v>1005</v>
      </c>
      <c r="E261" s="961">
        <f>SUM(E263:E277)</f>
        <v>0</v>
      </c>
      <c r="F261" s="961">
        <f>SUM(F263:F277)</f>
        <v>0</v>
      </c>
      <c r="G261" s="961">
        <f>SUM(G263:G277)</f>
        <v>0</v>
      </c>
      <c r="H261" s="961">
        <f>SUM(H263:H277)</f>
        <v>0</v>
      </c>
    </row>
    <row r="262" spans="1:8">
      <c r="B262" s="344">
        <v>259</v>
      </c>
      <c r="D262" s="1089" t="s">
        <v>3675</v>
      </c>
      <c r="E262" s="961">
        <f>E263+E264</f>
        <v>0</v>
      </c>
      <c r="F262" s="961">
        <f>F263+F264</f>
        <v>0</v>
      </c>
      <c r="G262" s="961">
        <f>G263+G264</f>
        <v>0</v>
      </c>
      <c r="H262" s="961">
        <f>H263+H264</f>
        <v>0</v>
      </c>
    </row>
    <row r="263" spans="1:8">
      <c r="B263" s="344">
        <v>260</v>
      </c>
      <c r="D263" s="1089" t="s">
        <v>3676</v>
      </c>
      <c r="E263" s="761">
        <v>0</v>
      </c>
      <c r="F263" s="761">
        <v>0</v>
      </c>
      <c r="G263" s="761"/>
      <c r="H263" s="761"/>
    </row>
    <row r="264" spans="1:8">
      <c r="B264" s="344">
        <v>261</v>
      </c>
      <c r="D264" s="1089" t="s">
        <v>3708</v>
      </c>
      <c r="E264" s="761"/>
      <c r="F264" s="761"/>
      <c r="G264" s="761"/>
      <c r="H264" s="761"/>
    </row>
    <row r="265" spans="1:8">
      <c r="A265" s="811" t="str">
        <f>HYPERLINK("#C1","置顶")</f>
        <v>置顶</v>
      </c>
      <c r="B265" s="344">
        <v>262</v>
      </c>
      <c r="D265" s="1089" t="s">
        <v>3709</v>
      </c>
      <c r="E265" s="761"/>
      <c r="F265" s="761"/>
      <c r="G265" s="761"/>
      <c r="H265" s="761"/>
    </row>
    <row r="266" spans="1:8">
      <c r="B266" s="344">
        <v>263</v>
      </c>
      <c r="D266" s="1089" t="s">
        <v>3710</v>
      </c>
      <c r="E266" s="761"/>
      <c r="F266" s="761"/>
      <c r="G266" s="761"/>
      <c r="H266" s="761"/>
    </row>
    <row r="267" spans="1:8">
      <c r="B267" s="344">
        <v>264</v>
      </c>
      <c r="D267" s="1089" t="s">
        <v>3711</v>
      </c>
      <c r="E267" s="761"/>
      <c r="F267" s="761"/>
      <c r="G267" s="761"/>
      <c r="H267" s="761"/>
    </row>
    <row r="268" spans="1:8">
      <c r="B268" s="344">
        <v>265</v>
      </c>
      <c r="D268" s="1089" t="s">
        <v>3712</v>
      </c>
      <c r="E268" s="761"/>
      <c r="F268" s="761"/>
      <c r="G268" s="761"/>
      <c r="H268" s="761"/>
    </row>
    <row r="269" spans="1:8">
      <c r="B269" s="344">
        <v>266</v>
      </c>
      <c r="D269" s="1089" t="s">
        <v>3713</v>
      </c>
      <c r="E269" s="761"/>
      <c r="F269" s="761"/>
      <c r="G269" s="761"/>
      <c r="H269" s="761"/>
    </row>
    <row r="270" spans="1:8">
      <c r="B270" s="344">
        <v>267</v>
      </c>
      <c r="D270" s="1089" t="s">
        <v>3714</v>
      </c>
      <c r="E270" s="761"/>
      <c r="F270" s="761"/>
      <c r="G270" s="761"/>
      <c r="H270" s="761"/>
    </row>
    <row r="271" spans="1:8">
      <c r="A271" s="1152" t="s">
        <v>2260</v>
      </c>
      <c r="B271" s="344">
        <v>268</v>
      </c>
      <c r="D271" s="1089" t="s">
        <v>3715</v>
      </c>
      <c r="E271" s="761"/>
      <c r="F271" s="761"/>
      <c r="G271" s="761"/>
      <c r="H271" s="761"/>
    </row>
    <row r="272" spans="1:8">
      <c r="B272" s="344">
        <v>269</v>
      </c>
      <c r="D272" s="1089" t="s">
        <v>3716</v>
      </c>
      <c r="E272" s="761"/>
      <c r="F272" s="761"/>
      <c r="G272" s="761"/>
      <c r="H272" s="761"/>
    </row>
    <row r="273" spans="1:12">
      <c r="B273" s="344">
        <v>270</v>
      </c>
      <c r="D273" s="1089" t="s">
        <v>3717</v>
      </c>
      <c r="E273" s="761"/>
      <c r="F273" s="761"/>
      <c r="G273" s="761"/>
      <c r="H273" s="761"/>
    </row>
    <row r="274" spans="1:12">
      <c r="B274" s="344">
        <v>271</v>
      </c>
      <c r="D274" s="1089" t="s">
        <v>3718</v>
      </c>
      <c r="E274" s="761"/>
      <c r="F274" s="761"/>
      <c r="G274" s="761"/>
      <c r="H274" s="761"/>
    </row>
    <row r="275" spans="1:12">
      <c r="A275" s="811" t="str">
        <f>HYPERLINK("#C1","置顶")</f>
        <v>置顶</v>
      </c>
      <c r="B275" s="344">
        <v>272</v>
      </c>
      <c r="D275" s="1089" t="s">
        <v>3719</v>
      </c>
      <c r="E275" s="761"/>
      <c r="F275" s="761"/>
      <c r="G275" s="761"/>
      <c r="H275" s="761"/>
    </row>
    <row r="276" spans="1:12">
      <c r="B276" s="344">
        <v>273</v>
      </c>
      <c r="D276" s="1089" t="s">
        <v>3720</v>
      </c>
      <c r="E276" s="761"/>
      <c r="F276" s="761"/>
      <c r="G276" s="761"/>
      <c r="H276" s="761"/>
    </row>
    <row r="277" spans="1:12">
      <c r="B277" s="344">
        <v>274</v>
      </c>
      <c r="D277" s="1089" t="s">
        <v>3721</v>
      </c>
      <c r="E277" s="761"/>
      <c r="F277" s="761"/>
      <c r="G277" s="761"/>
      <c r="H277" s="761"/>
    </row>
    <row r="278" spans="1:12">
      <c r="B278" s="344">
        <v>275</v>
      </c>
      <c r="D278" s="1092"/>
    </row>
    <row r="279" spans="1:12">
      <c r="B279" s="344">
        <v>276</v>
      </c>
      <c r="D279" s="1092"/>
    </row>
    <row r="280" spans="1:12">
      <c r="B280" s="344">
        <v>277</v>
      </c>
      <c r="C280" s="1086"/>
      <c r="D280" s="1091" t="s">
        <v>3770</v>
      </c>
    </row>
    <row r="281" spans="1:12">
      <c r="A281" s="1152" t="s">
        <v>2260</v>
      </c>
      <c r="B281" s="344">
        <v>278</v>
      </c>
      <c r="C281" s="1086"/>
      <c r="D281" s="1887" t="s">
        <v>3722</v>
      </c>
      <c r="E281" s="1889" t="s">
        <v>3723</v>
      </c>
      <c r="F281" s="1887" t="s">
        <v>3724</v>
      </c>
      <c r="G281" s="1889" t="s">
        <v>3725</v>
      </c>
      <c r="H281" s="1889" t="s">
        <v>3726</v>
      </c>
      <c r="I281" s="1887" t="s">
        <v>2810</v>
      </c>
      <c r="J281" s="1889" t="s">
        <v>3727</v>
      </c>
      <c r="K281" s="1889" t="s">
        <v>3728</v>
      </c>
      <c r="L281" s="1889" t="s">
        <v>3729</v>
      </c>
    </row>
    <row r="282" spans="1:12">
      <c r="A282" s="1886"/>
      <c r="B282" s="344">
        <v>279</v>
      </c>
      <c r="C282" s="1889" t="s">
        <v>367</v>
      </c>
      <c r="D282" s="1888"/>
      <c r="E282" s="1889"/>
      <c r="F282" s="1888"/>
      <c r="G282" s="1889"/>
      <c r="H282" s="1889"/>
      <c r="I282" s="1888"/>
      <c r="J282" s="1889"/>
      <c r="K282" s="1889"/>
      <c r="L282" s="1889"/>
    </row>
    <row r="283" spans="1:12">
      <c r="A283" s="1886"/>
      <c r="B283" s="344">
        <v>280</v>
      </c>
      <c r="C283" s="1889"/>
      <c r="D283" s="1133" t="s">
        <v>1005</v>
      </c>
      <c r="E283" s="1133" t="s">
        <v>217</v>
      </c>
      <c r="F283" s="1133" t="s">
        <v>217</v>
      </c>
      <c r="G283" s="1133" t="s">
        <v>217</v>
      </c>
      <c r="H283" s="961">
        <f>SUM(H284:H298)</f>
        <v>0</v>
      </c>
      <c r="I283" s="961">
        <f>SUM(I284:I298)</f>
        <v>0</v>
      </c>
      <c r="J283" s="961">
        <f>SUM(J284:J298)</f>
        <v>0</v>
      </c>
      <c r="K283" s="961">
        <f>SUM(K284:K298)</f>
        <v>0</v>
      </c>
      <c r="L283" s="1133" t="s">
        <v>217</v>
      </c>
    </row>
    <row r="284" spans="1:12" s="1002" customFormat="1">
      <c r="A284" s="1134"/>
      <c r="B284" s="344">
        <v>281</v>
      </c>
      <c r="C284" s="1133"/>
      <c r="D284" s="1135"/>
      <c r="E284" s="1133"/>
      <c r="F284" s="984"/>
      <c r="G284" s="984"/>
      <c r="H284" s="761"/>
      <c r="I284" s="761"/>
      <c r="J284" s="761"/>
      <c r="K284" s="761"/>
      <c r="L284" s="1133"/>
    </row>
    <row r="285" spans="1:12" s="1002" customFormat="1">
      <c r="A285" s="1101">
        <v>1</v>
      </c>
      <c r="B285" s="344">
        <v>282</v>
      </c>
      <c r="C285" s="1136">
        <v>1</v>
      </c>
      <c r="D285" s="1135"/>
      <c r="E285" s="1133"/>
      <c r="F285" s="984"/>
      <c r="G285" s="984"/>
      <c r="H285" s="761"/>
      <c r="I285" s="761"/>
      <c r="J285" s="761"/>
      <c r="K285" s="761"/>
      <c r="L285" s="1133"/>
    </row>
    <row r="286" spans="1:12" s="1002" customFormat="1">
      <c r="A286" s="1101">
        <v>2</v>
      </c>
      <c r="B286" s="344">
        <v>283</v>
      </c>
      <c r="C286" s="1136">
        <v>2</v>
      </c>
      <c r="D286" s="1135"/>
      <c r="E286" s="1133"/>
      <c r="F286" s="984"/>
      <c r="G286" s="984"/>
      <c r="H286" s="761"/>
      <c r="I286" s="761"/>
      <c r="J286" s="761"/>
      <c r="K286" s="761"/>
      <c r="L286" s="1133"/>
    </row>
    <row r="287" spans="1:12" s="1002" customFormat="1">
      <c r="A287" s="1101">
        <v>3</v>
      </c>
      <c r="B287" s="344">
        <v>284</v>
      </c>
      <c r="C287" s="1136">
        <v>3</v>
      </c>
      <c r="D287" s="1135"/>
      <c r="E287" s="1133"/>
      <c r="F287" s="984"/>
      <c r="G287" s="984"/>
      <c r="H287" s="761"/>
      <c r="I287" s="761"/>
      <c r="J287" s="761"/>
      <c r="K287" s="761"/>
      <c r="L287" s="1133"/>
    </row>
    <row r="288" spans="1:12" s="1002" customFormat="1">
      <c r="A288" s="1101">
        <v>4</v>
      </c>
      <c r="B288" s="344">
        <v>285</v>
      </c>
      <c r="C288" s="1136">
        <v>4</v>
      </c>
      <c r="D288" s="1135"/>
      <c r="E288" s="1133"/>
      <c r="F288" s="984"/>
      <c r="G288" s="984"/>
      <c r="H288" s="761"/>
      <c r="I288" s="761"/>
      <c r="J288" s="761"/>
      <c r="K288" s="761"/>
      <c r="L288" s="1133"/>
    </row>
    <row r="289" spans="1:12" s="1002" customFormat="1">
      <c r="A289" s="1101">
        <v>5</v>
      </c>
      <c r="B289" s="344">
        <v>286</v>
      </c>
      <c r="C289" s="1136">
        <v>5</v>
      </c>
      <c r="D289" s="1135"/>
      <c r="E289" s="1133"/>
      <c r="F289" s="984"/>
      <c r="G289" s="984"/>
      <c r="H289" s="761"/>
      <c r="I289" s="761"/>
      <c r="J289" s="761"/>
      <c r="K289" s="761"/>
      <c r="L289" s="1133"/>
    </row>
    <row r="290" spans="1:12" s="1002" customFormat="1">
      <c r="A290" s="1101">
        <v>6</v>
      </c>
      <c r="B290" s="344">
        <v>287</v>
      </c>
      <c r="C290" s="1136">
        <v>6</v>
      </c>
      <c r="D290" s="1135"/>
      <c r="E290" s="1133"/>
      <c r="F290" s="984"/>
      <c r="G290" s="984"/>
      <c r="H290" s="761"/>
      <c r="I290" s="761"/>
      <c r="J290" s="761"/>
      <c r="K290" s="761"/>
      <c r="L290" s="1133"/>
    </row>
    <row r="291" spans="1:12" s="1002" customFormat="1">
      <c r="A291" s="1101">
        <v>7</v>
      </c>
      <c r="B291" s="344">
        <v>288</v>
      </c>
      <c r="C291" s="1136">
        <v>7</v>
      </c>
      <c r="D291" s="1135"/>
      <c r="E291" s="1133"/>
      <c r="F291" s="984"/>
      <c r="G291" s="984"/>
      <c r="H291" s="761"/>
      <c r="I291" s="761"/>
      <c r="J291" s="761"/>
      <c r="K291" s="761"/>
      <c r="L291" s="1133"/>
    </row>
    <row r="292" spans="1:12" s="1002" customFormat="1">
      <c r="A292" s="1101">
        <v>8</v>
      </c>
      <c r="B292" s="344">
        <v>289</v>
      </c>
      <c r="C292" s="1136">
        <v>8</v>
      </c>
      <c r="D292" s="1135"/>
      <c r="E292" s="1133"/>
      <c r="F292" s="984"/>
      <c r="G292" s="984"/>
      <c r="H292" s="761"/>
      <c r="I292" s="761"/>
      <c r="J292" s="761"/>
      <c r="K292" s="761"/>
      <c r="L292" s="1133"/>
    </row>
    <row r="293" spans="1:12" s="1002" customFormat="1">
      <c r="A293" s="1101">
        <v>9</v>
      </c>
      <c r="B293" s="344">
        <v>290</v>
      </c>
      <c r="C293" s="1136">
        <v>9</v>
      </c>
      <c r="D293" s="1135"/>
      <c r="E293" s="1133"/>
      <c r="F293" s="984"/>
      <c r="G293" s="984"/>
      <c r="H293" s="761"/>
      <c r="I293" s="761"/>
      <c r="J293" s="761"/>
      <c r="K293" s="761"/>
      <c r="L293" s="1133"/>
    </row>
    <row r="294" spans="1:12" s="1002" customFormat="1">
      <c r="A294" s="1101">
        <v>10</v>
      </c>
      <c r="B294" s="344">
        <v>291</v>
      </c>
      <c r="C294" s="1136">
        <v>10</v>
      </c>
      <c r="D294" s="1135"/>
      <c r="E294" s="1133"/>
      <c r="F294" s="984"/>
      <c r="G294" s="984"/>
      <c r="H294" s="761"/>
      <c r="I294" s="761"/>
      <c r="J294" s="761"/>
      <c r="K294" s="761"/>
      <c r="L294" s="1133"/>
    </row>
    <row r="295" spans="1:12" s="1002" customFormat="1">
      <c r="A295" s="1101">
        <v>11</v>
      </c>
      <c r="B295" s="344">
        <v>292</v>
      </c>
      <c r="C295" s="1136">
        <v>11</v>
      </c>
      <c r="D295" s="1135"/>
      <c r="E295" s="1133"/>
      <c r="F295" s="984"/>
      <c r="G295" s="984"/>
      <c r="H295" s="761"/>
      <c r="I295" s="761"/>
      <c r="J295" s="761"/>
      <c r="K295" s="761"/>
      <c r="L295" s="1133"/>
    </row>
    <row r="296" spans="1:12" s="1002" customFormat="1">
      <c r="A296" s="1101">
        <v>12</v>
      </c>
      <c r="B296" s="344">
        <v>293</v>
      </c>
      <c r="C296" s="1136">
        <v>12</v>
      </c>
      <c r="D296" s="1135"/>
      <c r="E296" s="1133"/>
      <c r="F296" s="984"/>
      <c r="G296" s="984"/>
      <c r="H296" s="761"/>
      <c r="I296" s="761"/>
      <c r="J296" s="761"/>
      <c r="K296" s="761"/>
      <c r="L296" s="1133"/>
    </row>
    <row r="297" spans="1:12" s="1002" customFormat="1">
      <c r="A297" s="1101">
        <v>13</v>
      </c>
      <c r="B297" s="344">
        <v>294</v>
      </c>
      <c r="C297" s="1136">
        <v>13</v>
      </c>
      <c r="D297" s="1135"/>
      <c r="E297" s="1133"/>
      <c r="F297" s="984"/>
      <c r="G297" s="984"/>
      <c r="H297" s="761"/>
      <c r="I297" s="761"/>
      <c r="J297" s="761"/>
      <c r="K297" s="761"/>
      <c r="L297" s="1133"/>
    </row>
    <row r="298" spans="1:12" s="1002" customFormat="1">
      <c r="A298" s="1101">
        <v>14</v>
      </c>
      <c r="B298" s="344">
        <v>295</v>
      </c>
      <c r="C298" s="1136">
        <v>14</v>
      </c>
      <c r="D298" s="1135"/>
      <c r="E298" s="1133"/>
      <c r="F298" s="984"/>
      <c r="G298" s="984"/>
      <c r="H298" s="761"/>
      <c r="I298" s="761"/>
      <c r="J298" s="761"/>
      <c r="K298" s="761"/>
      <c r="L298" s="1133"/>
    </row>
    <row r="299" spans="1:12" s="1002" customFormat="1">
      <c r="A299" s="1101">
        <v>15</v>
      </c>
      <c r="B299" s="344">
        <v>296</v>
      </c>
      <c r="C299" s="1136">
        <v>15</v>
      </c>
      <c r="D299" s="1092"/>
      <c r="E299" s="1086"/>
      <c r="F299" s="1086"/>
      <c r="G299" s="1086"/>
      <c r="H299" s="1086"/>
      <c r="I299" s="1086"/>
      <c r="J299" s="1086"/>
      <c r="K299" s="1086"/>
      <c r="L299" s="1086"/>
    </row>
    <row r="300" spans="1:12">
      <c r="A300" s="811" t="str">
        <f>HYPERLINK("#C1","置顶")</f>
        <v>置顶</v>
      </c>
      <c r="B300" s="344">
        <v>297</v>
      </c>
      <c r="C300" s="1086"/>
      <c r="D300" s="1092"/>
    </row>
    <row r="301" spans="1:12">
      <c r="B301" s="344">
        <v>298</v>
      </c>
      <c r="C301" s="1086"/>
      <c r="D301" s="1091" t="s">
        <v>3771</v>
      </c>
    </row>
    <row r="302" spans="1:12" ht="24">
      <c r="A302" s="1152" t="s">
        <v>2260</v>
      </c>
      <c r="B302" s="344">
        <v>299</v>
      </c>
      <c r="C302" s="1086"/>
      <c r="D302" s="1088" t="s">
        <v>3730</v>
      </c>
      <c r="E302" s="1088" t="s">
        <v>3731</v>
      </c>
      <c r="F302" s="1088" t="s">
        <v>3732</v>
      </c>
      <c r="G302" s="1093" t="s">
        <v>3733</v>
      </c>
      <c r="H302" s="1088" t="s">
        <v>3734</v>
      </c>
      <c r="I302" s="1093" t="s">
        <v>3733</v>
      </c>
      <c r="J302" s="1088" t="s">
        <v>3735</v>
      </c>
    </row>
    <row r="303" spans="1:12">
      <c r="B303" s="344">
        <v>300</v>
      </c>
      <c r="C303" s="1088" t="s">
        <v>367</v>
      </c>
      <c r="D303" s="1137" t="s">
        <v>1005</v>
      </c>
      <c r="E303" s="1137" t="s">
        <v>217</v>
      </c>
      <c r="F303" s="961">
        <f>SUM(F304:F313)</f>
        <v>0</v>
      </c>
      <c r="G303" s="961">
        <f>SUM(G304:G313)</f>
        <v>0</v>
      </c>
      <c r="H303" s="961">
        <f>SUM(H304:H313)</f>
        <v>0</v>
      </c>
      <c r="I303" s="961">
        <f>SUM(I304:I313)</f>
        <v>0</v>
      </c>
      <c r="J303" s="1137" t="s">
        <v>217</v>
      </c>
    </row>
    <row r="304" spans="1:12">
      <c r="A304" s="1138"/>
      <c r="B304" s="344">
        <v>301</v>
      </c>
      <c r="C304" s="1137"/>
      <c r="D304" s="1137"/>
      <c r="E304" s="1137"/>
      <c r="F304" s="761"/>
      <c r="G304" s="761"/>
      <c r="H304" s="761"/>
      <c r="I304" s="761"/>
      <c r="J304" s="1139"/>
    </row>
    <row r="305" spans="1:11">
      <c r="A305" s="1101">
        <v>1</v>
      </c>
      <c r="B305" s="344">
        <v>302</v>
      </c>
      <c r="C305" s="1136">
        <v>1</v>
      </c>
      <c r="D305" s="1137"/>
      <c r="E305" s="1137"/>
      <c r="F305" s="761"/>
      <c r="G305" s="761"/>
      <c r="H305" s="761"/>
      <c r="I305" s="761"/>
      <c r="J305" s="1139"/>
    </row>
    <row r="306" spans="1:11">
      <c r="A306" s="1101">
        <v>2</v>
      </c>
      <c r="B306" s="344">
        <v>303</v>
      </c>
      <c r="C306" s="1136">
        <v>2</v>
      </c>
      <c r="D306" s="1137"/>
      <c r="E306" s="1137"/>
      <c r="F306" s="761"/>
      <c r="G306" s="761"/>
      <c r="H306" s="761"/>
      <c r="I306" s="761"/>
      <c r="J306" s="1139"/>
    </row>
    <row r="307" spans="1:11">
      <c r="A307" s="1101">
        <v>3</v>
      </c>
      <c r="B307" s="344">
        <v>304</v>
      </c>
      <c r="C307" s="1136">
        <v>3</v>
      </c>
      <c r="D307" s="1137"/>
      <c r="E307" s="1137"/>
      <c r="F307" s="761"/>
      <c r="G307" s="761"/>
      <c r="H307" s="761"/>
      <c r="I307" s="761"/>
      <c r="J307" s="1139"/>
    </row>
    <row r="308" spans="1:11">
      <c r="A308" s="1101">
        <v>4</v>
      </c>
      <c r="B308" s="344">
        <v>305</v>
      </c>
      <c r="C308" s="1136">
        <v>4</v>
      </c>
      <c r="D308" s="1137"/>
      <c r="E308" s="1137"/>
      <c r="F308" s="761"/>
      <c r="G308" s="761"/>
      <c r="H308" s="761"/>
      <c r="I308" s="761"/>
      <c r="J308" s="1139"/>
    </row>
    <row r="309" spans="1:11">
      <c r="A309" s="1101">
        <v>5</v>
      </c>
      <c r="B309" s="344">
        <v>306</v>
      </c>
      <c r="C309" s="1136">
        <v>5</v>
      </c>
      <c r="D309" s="1137"/>
      <c r="E309" s="1137"/>
      <c r="F309" s="761"/>
      <c r="G309" s="761"/>
      <c r="H309" s="761"/>
      <c r="I309" s="761"/>
      <c r="J309" s="1139"/>
    </row>
    <row r="310" spans="1:11">
      <c r="A310" s="1101">
        <v>6</v>
      </c>
      <c r="B310" s="344">
        <v>307</v>
      </c>
      <c r="C310" s="1136">
        <v>6</v>
      </c>
      <c r="D310" s="1137"/>
      <c r="E310" s="1137"/>
      <c r="F310" s="761"/>
      <c r="G310" s="761"/>
      <c r="H310" s="761"/>
      <c r="I310" s="761"/>
      <c r="J310" s="1139"/>
    </row>
    <row r="311" spans="1:11">
      <c r="A311" s="1101">
        <v>7</v>
      </c>
      <c r="B311" s="344">
        <v>308</v>
      </c>
      <c r="C311" s="1136">
        <v>7</v>
      </c>
      <c r="D311" s="1137"/>
      <c r="E311" s="1137"/>
      <c r="F311" s="761"/>
      <c r="G311" s="761"/>
      <c r="H311" s="761"/>
      <c r="I311" s="761"/>
      <c r="J311" s="1139"/>
    </row>
    <row r="312" spans="1:11">
      <c r="A312" s="1101">
        <v>8</v>
      </c>
      <c r="B312" s="344">
        <v>309</v>
      </c>
      <c r="C312" s="1136">
        <v>8</v>
      </c>
      <c r="D312" s="1137"/>
      <c r="E312" s="1137"/>
      <c r="F312" s="761"/>
      <c r="G312" s="761"/>
      <c r="H312" s="761"/>
      <c r="I312" s="761"/>
      <c r="J312" s="1139"/>
    </row>
    <row r="313" spans="1:11">
      <c r="A313" s="1101">
        <v>9</v>
      </c>
      <c r="B313" s="344">
        <v>310</v>
      </c>
      <c r="C313" s="1136">
        <v>9</v>
      </c>
      <c r="D313" s="1137"/>
      <c r="E313" s="1137"/>
      <c r="F313" s="761"/>
      <c r="G313" s="761"/>
      <c r="H313" s="761"/>
      <c r="I313" s="761"/>
      <c r="J313" s="1139"/>
    </row>
    <row r="314" spans="1:11">
      <c r="A314" s="1101">
        <v>10</v>
      </c>
      <c r="B314" s="344">
        <v>311</v>
      </c>
      <c r="C314" s="1136">
        <v>10</v>
      </c>
      <c r="D314" s="1140"/>
      <c r="E314" s="1140"/>
      <c r="F314" s="1140"/>
      <c r="G314" s="1140"/>
      <c r="H314" s="1141"/>
      <c r="I314" s="1141"/>
      <c r="J314" s="1141"/>
      <c r="K314" s="1141"/>
    </row>
    <row r="315" spans="1:11">
      <c r="A315" s="811" t="str">
        <f>HYPERLINK("#C1","置顶")</f>
        <v>置顶</v>
      </c>
      <c r="B315" s="344">
        <v>312</v>
      </c>
      <c r="C315" s="1086"/>
      <c r="D315" s="1091" t="s">
        <v>3772</v>
      </c>
    </row>
    <row r="316" spans="1:11">
      <c r="B316" s="344">
        <v>313</v>
      </c>
      <c r="D316" s="1092" t="s">
        <v>3736</v>
      </c>
    </row>
    <row r="317" spans="1:11">
      <c r="B317" s="344">
        <v>314</v>
      </c>
      <c r="D317" s="1887" t="s">
        <v>3737</v>
      </c>
      <c r="E317" s="1088" t="s">
        <v>3738</v>
      </c>
      <c r="F317" s="1088" t="s">
        <v>3739</v>
      </c>
      <c r="G317" s="1088" t="s">
        <v>3740</v>
      </c>
      <c r="H317" s="1088" t="s">
        <v>3741</v>
      </c>
    </row>
    <row r="318" spans="1:11">
      <c r="B318" s="344">
        <v>315</v>
      </c>
      <c r="D318" s="1888"/>
      <c r="E318" s="1088" t="s">
        <v>1005</v>
      </c>
      <c r="F318" s="961">
        <f>SUM(F319:F333)</f>
        <v>0</v>
      </c>
      <c r="G318" s="961">
        <f>SUM(G319:G333)</f>
        <v>0</v>
      </c>
      <c r="H318" s="1089"/>
    </row>
    <row r="319" spans="1:11">
      <c r="A319" s="1152" t="s">
        <v>2260</v>
      </c>
      <c r="B319" s="344">
        <v>316</v>
      </c>
      <c r="D319" s="1088"/>
      <c r="E319" s="1088"/>
      <c r="F319" s="761"/>
      <c r="G319" s="761"/>
      <c r="H319" s="1089"/>
      <c r="I319" s="1087">
        <v>1</v>
      </c>
    </row>
    <row r="320" spans="1:11">
      <c r="A320" s="1083">
        <v>1</v>
      </c>
      <c r="B320" s="344">
        <v>317</v>
      </c>
      <c r="D320" s="1088"/>
      <c r="E320" s="1088"/>
      <c r="F320" s="761"/>
      <c r="G320" s="761"/>
      <c r="H320" s="1089"/>
      <c r="I320" s="1087">
        <v>2</v>
      </c>
    </row>
    <row r="321" spans="1:9">
      <c r="A321" s="1083">
        <v>2</v>
      </c>
      <c r="B321" s="344">
        <v>318</v>
      </c>
      <c r="D321" s="1088"/>
      <c r="E321" s="1088"/>
      <c r="F321" s="761"/>
      <c r="G321" s="761"/>
      <c r="H321" s="1089"/>
      <c r="I321" s="1087">
        <v>3</v>
      </c>
    </row>
    <row r="322" spans="1:9">
      <c r="A322" s="1083">
        <v>3</v>
      </c>
      <c r="B322" s="344">
        <v>319</v>
      </c>
      <c r="D322" s="1088"/>
      <c r="E322" s="1088"/>
      <c r="F322" s="761"/>
      <c r="G322" s="761"/>
      <c r="H322" s="1089"/>
      <c r="I322" s="1087">
        <v>4</v>
      </c>
    </row>
    <row r="323" spans="1:9">
      <c r="A323" s="1083">
        <v>4</v>
      </c>
      <c r="B323" s="344">
        <v>320</v>
      </c>
      <c r="D323" s="1088"/>
      <c r="E323" s="1088"/>
      <c r="F323" s="761"/>
      <c r="G323" s="761"/>
      <c r="H323" s="1089"/>
      <c r="I323" s="1087">
        <v>5</v>
      </c>
    </row>
    <row r="324" spans="1:9">
      <c r="A324" s="1083">
        <v>5</v>
      </c>
      <c r="B324" s="344">
        <v>321</v>
      </c>
      <c r="D324" s="1088"/>
      <c r="E324" s="1088"/>
      <c r="F324" s="761"/>
      <c r="G324" s="761"/>
      <c r="H324" s="1089"/>
      <c r="I324" s="1087">
        <v>6</v>
      </c>
    </row>
    <row r="325" spans="1:9">
      <c r="A325" s="1083">
        <v>6</v>
      </c>
      <c r="B325" s="344">
        <v>322</v>
      </c>
      <c r="D325" s="1088"/>
      <c r="E325" s="1088"/>
      <c r="F325" s="761"/>
      <c r="G325" s="761"/>
      <c r="H325" s="1089"/>
      <c r="I325" s="1087">
        <v>7</v>
      </c>
    </row>
    <row r="326" spans="1:9">
      <c r="A326" s="1083">
        <v>7</v>
      </c>
      <c r="B326" s="344">
        <v>323</v>
      </c>
      <c r="D326" s="1088"/>
      <c r="E326" s="1088"/>
      <c r="F326" s="761"/>
      <c r="G326" s="761"/>
      <c r="H326" s="1089"/>
      <c r="I326" s="1087">
        <v>8</v>
      </c>
    </row>
    <row r="327" spans="1:9">
      <c r="A327" s="1083">
        <v>8</v>
      </c>
      <c r="B327" s="344">
        <v>324</v>
      </c>
      <c r="D327" s="1088"/>
      <c r="E327" s="1088"/>
      <c r="F327" s="761"/>
      <c r="G327" s="761"/>
      <c r="H327" s="1089"/>
      <c r="I327" s="1087">
        <v>9</v>
      </c>
    </row>
    <row r="328" spans="1:9">
      <c r="A328" s="1083">
        <v>9</v>
      </c>
      <c r="B328" s="344">
        <v>325</v>
      </c>
      <c r="D328" s="1088"/>
      <c r="E328" s="1088"/>
      <c r="F328" s="761"/>
      <c r="G328" s="761"/>
      <c r="H328" s="1089"/>
      <c r="I328" s="1087">
        <v>10</v>
      </c>
    </row>
    <row r="329" spans="1:9">
      <c r="A329" s="1083">
        <v>10</v>
      </c>
      <c r="B329" s="344">
        <v>326</v>
      </c>
      <c r="D329" s="1088"/>
      <c r="E329" s="1088"/>
      <c r="F329" s="761"/>
      <c r="G329" s="761"/>
      <c r="H329" s="1089"/>
      <c r="I329" s="1087">
        <v>11</v>
      </c>
    </row>
    <row r="330" spans="1:9">
      <c r="A330" s="1083">
        <v>11</v>
      </c>
      <c r="B330" s="344">
        <v>327</v>
      </c>
      <c r="D330" s="1088"/>
      <c r="E330" s="1088"/>
      <c r="F330" s="761"/>
      <c r="G330" s="761"/>
      <c r="H330" s="1089"/>
      <c r="I330" s="1087">
        <v>12</v>
      </c>
    </row>
    <row r="331" spans="1:9">
      <c r="A331" s="1083">
        <v>12</v>
      </c>
      <c r="B331" s="344">
        <v>328</v>
      </c>
      <c r="D331" s="1088"/>
      <c r="E331" s="1088"/>
      <c r="F331" s="761"/>
      <c r="G331" s="761"/>
      <c r="H331" s="1088"/>
      <c r="I331" s="1087">
        <v>13</v>
      </c>
    </row>
    <row r="332" spans="1:9">
      <c r="A332" s="1083">
        <v>13</v>
      </c>
      <c r="B332" s="344">
        <v>329</v>
      </c>
      <c r="D332" s="1088"/>
      <c r="E332" s="1088"/>
      <c r="F332" s="761"/>
      <c r="G332" s="761"/>
      <c r="H332" s="1088"/>
      <c r="I332" s="1087">
        <v>14</v>
      </c>
    </row>
    <row r="333" spans="1:9">
      <c r="A333" s="1083">
        <v>14</v>
      </c>
      <c r="B333" s="344">
        <v>330</v>
      </c>
      <c r="D333" s="1088"/>
      <c r="E333" s="1088"/>
      <c r="F333" s="761"/>
      <c r="G333" s="761"/>
      <c r="H333" s="1088"/>
      <c r="I333" s="1087">
        <v>15</v>
      </c>
    </row>
    <row r="334" spans="1:9">
      <c r="A334" s="1083">
        <v>15</v>
      </c>
      <c r="B334" s="344">
        <v>331</v>
      </c>
      <c r="D334" s="1091"/>
    </row>
    <row r="335" spans="1:9">
      <c r="A335" s="811" t="str">
        <f>HYPERLINK("#C1","置顶")</f>
        <v>置顶</v>
      </c>
      <c r="B335" s="344">
        <v>332</v>
      </c>
      <c r="D335" s="1091"/>
    </row>
    <row r="336" spans="1:9">
      <c r="B336" s="344">
        <v>333</v>
      </c>
      <c r="D336" s="1092" t="s">
        <v>3742</v>
      </c>
    </row>
    <row r="337" spans="1:11">
      <c r="A337" s="1152" t="s">
        <v>2260</v>
      </c>
      <c r="B337" s="344">
        <v>334</v>
      </c>
      <c r="D337" s="1887" t="s">
        <v>367</v>
      </c>
      <c r="E337" s="1088" t="s">
        <v>3743</v>
      </c>
      <c r="F337" s="1088" t="s">
        <v>3744</v>
      </c>
      <c r="G337" s="1088" t="s">
        <v>3745</v>
      </c>
      <c r="H337" s="1088" t="s">
        <v>3746</v>
      </c>
      <c r="I337" s="1088" t="s">
        <v>3747</v>
      </c>
      <c r="J337" s="1088" t="s">
        <v>3740</v>
      </c>
    </row>
    <row r="338" spans="1:11">
      <c r="B338" s="344">
        <v>335</v>
      </c>
      <c r="D338" s="1888"/>
      <c r="E338" s="1088" t="s">
        <v>1005</v>
      </c>
      <c r="F338" s="1088" t="s">
        <v>217</v>
      </c>
      <c r="G338" s="1088" t="s">
        <v>217</v>
      </c>
      <c r="H338" s="1088" t="s">
        <v>217</v>
      </c>
      <c r="I338" s="1088" t="s">
        <v>217</v>
      </c>
      <c r="J338" s="961">
        <f>SUM(J339:J353)</f>
        <v>0</v>
      </c>
    </row>
    <row r="339" spans="1:11">
      <c r="B339" s="344">
        <v>336</v>
      </c>
      <c r="D339" s="1088"/>
      <c r="E339" s="1088"/>
      <c r="F339" s="1088"/>
      <c r="G339" s="1088"/>
      <c r="H339" s="1088"/>
      <c r="I339" s="1088"/>
      <c r="J339" s="761"/>
      <c r="K339" s="1087">
        <v>1</v>
      </c>
    </row>
    <row r="340" spans="1:11">
      <c r="A340" s="1083">
        <v>1</v>
      </c>
      <c r="B340" s="344">
        <v>337</v>
      </c>
      <c r="D340" s="1088"/>
      <c r="E340" s="1088"/>
      <c r="F340" s="1088"/>
      <c r="G340" s="1088"/>
      <c r="H340" s="1088"/>
      <c r="I340" s="1088"/>
      <c r="J340" s="761"/>
      <c r="K340" s="1087">
        <v>2</v>
      </c>
    </row>
    <row r="341" spans="1:11">
      <c r="A341" s="1083">
        <v>2</v>
      </c>
      <c r="B341" s="344">
        <v>338</v>
      </c>
      <c r="D341" s="1088"/>
      <c r="E341" s="1088"/>
      <c r="F341" s="1088"/>
      <c r="G341" s="1088"/>
      <c r="H341" s="1088"/>
      <c r="I341" s="1088"/>
      <c r="J341" s="761"/>
      <c r="K341" s="1087">
        <v>3</v>
      </c>
    </row>
    <row r="342" spans="1:11">
      <c r="A342" s="1083">
        <v>3</v>
      </c>
      <c r="B342" s="344">
        <v>339</v>
      </c>
      <c r="D342" s="1088"/>
      <c r="E342" s="1088"/>
      <c r="F342" s="1088"/>
      <c r="G342" s="1088"/>
      <c r="H342" s="1088"/>
      <c r="I342" s="1088"/>
      <c r="J342" s="761"/>
      <c r="K342" s="1087">
        <v>4</v>
      </c>
    </row>
    <row r="343" spans="1:11">
      <c r="A343" s="1083">
        <v>4</v>
      </c>
      <c r="B343" s="344">
        <v>340</v>
      </c>
      <c r="D343" s="1088"/>
      <c r="E343" s="1088"/>
      <c r="F343" s="1088"/>
      <c r="G343" s="1088"/>
      <c r="H343" s="1088"/>
      <c r="I343" s="1088"/>
      <c r="J343" s="761"/>
      <c r="K343" s="1087">
        <v>5</v>
      </c>
    </row>
    <row r="344" spans="1:11">
      <c r="A344" s="1083">
        <v>5</v>
      </c>
      <c r="B344" s="344">
        <v>341</v>
      </c>
      <c r="D344" s="1088"/>
      <c r="E344" s="1088"/>
      <c r="F344" s="1088"/>
      <c r="G344" s="1088"/>
      <c r="H344" s="1088"/>
      <c r="I344" s="1088"/>
      <c r="J344" s="761"/>
      <c r="K344" s="1087">
        <v>6</v>
      </c>
    </row>
    <row r="345" spans="1:11">
      <c r="A345" s="1083">
        <v>6</v>
      </c>
      <c r="B345" s="344">
        <v>342</v>
      </c>
      <c r="D345" s="1088"/>
      <c r="E345" s="1088"/>
      <c r="F345" s="1088"/>
      <c r="G345" s="1088"/>
      <c r="H345" s="1088"/>
      <c r="I345" s="1088"/>
      <c r="J345" s="761"/>
      <c r="K345" s="1087">
        <v>7</v>
      </c>
    </row>
    <row r="346" spans="1:11">
      <c r="A346" s="1083">
        <v>7</v>
      </c>
      <c r="B346" s="344">
        <v>343</v>
      </c>
      <c r="D346" s="1089"/>
      <c r="E346" s="1089"/>
      <c r="F346" s="1142"/>
      <c r="G346" s="1142"/>
      <c r="H346" s="1089"/>
      <c r="I346" s="1089"/>
      <c r="J346" s="761"/>
      <c r="K346" s="1087">
        <v>8</v>
      </c>
    </row>
    <row r="347" spans="1:11">
      <c r="A347" s="1083">
        <v>8</v>
      </c>
      <c r="B347" s="344">
        <v>344</v>
      </c>
      <c r="D347" s="1089"/>
      <c r="E347" s="1089"/>
      <c r="F347" s="1142"/>
      <c r="G347" s="1142"/>
      <c r="H347" s="1089"/>
      <c r="I347" s="1089"/>
      <c r="J347" s="761"/>
      <c r="K347" s="1087">
        <v>9</v>
      </c>
    </row>
    <row r="348" spans="1:11">
      <c r="A348" s="1083">
        <v>9</v>
      </c>
      <c r="B348" s="344">
        <v>345</v>
      </c>
      <c r="D348" s="1089"/>
      <c r="E348" s="1089"/>
      <c r="F348" s="1142"/>
      <c r="G348" s="1142"/>
      <c r="H348" s="1089"/>
      <c r="I348" s="1089"/>
      <c r="J348" s="761"/>
      <c r="K348" s="1087">
        <v>10</v>
      </c>
    </row>
    <row r="349" spans="1:11">
      <c r="A349" s="1083">
        <v>10</v>
      </c>
      <c r="B349" s="344">
        <v>346</v>
      </c>
      <c r="D349" s="1089"/>
      <c r="E349" s="1089"/>
      <c r="F349" s="1142"/>
      <c r="G349" s="1142"/>
      <c r="H349" s="1089"/>
      <c r="I349" s="1089"/>
      <c r="J349" s="761"/>
      <c r="K349" s="1087">
        <v>11</v>
      </c>
    </row>
    <row r="350" spans="1:11">
      <c r="A350" s="1083">
        <v>11</v>
      </c>
      <c r="B350" s="344">
        <v>347</v>
      </c>
      <c r="D350" s="1089"/>
      <c r="E350" s="1089"/>
      <c r="F350" s="1142"/>
      <c r="G350" s="1142"/>
      <c r="H350" s="1089"/>
      <c r="I350" s="1089"/>
      <c r="J350" s="761"/>
      <c r="K350" s="1087">
        <v>12</v>
      </c>
    </row>
    <row r="351" spans="1:11">
      <c r="A351" s="1083">
        <v>12</v>
      </c>
      <c r="B351" s="344">
        <v>348</v>
      </c>
      <c r="D351" s="1089"/>
      <c r="E351" s="1089"/>
      <c r="F351" s="1142"/>
      <c r="G351" s="1142"/>
      <c r="H351" s="1089"/>
      <c r="I351" s="1089"/>
      <c r="J351" s="761"/>
      <c r="K351" s="1087">
        <v>13</v>
      </c>
    </row>
    <row r="352" spans="1:11">
      <c r="A352" s="1083">
        <v>13</v>
      </c>
      <c r="B352" s="344">
        <v>349</v>
      </c>
      <c r="D352" s="1089"/>
      <c r="E352" s="1089"/>
      <c r="F352" s="1142"/>
      <c r="G352" s="1142"/>
      <c r="H352" s="1089"/>
      <c r="I352" s="1089"/>
      <c r="J352" s="761"/>
      <c r="K352" s="1087">
        <v>14</v>
      </c>
    </row>
    <row r="353" spans="1:11">
      <c r="A353" s="1083">
        <v>14</v>
      </c>
      <c r="B353" s="344">
        <v>350</v>
      </c>
      <c r="D353" s="1088" t="s">
        <v>223</v>
      </c>
      <c r="E353" s="1088" t="s">
        <v>223</v>
      </c>
      <c r="F353" s="1142"/>
      <c r="G353" s="1142"/>
      <c r="H353" s="1089"/>
      <c r="I353" s="1089"/>
      <c r="J353" s="761"/>
      <c r="K353" s="1087">
        <v>15</v>
      </c>
    </row>
    <row r="354" spans="1:11">
      <c r="A354" s="1083">
        <v>15</v>
      </c>
      <c r="B354" s="344">
        <v>351</v>
      </c>
      <c r="D354" s="1082"/>
      <c r="E354" s="1082"/>
      <c r="F354" s="1090"/>
      <c r="G354" s="1090"/>
      <c r="H354" s="1098"/>
      <c r="I354" s="1098"/>
      <c r="J354" s="1090"/>
    </row>
    <row r="355" spans="1:11">
      <c r="A355" s="811" t="str">
        <f>HYPERLINK("#C1","置顶")</f>
        <v>置顶</v>
      </c>
      <c r="B355" s="344">
        <v>352</v>
      </c>
      <c r="D355" s="1082"/>
      <c r="E355" s="1082"/>
      <c r="F355" s="1090"/>
      <c r="G355" s="1090"/>
      <c r="H355" s="1098"/>
      <c r="I355" s="1098"/>
      <c r="J355" s="1090"/>
    </row>
    <row r="356" spans="1:11">
      <c r="B356" s="344">
        <v>353</v>
      </c>
      <c r="D356" s="1092" t="s">
        <v>3748</v>
      </c>
    </row>
    <row r="357" spans="1:11">
      <c r="A357" s="1152" t="s">
        <v>2260</v>
      </c>
      <c r="B357" s="344">
        <v>354</v>
      </c>
      <c r="D357" s="1887" t="s">
        <v>367</v>
      </c>
      <c r="E357" s="1088" t="s">
        <v>3749</v>
      </c>
      <c r="F357" s="1088" t="s">
        <v>3744</v>
      </c>
      <c r="G357" s="1088" t="s">
        <v>3750</v>
      </c>
      <c r="H357" s="1088" t="s">
        <v>3746</v>
      </c>
      <c r="I357" s="1088" t="s">
        <v>3747</v>
      </c>
      <c r="J357" s="1088" t="s">
        <v>3740</v>
      </c>
    </row>
    <row r="358" spans="1:11">
      <c r="B358" s="344">
        <v>355</v>
      </c>
      <c r="D358" s="1888"/>
      <c r="E358" s="1088" t="s">
        <v>1005</v>
      </c>
      <c r="F358" s="1088" t="s">
        <v>177</v>
      </c>
      <c r="G358" s="1088" t="s">
        <v>177</v>
      </c>
      <c r="H358" s="1088" t="s">
        <v>177</v>
      </c>
      <c r="I358" s="1088" t="s">
        <v>177</v>
      </c>
      <c r="J358" s="961">
        <f>SUM(J359:J373)</f>
        <v>0</v>
      </c>
    </row>
    <row r="359" spans="1:11">
      <c r="B359" s="344">
        <v>356</v>
      </c>
      <c r="D359" s="1089"/>
      <c r="E359" s="1089"/>
      <c r="F359" s="1142"/>
      <c r="G359" s="1142"/>
      <c r="H359" s="1089"/>
      <c r="I359" s="1089"/>
      <c r="J359" s="761"/>
      <c r="K359" s="1087">
        <v>1</v>
      </c>
    </row>
    <row r="360" spans="1:11">
      <c r="A360" s="1083">
        <v>1</v>
      </c>
      <c r="B360" s="344">
        <v>357</v>
      </c>
      <c r="D360" s="1089"/>
      <c r="E360" s="1089"/>
      <c r="F360" s="1142"/>
      <c r="G360" s="1142"/>
      <c r="H360" s="1089"/>
      <c r="I360" s="1089"/>
      <c r="J360" s="761"/>
      <c r="K360" s="1087">
        <v>2</v>
      </c>
    </row>
    <row r="361" spans="1:11">
      <c r="A361" s="1083">
        <v>2</v>
      </c>
      <c r="B361" s="344">
        <v>358</v>
      </c>
      <c r="D361" s="1089"/>
      <c r="E361" s="1089"/>
      <c r="F361" s="1142"/>
      <c r="G361" s="1142"/>
      <c r="H361" s="1089"/>
      <c r="I361" s="1089"/>
      <c r="J361" s="761"/>
      <c r="K361" s="1087">
        <v>3</v>
      </c>
    </row>
    <row r="362" spans="1:11">
      <c r="A362" s="1083">
        <v>3</v>
      </c>
      <c r="B362" s="344">
        <v>359</v>
      </c>
      <c r="D362" s="1089"/>
      <c r="E362" s="1089"/>
      <c r="F362" s="1142"/>
      <c r="G362" s="1142"/>
      <c r="H362" s="1089"/>
      <c r="I362" s="1089"/>
      <c r="J362" s="761"/>
      <c r="K362" s="1087">
        <v>4</v>
      </c>
    </row>
    <row r="363" spans="1:11">
      <c r="A363" s="1083">
        <v>4</v>
      </c>
      <c r="B363" s="344">
        <v>360</v>
      </c>
      <c r="D363" s="1089"/>
      <c r="E363" s="1089"/>
      <c r="F363" s="1142"/>
      <c r="G363" s="1142"/>
      <c r="H363" s="1089"/>
      <c r="I363" s="1089"/>
      <c r="J363" s="761"/>
      <c r="K363" s="1087">
        <v>5</v>
      </c>
    </row>
    <row r="364" spans="1:11">
      <c r="A364" s="1083">
        <v>5</v>
      </c>
      <c r="B364" s="344">
        <v>361</v>
      </c>
      <c r="D364" s="1089"/>
      <c r="E364" s="1089"/>
      <c r="F364" s="1142"/>
      <c r="G364" s="1142"/>
      <c r="H364" s="1089"/>
      <c r="I364" s="1089"/>
      <c r="J364" s="761"/>
      <c r="K364" s="1087">
        <v>6</v>
      </c>
    </row>
    <row r="365" spans="1:11">
      <c r="A365" s="1083">
        <v>6</v>
      </c>
      <c r="B365" s="344">
        <v>362</v>
      </c>
      <c r="D365" s="1089"/>
      <c r="E365" s="1089"/>
      <c r="F365" s="1142"/>
      <c r="G365" s="1142"/>
      <c r="H365" s="1089"/>
      <c r="I365" s="1089"/>
      <c r="J365" s="761"/>
      <c r="K365" s="1087">
        <v>7</v>
      </c>
    </row>
    <row r="366" spans="1:11">
      <c r="A366" s="1083">
        <v>7</v>
      </c>
      <c r="B366" s="344">
        <v>363</v>
      </c>
      <c r="D366" s="1089"/>
      <c r="E366" s="1089"/>
      <c r="F366" s="1142"/>
      <c r="G366" s="1142"/>
      <c r="H366" s="1089"/>
      <c r="I366" s="1089"/>
      <c r="J366" s="761"/>
      <c r="K366" s="1087">
        <v>8</v>
      </c>
    </row>
    <row r="367" spans="1:11">
      <c r="A367" s="1083">
        <v>8</v>
      </c>
      <c r="B367" s="344">
        <v>364</v>
      </c>
      <c r="D367" s="1089"/>
      <c r="E367" s="1089"/>
      <c r="F367" s="1142"/>
      <c r="G367" s="1142"/>
      <c r="H367" s="1089"/>
      <c r="I367" s="1089"/>
      <c r="J367" s="761"/>
      <c r="K367" s="1087">
        <v>9</v>
      </c>
    </row>
    <row r="368" spans="1:11">
      <c r="A368" s="1083">
        <v>9</v>
      </c>
      <c r="B368" s="344">
        <v>365</v>
      </c>
      <c r="D368" s="1089"/>
      <c r="E368" s="1089"/>
      <c r="F368" s="1142"/>
      <c r="G368" s="1142"/>
      <c r="H368" s="1089"/>
      <c r="I368" s="1089"/>
      <c r="J368" s="761"/>
      <c r="K368" s="1087">
        <v>10</v>
      </c>
    </row>
    <row r="369" spans="1:11">
      <c r="A369" s="1083">
        <v>10</v>
      </c>
      <c r="B369" s="344">
        <v>366</v>
      </c>
      <c r="D369" s="1089"/>
      <c r="E369" s="1089"/>
      <c r="F369" s="1142"/>
      <c r="G369" s="1142"/>
      <c r="H369" s="1089"/>
      <c r="I369" s="1089"/>
      <c r="J369" s="761"/>
      <c r="K369" s="1087">
        <v>11</v>
      </c>
    </row>
    <row r="370" spans="1:11">
      <c r="A370" s="1083">
        <v>11</v>
      </c>
      <c r="B370" s="344">
        <v>367</v>
      </c>
      <c r="D370" s="1089"/>
      <c r="E370" s="1089"/>
      <c r="F370" s="1142"/>
      <c r="G370" s="1142"/>
      <c r="H370" s="1089"/>
      <c r="I370" s="1089"/>
      <c r="J370" s="761"/>
      <c r="K370" s="1087">
        <v>12</v>
      </c>
    </row>
    <row r="371" spans="1:11">
      <c r="A371" s="1083">
        <v>12</v>
      </c>
      <c r="B371" s="344">
        <v>368</v>
      </c>
      <c r="D371" s="1089"/>
      <c r="E371" s="1089"/>
      <c r="F371" s="1142"/>
      <c r="G371" s="1142"/>
      <c r="H371" s="1089"/>
      <c r="I371" s="1089"/>
      <c r="J371" s="761"/>
      <c r="K371" s="1087">
        <v>13</v>
      </c>
    </row>
    <row r="372" spans="1:11">
      <c r="A372" s="1083">
        <v>13</v>
      </c>
      <c r="B372" s="344">
        <v>369</v>
      </c>
      <c r="D372" s="1089"/>
      <c r="E372" s="1089"/>
      <c r="F372" s="1142"/>
      <c r="G372" s="1142"/>
      <c r="H372" s="1089"/>
      <c r="I372" s="1089"/>
      <c r="J372" s="761"/>
      <c r="K372" s="1087">
        <v>14</v>
      </c>
    </row>
    <row r="373" spans="1:11">
      <c r="A373" s="1083">
        <v>14</v>
      </c>
      <c r="B373" s="344">
        <v>370</v>
      </c>
      <c r="D373" s="1089"/>
      <c r="E373" s="1089"/>
      <c r="F373" s="1142"/>
      <c r="G373" s="1142"/>
      <c r="H373" s="1089"/>
      <c r="I373" s="1089"/>
      <c r="J373" s="761"/>
      <c r="K373" s="1087">
        <v>15</v>
      </c>
    </row>
    <row r="374" spans="1:11">
      <c r="A374" s="1083">
        <v>15</v>
      </c>
      <c r="B374" s="344">
        <v>371</v>
      </c>
      <c r="D374" s="1082"/>
      <c r="E374" s="1082"/>
      <c r="F374" s="1090"/>
      <c r="G374" s="1090"/>
      <c r="H374" s="1098"/>
      <c r="I374" s="1098"/>
      <c r="J374" s="1090"/>
    </row>
    <row r="375" spans="1:11">
      <c r="A375" s="811" t="str">
        <f>HYPERLINK("#C1","置顶")</f>
        <v>置顶</v>
      </c>
      <c r="B375" s="344">
        <v>372</v>
      </c>
      <c r="D375" s="1082"/>
      <c r="E375" s="1082"/>
      <c r="F375" s="1090"/>
      <c r="G375" s="1090"/>
      <c r="H375" s="1098"/>
      <c r="I375" s="1098"/>
      <c r="J375" s="1090"/>
    </row>
    <row r="376" spans="1:11">
      <c r="B376" s="344">
        <v>373</v>
      </c>
      <c r="D376" s="1092" t="s">
        <v>3751</v>
      </c>
    </row>
    <row r="377" spans="1:11">
      <c r="A377" s="1152" t="s">
        <v>2260</v>
      </c>
      <c r="B377" s="344">
        <v>374</v>
      </c>
      <c r="D377" s="1088" t="s">
        <v>367</v>
      </c>
      <c r="E377" s="1088" t="s">
        <v>3360</v>
      </c>
      <c r="F377" s="1088" t="s">
        <v>3752</v>
      </c>
      <c r="G377" s="1088" t="s">
        <v>3753</v>
      </c>
      <c r="H377" s="1088" t="s">
        <v>3747</v>
      </c>
      <c r="I377" s="1088" t="s">
        <v>3740</v>
      </c>
    </row>
    <row r="378" spans="1:11">
      <c r="B378" s="344">
        <v>375</v>
      </c>
      <c r="D378" s="1088"/>
      <c r="E378" s="1088" t="s">
        <v>1005</v>
      </c>
      <c r="F378" s="1088" t="s">
        <v>3754</v>
      </c>
      <c r="G378" s="961">
        <f>SUM(G379:G393)</f>
        <v>0</v>
      </c>
      <c r="H378" s="1088" t="s">
        <v>3754</v>
      </c>
      <c r="I378" s="961">
        <f>SUM(I379:I393)</f>
        <v>0</v>
      </c>
    </row>
    <row r="379" spans="1:11">
      <c r="B379" s="344">
        <v>376</v>
      </c>
      <c r="D379" s="1089"/>
      <c r="E379" s="1089"/>
      <c r="F379" s="1089"/>
      <c r="G379" s="761"/>
      <c r="H379" s="1089"/>
      <c r="I379" s="761"/>
      <c r="J379" s="1087">
        <v>1</v>
      </c>
    </row>
    <row r="380" spans="1:11">
      <c r="A380" s="1083">
        <v>1</v>
      </c>
      <c r="B380" s="344">
        <v>377</v>
      </c>
      <c r="D380" s="1089"/>
      <c r="E380" s="1089"/>
      <c r="F380" s="1089"/>
      <c r="G380" s="761"/>
      <c r="H380" s="1089"/>
      <c r="I380" s="761"/>
      <c r="J380" s="1087">
        <v>2</v>
      </c>
    </row>
    <row r="381" spans="1:11">
      <c r="A381" s="1083">
        <v>2</v>
      </c>
      <c r="B381" s="344">
        <v>378</v>
      </c>
      <c r="D381" s="1089"/>
      <c r="E381" s="1089"/>
      <c r="F381" s="1089"/>
      <c r="G381" s="761"/>
      <c r="H381" s="1089"/>
      <c r="I381" s="761"/>
      <c r="J381" s="1087">
        <v>3</v>
      </c>
    </row>
    <row r="382" spans="1:11">
      <c r="A382" s="1083">
        <v>3</v>
      </c>
      <c r="B382" s="344">
        <v>379</v>
      </c>
      <c r="D382" s="1089"/>
      <c r="E382" s="1089"/>
      <c r="F382" s="1089"/>
      <c r="G382" s="761"/>
      <c r="H382" s="1089"/>
      <c r="I382" s="761"/>
      <c r="J382" s="1087">
        <v>4</v>
      </c>
    </row>
    <row r="383" spans="1:11">
      <c r="A383" s="1083">
        <v>4</v>
      </c>
      <c r="B383" s="344">
        <v>380</v>
      </c>
      <c r="D383" s="1089"/>
      <c r="E383" s="1089"/>
      <c r="F383" s="1089"/>
      <c r="G383" s="761"/>
      <c r="H383" s="1089"/>
      <c r="I383" s="761"/>
      <c r="J383" s="1087">
        <v>5</v>
      </c>
    </row>
    <row r="384" spans="1:11">
      <c r="A384" s="1083">
        <v>5</v>
      </c>
      <c r="B384" s="344">
        <v>381</v>
      </c>
      <c r="D384" s="1089"/>
      <c r="E384" s="1089"/>
      <c r="F384" s="1089"/>
      <c r="G384" s="761"/>
      <c r="H384" s="1089"/>
      <c r="I384" s="761"/>
      <c r="J384" s="1087">
        <v>6</v>
      </c>
    </row>
    <row r="385" spans="1:10">
      <c r="A385" s="1083">
        <v>6</v>
      </c>
      <c r="B385" s="344">
        <v>382</v>
      </c>
      <c r="D385" s="1089"/>
      <c r="E385" s="1089"/>
      <c r="F385" s="1089"/>
      <c r="G385" s="761"/>
      <c r="H385" s="1089"/>
      <c r="I385" s="761"/>
      <c r="J385" s="1087">
        <v>7</v>
      </c>
    </row>
    <row r="386" spans="1:10">
      <c r="A386" s="1083">
        <v>7</v>
      </c>
      <c r="B386" s="344">
        <v>383</v>
      </c>
      <c r="D386" s="1089"/>
      <c r="E386" s="1089"/>
      <c r="F386" s="1089"/>
      <c r="G386" s="761"/>
      <c r="H386" s="1089"/>
      <c r="I386" s="761"/>
      <c r="J386" s="1087">
        <v>8</v>
      </c>
    </row>
    <row r="387" spans="1:10">
      <c r="A387" s="1083">
        <v>8</v>
      </c>
      <c r="B387" s="344">
        <v>384</v>
      </c>
      <c r="D387" s="1089"/>
      <c r="E387" s="1089"/>
      <c r="F387" s="1089"/>
      <c r="G387" s="761"/>
      <c r="H387" s="1089"/>
      <c r="I387" s="761"/>
      <c r="J387" s="1087">
        <v>9</v>
      </c>
    </row>
    <row r="388" spans="1:10">
      <c r="A388" s="1083">
        <v>9</v>
      </c>
      <c r="B388" s="344">
        <v>385</v>
      </c>
      <c r="D388" s="1089"/>
      <c r="E388" s="1089"/>
      <c r="F388" s="1089"/>
      <c r="G388" s="761"/>
      <c r="H388" s="1089"/>
      <c r="I388" s="761"/>
      <c r="J388" s="1087">
        <v>10</v>
      </c>
    </row>
    <row r="389" spans="1:10">
      <c r="A389" s="1083">
        <v>10</v>
      </c>
      <c r="B389" s="344">
        <v>386</v>
      </c>
      <c r="D389" s="1089"/>
      <c r="E389" s="1089"/>
      <c r="F389" s="1089"/>
      <c r="G389" s="761"/>
      <c r="H389" s="1089"/>
      <c r="I389" s="761"/>
      <c r="J389" s="1087">
        <v>11</v>
      </c>
    </row>
    <row r="390" spans="1:10">
      <c r="A390" s="1083">
        <v>11</v>
      </c>
      <c r="B390" s="344">
        <v>387</v>
      </c>
      <c r="D390" s="1089"/>
      <c r="E390" s="1089"/>
      <c r="F390" s="1089"/>
      <c r="G390" s="761"/>
      <c r="H390" s="1089"/>
      <c r="I390" s="761"/>
      <c r="J390" s="1087">
        <v>12</v>
      </c>
    </row>
    <row r="391" spans="1:10">
      <c r="A391" s="1083">
        <v>12</v>
      </c>
      <c r="B391" s="344">
        <v>388</v>
      </c>
      <c r="D391" s="1089"/>
      <c r="E391" s="1089"/>
      <c r="F391" s="1089"/>
      <c r="G391" s="761"/>
      <c r="H391" s="1089"/>
      <c r="I391" s="761"/>
      <c r="J391" s="1087">
        <v>13</v>
      </c>
    </row>
    <row r="392" spans="1:10">
      <c r="A392" s="1083">
        <v>13</v>
      </c>
      <c r="B392" s="344">
        <v>389</v>
      </c>
      <c r="D392" s="1089"/>
      <c r="E392" s="1089"/>
      <c r="F392" s="1089"/>
      <c r="G392" s="761"/>
      <c r="H392" s="1089"/>
      <c r="I392" s="761"/>
      <c r="J392" s="1087">
        <v>14</v>
      </c>
    </row>
    <row r="393" spans="1:10">
      <c r="A393" s="1083">
        <v>14</v>
      </c>
      <c r="B393" s="344">
        <v>390</v>
      </c>
      <c r="D393" s="1088" t="s">
        <v>223</v>
      </c>
      <c r="E393" s="1088" t="s">
        <v>223</v>
      </c>
      <c r="F393" s="1089"/>
      <c r="G393" s="761"/>
      <c r="H393" s="1089"/>
      <c r="I393" s="761"/>
      <c r="J393" s="1087">
        <v>15</v>
      </c>
    </row>
    <row r="394" spans="1:10">
      <c r="A394" s="1083">
        <v>15</v>
      </c>
      <c r="B394" s="344">
        <v>391</v>
      </c>
      <c r="D394" s="1092"/>
    </row>
    <row r="395" spans="1:10">
      <c r="B395" s="344">
        <v>392</v>
      </c>
    </row>
    <row r="396" spans="1:10">
      <c r="A396" s="811" t="str">
        <f>HYPERLINK("#C1","置顶")</f>
        <v>置顶</v>
      </c>
    </row>
    <row r="398" spans="1:10">
      <c r="A398" s="1143"/>
    </row>
    <row r="399" spans="1:10">
      <c r="A399" s="1152" t="s">
        <v>2260</v>
      </c>
    </row>
  </sheetData>
  <sheetProtection formatCells="0" formatColumns="0" formatRows="0" autoFilter="0"/>
  <mergeCells count="58">
    <mergeCell ref="F281:F282"/>
    <mergeCell ref="D181:D182"/>
    <mergeCell ref="E140:F140"/>
    <mergeCell ref="F181:F182"/>
    <mergeCell ref="D259:D260"/>
    <mergeCell ref="E259:G259"/>
    <mergeCell ref="D179:E179"/>
    <mergeCell ref="D207:D208"/>
    <mergeCell ref="E207:E208"/>
    <mergeCell ref="L281:L282"/>
    <mergeCell ref="I281:I282"/>
    <mergeCell ref="H281:H282"/>
    <mergeCell ref="J281:J282"/>
    <mergeCell ref="J91:J92"/>
    <mergeCell ref="K281:K282"/>
    <mergeCell ref="I182:I183"/>
    <mergeCell ref="H181:H182"/>
    <mergeCell ref="G140:H140"/>
    <mergeCell ref="H207:H208"/>
    <mergeCell ref="H259:H260"/>
    <mergeCell ref="G207:G208"/>
    <mergeCell ref="G281:G282"/>
    <mergeCell ref="G91:G92"/>
    <mergeCell ref="I91:I92"/>
    <mergeCell ref="H91:H92"/>
    <mergeCell ref="M43:M45"/>
    <mergeCell ref="H61:H62"/>
    <mergeCell ref="I61:I62"/>
    <mergeCell ref="J61:J62"/>
    <mergeCell ref="K43:K45"/>
    <mergeCell ref="L43:L45"/>
    <mergeCell ref="I44:I45"/>
    <mergeCell ref="J44:J45"/>
    <mergeCell ref="H44:H45"/>
    <mergeCell ref="G43:J43"/>
    <mergeCell ref="D317:D318"/>
    <mergeCell ref="D337:D338"/>
    <mergeCell ref="D357:D358"/>
    <mergeCell ref="D80:D81"/>
    <mergeCell ref="D61:D62"/>
    <mergeCell ref="D281:D282"/>
    <mergeCell ref="D91:D92"/>
    <mergeCell ref="A282:A283"/>
    <mergeCell ref="F207:F208"/>
    <mergeCell ref="D43:D45"/>
    <mergeCell ref="E80:E81"/>
    <mergeCell ref="F80:I80"/>
    <mergeCell ref="G44:G45"/>
    <mergeCell ref="G61:G62"/>
    <mergeCell ref="E43:E45"/>
    <mergeCell ref="E61:E62"/>
    <mergeCell ref="F43:F45"/>
    <mergeCell ref="F61:F62"/>
    <mergeCell ref="C282:C283"/>
    <mergeCell ref="E281:E282"/>
    <mergeCell ref="E91:E92"/>
    <mergeCell ref="F91:F92"/>
    <mergeCell ref="E181:E182"/>
  </mergeCells>
  <phoneticPr fontId="5" type="noConversion"/>
  <conditionalFormatting sqref="A22">
    <cfRule type="expression" dxfId="107" priority="73" stopIfTrue="1">
      <formula>0</formula>
    </cfRule>
    <cfRule type="cellIs" dxfId="106" priority="74" stopIfTrue="1" operator="equal">
      <formula>"报表数减附注数"</formula>
    </cfRule>
  </conditionalFormatting>
  <conditionalFormatting sqref="A37">
    <cfRule type="expression" dxfId="105" priority="71" stopIfTrue="1">
      <formula>0</formula>
    </cfRule>
    <cfRule type="cellIs" dxfId="104" priority="72" stopIfTrue="1" operator="equal">
      <formula>"报表数减附注数"</formula>
    </cfRule>
  </conditionalFormatting>
  <conditionalFormatting sqref="A58">
    <cfRule type="expression" dxfId="103" priority="69" stopIfTrue="1">
      <formula>0</formula>
    </cfRule>
    <cfRule type="cellIs" dxfId="102" priority="70" stopIfTrue="1" operator="equal">
      <formula>"报表数减附注数"</formula>
    </cfRule>
  </conditionalFormatting>
  <conditionalFormatting sqref="A77">
    <cfRule type="expression" dxfId="101" priority="67" stopIfTrue="1">
      <formula>0</formula>
    </cfRule>
    <cfRule type="cellIs" dxfId="100" priority="68" stopIfTrue="1" operator="equal">
      <formula>"报表数减附注数"</formula>
    </cfRule>
  </conditionalFormatting>
  <conditionalFormatting sqref="A90">
    <cfRule type="expression" dxfId="99" priority="65" stopIfTrue="1">
      <formula>0</formula>
    </cfRule>
    <cfRule type="cellIs" dxfId="98" priority="66" stopIfTrue="1" operator="equal">
      <formula>"报表数减附注数"</formula>
    </cfRule>
  </conditionalFormatting>
  <conditionalFormatting sqref="A114">
    <cfRule type="expression" dxfId="97" priority="63" stopIfTrue="1">
      <formula>0</formula>
    </cfRule>
    <cfRule type="cellIs" dxfId="96" priority="64" stopIfTrue="1" operator="equal">
      <formula>"报表数减附注数"</formula>
    </cfRule>
  </conditionalFormatting>
  <conditionalFormatting sqref="A129">
    <cfRule type="expression" dxfId="95" priority="61" stopIfTrue="1">
      <formula>0</formula>
    </cfRule>
    <cfRule type="cellIs" dxfId="94" priority="62" stopIfTrue="1" operator="equal">
      <formula>"报表数减附注数"</formula>
    </cfRule>
  </conditionalFormatting>
  <conditionalFormatting sqref="A107">
    <cfRule type="expression" dxfId="93" priority="59" stopIfTrue="1">
      <formula>0</formula>
    </cfRule>
    <cfRule type="cellIs" dxfId="92" priority="60" stopIfTrue="1" operator="equal">
      <formula>"报表数减附注数"</formula>
    </cfRule>
  </conditionalFormatting>
  <conditionalFormatting sqref="A124">
    <cfRule type="expression" dxfId="91" priority="57" stopIfTrue="1">
      <formula>0</formula>
    </cfRule>
    <cfRule type="cellIs" dxfId="90" priority="58" stopIfTrue="1" operator="equal">
      <formula>"报表数减附注数"</formula>
    </cfRule>
  </conditionalFormatting>
  <conditionalFormatting sqref="A120">
    <cfRule type="expression" dxfId="89" priority="55" stopIfTrue="1">
      <formula>0</formula>
    </cfRule>
    <cfRule type="cellIs" dxfId="88" priority="56" stopIfTrue="1" operator="equal">
      <formula>"报表数减附注数"</formula>
    </cfRule>
  </conditionalFormatting>
  <conditionalFormatting sqref="A147">
    <cfRule type="expression" dxfId="87" priority="53" stopIfTrue="1">
      <formula>0</formula>
    </cfRule>
    <cfRule type="cellIs" dxfId="86" priority="54" stopIfTrue="1" operator="equal">
      <formula>"报表数减附注数"</formula>
    </cfRule>
  </conditionalFormatting>
  <conditionalFormatting sqref="A158">
    <cfRule type="expression" dxfId="85" priority="51" stopIfTrue="1">
      <formula>0</formula>
    </cfRule>
    <cfRule type="cellIs" dxfId="84" priority="52" stopIfTrue="1" operator="equal">
      <formula>"报表数减附注数"</formula>
    </cfRule>
  </conditionalFormatting>
  <conditionalFormatting sqref="A169">
    <cfRule type="expression" dxfId="83" priority="49" stopIfTrue="1">
      <formula>0</formula>
    </cfRule>
    <cfRule type="cellIs" dxfId="82" priority="50" stopIfTrue="1" operator="equal">
      <formula>"报表数减附注数"</formula>
    </cfRule>
  </conditionalFormatting>
  <conditionalFormatting sqref="A186">
    <cfRule type="expression" dxfId="81" priority="47" stopIfTrue="1">
      <formula>0</formula>
    </cfRule>
    <cfRule type="cellIs" dxfId="80" priority="48" stopIfTrue="1" operator="equal">
      <formula>"报表数减附注数"</formula>
    </cfRule>
  </conditionalFormatting>
  <conditionalFormatting sqref="A196">
    <cfRule type="expression" dxfId="79" priority="45" stopIfTrue="1">
      <formula>0</formula>
    </cfRule>
    <cfRule type="cellIs" dxfId="78" priority="46" stopIfTrue="1" operator="equal">
      <formula>"报表数减附注数"</formula>
    </cfRule>
  </conditionalFormatting>
  <conditionalFormatting sqref="A203">
    <cfRule type="expression" dxfId="77" priority="43" stopIfTrue="1">
      <formula>0</formula>
    </cfRule>
    <cfRule type="cellIs" dxfId="76" priority="44" stopIfTrue="1" operator="equal">
      <formula>"报表数减附注数"</formula>
    </cfRule>
  </conditionalFormatting>
  <conditionalFormatting sqref="A220">
    <cfRule type="expression" dxfId="75" priority="41" stopIfTrue="1">
      <formula>0</formula>
    </cfRule>
    <cfRule type="cellIs" dxfId="74" priority="42" stopIfTrue="1" operator="equal">
      <formula>"报表数减附注数"</formula>
    </cfRule>
  </conditionalFormatting>
  <conditionalFormatting sqref="A227">
    <cfRule type="expression" dxfId="73" priority="39" stopIfTrue="1">
      <formula>0</formula>
    </cfRule>
    <cfRule type="cellIs" dxfId="72" priority="40" stopIfTrue="1" operator="equal">
      <formula>"报表数减附注数"</formula>
    </cfRule>
  </conditionalFormatting>
  <conditionalFormatting sqref="A238">
    <cfRule type="expression" dxfId="71" priority="37" stopIfTrue="1">
      <formula>0</formula>
    </cfRule>
    <cfRule type="cellIs" dxfId="70" priority="38" stopIfTrue="1" operator="equal">
      <formula>"报表数减附注数"</formula>
    </cfRule>
  </conditionalFormatting>
  <conditionalFormatting sqref="A247">
    <cfRule type="expression" dxfId="69" priority="35" stopIfTrue="1">
      <formula>0</formula>
    </cfRule>
    <cfRule type="cellIs" dxfId="68" priority="36" stopIfTrue="1" operator="equal">
      <formula>"报表数减附注数"</formula>
    </cfRule>
  </conditionalFormatting>
  <conditionalFormatting sqref="A265">
    <cfRule type="expression" dxfId="67" priority="31" stopIfTrue="1">
      <formula>0</formula>
    </cfRule>
    <cfRule type="cellIs" dxfId="66" priority="32" stopIfTrue="1" operator="equal">
      <formula>"报表数减附注数"</formula>
    </cfRule>
  </conditionalFormatting>
  <conditionalFormatting sqref="A300">
    <cfRule type="expression" dxfId="65" priority="27" stopIfTrue="1">
      <formula>0</formula>
    </cfRule>
    <cfRule type="cellIs" dxfId="64" priority="28" stopIfTrue="1" operator="equal">
      <formula>"报表数减附注数"</formula>
    </cfRule>
  </conditionalFormatting>
  <conditionalFormatting sqref="A315">
    <cfRule type="expression" dxfId="63" priority="25" stopIfTrue="1">
      <formula>0</formula>
    </cfRule>
    <cfRule type="cellIs" dxfId="62" priority="26" stopIfTrue="1" operator="equal">
      <formula>"报表数减附注数"</formula>
    </cfRule>
  </conditionalFormatting>
  <conditionalFormatting sqref="A335">
    <cfRule type="expression" dxfId="61" priority="23" stopIfTrue="1">
      <formula>0</formula>
    </cfRule>
    <cfRule type="cellIs" dxfId="60" priority="24" stopIfTrue="1" operator="equal">
      <formula>"报表数减附注数"</formula>
    </cfRule>
  </conditionalFormatting>
  <conditionalFormatting sqref="A355">
    <cfRule type="expression" dxfId="59" priority="21" stopIfTrue="1">
      <formula>0</formula>
    </cfRule>
    <cfRule type="cellIs" dxfId="58" priority="22" stopIfTrue="1" operator="equal">
      <formula>"报表数减附注数"</formula>
    </cfRule>
  </conditionalFormatting>
  <conditionalFormatting sqref="A375">
    <cfRule type="expression" dxfId="57" priority="19" stopIfTrue="1">
      <formula>0</formula>
    </cfRule>
    <cfRule type="cellIs" dxfId="56" priority="20" stopIfTrue="1" operator="equal">
      <formula>"报表数减附注数"</formula>
    </cfRule>
  </conditionalFormatting>
  <conditionalFormatting sqref="A396">
    <cfRule type="expression" dxfId="55" priority="17" stopIfTrue="1">
      <formula>0</formula>
    </cfRule>
    <cfRule type="cellIs" dxfId="54" priority="18" stopIfTrue="1" operator="equal">
      <formula>"报表数减附注数"</formula>
    </cfRule>
  </conditionalFormatting>
  <conditionalFormatting sqref="A134">
    <cfRule type="expression" dxfId="53" priority="15" stopIfTrue="1">
      <formula>0</formula>
    </cfRule>
    <cfRule type="cellIs" dxfId="52" priority="16" stopIfTrue="1" operator="equal">
      <formula>"报表数减附注数"</formula>
    </cfRule>
  </conditionalFormatting>
  <conditionalFormatting sqref="A175">
    <cfRule type="expression" dxfId="51" priority="13" stopIfTrue="1">
      <formula>0</formula>
    </cfRule>
    <cfRule type="cellIs" dxfId="50" priority="14" stopIfTrue="1" operator="equal">
      <formula>"报表数减附注数"</formula>
    </cfRule>
  </conditionalFormatting>
  <conditionalFormatting sqref="A161">
    <cfRule type="expression" dxfId="49" priority="11" stopIfTrue="1">
      <formula>0</formula>
    </cfRule>
    <cfRule type="cellIs" dxfId="48" priority="12" stopIfTrue="1" operator="equal">
      <formula>"报表数减附注数"</formula>
    </cfRule>
  </conditionalFormatting>
  <conditionalFormatting sqref="A214">
    <cfRule type="expression" dxfId="47" priority="9" stopIfTrue="1">
      <formula>0</formula>
    </cfRule>
    <cfRule type="cellIs" dxfId="46" priority="10" stopIfTrue="1" operator="equal">
      <formula>"报表数减附注数"</formula>
    </cfRule>
  </conditionalFormatting>
  <conditionalFormatting sqref="A250">
    <cfRule type="expression" dxfId="45" priority="7" stopIfTrue="1">
      <formula>0</formula>
    </cfRule>
    <cfRule type="cellIs" dxfId="44" priority="8" stopIfTrue="1" operator="equal">
      <formula>"报表数减附注数"</formula>
    </cfRule>
  </conditionalFormatting>
  <conditionalFormatting sqref="C1">
    <cfRule type="expression" dxfId="43" priority="5" stopIfTrue="1">
      <formula>0</formula>
    </cfRule>
    <cfRule type="cellIs" dxfId="42" priority="6" stopIfTrue="1" operator="equal">
      <formula>"报表数减附注数"</formula>
    </cfRule>
  </conditionalFormatting>
  <conditionalFormatting sqref="A275">
    <cfRule type="expression" dxfId="41" priority="1" stopIfTrue="1">
      <formula>0</formula>
    </cfRule>
    <cfRule type="cellIs" dxfId="40" priority="2" stopIfTrue="1" operator="equal">
      <formula>"报表数减附注数"</formula>
    </cfRule>
  </conditionalFormatting>
  <hyperlinks>
    <hyperlink ref="H18" location="营业外收入!A1" display="营业外收入" xr:uid="{00000000-0004-0000-6A00-000000000000}"/>
    <hyperlink ref="K18" location="营业外支出!A1" display="营业外支出" xr:uid="{00000000-0004-0000-6A00-000001000000}"/>
    <hyperlink ref="G18" location="营业外收入!A1" display="返回附注表格" xr:uid="{00000000-0004-0000-6A00-000002000000}"/>
    <hyperlink ref="J18" location="营业外支出!A1" display="返回附注表格" xr:uid="{00000000-0004-0000-6A00-000003000000}"/>
    <hyperlink ref="E1" location="财务专项说明!B9" display="一、年初重大调整事项说明" xr:uid="{00000000-0004-0000-6A00-000004000000}"/>
    <hyperlink ref="E2" location="财务专项说明!B26" display="二、非经常性损益的说明" xr:uid="{00000000-0004-0000-6A00-000005000000}"/>
    <hyperlink ref="E3" location="财务专项说明!B48" display="三、高风险业务的说明" xr:uid="{00000000-0004-0000-6A00-000006000000}"/>
    <hyperlink ref="F1" location="财务专项说明!B110" display="四、国有资本保值增值的情况" xr:uid="{00000000-0004-0000-6A00-000007000000}"/>
    <hyperlink ref="F2" location="财务专项说明!B150" display="五、人工成本及工资管理情况的说明" xr:uid="{00000000-0004-0000-6A00-000008000000}"/>
    <hyperlink ref="F3" location="财务专项说明!B188" display="七、资产损失管理情况的说明" xr:uid="{00000000-0004-0000-6A00-000009000000}"/>
    <hyperlink ref="H1" location="财务专项说明!B284" display="八、企业对外借款情况" xr:uid="{00000000-0004-0000-6A00-00000A000000}"/>
    <hyperlink ref="H2" location="财务专项说明!B305" display="九、非主业投资情况" xr:uid="{00000000-0004-0000-6A00-00000B000000}"/>
    <hyperlink ref="H3" location="财务专项说明!B320" display="十二、其他应披露的重大事项" xr:uid="{00000000-0004-0000-6A00-00000C000000}"/>
    <hyperlink ref="G2" location="财务专项说明!B265" display="2、资产减值准备财务核销工作情况" xr:uid="{00000000-0004-0000-6A00-00000D000000}"/>
    <hyperlink ref="G1" location="财务专项说明!B180" display="1、账销案存资产管理工作情况结果与相关审计情况" xr:uid="{00000000-0004-0000-6A00-00000E000000}"/>
    <hyperlink ref="A1" location="附注填写封面!B3" display="返回目录" xr:uid="{00000000-0004-0000-6A00-00000F000000}"/>
    <hyperlink ref="A11" location="附注填写封面!B3" display="返回目录" xr:uid="{00000000-0004-0000-6A00-000010000000}"/>
    <hyperlink ref="A32" location="附注填写封面!B3" display="返回目录" xr:uid="{00000000-0004-0000-6A00-000011000000}"/>
    <hyperlink ref="A44" location="附注填写封面!B3" display="返回目录" xr:uid="{00000000-0004-0000-6A00-000012000000}"/>
    <hyperlink ref="A61" location="附注填写封面!B3" display="返回目录" xr:uid="{00000000-0004-0000-6A00-000013000000}"/>
    <hyperlink ref="A79" location="附注填写封面!B3" display="返回目录" xr:uid="{00000000-0004-0000-6A00-000014000000}"/>
    <hyperlink ref="A101" location="附注填写封面!B3" display="返回目录" xr:uid="{00000000-0004-0000-6A00-000015000000}"/>
    <hyperlink ref="A128" location="附注填写封面!B3" display="返回目录" xr:uid="{00000000-0004-0000-6A00-000016000000}"/>
    <hyperlink ref="A139" location="附注填写封面!B3" display="返回目录" xr:uid="{00000000-0004-0000-6A00-000017000000}"/>
    <hyperlink ref="A179" location="附注填写封面!B3" display="返回目录" xr:uid="{00000000-0004-0000-6A00-000018000000}"/>
    <hyperlink ref="A207" location="附注填写封面!B3" display="返回目录" xr:uid="{00000000-0004-0000-6A00-000019000000}"/>
    <hyperlink ref="A233" location="附注填写封面!B3" display="返回目录" xr:uid="{00000000-0004-0000-6A00-00001A000000}"/>
    <hyperlink ref="A259" location="附注填写封面!B3" display="返回目录" xr:uid="{00000000-0004-0000-6A00-00001B000000}"/>
    <hyperlink ref="A281" location="附注填写封面!B3" display="返回目录" xr:uid="{00000000-0004-0000-6A00-00001C000000}"/>
    <hyperlink ref="A302" location="附注填写封面!B3" display="返回目录" xr:uid="{00000000-0004-0000-6A00-00001D000000}"/>
    <hyperlink ref="A319" location="附注填写封面!B3" display="返回目录" xr:uid="{00000000-0004-0000-6A00-00001E000000}"/>
    <hyperlink ref="A337" location="附注填写封面!B3" display="返回目录" xr:uid="{00000000-0004-0000-6A00-00001F000000}"/>
    <hyperlink ref="A357" location="附注填写封面!B3" display="返回目录" xr:uid="{00000000-0004-0000-6A00-000020000000}"/>
    <hyperlink ref="A377" location="附注填写封面!B3" display="返回目录" xr:uid="{00000000-0004-0000-6A00-000021000000}"/>
    <hyperlink ref="A399" location="附注填写封面!B3" display="返回目录" xr:uid="{00000000-0004-0000-6A00-000022000000}"/>
    <hyperlink ref="A5" location="附注填写封面!B3" display="返回目录" xr:uid="{00000000-0004-0000-6A00-000023000000}"/>
    <hyperlink ref="A17" location="附注填写封面!B3" display="返回目录" xr:uid="{00000000-0004-0000-6A00-000024000000}"/>
    <hyperlink ref="A27" location="附注填写封面!B3" display="返回目录" xr:uid="{00000000-0004-0000-6A00-000025000000}"/>
    <hyperlink ref="A112" location="附注填写封面!B3" display="返回目录" xr:uid="{00000000-0004-0000-6A00-000026000000}"/>
    <hyperlink ref="A155" location="附注填写封面!B3" display="返回目录" xr:uid="{00000000-0004-0000-6A00-000027000000}"/>
    <hyperlink ref="A167" location="附注填写封面!B3" display="返回目录" xr:uid="{00000000-0004-0000-6A00-000028000000}"/>
    <hyperlink ref="A191" location="附注填写封面!B3" display="返回目录" xr:uid="{00000000-0004-0000-6A00-000029000000}"/>
    <hyperlink ref="A204" location="附注填写封面!B3" display="返回目录" xr:uid="{00000000-0004-0000-6A00-00002A000000}"/>
    <hyperlink ref="A221" location="附注填写封面!B3" display="返回目录" xr:uid="{00000000-0004-0000-6A00-00002B000000}"/>
    <hyperlink ref="A244" location="附注填写封面!B3" display="返回目录" xr:uid="{00000000-0004-0000-6A00-00002C000000}"/>
    <hyperlink ref="A254" location="附注填写封面!B3" display="返回目录" xr:uid="{00000000-0004-0000-6A00-00002D000000}"/>
    <hyperlink ref="A271" location="附注填写封面!B3" display="返回目录" xr:uid="{00000000-0004-0000-6A00-00002E000000}"/>
  </hyperlinks>
  <printOptions horizontalCentered="1"/>
  <pageMargins left="0.74803149606299213" right="0.35433070866141736" top="0.98425196850393704" bottom="0.98425196850393704" header="0.39370078740157483" footer="0.51181102362204722"/>
  <pageSetup paperSize="9" scale="90" orientation="portrait" blackAndWhite="1" cellComments="atEnd" r:id="rId1"/>
  <headerFooter alignWithMargins="0">
    <oddHeader>&amp;L&amp;11&amp;A&amp;[披露表
被审计单位：
财务报表截止日期：2013年12月31日/2013年度&amp;C&amp;11索引号：
编制人：
复核人：&amp;R&amp;11页次：&amp;P/&amp;N
编制日期：2014-    -
  复核日期：2014-    -</oddHeader>
  </headerFooter>
  <legacyDrawing r:id="rId2"/>
  <extLst>
    <ext xmlns:mx="http://schemas.microsoft.com/office/mac/excel/2008/main" uri="{64002731-A6B0-56B0-2670-7721B7C09600}">
      <mx:PLV Mode="0" OnePage="0" WScale="0"/>
    </ext>
  </extLst>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88">
    <pageSetUpPr fitToPage="1"/>
  </sheetPr>
  <dimension ref="A1:K9"/>
  <sheetViews>
    <sheetView showGridLines="0" showZeros="0" workbookViewId="0">
      <pane xSplit="5" ySplit="5" topLeftCell="F6" activePane="bottomRight" state="frozen"/>
      <selection activeCell="C16" sqref="C16"/>
      <selection pane="topRight" activeCell="C16" sqref="C16"/>
      <selection pane="bottomLeft" activeCell="C16" sqref="C16"/>
      <selection pane="bottomRight" activeCell="D9" sqref="D9"/>
    </sheetView>
  </sheetViews>
  <sheetFormatPr defaultColWidth="9" defaultRowHeight="12.75"/>
  <cols>
    <col min="1" max="1" width="5" style="888" customWidth="1"/>
    <col min="2" max="2" width="12" style="888" customWidth="1"/>
    <col min="3" max="3" width="11.5" style="888" customWidth="1"/>
    <col min="4" max="4" width="15.625" style="888" customWidth="1"/>
    <col min="5" max="5" width="19.125" style="888" customWidth="1"/>
    <col min="6" max="6" width="15.875" style="400" customWidth="1"/>
    <col min="7" max="7" width="13.625" style="400" customWidth="1"/>
    <col min="8" max="8" width="13.375" style="400" customWidth="1"/>
    <col min="9" max="9" width="11.625" style="400" customWidth="1"/>
    <col min="10" max="11" width="13.125" style="344" bestFit="1" customWidth="1"/>
    <col min="12" max="16384" width="9" style="344"/>
  </cols>
  <sheetData>
    <row r="1" spans="1:11" s="1158" customFormat="1">
      <c r="A1" s="1892" t="s">
        <v>4092</v>
      </c>
      <c r="B1" s="1892"/>
      <c r="C1" s="1892"/>
      <c r="D1" s="1892"/>
      <c r="E1" s="1892"/>
      <c r="F1" s="1892"/>
      <c r="G1" s="1892"/>
      <c r="H1" s="1892"/>
      <c r="I1" s="1892"/>
      <c r="K1" s="1159" t="s">
        <v>3788</v>
      </c>
    </row>
    <row r="2" spans="1:11" s="1158" customFormat="1">
      <c r="A2" s="501"/>
      <c r="B2" s="501"/>
      <c r="C2" s="503"/>
      <c r="D2" s="503"/>
      <c r="E2" s="501"/>
      <c r="F2" s="505"/>
      <c r="G2" s="505"/>
      <c r="H2" s="505"/>
      <c r="I2" s="505" t="s">
        <v>3789</v>
      </c>
      <c r="J2" s="509" t="s">
        <v>4093</v>
      </c>
      <c r="K2" s="509" t="s">
        <v>4094</v>
      </c>
    </row>
    <row r="3" spans="1:11" s="503" customFormat="1">
      <c r="A3" s="502" t="str">
        <f>封面!$E$4</f>
        <v>被审计单位：华鼎资本（北京）有限公司</v>
      </c>
      <c r="F3" s="506" t="str">
        <f>"编制人："&amp;封面!C8</f>
        <v>编制人：王咲晨</v>
      </c>
      <c r="G3" s="455"/>
      <c r="H3" s="455" t="s">
        <v>4095</v>
      </c>
      <c r="I3" s="507">
        <f>封面!C10</f>
        <v>0</v>
      </c>
      <c r="J3" s="510">
        <f>SUM(F6:F999)</f>
        <v>0</v>
      </c>
      <c r="K3" s="510">
        <f>SUM(H6:H999)</f>
        <v>0</v>
      </c>
    </row>
    <row r="4" spans="1:11" s="503" customFormat="1">
      <c r="A4" s="502" t="str">
        <f>"所审期间："&amp;封面!C6</f>
        <v>所审期间：2019年1-5月</v>
      </c>
      <c r="F4" s="506" t="str">
        <f>"复核人："&amp;封面!C9</f>
        <v>复核人：逯敏</v>
      </c>
      <c r="G4" s="455"/>
      <c r="H4" s="455" t="s">
        <v>4096</v>
      </c>
      <c r="I4" s="507">
        <f>封面!C11</f>
        <v>0</v>
      </c>
      <c r="J4" s="510">
        <f>SUM(G6:G999)</f>
        <v>0</v>
      </c>
      <c r="K4" s="510">
        <f>SUM(I6:I999)</f>
        <v>0</v>
      </c>
    </row>
    <row r="5" spans="1:11" s="1160" customFormat="1">
      <c r="A5" s="504" t="s">
        <v>4097</v>
      </c>
      <c r="B5" s="504" t="s">
        <v>4098</v>
      </c>
      <c r="C5" s="504" t="s">
        <v>4099</v>
      </c>
      <c r="D5" s="504" t="s">
        <v>4100</v>
      </c>
      <c r="E5" s="504" t="s">
        <v>4101</v>
      </c>
      <c r="F5" s="504" t="s">
        <v>4102</v>
      </c>
      <c r="G5" s="504" t="s">
        <v>4103</v>
      </c>
      <c r="H5" s="504" t="s">
        <v>4104</v>
      </c>
      <c r="I5" s="504" t="s">
        <v>4105</v>
      </c>
      <c r="J5" s="511">
        <f>J3-J4</f>
        <v>0</v>
      </c>
      <c r="K5" s="511">
        <f>K3-K4</f>
        <v>0</v>
      </c>
    </row>
    <row r="6" spans="1:11">
      <c r="C6" s="888" t="s">
        <v>105</v>
      </c>
      <c r="F6" s="400">
        <v>0</v>
      </c>
      <c r="G6" s="400">
        <v>0</v>
      </c>
      <c r="I6" s="400">
        <v>0</v>
      </c>
    </row>
    <row r="7" spans="1:11">
      <c r="C7" s="888" t="s">
        <v>4106</v>
      </c>
      <c r="F7" s="400">
        <v>0</v>
      </c>
      <c r="G7" s="400">
        <v>0</v>
      </c>
      <c r="H7" s="400">
        <v>0</v>
      </c>
      <c r="I7" s="400">
        <v>0</v>
      </c>
    </row>
    <row r="8" spans="1:11">
      <c r="C8" s="888" t="s">
        <v>4107</v>
      </c>
      <c r="F8" s="400">
        <v>0</v>
      </c>
      <c r="G8" s="400">
        <v>0</v>
      </c>
    </row>
    <row r="9" spans="1:11">
      <c r="C9" s="888" t="s">
        <v>4590</v>
      </c>
      <c r="D9" s="888" t="s">
        <v>4835</v>
      </c>
      <c r="F9" s="400">
        <v>0</v>
      </c>
      <c r="G9" s="400">
        <v>0</v>
      </c>
      <c r="H9" s="508"/>
    </row>
  </sheetData>
  <sheetProtection formatCells="0" formatColumns="0" formatRows="0" autoFilter="0"/>
  <mergeCells count="1">
    <mergeCell ref="A1:I1"/>
  </mergeCells>
  <phoneticPr fontId="5" type="noConversion"/>
  <dataValidations count="2">
    <dataValidation type="list" allowBlank="1" showInputMessage="1" showErrorMessage="1" sqref="D6:D65535" xr:uid="{00000000-0002-0000-6B00-000000000000}">
      <formula1>INDIRECT(C6)</formula1>
    </dataValidation>
    <dataValidation type="list" allowBlank="1" showInputMessage="1" showErrorMessage="1" sqref="C6:C65535" xr:uid="{00000000-0002-0000-6B00-000001000000}">
      <formula1>"流动资产,非流动资产,流动负债,非流动负债,所有者权益,利润表项目"</formula1>
    </dataValidation>
  </dataValidations>
  <hyperlinks>
    <hyperlink ref="K1" location="附注填写封面!B3" display="返回目录" xr:uid="{00000000-0004-0000-6B00-000000000000}"/>
  </hyperlinks>
  <pageMargins left="0.75" right="0.75" top="1" bottom="1" header="0.5" footer="0.5"/>
  <pageSetup paperSize="9" scale="84" fitToHeight="100" orientation="landscape" blackAndWhite="1" r:id="rId1"/>
  <headerFooter alignWithMargins="0">
    <oddFooter>&amp;C&amp;P</oddFooter>
  </headerFooter>
  <extLst>
    <ext xmlns:mx="http://schemas.microsoft.com/office/mac/excel/2008/main" uri="{64002731-A6B0-56B0-2670-7721B7C09600}">
      <mx:PLV Mode="0" OnePage="0" WScale="0"/>
    </ext>
  </extLst>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93">
    <pageSetUpPr autoPageBreaks="0" fitToPage="1"/>
  </sheetPr>
  <dimension ref="A1:Q205"/>
  <sheetViews>
    <sheetView showGridLines="0" showZeros="0" zoomScale="80" zoomScaleNormal="80" zoomScaleSheetLayoutView="75" zoomScalePageLayoutView="80" workbookViewId="0">
      <pane xSplit="1" ySplit="5" topLeftCell="D150" activePane="bottomRight" state="frozen"/>
      <selection sqref="A1:XFD1048576"/>
      <selection pane="topRight" sqref="A1:XFD1048576"/>
      <selection pane="bottomLeft" sqref="A1:XFD1048576"/>
      <selection pane="bottomRight" activeCell="C189" sqref="C189"/>
    </sheetView>
  </sheetViews>
  <sheetFormatPr defaultColWidth="20.375" defaultRowHeight="17.25" customHeight="1"/>
  <cols>
    <col min="1" max="1" width="32.375" style="127" customWidth="1"/>
    <col min="2" max="2" width="25" style="127" customWidth="1"/>
    <col min="3" max="3" width="49.375" style="572" customWidth="1"/>
    <col min="4" max="4" width="10.125" style="573" customWidth="1"/>
    <col min="5" max="5" width="19.125" style="127" customWidth="1"/>
    <col min="6" max="6" width="14.5" style="127" bestFit="1" customWidth="1"/>
    <col min="7" max="7" width="17.125" style="127" bestFit="1" customWidth="1"/>
    <col min="8" max="8" width="15.5" style="127" bestFit="1" customWidth="1"/>
    <col min="9" max="9" width="21.875" style="127" bestFit="1" customWidth="1"/>
    <col min="10" max="10" width="21.875" style="127" hidden="1" customWidth="1"/>
    <col min="11" max="11" width="16.5" style="127" bestFit="1" customWidth="1"/>
    <col min="12" max="12" width="19.625" style="127" customWidth="1"/>
    <col min="13" max="13" width="14" style="127" bestFit="1" customWidth="1"/>
    <col min="14" max="14" width="16" style="127" bestFit="1" customWidth="1"/>
    <col min="15" max="15" width="20.375" style="127"/>
    <col min="16" max="17" width="9" style="127" customWidth="1"/>
    <col min="18" max="16384" width="20.375" style="127"/>
  </cols>
  <sheetData>
    <row r="1" spans="1:17" ht="26.45" customHeight="1">
      <c r="A1" s="518" t="s">
        <v>3787</v>
      </c>
      <c r="B1" s="518"/>
      <c r="C1" s="519"/>
      <c r="D1" s="519"/>
      <c r="E1" s="519"/>
      <c r="F1" s="519"/>
      <c r="G1" s="519"/>
      <c r="H1" s="519"/>
      <c r="I1" s="519"/>
      <c r="J1" s="519"/>
      <c r="K1" s="520"/>
      <c r="L1" s="520"/>
      <c r="M1" s="520"/>
      <c r="N1" s="520"/>
    </row>
    <row r="2" spans="1:17" ht="24" customHeight="1">
      <c r="A2" s="880"/>
      <c r="B2" s="880"/>
      <c r="C2" s="564"/>
      <c r="D2" s="522"/>
      <c r="E2" s="522"/>
      <c r="F2" s="522"/>
      <c r="G2" s="522"/>
      <c r="H2" s="522"/>
      <c r="I2" s="1153" t="s">
        <v>3788</v>
      </c>
      <c r="J2" s="522"/>
      <c r="N2" s="523" t="s">
        <v>3789</v>
      </c>
      <c r="O2" s="565"/>
      <c r="P2" s="1153" t="s">
        <v>3788</v>
      </c>
      <c r="Q2" s="565"/>
    </row>
    <row r="3" spans="1:17" s="516" customFormat="1" ht="24" customHeight="1">
      <c r="A3" s="1144" t="str">
        <f>封面!$E$4</f>
        <v>被审计单位：华鼎资本（北京）有限公司</v>
      </c>
      <c r="B3" s="556"/>
      <c r="C3" s="556"/>
      <c r="D3" s="513"/>
      <c r="E3" s="519"/>
      <c r="F3" s="513"/>
      <c r="G3" s="1144" t="str">
        <f>"编制人："&amp;封面!C8</f>
        <v>编制人：王咲晨</v>
      </c>
      <c r="H3" s="1144"/>
      <c r="I3" s="513"/>
      <c r="J3" s="513"/>
      <c r="K3" s="1145" t="str">
        <f>未调整不符事项之分录!H3</f>
        <v>编制时间：</v>
      </c>
      <c r="L3" s="1146">
        <f>封面!C10</f>
        <v>0</v>
      </c>
      <c r="M3" s="1146"/>
      <c r="N3" s="1147">
        <f>K103</f>
        <v>0</v>
      </c>
      <c r="O3" s="1153" t="s">
        <v>3788</v>
      </c>
      <c r="P3" s="565"/>
      <c r="Q3" s="565"/>
    </row>
    <row r="4" spans="1:17" s="516" customFormat="1" ht="24" customHeight="1">
      <c r="A4" s="1148" t="str">
        <f>"所审期间："&amp;封面!C6</f>
        <v>所审期间：2019年1-5月</v>
      </c>
      <c r="B4" s="880">
        <v>1</v>
      </c>
      <c r="C4" s="880">
        <v>2</v>
      </c>
      <c r="D4" s="880">
        <v>3</v>
      </c>
      <c r="E4" s="880">
        <v>4</v>
      </c>
      <c r="F4" s="880">
        <v>5</v>
      </c>
      <c r="G4" s="1149" t="str">
        <f>"编制人："&amp;封面!C9</f>
        <v>编制人：逯敏</v>
      </c>
      <c r="H4" s="1150">
        <v>7</v>
      </c>
      <c r="I4" s="880">
        <v>8</v>
      </c>
      <c r="J4" s="880">
        <v>9</v>
      </c>
      <c r="K4" s="1145" t="str">
        <f>未调整不符事项之分录!H4</f>
        <v>复核时间：</v>
      </c>
      <c r="L4" s="1146">
        <f>封面!C11</f>
        <v>0</v>
      </c>
      <c r="M4" s="1151">
        <v>12</v>
      </c>
      <c r="N4" s="563">
        <v>13</v>
      </c>
    </row>
    <row r="5" spans="1:17" s="565" customFormat="1" ht="38.25" customHeight="1">
      <c r="A5" s="524" t="s">
        <v>3790</v>
      </c>
      <c r="B5" s="526" t="s">
        <v>3791</v>
      </c>
      <c r="C5" s="526" t="s">
        <v>3792</v>
      </c>
      <c r="D5" s="526" t="s">
        <v>3793</v>
      </c>
      <c r="E5" s="1154" t="str">
        <f>"未审"&amp;未审资产负债表!C4</f>
        <v>未审期末金额</v>
      </c>
      <c r="F5" s="526" t="s">
        <v>3794</v>
      </c>
      <c r="G5" s="526" t="s">
        <v>3795</v>
      </c>
      <c r="H5" s="527" t="s">
        <v>3796</v>
      </c>
      <c r="I5" s="1154" t="s">
        <v>3797</v>
      </c>
      <c r="J5" s="1155" t="str">
        <f>"未审"&amp;未审资产负债表!D4</f>
        <v>未审年初金额</v>
      </c>
      <c r="K5" s="526" t="s">
        <v>3794</v>
      </c>
      <c r="L5" s="526" t="s">
        <v>3795</v>
      </c>
      <c r="M5" s="527" t="s">
        <v>3796</v>
      </c>
      <c r="N5" s="1154" t="s">
        <v>3798</v>
      </c>
    </row>
    <row r="6" spans="1:17" ht="24" customHeight="1">
      <c r="A6" s="529" t="s">
        <v>3799</v>
      </c>
      <c r="B6" s="529"/>
      <c r="C6" s="535"/>
      <c r="D6" s="429"/>
      <c r="E6" s="434"/>
      <c r="F6" s="434"/>
      <c r="G6" s="434"/>
      <c r="H6" s="403"/>
      <c r="I6" s="434"/>
      <c r="J6" s="434"/>
      <c r="K6" s="434"/>
      <c r="L6" s="434"/>
      <c r="M6" s="403"/>
      <c r="N6" s="434"/>
    </row>
    <row r="7" spans="1:17" ht="24" customHeight="1">
      <c r="A7" s="530" t="s">
        <v>3800</v>
      </c>
      <c r="B7" s="530" t="s">
        <v>1510</v>
      </c>
      <c r="C7" s="535" t="s">
        <v>1510</v>
      </c>
      <c r="D7" s="566" t="s">
        <v>3801</v>
      </c>
      <c r="E7" s="1156"/>
      <c r="F7" s="1156">
        <f>ROUND(SUMIF(未调整不符事项之分录!D:D,未调整不符事项之报表影响!C7,未调整不符事项之分录!H:H),2)</f>
        <v>0</v>
      </c>
      <c r="G7" s="1156">
        <f>ROUND(SUMIF(未调整不符事项之分录!D:D,未调整不符事项之报表影响!C7,未调整不符事项之分录!I:I),2)</f>
        <v>0</v>
      </c>
      <c r="H7" s="403">
        <f t="shared" ref="H7:H54" si="0">I7-E7</f>
        <v>0</v>
      </c>
      <c r="I7" s="1156">
        <f>IF(D7="借",E7+F7-G7,IF(D7="贷",E7+G7-F7,IF(D7="",0,0)))</f>
        <v>0</v>
      </c>
      <c r="J7" s="1156"/>
      <c r="K7" s="1156">
        <f>ROUND(SUMIF(未调整不符事项之分录!D:D,未调整不符事项之报表影响!C7,未调整不符事项之分录!F:F),2)</f>
        <v>0</v>
      </c>
      <c r="L7" s="1156">
        <f>ROUND(SUMIF(未调整不符事项之分录!D:D,未调整不符事项之报表影响!C7,未调整不符事项之分录!G:G),2)</f>
        <v>0</v>
      </c>
      <c r="M7" s="403">
        <f t="shared" ref="M7:M54" si="1">N7-J7</f>
        <v>0</v>
      </c>
      <c r="N7" s="1156">
        <f t="shared" ref="N7:N28" si="2">IF(D7="借",J7+K7-L7,IF(D7="贷",J7+L7-K7,IF(D7="",0,0)))</f>
        <v>0</v>
      </c>
    </row>
    <row r="8" spans="1:17" ht="24" customHeight="1">
      <c r="A8" s="530" t="s">
        <v>3802</v>
      </c>
      <c r="B8" s="530" t="s">
        <v>3803</v>
      </c>
      <c r="C8" s="535" t="s">
        <v>3803</v>
      </c>
      <c r="D8" s="566" t="s">
        <v>3801</v>
      </c>
      <c r="E8" s="1156"/>
      <c r="F8" s="1156">
        <f>ROUND(SUMIF(未调整不符事项之分录!D:D,未调整不符事项之报表影响!C8,未调整不符事项之分录!H:H),2)</f>
        <v>0</v>
      </c>
      <c r="G8" s="1156">
        <f>ROUND(SUMIF(未调整不符事项之分录!D:D,未调整不符事项之报表影响!C8,未调整不符事项之分录!I:I),2)</f>
        <v>0</v>
      </c>
      <c r="H8" s="403">
        <f t="shared" si="0"/>
        <v>0</v>
      </c>
      <c r="I8" s="1156">
        <f t="shared" ref="I8:I74" si="3">IF(D8="借",E8+F8-G8,IF(D8="贷",E8+G8-F8,IF(D8="",0,0)))</f>
        <v>0</v>
      </c>
      <c r="J8" s="1156"/>
      <c r="K8" s="1156">
        <f>ROUND(SUMIF(未调整不符事项之分录!D:D,未调整不符事项之报表影响!C8,未调整不符事项之分录!F:F),2)</f>
        <v>0</v>
      </c>
      <c r="L8" s="1156">
        <f>ROUND(SUMIF(未调整不符事项之分录!D:D,未调整不符事项之报表影响!C8,未调整不符事项之分录!G:G),2)</f>
        <v>0</v>
      </c>
      <c r="M8" s="403">
        <f t="shared" si="1"/>
        <v>0</v>
      </c>
      <c r="N8" s="1156">
        <f t="shared" si="2"/>
        <v>0</v>
      </c>
    </row>
    <row r="9" spans="1:17" ht="24" customHeight="1">
      <c r="A9" s="530" t="s">
        <v>3804</v>
      </c>
      <c r="B9" s="530" t="s">
        <v>3805</v>
      </c>
      <c r="C9" s="535" t="s">
        <v>3805</v>
      </c>
      <c r="D9" s="566" t="s">
        <v>3801</v>
      </c>
      <c r="E9" s="1156"/>
      <c r="F9" s="1156">
        <f>ROUND(SUMIF(未调整不符事项之分录!D:D,未调整不符事项之报表影响!C9,未调整不符事项之分录!H:H),2)</f>
        <v>0</v>
      </c>
      <c r="G9" s="1156">
        <f>ROUND(SUMIF(未调整不符事项之分录!D:D,未调整不符事项之报表影响!C9,未调整不符事项之分录!I:I),2)</f>
        <v>0</v>
      </c>
      <c r="H9" s="403">
        <f t="shared" si="0"/>
        <v>0</v>
      </c>
      <c r="I9" s="1156">
        <f t="shared" si="3"/>
        <v>0</v>
      </c>
      <c r="J9" s="1156"/>
      <c r="K9" s="1156">
        <f>ROUND(SUMIF(未调整不符事项之分录!D:D,未调整不符事项之报表影响!C9,未调整不符事项之分录!F:F),2)</f>
        <v>0</v>
      </c>
      <c r="L9" s="1156">
        <f>ROUND(SUMIF(未调整不符事项之分录!D:D,未调整不符事项之报表影响!C9,未调整不符事项之分录!G:G),2)</f>
        <v>0</v>
      </c>
      <c r="M9" s="403">
        <f t="shared" si="1"/>
        <v>0</v>
      </c>
      <c r="N9" s="1156">
        <f t="shared" si="2"/>
        <v>0</v>
      </c>
    </row>
    <row r="10" spans="1:17" ht="24" customHeight="1">
      <c r="A10" s="530" t="s">
        <v>3806</v>
      </c>
      <c r="B10" s="530" t="s">
        <v>2514</v>
      </c>
      <c r="C10" s="535" t="s">
        <v>2514</v>
      </c>
      <c r="D10" s="566" t="s">
        <v>3801</v>
      </c>
      <c r="E10" s="1156"/>
      <c r="F10" s="1156">
        <f>ROUND(SUMIF(未调整不符事项之分录!D:D,未调整不符事项之报表影响!C10,未调整不符事项之分录!H:H),2)</f>
        <v>0</v>
      </c>
      <c r="G10" s="1156">
        <f>ROUND(SUMIF(未调整不符事项之分录!D:D,未调整不符事项之报表影响!C10,未调整不符事项之分录!I:I),2)</f>
        <v>0</v>
      </c>
      <c r="H10" s="403">
        <f>I10-E10</f>
        <v>0</v>
      </c>
      <c r="I10" s="1156">
        <f>IF(D10="借",E10+F10-G10,IF(D10="贷",E10+G10-F10,IF(D10="",0,0)))</f>
        <v>0</v>
      </c>
      <c r="J10" s="1156"/>
      <c r="K10" s="1156">
        <f>ROUND(SUMIF(未调整不符事项之分录!D:D,未调整不符事项之报表影响!C10,未调整不符事项之分录!F:F),2)</f>
        <v>0</v>
      </c>
      <c r="L10" s="1156">
        <f>ROUND(SUMIF(未调整不符事项之分录!D:D,未调整不符事项之报表影响!C10,未调整不符事项之分录!G:G),2)</f>
        <v>0</v>
      </c>
      <c r="M10" s="403">
        <f>N10-J10</f>
        <v>0</v>
      </c>
      <c r="N10" s="1156">
        <f>IF(D10="借",J10+K10-L10,IF(D10="贷",J10+L10-K10,IF(D10="",0,0)))</f>
        <v>0</v>
      </c>
    </row>
    <row r="11" spans="1:17" ht="24" customHeight="1">
      <c r="A11" s="530" t="s">
        <v>3807</v>
      </c>
      <c r="B11" s="530" t="s">
        <v>815</v>
      </c>
      <c r="C11" s="535" t="s">
        <v>815</v>
      </c>
      <c r="D11" s="566" t="s">
        <v>3801</v>
      </c>
      <c r="E11" s="1156"/>
      <c r="F11" s="1156">
        <f>ROUND(SUMIF(未调整不符事项之分录!D:D,未调整不符事项之报表影响!C11,未调整不符事项之分录!H:H),2)</f>
        <v>0</v>
      </c>
      <c r="G11" s="1156">
        <f>ROUND(SUMIF(未调整不符事项之分录!D:D,未调整不符事项之报表影响!C11,未调整不符事项之分录!I:I),2)</f>
        <v>0</v>
      </c>
      <c r="H11" s="403">
        <f t="shared" si="0"/>
        <v>0</v>
      </c>
      <c r="I11" s="1156">
        <f t="shared" si="3"/>
        <v>0</v>
      </c>
      <c r="J11" s="1156"/>
      <c r="K11" s="1156">
        <f>ROUND(SUMIF(未调整不符事项之分录!D:D,未调整不符事项之报表影响!C11,未调整不符事项之分录!F:F),2)</f>
        <v>0</v>
      </c>
      <c r="L11" s="1156">
        <f>ROUND(SUMIF(未调整不符事项之分录!D:D,未调整不符事项之报表影响!C11,未调整不符事项之分录!G:G),2)</f>
        <v>0</v>
      </c>
      <c r="M11" s="403">
        <f t="shared" si="1"/>
        <v>0</v>
      </c>
      <c r="N11" s="1156">
        <f t="shared" si="2"/>
        <v>0</v>
      </c>
    </row>
    <row r="12" spans="1:17" ht="24" customHeight="1">
      <c r="A12" s="530" t="s">
        <v>1030</v>
      </c>
      <c r="B12" s="530" t="s">
        <v>1513</v>
      </c>
      <c r="C12" s="535" t="s">
        <v>1513</v>
      </c>
      <c r="D12" s="566" t="s">
        <v>3801</v>
      </c>
      <c r="E12" s="1156"/>
      <c r="F12" s="1156">
        <f>ROUND(SUMIF(未调整不符事项之分录!D:D,未调整不符事项之报表影响!C12,未调整不符事项之分录!H:H),2)</f>
        <v>0</v>
      </c>
      <c r="G12" s="1156">
        <f>ROUND(SUMIF(未调整不符事项之分录!D:D,未调整不符事项之报表影响!C12,未调整不符事项之分录!I:I),2)</f>
        <v>0</v>
      </c>
      <c r="H12" s="403">
        <f t="shared" si="0"/>
        <v>0</v>
      </c>
      <c r="I12" s="1156">
        <f t="shared" si="3"/>
        <v>0</v>
      </c>
      <c r="J12" s="1156"/>
      <c r="K12" s="1156">
        <f>ROUND(SUMIF(未调整不符事项之分录!D:D,未调整不符事项之报表影响!C12,未调整不符事项之分录!F:F),2)</f>
        <v>0</v>
      </c>
      <c r="L12" s="1156">
        <f>ROUND(SUMIF(未调整不符事项之分录!D:D,未调整不符事项之报表影响!C12,未调整不符事项之分录!G:G),2)</f>
        <v>0</v>
      </c>
      <c r="M12" s="403">
        <f t="shared" si="1"/>
        <v>0</v>
      </c>
      <c r="N12" s="1156">
        <f t="shared" si="2"/>
        <v>0</v>
      </c>
    </row>
    <row r="13" spans="1:17" ht="24" customHeight="1">
      <c r="A13" s="530" t="s">
        <v>1031</v>
      </c>
      <c r="B13" s="530" t="s">
        <v>353</v>
      </c>
      <c r="C13" s="535" t="s">
        <v>353</v>
      </c>
      <c r="D13" s="566" t="s">
        <v>3801</v>
      </c>
      <c r="E13" s="1156"/>
      <c r="F13" s="1156">
        <f>ROUND(SUMIF(未调整不符事项之分录!D:D,未调整不符事项之报表影响!C13,未调整不符事项之分录!H:H),2)</f>
        <v>0</v>
      </c>
      <c r="G13" s="1156">
        <f>ROUND(SUMIF(未调整不符事项之分录!D:D,未调整不符事项之报表影响!C13,未调整不符事项之分录!I:I),2)</f>
        <v>0</v>
      </c>
      <c r="H13" s="403">
        <f t="shared" si="0"/>
        <v>0</v>
      </c>
      <c r="I13" s="1156">
        <f t="shared" si="3"/>
        <v>0</v>
      </c>
      <c r="J13" s="1156"/>
      <c r="K13" s="1156">
        <f>ROUND(SUMIF(未调整不符事项之分录!D:D,未调整不符事项之报表影响!C13,未调整不符事项之分录!F:F),2)</f>
        <v>0</v>
      </c>
      <c r="L13" s="1156">
        <f>ROUND(SUMIF(未调整不符事项之分录!D:D,未调整不符事项之报表影响!C13,未调整不符事项之分录!G:G),2)</f>
        <v>0</v>
      </c>
      <c r="M13" s="403">
        <f t="shared" si="1"/>
        <v>0</v>
      </c>
      <c r="N13" s="1156">
        <f t="shared" si="2"/>
        <v>0</v>
      </c>
    </row>
    <row r="14" spans="1:17" ht="24" customHeight="1">
      <c r="A14" s="530" t="s">
        <v>3808</v>
      </c>
      <c r="B14" s="530" t="s">
        <v>3809</v>
      </c>
      <c r="C14" s="535" t="s">
        <v>3809</v>
      </c>
      <c r="D14" s="566" t="s">
        <v>3801</v>
      </c>
      <c r="E14" s="1156"/>
      <c r="F14" s="1156">
        <f>ROUND(SUMIF(未调整不符事项之分录!D:D,未调整不符事项之报表影响!C14,未调整不符事项之分录!H:H),2)</f>
        <v>0</v>
      </c>
      <c r="G14" s="1156">
        <f>ROUND(SUMIF(未调整不符事项之分录!D:D,未调整不符事项之报表影响!C14,未调整不符事项之分录!I:I),2)</f>
        <v>0</v>
      </c>
      <c r="H14" s="403">
        <f t="shared" si="0"/>
        <v>0</v>
      </c>
      <c r="I14" s="1156">
        <f t="shared" si="3"/>
        <v>0</v>
      </c>
      <c r="J14" s="1156"/>
      <c r="K14" s="1156">
        <f>ROUND(SUMIF(未调整不符事项之分录!D:D,未调整不符事项之报表影响!C14,未调整不符事项之分录!F:F),2)</f>
        <v>0</v>
      </c>
      <c r="L14" s="1156">
        <f>ROUND(SUMIF(未调整不符事项之分录!D:D,未调整不符事项之报表影响!C14,未调整不符事项之分录!G:G),2)</f>
        <v>0</v>
      </c>
      <c r="M14" s="403">
        <f t="shared" si="1"/>
        <v>0</v>
      </c>
      <c r="N14" s="1156">
        <f t="shared" si="2"/>
        <v>0</v>
      </c>
    </row>
    <row r="15" spans="1:17" ht="24" customHeight="1">
      <c r="A15" s="530" t="s">
        <v>3810</v>
      </c>
      <c r="B15" s="530" t="s">
        <v>3811</v>
      </c>
      <c r="C15" s="535" t="s">
        <v>3811</v>
      </c>
      <c r="D15" s="566" t="s">
        <v>3801</v>
      </c>
      <c r="E15" s="1156"/>
      <c r="F15" s="1156">
        <f>ROUND(SUMIF(未调整不符事项之分录!D:D,未调整不符事项之报表影响!C15,未调整不符事项之分录!H:H),2)</f>
        <v>0</v>
      </c>
      <c r="G15" s="1156">
        <f>ROUND(SUMIF(未调整不符事项之分录!D:D,未调整不符事项之报表影响!C15,未调整不符事项之分录!I:I),2)</f>
        <v>0</v>
      </c>
      <c r="H15" s="403">
        <f t="shared" si="0"/>
        <v>0</v>
      </c>
      <c r="I15" s="1156">
        <f t="shared" si="3"/>
        <v>0</v>
      </c>
      <c r="J15" s="1156"/>
      <c r="K15" s="1156">
        <f>ROUND(SUMIF(未调整不符事项之分录!D:D,未调整不符事项之报表影响!C15,未调整不符事项之分录!F:F),2)</f>
        <v>0</v>
      </c>
      <c r="L15" s="1156">
        <f>ROUND(SUMIF(未调整不符事项之分录!D:D,未调整不符事项之报表影响!C15,未调整不符事项之分录!G:G),2)</f>
        <v>0</v>
      </c>
      <c r="M15" s="403">
        <f t="shared" si="1"/>
        <v>0</v>
      </c>
      <c r="N15" s="1156">
        <f t="shared" si="2"/>
        <v>0</v>
      </c>
    </row>
    <row r="16" spans="1:17" ht="24" customHeight="1">
      <c r="A16" s="530" t="s">
        <v>3812</v>
      </c>
      <c r="B16" s="530" t="s">
        <v>3813</v>
      </c>
      <c r="C16" s="535" t="s">
        <v>3813</v>
      </c>
      <c r="D16" s="566" t="s">
        <v>3801</v>
      </c>
      <c r="E16" s="1156"/>
      <c r="F16" s="1156">
        <f>ROUND(SUMIF(未调整不符事项之分录!D:D,未调整不符事项之报表影响!C16,未调整不符事项之分录!H:H),2)</f>
        <v>0</v>
      </c>
      <c r="G16" s="1156">
        <f>ROUND(SUMIF(未调整不符事项之分录!D:D,未调整不符事项之报表影响!C16,未调整不符事项之分录!I:I),2)</f>
        <v>0</v>
      </c>
      <c r="H16" s="403">
        <f t="shared" si="0"/>
        <v>0</v>
      </c>
      <c r="I16" s="1156">
        <f t="shared" si="3"/>
        <v>0</v>
      </c>
      <c r="J16" s="1156"/>
      <c r="K16" s="1156">
        <f>ROUND(SUMIF(未调整不符事项之分录!D:D,未调整不符事项之报表影响!C16,未调整不符事项之分录!F:F),2)</f>
        <v>0</v>
      </c>
      <c r="L16" s="1156">
        <f>ROUND(SUMIF(未调整不符事项之分录!D:D,未调整不符事项之报表影响!C16,未调整不符事项之分录!G:G),2)</f>
        <v>0</v>
      </c>
      <c r="M16" s="403">
        <f t="shared" si="1"/>
        <v>0</v>
      </c>
      <c r="N16" s="1156">
        <f t="shared" si="2"/>
        <v>0</v>
      </c>
    </row>
    <row r="17" spans="1:14" ht="24" customHeight="1">
      <c r="A17" s="530" t="s">
        <v>1431</v>
      </c>
      <c r="B17" s="530" t="s">
        <v>3814</v>
      </c>
      <c r="C17" s="535" t="s">
        <v>3814</v>
      </c>
      <c r="D17" s="566" t="s">
        <v>3801</v>
      </c>
      <c r="E17" s="1156"/>
      <c r="F17" s="1156">
        <f>ROUND(SUMIF(未调整不符事项之分录!D:D,未调整不符事项之报表影响!C17,未调整不符事项之分录!H:H),2)</f>
        <v>0</v>
      </c>
      <c r="G17" s="1156">
        <f>ROUND(SUMIF(未调整不符事项之分录!D:D,未调整不符事项之报表影响!C17,未调整不符事项之分录!I:I),2)</f>
        <v>0</v>
      </c>
      <c r="H17" s="403">
        <f t="shared" si="0"/>
        <v>0</v>
      </c>
      <c r="I17" s="1156">
        <f t="shared" si="3"/>
        <v>0</v>
      </c>
      <c r="J17" s="1156"/>
      <c r="K17" s="1156">
        <f>ROUND(SUMIF(未调整不符事项之分录!D:D,未调整不符事项之报表影响!C17,未调整不符事项之分录!F:F),2)</f>
        <v>0</v>
      </c>
      <c r="L17" s="1156">
        <f>ROUND(SUMIF(未调整不符事项之分录!D:D,未调整不符事项之报表影响!C17,未调整不符事项之分录!G:G),2)</f>
        <v>0</v>
      </c>
      <c r="M17" s="403">
        <f t="shared" si="1"/>
        <v>0</v>
      </c>
      <c r="N17" s="1156">
        <f t="shared" si="2"/>
        <v>0</v>
      </c>
    </row>
    <row r="18" spans="1:14" ht="24" customHeight="1">
      <c r="A18" s="530" t="s">
        <v>3815</v>
      </c>
      <c r="B18" s="530" t="s">
        <v>1515</v>
      </c>
      <c r="C18" s="535" t="s">
        <v>1515</v>
      </c>
      <c r="D18" s="566" t="s">
        <v>3801</v>
      </c>
      <c r="E18" s="1156"/>
      <c r="F18" s="1156">
        <f>ROUND(SUMIF(未调整不符事项之分录!D:D,未调整不符事项之报表影响!C18,未调整不符事项之分录!H:H),2)</f>
        <v>0</v>
      </c>
      <c r="G18" s="1156">
        <f>ROUND(SUMIF(未调整不符事项之分录!D:D,未调整不符事项之报表影响!C18,未调整不符事项之分录!I:I),2)</f>
        <v>0</v>
      </c>
      <c r="H18" s="403">
        <f t="shared" si="0"/>
        <v>0</v>
      </c>
      <c r="I18" s="1156">
        <f t="shared" si="3"/>
        <v>0</v>
      </c>
      <c r="J18" s="1156"/>
      <c r="K18" s="1156">
        <f>ROUND(SUMIF(未调整不符事项之分录!D:D,未调整不符事项之报表影响!C18,未调整不符事项之分录!F:F),2)</f>
        <v>0</v>
      </c>
      <c r="L18" s="1156">
        <f>ROUND(SUMIF(未调整不符事项之分录!D:D,未调整不符事项之报表影响!C18,未调整不符事项之分录!G:G),2)</f>
        <v>0</v>
      </c>
      <c r="M18" s="403">
        <f t="shared" si="1"/>
        <v>0</v>
      </c>
      <c r="N18" s="1156">
        <f t="shared" si="2"/>
        <v>0</v>
      </c>
    </row>
    <row r="19" spans="1:14" ht="24" customHeight="1">
      <c r="A19" s="531" t="s">
        <v>3816</v>
      </c>
      <c r="B19" s="531" t="s">
        <v>1516</v>
      </c>
      <c r="C19" s="535" t="s">
        <v>1516</v>
      </c>
      <c r="D19" s="566" t="s">
        <v>3801</v>
      </c>
      <c r="E19" s="1156"/>
      <c r="F19" s="1156">
        <f>ROUND(SUMIF(未调整不符事项之分录!D:D,未调整不符事项之报表影响!C19,未调整不符事项之分录!H:H),2)</f>
        <v>0</v>
      </c>
      <c r="G19" s="1156">
        <f>ROUND(SUMIF(未调整不符事项之分录!D:D,未调整不符事项之报表影响!C19,未调整不符事项之分录!I:I),2)</f>
        <v>0</v>
      </c>
      <c r="H19" s="403">
        <f t="shared" si="0"/>
        <v>0</v>
      </c>
      <c r="I19" s="1156">
        <f t="shared" si="3"/>
        <v>0</v>
      </c>
      <c r="J19" s="1156"/>
      <c r="K19" s="1156">
        <f>ROUND(SUMIF(未调整不符事项之分录!D:D,未调整不符事项之报表影响!C19,未调整不符事项之分录!F:F),2)</f>
        <v>0</v>
      </c>
      <c r="L19" s="1156">
        <f>ROUND(SUMIF(未调整不符事项之分录!D:D,未调整不符事项之报表影响!C19,未调整不符事项之分录!G:G),2)</f>
        <v>0</v>
      </c>
      <c r="M19" s="403">
        <f t="shared" si="1"/>
        <v>0</v>
      </c>
      <c r="N19" s="1156">
        <f t="shared" si="2"/>
        <v>0</v>
      </c>
    </row>
    <row r="20" spans="1:14" ht="24" customHeight="1">
      <c r="A20" s="530" t="s">
        <v>3817</v>
      </c>
      <c r="B20" s="530" t="s">
        <v>360</v>
      </c>
      <c r="C20" s="535" t="s">
        <v>360</v>
      </c>
      <c r="D20" s="566" t="s">
        <v>3801</v>
      </c>
      <c r="E20" s="1156"/>
      <c r="F20" s="1156">
        <f>ROUND(SUMIF(未调整不符事项之分录!D:D,未调整不符事项之报表影响!C20,未调整不符事项之分录!H:H),2)</f>
        <v>0</v>
      </c>
      <c r="G20" s="1156">
        <f>ROUND(SUMIF(未调整不符事项之分录!D:D,未调整不符事项之报表影响!C20,未调整不符事项之分录!I:I),2)</f>
        <v>0</v>
      </c>
      <c r="H20" s="403">
        <f t="shared" si="0"/>
        <v>0</v>
      </c>
      <c r="I20" s="1156">
        <f t="shared" si="3"/>
        <v>0</v>
      </c>
      <c r="J20" s="1156"/>
      <c r="K20" s="1156">
        <f>ROUND(SUMIF(未调整不符事项之分录!D:D,未调整不符事项之报表影响!C20,未调整不符事项之分录!F:F),2)</f>
        <v>0</v>
      </c>
      <c r="L20" s="1156">
        <f>ROUND(SUMIF(未调整不符事项之分录!D:D,未调整不符事项之报表影响!C20,未调整不符事项之分录!G:G),2)</f>
        <v>0</v>
      </c>
      <c r="M20" s="403">
        <f t="shared" si="1"/>
        <v>0</v>
      </c>
      <c r="N20" s="1156">
        <f t="shared" si="2"/>
        <v>0</v>
      </c>
    </row>
    <row r="21" spans="1:14" ht="24" customHeight="1">
      <c r="A21" s="530" t="s">
        <v>3818</v>
      </c>
      <c r="B21" s="530" t="s">
        <v>3819</v>
      </c>
      <c r="C21" s="535" t="s">
        <v>3819</v>
      </c>
      <c r="D21" s="566" t="s">
        <v>3801</v>
      </c>
      <c r="E21" s="1156"/>
      <c r="F21" s="1156">
        <f>ROUND(SUMIF(未调整不符事项之分录!D:D,未调整不符事项之报表影响!C21,未调整不符事项之分录!H:H),2)</f>
        <v>0</v>
      </c>
      <c r="G21" s="1156">
        <f>ROUND(SUMIF(未调整不符事项之分录!D:D,未调整不符事项之报表影响!C21,未调整不符事项之分录!I:I),2)</f>
        <v>0</v>
      </c>
      <c r="H21" s="403">
        <f t="shared" si="0"/>
        <v>0</v>
      </c>
      <c r="I21" s="1156">
        <f t="shared" si="3"/>
        <v>0</v>
      </c>
      <c r="J21" s="1156"/>
      <c r="K21" s="1156">
        <f>ROUND(SUMIF(未调整不符事项之分录!D:D,未调整不符事项之报表影响!C21,未调整不符事项之分录!F:F),2)</f>
        <v>0</v>
      </c>
      <c r="L21" s="1156">
        <f>ROUND(SUMIF(未调整不符事项之分录!D:D,未调整不符事项之报表影响!C21,未调整不符事项之分录!G:G),2)</f>
        <v>0</v>
      </c>
      <c r="M21" s="403">
        <f t="shared" si="1"/>
        <v>0</v>
      </c>
      <c r="N21" s="1156">
        <f t="shared" si="2"/>
        <v>0</v>
      </c>
    </row>
    <row r="22" spans="1:14" ht="24" customHeight="1">
      <c r="A22" s="530" t="s">
        <v>3820</v>
      </c>
      <c r="B22" s="530" t="s">
        <v>1517</v>
      </c>
      <c r="C22" s="535" t="s">
        <v>3821</v>
      </c>
      <c r="D22" s="566" t="s">
        <v>3801</v>
      </c>
      <c r="E22" s="1156"/>
      <c r="F22" s="1156">
        <f>ROUND(SUMIF(未调整不符事项之分录!D:D,未调整不符事项之报表影响!C22,未调整不符事项之分录!H:H)+F23+F24,2)</f>
        <v>0</v>
      </c>
      <c r="G22" s="1156">
        <f>ROUND(SUMIF(未调整不符事项之分录!D:D,未调整不符事项之报表影响!C22,未调整不符事项之分录!I:I)+G23+G24,2)</f>
        <v>0</v>
      </c>
      <c r="H22" s="403">
        <f t="shared" si="0"/>
        <v>0</v>
      </c>
      <c r="I22" s="1156">
        <f t="shared" si="3"/>
        <v>0</v>
      </c>
      <c r="J22" s="1156"/>
      <c r="K22" s="1156">
        <f>ROUND(SUMIF(未调整不符事项之分录!D:D,未调整不符事项之报表影响!C22,未调整不符事项之分录!F:F)+K23+K24,2)</f>
        <v>0</v>
      </c>
      <c r="L22" s="1156">
        <f>ROUND(SUMIF(未调整不符事项之分录!D:D,未调整不符事项之报表影响!C22,未调整不符事项之分录!G:G)+L23+L24,2)</f>
        <v>0</v>
      </c>
      <c r="M22" s="403">
        <f t="shared" si="1"/>
        <v>0</v>
      </c>
      <c r="N22" s="1156">
        <f t="shared" si="2"/>
        <v>0</v>
      </c>
    </row>
    <row r="23" spans="1:14" ht="24" customHeight="1">
      <c r="A23" s="532" t="s">
        <v>3822</v>
      </c>
      <c r="B23" s="532"/>
      <c r="C23" s="535" t="s">
        <v>3823</v>
      </c>
      <c r="D23" s="566" t="s">
        <v>3801</v>
      </c>
      <c r="E23" s="1156"/>
      <c r="F23" s="1156">
        <f>ROUND(SUMIF(未调整不符事项之分录!D:D,未调整不符事项之报表影响!C23,未调整不符事项之分录!H:H),2)</f>
        <v>0</v>
      </c>
      <c r="G23" s="1156">
        <f>ROUND(SUMIF(未调整不符事项之分录!D:D,未调整不符事项之报表影响!C23,未调整不符事项之分录!I:I),2)</f>
        <v>0</v>
      </c>
      <c r="H23" s="403">
        <f t="shared" si="0"/>
        <v>0</v>
      </c>
      <c r="I23" s="1156">
        <f t="shared" si="3"/>
        <v>0</v>
      </c>
      <c r="J23" s="1156"/>
      <c r="K23" s="1156">
        <f>ROUND(SUMIF(未调整不符事项之分录!D:D,未调整不符事项之报表影响!C23,未调整不符事项之分录!F:F),2)</f>
        <v>0</v>
      </c>
      <c r="L23" s="1156">
        <f>ROUND(SUMIF(未调整不符事项之分录!D:D,未调整不符事项之报表影响!C23,未调整不符事项之分录!G:G),2)</f>
        <v>0</v>
      </c>
      <c r="M23" s="403">
        <f t="shared" si="1"/>
        <v>0</v>
      </c>
      <c r="N23" s="1156">
        <f t="shared" si="2"/>
        <v>0</v>
      </c>
    </row>
    <row r="24" spans="1:14" ht="24" customHeight="1">
      <c r="A24" s="532" t="s">
        <v>3824</v>
      </c>
      <c r="B24" s="532"/>
      <c r="C24" s="535" t="s">
        <v>3825</v>
      </c>
      <c r="D24" s="566" t="s">
        <v>3801</v>
      </c>
      <c r="E24" s="1156"/>
      <c r="F24" s="1156">
        <f>ROUND(SUMIF(未调整不符事项之分录!D:D,未调整不符事项之报表影响!C24,未调整不符事项之分录!H:H),2)</f>
        <v>0</v>
      </c>
      <c r="G24" s="1156">
        <f>ROUND(SUMIF(未调整不符事项之分录!D:D,未调整不符事项之报表影响!C24,未调整不符事项之分录!I:I),2)</f>
        <v>0</v>
      </c>
      <c r="H24" s="403">
        <f t="shared" si="0"/>
        <v>0</v>
      </c>
      <c r="I24" s="1156">
        <f t="shared" si="3"/>
        <v>0</v>
      </c>
      <c r="J24" s="1156"/>
      <c r="K24" s="1156">
        <f>ROUND(SUMIF(未调整不符事项之分录!D:D,未调整不符事项之报表影响!C24,未调整不符事项之分录!F:F),2)</f>
        <v>0</v>
      </c>
      <c r="L24" s="1156">
        <f>ROUND(SUMIF(未调整不符事项之分录!D:D,未调整不符事项之报表影响!C24,未调整不符事项之分录!G:G),2)</f>
        <v>0</v>
      </c>
      <c r="M24" s="403">
        <f t="shared" si="1"/>
        <v>0</v>
      </c>
      <c r="N24" s="1156">
        <f t="shared" si="2"/>
        <v>0</v>
      </c>
    </row>
    <row r="25" spans="1:14" ht="24" customHeight="1">
      <c r="A25" s="1340" t="s">
        <v>4763</v>
      </c>
      <c r="B25" s="1340" t="s">
        <v>4763</v>
      </c>
      <c r="C25" s="1341" t="s">
        <v>4763</v>
      </c>
      <c r="D25" s="566" t="s">
        <v>3801</v>
      </c>
      <c r="E25" s="1156"/>
      <c r="F25" s="1156">
        <f>ROUND(SUMIF(未调整不符事项之分录!D:D,未调整不符事项之报表影响!C25,未调整不符事项之分录!H:H),2)</f>
        <v>0</v>
      </c>
      <c r="G25" s="1156">
        <f>ROUND(SUMIF(未调整不符事项之分录!D:D,未调整不符事项之报表影响!C25,未调整不符事项之分录!I:I),2)</f>
        <v>0</v>
      </c>
      <c r="H25" s="403">
        <f>I25-E25</f>
        <v>0</v>
      </c>
      <c r="I25" s="1156">
        <f>IF(D25="借",E25+F25-G25,IF(D25="贷",E25+G25-F25,IF(D25="",0,0)))</f>
        <v>0</v>
      </c>
      <c r="J25" s="1156"/>
      <c r="K25" s="1156">
        <f>ROUND(SUMIF(未调整不符事项之分录!D:D,未调整不符事项之报表影响!C25,未调整不符事项之分录!F:F),2)</f>
        <v>0</v>
      </c>
      <c r="L25" s="1156">
        <f>ROUND(SUMIF(未调整不符事项之分录!D:D,未调整不符事项之报表影响!C25,未调整不符事项之分录!G:G),2)</f>
        <v>0</v>
      </c>
      <c r="M25" s="403">
        <f>N25-J25</f>
        <v>0</v>
      </c>
      <c r="N25" s="1156">
        <f>IF(D25="借",J25+K25-L25,IF(D25="贷",J25+L25-K25,IF(D25="",0,0)))</f>
        <v>0</v>
      </c>
    </row>
    <row r="26" spans="1:14" ht="24" customHeight="1">
      <c r="A26" s="530" t="s">
        <v>3826</v>
      </c>
      <c r="B26" s="530" t="s">
        <v>3827</v>
      </c>
      <c r="C26" s="535" t="s">
        <v>3827</v>
      </c>
      <c r="D26" s="566" t="s">
        <v>3801</v>
      </c>
      <c r="E26" s="1156"/>
      <c r="F26" s="1156">
        <f>ROUND(SUMIF(未调整不符事项之分录!D:D,未调整不符事项之报表影响!C26,未调整不符事项之分录!H:H),2)</f>
        <v>0</v>
      </c>
      <c r="G26" s="1156">
        <f>ROUND(SUMIF(未调整不符事项之分录!D:D,未调整不符事项之报表影响!C26,未调整不符事项之分录!I:I),2)</f>
        <v>0</v>
      </c>
      <c r="H26" s="403">
        <f t="shared" si="0"/>
        <v>0</v>
      </c>
      <c r="I26" s="1156">
        <f t="shared" si="3"/>
        <v>0</v>
      </c>
      <c r="J26" s="1156"/>
      <c r="K26" s="1156">
        <f>ROUND(SUMIF(未调整不符事项之分录!D:D,未调整不符事项之报表影响!C26,未调整不符事项之分录!F:F),2)</f>
        <v>0</v>
      </c>
      <c r="L26" s="1156">
        <f>ROUND(SUMIF(未调整不符事项之分录!D:D,未调整不符事项之报表影响!C26,未调整不符事项之分录!G:G),2)</f>
        <v>0</v>
      </c>
      <c r="M26" s="403">
        <f t="shared" si="1"/>
        <v>0</v>
      </c>
      <c r="N26" s="1156">
        <f t="shared" si="2"/>
        <v>0</v>
      </c>
    </row>
    <row r="27" spans="1:14" ht="24" customHeight="1">
      <c r="A27" s="530" t="s">
        <v>3828</v>
      </c>
      <c r="B27" s="530" t="s">
        <v>1519</v>
      </c>
      <c r="C27" s="535" t="s">
        <v>1519</v>
      </c>
      <c r="D27" s="566" t="s">
        <v>3801</v>
      </c>
      <c r="E27" s="1156"/>
      <c r="F27" s="1156">
        <f>ROUND(SUMIF(未调整不符事项之分录!D:D,未调整不符事项之报表影响!C27,未调整不符事项之分录!H:H),2)</f>
        <v>0</v>
      </c>
      <c r="G27" s="1156">
        <f>ROUND(SUMIF(未调整不符事项之分录!D:D,未调整不符事项之报表影响!C27,未调整不符事项之分录!I:I),2)</f>
        <v>0</v>
      </c>
      <c r="H27" s="403">
        <f t="shared" si="0"/>
        <v>0</v>
      </c>
      <c r="I27" s="1156">
        <f t="shared" si="3"/>
        <v>0</v>
      </c>
      <c r="J27" s="1156"/>
      <c r="K27" s="1156">
        <f>ROUND(SUMIF(未调整不符事项之分录!D:D,未调整不符事项之报表影响!C27,未调整不符事项之分录!F:F),2)</f>
        <v>0</v>
      </c>
      <c r="L27" s="1156">
        <f>ROUND(SUMIF(未调整不符事项之分录!D:D,未调整不符事项之报表影响!C27,未调整不符事项之分录!G:G),2)</f>
        <v>0</v>
      </c>
      <c r="M27" s="403">
        <f t="shared" si="1"/>
        <v>0</v>
      </c>
      <c r="N27" s="1156">
        <f t="shared" si="2"/>
        <v>0</v>
      </c>
    </row>
    <row r="28" spans="1:14" ht="24" customHeight="1">
      <c r="A28" s="524" t="s">
        <v>3829</v>
      </c>
      <c r="B28" s="524"/>
      <c r="C28" s="535"/>
      <c r="D28" s="429" t="s">
        <v>3801</v>
      </c>
      <c r="E28" s="1156"/>
      <c r="F28" s="1156">
        <f>ROUND(SUM(F7:F27)-F23-F24,2)</f>
        <v>0</v>
      </c>
      <c r="G28" s="1156">
        <f>ROUND(SUM(G7:G27)-G23-G24,2)</f>
        <v>0</v>
      </c>
      <c r="H28" s="403">
        <f t="shared" si="0"/>
        <v>0</v>
      </c>
      <c r="I28" s="1156">
        <f t="shared" si="3"/>
        <v>0</v>
      </c>
      <c r="J28" s="1156"/>
      <c r="K28" s="1156">
        <f>ROUND(SUM(K7:K27)-K23-K24,2)</f>
        <v>0</v>
      </c>
      <c r="L28" s="1156">
        <f>ROUND(SUM(L7:L27)-L23-L24,2)</f>
        <v>0</v>
      </c>
      <c r="M28" s="403">
        <f t="shared" si="1"/>
        <v>0</v>
      </c>
      <c r="N28" s="1156">
        <f t="shared" si="2"/>
        <v>0</v>
      </c>
    </row>
    <row r="29" spans="1:14" ht="24" customHeight="1">
      <c r="A29" s="533" t="s">
        <v>3830</v>
      </c>
      <c r="B29" s="533"/>
      <c r="C29" s="535"/>
      <c r="D29" s="429"/>
      <c r="E29" s="434"/>
      <c r="F29" s="434"/>
      <c r="G29" s="434"/>
      <c r="H29" s="403">
        <f t="shared" si="0"/>
        <v>0</v>
      </c>
      <c r="I29" s="434"/>
      <c r="J29" s="434"/>
      <c r="K29" s="434"/>
      <c r="L29" s="434"/>
      <c r="M29" s="403">
        <f t="shared" si="1"/>
        <v>0</v>
      </c>
      <c r="N29" s="434"/>
    </row>
    <row r="30" spans="1:14" ht="24" customHeight="1">
      <c r="A30" s="534" t="s">
        <v>3831</v>
      </c>
      <c r="B30" s="534" t="s">
        <v>3832</v>
      </c>
      <c r="C30" s="535" t="s">
        <v>3832</v>
      </c>
      <c r="D30" s="566" t="s">
        <v>3801</v>
      </c>
      <c r="E30" s="1156"/>
      <c r="F30" s="1156">
        <f>ROUND(SUMIF(未调整不符事项之分录!D:D,未调整不符事项之报表影响!C30,未调整不符事项之分录!H:H),2)</f>
        <v>0</v>
      </c>
      <c r="G30" s="1156">
        <f>ROUND(SUMIF(未调整不符事项之分录!D:D,未调整不符事项之报表影响!C30,未调整不符事项之分录!I:I),2)</f>
        <v>0</v>
      </c>
      <c r="H30" s="403">
        <f t="shared" si="0"/>
        <v>0</v>
      </c>
      <c r="I30" s="1156">
        <f t="shared" si="3"/>
        <v>0</v>
      </c>
      <c r="J30" s="1156"/>
      <c r="K30" s="1156">
        <f>ROUND(SUMIF(未调整不符事项之分录!D:D,未调整不符事项之报表影响!C30,未调整不符事项之分录!F:F),2)</f>
        <v>0</v>
      </c>
      <c r="L30" s="1156">
        <f>ROUND(SUMIF(未调整不符事项之分录!D:D,未调整不符事项之报表影响!C30,未调整不符事项之分录!G:G),2)</f>
        <v>0</v>
      </c>
      <c r="M30" s="403">
        <f t="shared" si="1"/>
        <v>0</v>
      </c>
      <c r="N30" s="1156">
        <f t="shared" ref="N30:N54" si="4">IF(D30="借",J30+K30-L30,IF(D30="贷",J30+L30-K30,IF(D30="",0,0)))</f>
        <v>0</v>
      </c>
    </row>
    <row r="31" spans="1:14" ht="24" customHeight="1">
      <c r="A31" s="534" t="s">
        <v>3833</v>
      </c>
      <c r="B31" s="534" t="s">
        <v>1520</v>
      </c>
      <c r="C31" s="535" t="s">
        <v>1520</v>
      </c>
      <c r="D31" s="566" t="s">
        <v>3801</v>
      </c>
      <c r="E31" s="1156"/>
      <c r="F31" s="1156">
        <f>ROUND(SUMIF(未调整不符事项之分录!D:D,未调整不符事项之报表影响!C31,未调整不符事项之分录!H:H),2)</f>
        <v>0</v>
      </c>
      <c r="G31" s="1156">
        <f>ROUND(SUMIF(未调整不符事项之分录!D:D,未调整不符事项之报表影响!C31,未调整不符事项之分录!I:I),2)</f>
        <v>0</v>
      </c>
      <c r="H31" s="403">
        <f t="shared" si="0"/>
        <v>0</v>
      </c>
      <c r="I31" s="1156">
        <f t="shared" si="3"/>
        <v>0</v>
      </c>
      <c r="J31" s="1156"/>
      <c r="K31" s="1156">
        <f>ROUND(SUMIF(未调整不符事项之分录!D:D,未调整不符事项之报表影响!C31,未调整不符事项之分录!F:F),2)</f>
        <v>0</v>
      </c>
      <c r="L31" s="1156">
        <f>ROUND(SUMIF(未调整不符事项之分录!D:D,未调整不符事项之报表影响!C31,未调整不符事项之分录!G:G),2)</f>
        <v>0</v>
      </c>
      <c r="M31" s="403">
        <f t="shared" si="1"/>
        <v>0</v>
      </c>
      <c r="N31" s="1156">
        <f t="shared" si="4"/>
        <v>0</v>
      </c>
    </row>
    <row r="32" spans="1:14" ht="24" customHeight="1">
      <c r="A32" s="534" t="s">
        <v>3834</v>
      </c>
      <c r="B32" s="534" t="s">
        <v>1521</v>
      </c>
      <c r="C32" s="535" t="s">
        <v>1521</v>
      </c>
      <c r="D32" s="566" t="s">
        <v>3801</v>
      </c>
      <c r="E32" s="1156"/>
      <c r="F32" s="1156">
        <f>ROUND(SUMIF(未调整不符事项之分录!D:D,未调整不符事项之报表影响!C32,未调整不符事项之分录!H:H),2)</f>
        <v>0</v>
      </c>
      <c r="G32" s="1156">
        <f>ROUND(SUMIF(未调整不符事项之分录!D:D,未调整不符事项之报表影响!C32,未调整不符事项之分录!I:I),2)</f>
        <v>0</v>
      </c>
      <c r="H32" s="403">
        <f t="shared" si="0"/>
        <v>0</v>
      </c>
      <c r="I32" s="1156">
        <f t="shared" si="3"/>
        <v>0</v>
      </c>
      <c r="J32" s="1156"/>
      <c r="K32" s="1156">
        <f>ROUND(SUMIF(未调整不符事项之分录!D:D,未调整不符事项之报表影响!C32,未调整不符事项之分录!F:F),2)</f>
        <v>0</v>
      </c>
      <c r="L32" s="1156">
        <f>ROUND(SUMIF(未调整不符事项之分录!D:D,未调整不符事项之报表影响!C32,未调整不符事项之分录!G:G),2)</f>
        <v>0</v>
      </c>
      <c r="M32" s="403">
        <f t="shared" si="1"/>
        <v>0</v>
      </c>
      <c r="N32" s="1156">
        <f t="shared" si="4"/>
        <v>0</v>
      </c>
    </row>
    <row r="33" spans="1:14" ht="24" customHeight="1">
      <c r="A33" s="534" t="s">
        <v>3835</v>
      </c>
      <c r="B33" s="534" t="s">
        <v>1522</v>
      </c>
      <c r="C33" s="535" t="s">
        <v>1522</v>
      </c>
      <c r="D33" s="566" t="s">
        <v>3801</v>
      </c>
      <c r="E33" s="1156"/>
      <c r="F33" s="1156">
        <f>ROUND(SUMIF(未调整不符事项之分录!D:D,未调整不符事项之报表影响!C33,未调整不符事项之分录!H:H),2)</f>
        <v>0</v>
      </c>
      <c r="G33" s="1156">
        <f>ROUND(SUMIF(未调整不符事项之分录!D:D,未调整不符事项之报表影响!C33,未调整不符事项之分录!I:I),2)</f>
        <v>0</v>
      </c>
      <c r="H33" s="403">
        <f t="shared" si="0"/>
        <v>0</v>
      </c>
      <c r="I33" s="1156">
        <f t="shared" si="3"/>
        <v>0</v>
      </c>
      <c r="J33" s="1156"/>
      <c r="K33" s="1156">
        <f>ROUND(SUMIF(未调整不符事项之分录!D:D,未调整不符事项之报表影响!C33,未调整不符事项之分录!F:F),2)</f>
        <v>0</v>
      </c>
      <c r="L33" s="1156">
        <f>ROUND(SUMIF(未调整不符事项之分录!D:D,未调整不符事项之报表影响!C33,未调整不符事项之分录!G:G),2)</f>
        <v>0</v>
      </c>
      <c r="M33" s="403">
        <f t="shared" si="1"/>
        <v>0</v>
      </c>
      <c r="N33" s="1156">
        <f t="shared" si="4"/>
        <v>0</v>
      </c>
    </row>
    <row r="34" spans="1:14" ht="24" customHeight="1">
      <c r="A34" s="534" t="s">
        <v>3836</v>
      </c>
      <c r="B34" s="534" t="s">
        <v>1523</v>
      </c>
      <c r="C34" s="535" t="s">
        <v>1523</v>
      </c>
      <c r="D34" s="566" t="s">
        <v>3801</v>
      </c>
      <c r="E34" s="1156"/>
      <c r="F34" s="1156">
        <f>ROUND(SUMIF(未调整不符事项之分录!D:D,未调整不符事项之报表影响!C34,未调整不符事项之分录!H:H),2)</f>
        <v>0</v>
      </c>
      <c r="G34" s="1156">
        <f>ROUND(SUMIF(未调整不符事项之分录!D:D,未调整不符事项之报表影响!C34,未调整不符事项之分录!I:I),2)</f>
        <v>0</v>
      </c>
      <c r="H34" s="403">
        <f t="shared" si="0"/>
        <v>0</v>
      </c>
      <c r="I34" s="1156">
        <f t="shared" si="3"/>
        <v>0</v>
      </c>
      <c r="J34" s="1156"/>
      <c r="K34" s="1156">
        <f>ROUND(SUMIF(未调整不符事项之分录!D:D,未调整不符事项之报表影响!C34,未调整不符事项之分录!F:F),2)</f>
        <v>0</v>
      </c>
      <c r="L34" s="1156">
        <f>ROUND(SUMIF(未调整不符事项之分录!D:D,未调整不符事项之报表影响!C34,未调整不符事项之分录!G:G),2)</f>
        <v>0</v>
      </c>
      <c r="M34" s="403">
        <f t="shared" si="1"/>
        <v>0</v>
      </c>
      <c r="N34" s="1156">
        <f t="shared" si="4"/>
        <v>0</v>
      </c>
    </row>
    <row r="35" spans="1:14" ht="24" customHeight="1">
      <c r="A35" s="535" t="s">
        <v>3837</v>
      </c>
      <c r="B35" s="535" t="s">
        <v>1524</v>
      </c>
      <c r="C35" s="535" t="s">
        <v>1524</v>
      </c>
      <c r="D35" s="566" t="s">
        <v>3801</v>
      </c>
      <c r="E35" s="1156"/>
      <c r="F35" s="1156">
        <f>ROUND(SUMIF(未调整不符事项之分录!D:D,未调整不符事项之报表影响!C35,未调整不符事项之分录!H:H),2)</f>
        <v>0</v>
      </c>
      <c r="G35" s="1156">
        <f>ROUND(SUMIF(未调整不符事项之分录!D:D,未调整不符事项之报表影响!C35,未调整不符事项之分录!I:I),2)</f>
        <v>0</v>
      </c>
      <c r="H35" s="403">
        <f t="shared" si="0"/>
        <v>0</v>
      </c>
      <c r="I35" s="1156">
        <f t="shared" si="3"/>
        <v>0</v>
      </c>
      <c r="J35" s="1156"/>
      <c r="K35" s="1156">
        <f>ROUND(SUMIF(未调整不符事项之分录!D:D,未调整不符事项之报表影响!C35,未调整不符事项之分录!F:F),2)</f>
        <v>0</v>
      </c>
      <c r="L35" s="1156">
        <f>ROUND(SUMIF(未调整不符事项之分录!D:D,未调整不符事项之报表影响!C35,未调整不符事项之分录!G:G),2)</f>
        <v>0</v>
      </c>
      <c r="M35" s="403">
        <f t="shared" si="1"/>
        <v>0</v>
      </c>
      <c r="N35" s="1156">
        <f t="shared" si="4"/>
        <v>0</v>
      </c>
    </row>
    <row r="36" spans="1:14" ht="24" customHeight="1">
      <c r="A36" s="534" t="s">
        <v>3838</v>
      </c>
      <c r="B36" s="534" t="s">
        <v>3839</v>
      </c>
      <c r="C36" s="535" t="s">
        <v>3839</v>
      </c>
      <c r="D36" s="566" t="s">
        <v>3801</v>
      </c>
      <c r="E36" s="1156"/>
      <c r="F36" s="1156">
        <f>ROUND(SUMIF(未调整不符事项之分录!D:D,未调整不符事项之报表影响!C36,未调整不符事项之分录!H:H),2)</f>
        <v>0</v>
      </c>
      <c r="G36" s="1156">
        <f>ROUND(SUMIF(未调整不符事项之分录!D:D,未调整不符事项之报表影响!C36,未调整不符事项之分录!I:I),2)</f>
        <v>0</v>
      </c>
      <c r="H36" s="403">
        <f t="shared" si="0"/>
        <v>0</v>
      </c>
      <c r="I36" s="1156">
        <f t="shared" si="3"/>
        <v>0</v>
      </c>
      <c r="J36" s="1156"/>
      <c r="K36" s="1156">
        <f>ROUND(SUMIF(未调整不符事项之分录!D:D,未调整不符事项之报表影响!C36,未调整不符事项之分录!F:F),2)</f>
        <v>0</v>
      </c>
      <c r="L36" s="1156">
        <f>ROUND(SUMIF(未调整不符事项之分录!D:D,未调整不符事项之报表影响!C36,未调整不符事项之分录!G:G),2)</f>
        <v>0</v>
      </c>
      <c r="M36" s="403">
        <f t="shared" si="1"/>
        <v>0</v>
      </c>
      <c r="N36" s="1156">
        <f t="shared" si="4"/>
        <v>0</v>
      </c>
    </row>
    <row r="37" spans="1:14" ht="24" customHeight="1">
      <c r="A37" s="536" t="s">
        <v>3840</v>
      </c>
      <c r="B37" s="536" t="s">
        <v>3315</v>
      </c>
      <c r="C37" s="535" t="s">
        <v>3315</v>
      </c>
      <c r="D37" s="485" t="s">
        <v>3841</v>
      </c>
      <c r="E37" s="1156"/>
      <c r="F37" s="1156">
        <f>ROUND(SUMIF(未调整不符事项之分录!D:D,未调整不符事项之报表影响!C37,未调整不符事项之分录!H:H),2)</f>
        <v>0</v>
      </c>
      <c r="G37" s="1156">
        <f>ROUND(SUMIF(未调整不符事项之分录!D:D,未调整不符事项之报表影响!C37,未调整不符事项之分录!I:I),2)</f>
        <v>0</v>
      </c>
      <c r="H37" s="403">
        <f t="shared" si="0"/>
        <v>0</v>
      </c>
      <c r="I37" s="1156">
        <f t="shared" si="3"/>
        <v>0</v>
      </c>
      <c r="J37" s="1156"/>
      <c r="K37" s="1156">
        <f>ROUND(SUMIF(未调整不符事项之分录!D:D,未调整不符事项之报表影响!C37,未调整不符事项之分录!F:F),2)</f>
        <v>0</v>
      </c>
      <c r="L37" s="1156">
        <f>ROUND(SUMIF(未调整不符事项之分录!D:D,未调整不符事项之报表影响!C37,未调整不符事项之分录!G:G),2)</f>
        <v>0</v>
      </c>
      <c r="M37" s="403">
        <f t="shared" si="1"/>
        <v>0</v>
      </c>
      <c r="N37" s="1156">
        <f t="shared" si="4"/>
        <v>0</v>
      </c>
    </row>
    <row r="38" spans="1:14" ht="24" customHeight="1">
      <c r="A38" s="536" t="s">
        <v>3842</v>
      </c>
      <c r="B38" s="536"/>
      <c r="C38" s="535"/>
      <c r="D38" s="485" t="s">
        <v>3801</v>
      </c>
      <c r="E38" s="1156"/>
      <c r="F38" s="1156">
        <f>ROUND(F36+F37,2)</f>
        <v>0</v>
      </c>
      <c r="G38" s="1156">
        <f>ROUND(G36+G37,2)</f>
        <v>0</v>
      </c>
      <c r="H38" s="403">
        <f t="shared" si="0"/>
        <v>0</v>
      </c>
      <c r="I38" s="1156">
        <f t="shared" si="3"/>
        <v>0</v>
      </c>
      <c r="J38" s="1156"/>
      <c r="K38" s="1156">
        <f>ROUND(K36+K37,2)</f>
        <v>0</v>
      </c>
      <c r="L38" s="1156">
        <f>ROUND(L36+L37,2)</f>
        <v>0</v>
      </c>
      <c r="M38" s="403">
        <f t="shared" si="1"/>
        <v>0</v>
      </c>
      <c r="N38" s="1156">
        <f t="shared" si="4"/>
        <v>0</v>
      </c>
    </row>
    <row r="39" spans="1:14" ht="24" customHeight="1">
      <c r="A39" s="536" t="s">
        <v>3843</v>
      </c>
      <c r="B39" s="536" t="s">
        <v>3844</v>
      </c>
      <c r="C39" s="535" t="s">
        <v>3844</v>
      </c>
      <c r="D39" s="485" t="s">
        <v>3841</v>
      </c>
      <c r="E39" s="1156"/>
      <c r="F39" s="1156">
        <f>ROUND(SUMIF(未调整不符事项之分录!D:D,未调整不符事项之报表影响!C39,未调整不符事项之分录!H:H),2)</f>
        <v>0</v>
      </c>
      <c r="G39" s="1156">
        <f>ROUND(SUMIF(未调整不符事项之分录!D:D,未调整不符事项之报表影响!C39,未调整不符事项之分录!I:I),2)</f>
        <v>0</v>
      </c>
      <c r="H39" s="403">
        <f t="shared" si="0"/>
        <v>0</v>
      </c>
      <c r="I39" s="1156">
        <f t="shared" si="3"/>
        <v>0</v>
      </c>
      <c r="J39" s="1156"/>
      <c r="K39" s="1156">
        <f>ROUND(SUMIF(未调整不符事项之分录!D:D,未调整不符事项之报表影响!C39,未调整不符事项之分录!F:F),2)</f>
        <v>0</v>
      </c>
      <c r="L39" s="1156">
        <f>ROUND(SUMIF(未调整不符事项之分录!D:D,未调整不符事项之报表影响!C39,未调整不符事项之分录!G:G),2)</f>
        <v>0</v>
      </c>
      <c r="M39" s="403">
        <f t="shared" si="1"/>
        <v>0</v>
      </c>
      <c r="N39" s="1156">
        <f t="shared" si="4"/>
        <v>0</v>
      </c>
    </row>
    <row r="40" spans="1:14" ht="24" customHeight="1">
      <c r="A40" s="536" t="s">
        <v>3845</v>
      </c>
      <c r="B40" s="536"/>
      <c r="C40" s="535"/>
      <c r="D40" s="485" t="s">
        <v>3801</v>
      </c>
      <c r="E40" s="1156"/>
      <c r="F40" s="1156">
        <f>ROUND(F38+F39,2)</f>
        <v>0</v>
      </c>
      <c r="G40" s="1156">
        <f>ROUND(G38+G39,2)</f>
        <v>0</v>
      </c>
      <c r="H40" s="403">
        <f t="shared" si="0"/>
        <v>0</v>
      </c>
      <c r="I40" s="1156">
        <f t="shared" si="3"/>
        <v>0</v>
      </c>
      <c r="J40" s="1156"/>
      <c r="K40" s="1156">
        <f>ROUND(K38+K39,2)</f>
        <v>0</v>
      </c>
      <c r="L40" s="1156">
        <f>ROUND(L38+L39,2)</f>
        <v>0</v>
      </c>
      <c r="M40" s="403">
        <f t="shared" si="1"/>
        <v>0</v>
      </c>
      <c r="N40" s="1156">
        <f t="shared" si="4"/>
        <v>0</v>
      </c>
    </row>
    <row r="41" spans="1:14" ht="24" customHeight="1">
      <c r="A41" s="534" t="s">
        <v>1032</v>
      </c>
      <c r="B41" s="534" t="s">
        <v>1526</v>
      </c>
      <c r="C41" s="535" t="s">
        <v>1526</v>
      </c>
      <c r="D41" s="566" t="s">
        <v>3801</v>
      </c>
      <c r="E41" s="1156"/>
      <c r="F41" s="1156">
        <f>ROUND(SUMIF(未调整不符事项之分录!D:D,未调整不符事项之报表影响!C41,未调整不符事项之分录!H:H),2)</f>
        <v>0</v>
      </c>
      <c r="G41" s="1156">
        <f>ROUND(SUMIF(未调整不符事项之分录!D:D,未调整不符事项之报表影响!C41,未调整不符事项之分录!I:I),2)</f>
        <v>0</v>
      </c>
      <c r="H41" s="403">
        <f t="shared" si="0"/>
        <v>0</v>
      </c>
      <c r="I41" s="1156">
        <f t="shared" si="3"/>
        <v>0</v>
      </c>
      <c r="J41" s="1156"/>
      <c r="K41" s="1156">
        <f>ROUND(SUMIF(未调整不符事项之分录!D:D,未调整不符事项之报表影响!C41,未调整不符事项之分录!F:F),2)</f>
        <v>0</v>
      </c>
      <c r="L41" s="1156">
        <f>ROUND(SUMIF(未调整不符事项之分录!D:D,未调整不符事项之报表影响!C41,未调整不符事项之分录!G:G),2)</f>
        <v>0</v>
      </c>
      <c r="M41" s="403">
        <f t="shared" si="1"/>
        <v>0</v>
      </c>
      <c r="N41" s="1156">
        <f t="shared" si="4"/>
        <v>0</v>
      </c>
    </row>
    <row r="42" spans="1:14" ht="24" customHeight="1">
      <c r="A42" s="534" t="s">
        <v>3846</v>
      </c>
      <c r="B42" s="534" t="s">
        <v>1527</v>
      </c>
      <c r="C42" s="535" t="s">
        <v>1527</v>
      </c>
      <c r="D42" s="566" t="s">
        <v>3801</v>
      </c>
      <c r="E42" s="1156"/>
      <c r="F42" s="1156">
        <f>ROUND(SUMIF(未调整不符事项之分录!D:D,未调整不符事项之报表影响!C42,未调整不符事项之分录!H:H),2)</f>
        <v>0</v>
      </c>
      <c r="G42" s="1156">
        <f>ROUND(SUMIF(未调整不符事项之分录!D:D,未调整不符事项之报表影响!C42,未调整不符事项之分录!I:I),2)</f>
        <v>0</v>
      </c>
      <c r="H42" s="403">
        <f t="shared" si="0"/>
        <v>0</v>
      </c>
      <c r="I42" s="1156">
        <f t="shared" si="3"/>
        <v>0</v>
      </c>
      <c r="J42" s="1156"/>
      <c r="K42" s="1156">
        <f>ROUND(SUMIF(未调整不符事项之分录!D:D,未调整不符事项之报表影响!C42,未调整不符事项之分录!F:F),2)</f>
        <v>0</v>
      </c>
      <c r="L42" s="1156">
        <f>ROUND(SUMIF(未调整不符事项之分录!D:D,未调整不符事项之报表影响!C42,未调整不符事项之分录!G:G),2)</f>
        <v>0</v>
      </c>
      <c r="M42" s="403">
        <f t="shared" si="1"/>
        <v>0</v>
      </c>
      <c r="N42" s="1156">
        <f t="shared" si="4"/>
        <v>0</v>
      </c>
    </row>
    <row r="43" spans="1:14" ht="24" customHeight="1">
      <c r="A43" s="534" t="s">
        <v>3847</v>
      </c>
      <c r="B43" s="534" t="s">
        <v>1528</v>
      </c>
      <c r="C43" s="535" t="s">
        <v>1528</v>
      </c>
      <c r="D43" s="566" t="s">
        <v>3801</v>
      </c>
      <c r="E43" s="1156"/>
      <c r="F43" s="1156">
        <f>ROUND(SUMIF(未调整不符事项之分录!D:D,未调整不符事项之报表影响!C43,未调整不符事项之分录!H:H),2)</f>
        <v>0</v>
      </c>
      <c r="G43" s="1156">
        <f>ROUND(SUMIF(未调整不符事项之分录!D:D,未调整不符事项之报表影响!C43,未调整不符事项之分录!I:I),2)</f>
        <v>0</v>
      </c>
      <c r="H43" s="403">
        <f t="shared" si="0"/>
        <v>0</v>
      </c>
      <c r="I43" s="1156">
        <f t="shared" si="3"/>
        <v>0</v>
      </c>
      <c r="J43" s="1156"/>
      <c r="K43" s="1156">
        <f>ROUND(SUMIF(未调整不符事项之分录!D:D,未调整不符事项之报表影响!C43,未调整不符事项之分录!F:F),2)</f>
        <v>0</v>
      </c>
      <c r="L43" s="1156">
        <f>ROUND(SUMIF(未调整不符事项之分录!D:D,未调整不符事项之报表影响!C43,未调整不符事项之分录!G:G),2)</f>
        <v>0</v>
      </c>
      <c r="M43" s="403">
        <f t="shared" si="1"/>
        <v>0</v>
      </c>
      <c r="N43" s="1156">
        <f t="shared" si="4"/>
        <v>0</v>
      </c>
    </row>
    <row r="44" spans="1:14" ht="24" customHeight="1">
      <c r="A44" s="534" t="s">
        <v>3848</v>
      </c>
      <c r="B44" s="534" t="s">
        <v>3849</v>
      </c>
      <c r="C44" s="535" t="s">
        <v>3849</v>
      </c>
      <c r="D44" s="566" t="s">
        <v>3801</v>
      </c>
      <c r="E44" s="1156"/>
      <c r="F44" s="1156">
        <f>ROUND(SUMIF(未调整不符事项之分录!D:D,未调整不符事项之报表影响!C44,未调整不符事项之分录!H:H),2)</f>
        <v>0</v>
      </c>
      <c r="G44" s="1156">
        <f>ROUND(SUMIF(未调整不符事项之分录!D:D,未调整不符事项之报表影响!C44,未调整不符事项之分录!I:I),2)</f>
        <v>0</v>
      </c>
      <c r="H44" s="403">
        <f t="shared" si="0"/>
        <v>0</v>
      </c>
      <c r="I44" s="1156">
        <f t="shared" si="3"/>
        <v>0</v>
      </c>
      <c r="J44" s="1156"/>
      <c r="K44" s="1156">
        <f>ROUND(SUMIF(未调整不符事项之分录!D:D,未调整不符事项之报表影响!C44,未调整不符事项之分录!F:F),2)</f>
        <v>0</v>
      </c>
      <c r="L44" s="1156">
        <f>ROUND(SUMIF(未调整不符事项之分录!D:D,未调整不符事项之报表影响!C44,未调整不符事项之分录!G:G),2)</f>
        <v>0</v>
      </c>
      <c r="M44" s="403">
        <f t="shared" si="1"/>
        <v>0</v>
      </c>
      <c r="N44" s="1156">
        <f t="shared" si="4"/>
        <v>0</v>
      </c>
    </row>
    <row r="45" spans="1:14" ht="24" customHeight="1">
      <c r="A45" s="534" t="s">
        <v>3850</v>
      </c>
      <c r="B45" s="534" t="s">
        <v>3851</v>
      </c>
      <c r="C45" s="535" t="s">
        <v>3851</v>
      </c>
      <c r="D45" s="566" t="s">
        <v>3801</v>
      </c>
      <c r="E45" s="1156"/>
      <c r="F45" s="1156">
        <f>ROUND(SUMIF(未调整不符事项之分录!D:D,未调整不符事项之报表影响!C45,未调整不符事项之分录!H:H),2)</f>
        <v>0</v>
      </c>
      <c r="G45" s="1156">
        <f>ROUND(SUMIF(未调整不符事项之分录!D:D,未调整不符事项之报表影响!C45,未调整不符事项之分录!I:I),2)</f>
        <v>0</v>
      </c>
      <c r="H45" s="403">
        <f t="shared" si="0"/>
        <v>0</v>
      </c>
      <c r="I45" s="1156">
        <f t="shared" si="3"/>
        <v>0</v>
      </c>
      <c r="J45" s="1156"/>
      <c r="K45" s="1156">
        <f>ROUND(SUMIF(未调整不符事项之分录!D:D,未调整不符事项之报表影响!C45,未调整不符事项之分录!F:F),2)</f>
        <v>0</v>
      </c>
      <c r="L45" s="1156">
        <f>ROUND(SUMIF(未调整不符事项之分录!D:D,未调整不符事项之报表影响!C45,未调整不符事项之分录!G:G),2)</f>
        <v>0</v>
      </c>
      <c r="M45" s="403">
        <f t="shared" si="1"/>
        <v>0</v>
      </c>
      <c r="N45" s="1156">
        <f t="shared" si="4"/>
        <v>0</v>
      </c>
    </row>
    <row r="46" spans="1:14" ht="24" customHeight="1">
      <c r="A46" s="534" t="s">
        <v>3852</v>
      </c>
      <c r="B46" s="534" t="s">
        <v>1529</v>
      </c>
      <c r="C46" s="535" t="s">
        <v>1529</v>
      </c>
      <c r="D46" s="566" t="s">
        <v>3801</v>
      </c>
      <c r="E46" s="1156"/>
      <c r="F46" s="1156">
        <f>ROUND(SUMIF(未调整不符事项之分录!D:D,未调整不符事项之报表影响!C46,未调整不符事项之分录!H:H),2)</f>
        <v>0</v>
      </c>
      <c r="G46" s="1156">
        <f>ROUND(SUMIF(未调整不符事项之分录!D:D,未调整不符事项之报表影响!C46,未调整不符事项之分录!I:I),2)</f>
        <v>0</v>
      </c>
      <c r="H46" s="403">
        <f t="shared" si="0"/>
        <v>0</v>
      </c>
      <c r="I46" s="1156">
        <f t="shared" si="3"/>
        <v>0</v>
      </c>
      <c r="J46" s="1156"/>
      <c r="K46" s="1156">
        <f>ROUND(SUMIF(未调整不符事项之分录!D:D,未调整不符事项之报表影响!C46,未调整不符事项之分录!F:F),2)</f>
        <v>0</v>
      </c>
      <c r="L46" s="1156">
        <f>ROUND(SUMIF(未调整不符事项之分录!D:D,未调整不符事项之报表影响!C46,未调整不符事项之分录!G:G),2)</f>
        <v>0</v>
      </c>
      <c r="M46" s="403">
        <f t="shared" si="1"/>
        <v>0</v>
      </c>
      <c r="N46" s="1156">
        <f t="shared" si="4"/>
        <v>0</v>
      </c>
    </row>
    <row r="47" spans="1:14" ht="24" customHeight="1">
      <c r="A47" s="534" t="s">
        <v>3853</v>
      </c>
      <c r="B47" s="534" t="s">
        <v>3854</v>
      </c>
      <c r="C47" s="535" t="s">
        <v>3854</v>
      </c>
      <c r="D47" s="566" t="s">
        <v>3801</v>
      </c>
      <c r="E47" s="1156"/>
      <c r="F47" s="1156">
        <f>ROUND(SUMIF(未调整不符事项之分录!D:D,未调整不符事项之报表影响!C47,未调整不符事项之分录!H:H),2)</f>
        <v>0</v>
      </c>
      <c r="G47" s="1156">
        <f>ROUND(SUMIF(未调整不符事项之分录!D:D,未调整不符事项之报表影响!C47,未调整不符事项之分录!I:I),2)</f>
        <v>0</v>
      </c>
      <c r="H47" s="403">
        <f t="shared" si="0"/>
        <v>0</v>
      </c>
      <c r="I47" s="1156">
        <f t="shared" si="3"/>
        <v>0</v>
      </c>
      <c r="J47" s="1156"/>
      <c r="K47" s="1156">
        <f>ROUND(SUMIF(未调整不符事项之分录!D:D,未调整不符事项之报表影响!C47,未调整不符事项之分录!F:F),2)</f>
        <v>0</v>
      </c>
      <c r="L47" s="1156">
        <f>ROUND(SUMIF(未调整不符事项之分录!D:D,未调整不符事项之报表影响!C47,未调整不符事项之分录!G:G),2)</f>
        <v>0</v>
      </c>
      <c r="M47" s="403">
        <f t="shared" si="1"/>
        <v>0</v>
      </c>
      <c r="N47" s="1156">
        <f t="shared" si="4"/>
        <v>0</v>
      </c>
    </row>
    <row r="48" spans="1:14" ht="24" customHeight="1">
      <c r="A48" s="534" t="s">
        <v>3855</v>
      </c>
      <c r="B48" s="534" t="s">
        <v>1530</v>
      </c>
      <c r="C48" s="535" t="s">
        <v>1530</v>
      </c>
      <c r="D48" s="566" t="s">
        <v>3801</v>
      </c>
      <c r="E48" s="1156"/>
      <c r="F48" s="1156">
        <f>ROUND(SUMIF(未调整不符事项之分录!D:D,未调整不符事项之报表影响!C48,未调整不符事项之分录!H:H),2)</f>
        <v>0</v>
      </c>
      <c r="G48" s="1156">
        <f>ROUND(SUMIF(未调整不符事项之分录!D:D,未调整不符事项之报表影响!C48,未调整不符事项之分录!I:I),2)</f>
        <v>0</v>
      </c>
      <c r="H48" s="403">
        <f t="shared" si="0"/>
        <v>0</v>
      </c>
      <c r="I48" s="1156">
        <f>IF(D48="借",E48+F48-G48,IF(D48="贷",E48+G48-F48,IF(D48="",0,0)))</f>
        <v>0</v>
      </c>
      <c r="J48" s="1156"/>
      <c r="K48" s="1156">
        <f>ROUND(SUMIF(未调整不符事项之分录!D:D,未调整不符事项之报表影响!C48,未调整不符事项之分录!F:F),2)</f>
        <v>0</v>
      </c>
      <c r="L48" s="1156">
        <f>ROUND(SUMIF(未调整不符事项之分录!D:D,未调整不符事项之报表影响!C48,未调整不符事项之分录!G:G),2)</f>
        <v>0</v>
      </c>
      <c r="M48" s="403">
        <f t="shared" si="1"/>
        <v>0</v>
      </c>
      <c r="N48" s="1156">
        <f t="shared" si="4"/>
        <v>0</v>
      </c>
    </row>
    <row r="49" spans="1:14" ht="24" customHeight="1">
      <c r="A49" s="534" t="s">
        <v>3856</v>
      </c>
      <c r="B49" s="534" t="s">
        <v>1531</v>
      </c>
      <c r="C49" s="535" t="s">
        <v>1531</v>
      </c>
      <c r="D49" s="566" t="s">
        <v>3801</v>
      </c>
      <c r="E49" s="1156"/>
      <c r="F49" s="1156">
        <f>ROUND(SUMIF(未调整不符事项之分录!D:D,未调整不符事项之报表影响!C49,未调整不符事项之分录!H:H),2)</f>
        <v>0</v>
      </c>
      <c r="G49" s="1156">
        <f>ROUND(SUMIF(未调整不符事项之分录!D:D,未调整不符事项之报表影响!C49,未调整不符事项之分录!I:I),2)</f>
        <v>0</v>
      </c>
      <c r="H49" s="403">
        <f t="shared" si="0"/>
        <v>0</v>
      </c>
      <c r="I49" s="1156">
        <f t="shared" si="3"/>
        <v>0</v>
      </c>
      <c r="J49" s="1156"/>
      <c r="K49" s="1156">
        <f>ROUND(SUMIF(未调整不符事项之分录!D:D,未调整不符事项之报表影响!C49,未调整不符事项之分录!F:F),2)</f>
        <v>0</v>
      </c>
      <c r="L49" s="1156">
        <f>ROUND(SUMIF(未调整不符事项之分录!D:D,未调整不符事项之报表影响!C49,未调整不符事项之分录!G:G),2)</f>
        <v>0</v>
      </c>
      <c r="M49" s="403">
        <f t="shared" si="1"/>
        <v>0</v>
      </c>
      <c r="N49" s="1156">
        <f t="shared" si="4"/>
        <v>0</v>
      </c>
    </row>
    <row r="50" spans="1:14" ht="24" customHeight="1">
      <c r="A50" s="534" t="s">
        <v>3857</v>
      </c>
      <c r="B50" s="534" t="s">
        <v>3858</v>
      </c>
      <c r="C50" s="535" t="s">
        <v>3858</v>
      </c>
      <c r="D50" s="566" t="s">
        <v>3801</v>
      </c>
      <c r="E50" s="1156"/>
      <c r="F50" s="1156">
        <f>ROUND(SUMIF(未调整不符事项之分录!D:D,未调整不符事项之报表影响!C50,未调整不符事项之分录!H:H),2)</f>
        <v>0</v>
      </c>
      <c r="G50" s="1156">
        <f>ROUND(SUMIF(未调整不符事项之分录!D:D,未调整不符事项之报表影响!C50,未调整不符事项之分录!I:I),2)</f>
        <v>0</v>
      </c>
      <c r="H50" s="403">
        <f t="shared" si="0"/>
        <v>0</v>
      </c>
      <c r="I50" s="1156">
        <f t="shared" si="3"/>
        <v>0</v>
      </c>
      <c r="J50" s="1156"/>
      <c r="K50" s="1156">
        <f>ROUND(SUMIF(未调整不符事项之分录!D:D,未调整不符事项之报表影响!C50,未调整不符事项之分录!F:F),2)</f>
        <v>0</v>
      </c>
      <c r="L50" s="1156">
        <f>ROUND(SUMIF(未调整不符事项之分录!D:D,未调整不符事项之报表影响!C50,未调整不符事项之分录!G:G),2)</f>
        <v>0</v>
      </c>
      <c r="M50" s="403">
        <f t="shared" si="1"/>
        <v>0</v>
      </c>
      <c r="N50" s="1156">
        <f t="shared" si="4"/>
        <v>0</v>
      </c>
    </row>
    <row r="51" spans="1:14" ht="24" customHeight="1">
      <c r="A51" s="534" t="s">
        <v>3859</v>
      </c>
      <c r="B51" s="534" t="s">
        <v>1533</v>
      </c>
      <c r="C51" s="535" t="s">
        <v>3860</v>
      </c>
      <c r="D51" s="566" t="s">
        <v>3801</v>
      </c>
      <c r="E51" s="1156"/>
      <c r="F51" s="1156">
        <f>ROUND(SUMIF(未调整不符事项之分录!D:D,未调整不符事项之报表影响!C51,未调整不符事项之分录!H:H),2)</f>
        <v>0</v>
      </c>
      <c r="G51" s="1156">
        <f>ROUND(SUMIF(未调整不符事项之分录!D:D,未调整不符事项之报表影响!C51,未调整不符事项之分录!I:I)+G52,2)</f>
        <v>0</v>
      </c>
      <c r="H51" s="403">
        <f t="shared" si="0"/>
        <v>0</v>
      </c>
      <c r="I51" s="1156">
        <f t="shared" si="3"/>
        <v>0</v>
      </c>
      <c r="J51" s="1156"/>
      <c r="K51" s="1156">
        <f>ROUND(SUMIF(未调整不符事项之分录!D:D,未调整不符事项之报表影响!C51,未调整不符事项之分录!F:F)+K52,2)</f>
        <v>0</v>
      </c>
      <c r="L51" s="1156">
        <f>ROUND(SUMIF(未调整不符事项之分录!D:D,未调整不符事项之报表影响!C51,未调整不符事项之分录!G:G)+L52,2)</f>
        <v>0</v>
      </c>
      <c r="M51" s="403">
        <f t="shared" si="1"/>
        <v>0</v>
      </c>
      <c r="N51" s="1156">
        <f t="shared" si="4"/>
        <v>0</v>
      </c>
    </row>
    <row r="52" spans="1:14" ht="24" customHeight="1">
      <c r="A52" s="534" t="s">
        <v>3861</v>
      </c>
      <c r="B52" s="534"/>
      <c r="C52" s="535" t="s">
        <v>3862</v>
      </c>
      <c r="D52" s="566" t="s">
        <v>3801</v>
      </c>
      <c r="E52" s="1156"/>
      <c r="F52" s="1156">
        <f>ROUND(SUMIF(未调整不符事项之分录!D:D,未调整不符事项之报表影响!C52,未调整不符事项之分录!H:H),2)</f>
        <v>0</v>
      </c>
      <c r="G52" s="1156">
        <f>ROUND(SUMIF(未调整不符事项之分录!D:D,未调整不符事项之报表影响!C52,未调整不符事项之分录!I:I),2)</f>
        <v>0</v>
      </c>
      <c r="H52" s="403">
        <f t="shared" si="0"/>
        <v>0</v>
      </c>
      <c r="I52" s="1156">
        <f t="shared" si="3"/>
        <v>0</v>
      </c>
      <c r="J52" s="1156"/>
      <c r="K52" s="1156">
        <f>ROUND(SUMIF(未调整不符事项之分录!D:D,未调整不符事项之报表影响!C52,未调整不符事项之分录!F:F),2)</f>
        <v>0</v>
      </c>
      <c r="L52" s="1156">
        <f>ROUND(SUMIF(未调整不符事项之分录!D:D,未调整不符事项之报表影响!C52,未调整不符事项之分录!G:G),2)</f>
        <v>0</v>
      </c>
      <c r="M52" s="403">
        <f t="shared" si="1"/>
        <v>0</v>
      </c>
      <c r="N52" s="1156">
        <f t="shared" si="4"/>
        <v>0</v>
      </c>
    </row>
    <row r="53" spans="1:14" ht="24" customHeight="1">
      <c r="A53" s="524" t="s">
        <v>3863</v>
      </c>
      <c r="B53" s="524"/>
      <c r="C53" s="535"/>
      <c r="D53" s="429" t="s">
        <v>3801</v>
      </c>
      <c r="E53" s="1156"/>
      <c r="F53" s="1156">
        <f>ROUND(SUM(F30:F52)-F36-F37-F38-F39-F52,2)</f>
        <v>0</v>
      </c>
      <c r="G53" s="1156">
        <f>ROUND(SUM(G30:G52)-G36-G37-G38-G39-G52,2)</f>
        <v>0</v>
      </c>
      <c r="H53" s="403">
        <f t="shared" si="0"/>
        <v>0</v>
      </c>
      <c r="I53" s="1156">
        <f t="shared" si="3"/>
        <v>0</v>
      </c>
      <c r="J53" s="1156"/>
      <c r="K53" s="1156">
        <f>ROUND(SUM(K30:K52)-K36-K37-K38-K39-K52,2)</f>
        <v>0</v>
      </c>
      <c r="L53" s="1156">
        <f>ROUND(SUM(L30:L52)-L36-L37-L38-L39-L52,2)</f>
        <v>0</v>
      </c>
      <c r="M53" s="403">
        <f t="shared" si="1"/>
        <v>0</v>
      </c>
      <c r="N53" s="1156">
        <f t="shared" si="4"/>
        <v>0</v>
      </c>
    </row>
    <row r="54" spans="1:14" ht="24" customHeight="1">
      <c r="A54" s="524" t="s">
        <v>3864</v>
      </c>
      <c r="B54" s="524"/>
      <c r="C54" s="535"/>
      <c r="D54" s="429" t="s">
        <v>3801</v>
      </c>
      <c r="E54" s="1156"/>
      <c r="F54" s="1156">
        <f>ROUND(F53+F28,2)</f>
        <v>0</v>
      </c>
      <c r="G54" s="1156">
        <f>ROUND(G53+G28,2)</f>
        <v>0</v>
      </c>
      <c r="H54" s="403">
        <f t="shared" si="0"/>
        <v>0</v>
      </c>
      <c r="I54" s="1156">
        <f t="shared" si="3"/>
        <v>0</v>
      </c>
      <c r="J54" s="1156"/>
      <c r="K54" s="1156">
        <f>ROUND(K53+K28,2)</f>
        <v>0</v>
      </c>
      <c r="L54" s="1156">
        <f>ROUND(L53+L28,2)</f>
        <v>0</v>
      </c>
      <c r="M54" s="403">
        <f t="shared" si="1"/>
        <v>0</v>
      </c>
      <c r="N54" s="1156">
        <f t="shared" si="4"/>
        <v>0</v>
      </c>
    </row>
    <row r="55" spans="1:14" ht="14.25" hidden="1" customHeight="1">
      <c r="A55" s="535"/>
      <c r="B55" s="535"/>
      <c r="C55" s="535"/>
      <c r="D55" s="429"/>
      <c r="E55" s="535"/>
      <c r="F55" s="537"/>
      <c r="G55" s="537"/>
      <c r="H55" s="403"/>
      <c r="I55" s="537"/>
      <c r="J55" s="535"/>
      <c r="K55" s="537"/>
      <c r="L55" s="537"/>
      <c r="M55" s="403"/>
      <c r="N55" s="537"/>
    </row>
    <row r="56" spans="1:14" ht="14.25" hidden="1" customHeight="1">
      <c r="A56" s="524"/>
      <c r="B56" s="524"/>
      <c r="C56" s="535"/>
      <c r="D56" s="429"/>
      <c r="E56" s="429"/>
      <c r="F56" s="537"/>
      <c r="G56" s="537"/>
      <c r="H56" s="403"/>
      <c r="I56" s="537"/>
      <c r="J56" s="429"/>
      <c r="K56" s="537"/>
      <c r="L56" s="537"/>
      <c r="M56" s="403"/>
      <c r="N56" s="537"/>
    </row>
    <row r="57" spans="1:14" ht="14.25" hidden="1" customHeight="1">
      <c r="A57" s="538"/>
      <c r="B57" s="538"/>
      <c r="C57" s="535"/>
      <c r="D57" s="539"/>
      <c r="E57" s="539"/>
      <c r="F57" s="537"/>
      <c r="G57" s="537"/>
      <c r="H57" s="403"/>
      <c r="I57" s="537"/>
      <c r="J57" s="539"/>
      <c r="K57" s="537"/>
      <c r="L57" s="537"/>
      <c r="M57" s="403"/>
      <c r="N57" s="537"/>
    </row>
    <row r="58" spans="1:14" ht="14.25" hidden="1" customHeight="1">
      <c r="A58" s="529"/>
      <c r="B58" s="529"/>
      <c r="C58" s="535"/>
      <c r="D58" s="429"/>
      <c r="E58" s="534"/>
      <c r="F58" s="537"/>
      <c r="G58" s="537"/>
      <c r="H58" s="403"/>
      <c r="I58" s="537"/>
      <c r="J58" s="540"/>
      <c r="K58" s="537"/>
      <c r="L58" s="537"/>
      <c r="M58" s="403"/>
      <c r="N58" s="537"/>
    </row>
    <row r="59" spans="1:14" s="565" customFormat="1" ht="14.25" hidden="1" customHeight="1">
      <c r="A59" s="524" t="s">
        <v>3790</v>
      </c>
      <c r="B59" s="526"/>
      <c r="C59" s="526"/>
      <c r="D59" s="526"/>
      <c r="E59" s="1154"/>
      <c r="F59" s="526" t="s">
        <v>3865</v>
      </c>
      <c r="G59" s="526" t="s">
        <v>3866</v>
      </c>
      <c r="H59" s="403"/>
      <c r="I59" s="1154" t="str">
        <f>I5</f>
        <v>未调整不符事项之期末金额--报表影响</v>
      </c>
      <c r="J59" s="1154"/>
      <c r="K59" s="526" t="s">
        <v>3865</v>
      </c>
      <c r="L59" s="526" t="s">
        <v>3866</v>
      </c>
      <c r="M59" s="403"/>
      <c r="N59" s="1154" t="str">
        <f>N5</f>
        <v>未调整不符事项之期初金额--报表影响</v>
      </c>
    </row>
    <row r="60" spans="1:14" ht="24" customHeight="1">
      <c r="A60" s="529" t="s">
        <v>3867</v>
      </c>
      <c r="B60" s="529"/>
      <c r="C60" s="535"/>
      <c r="D60" s="429"/>
      <c r="E60" s="434"/>
      <c r="F60" s="434"/>
      <c r="G60" s="434"/>
      <c r="H60" s="403"/>
      <c r="I60" s="434"/>
      <c r="J60" s="434"/>
      <c r="K60" s="434"/>
      <c r="L60" s="434"/>
      <c r="M60" s="403"/>
      <c r="N60" s="434"/>
    </row>
    <row r="61" spans="1:14" ht="24" customHeight="1">
      <c r="A61" s="530" t="s">
        <v>3868</v>
      </c>
      <c r="B61" s="530" t="s">
        <v>2244</v>
      </c>
      <c r="C61" s="535" t="s">
        <v>2244</v>
      </c>
      <c r="D61" s="566" t="s">
        <v>3841</v>
      </c>
      <c r="E61" s="1156"/>
      <c r="F61" s="1156">
        <f>ROUND(SUMIF(未调整不符事项之分录!D:D,未调整不符事项之报表影响!C61,未调整不符事项之分录!H:H),2)</f>
        <v>0</v>
      </c>
      <c r="G61" s="1156">
        <f>ROUND(SUMIF(未调整不符事项之分录!D:D,未调整不符事项之报表影响!C61,未调整不符事项之分录!I:I),2)</f>
        <v>0</v>
      </c>
      <c r="H61" s="403">
        <f t="shared" ref="H61:H88" si="5">I61-E61</f>
        <v>0</v>
      </c>
      <c r="I61" s="1156">
        <f t="shared" si="3"/>
        <v>0</v>
      </c>
      <c r="J61" s="1156"/>
      <c r="K61" s="1156">
        <f>ROUND(SUMIF(未调整不符事项之分录!D:D,未调整不符事项之报表影响!C61,未调整不符事项之分录!F:F),2)</f>
        <v>0</v>
      </c>
      <c r="L61" s="1156">
        <f>ROUND(SUMIF(未调整不符事项之分录!D:D,未调整不符事项之报表影响!C61,未调整不符事项之分录!G:G),2)</f>
        <v>0</v>
      </c>
      <c r="M61" s="403">
        <f t="shared" ref="M61:M88" si="6">N61-J61</f>
        <v>0</v>
      </c>
      <c r="N61" s="1156">
        <f t="shared" ref="N61:N88" si="7">IF(D61="借",J61+K61-L61,IF(D61="贷",J61+L61-K61,IF(D61="",0,0)))</f>
        <v>0</v>
      </c>
    </row>
    <row r="62" spans="1:14" ht="24" customHeight="1">
      <c r="A62" s="530" t="s">
        <v>3869</v>
      </c>
      <c r="B62" s="530" t="s">
        <v>3870</v>
      </c>
      <c r="C62" s="535" t="s">
        <v>3870</v>
      </c>
      <c r="D62" s="566" t="s">
        <v>3841</v>
      </c>
      <c r="E62" s="1156"/>
      <c r="F62" s="1156">
        <f>ROUND(SUMIF(未调整不符事项之分录!D:D,未调整不符事项之报表影响!C62,未调整不符事项之分录!H:H),2)</f>
        <v>0</v>
      </c>
      <c r="G62" s="1156">
        <f>ROUND(SUMIF(未调整不符事项之分录!D:D,未调整不符事项之报表影响!C62,未调整不符事项之分录!I:I),2)</f>
        <v>0</v>
      </c>
      <c r="H62" s="403">
        <f t="shared" si="5"/>
        <v>0</v>
      </c>
      <c r="I62" s="1156">
        <f t="shared" si="3"/>
        <v>0</v>
      </c>
      <c r="J62" s="1156"/>
      <c r="K62" s="1156">
        <f>ROUND(SUMIF(未调整不符事项之分录!D:D,未调整不符事项之报表影响!C62,未调整不符事项之分录!F:F),2)</f>
        <v>0</v>
      </c>
      <c r="L62" s="1156">
        <f>ROUND(SUMIF(未调整不符事项之分录!D:D,未调整不符事项之报表影响!C62,未调整不符事项之分录!G:G),2)</f>
        <v>0</v>
      </c>
      <c r="M62" s="403">
        <f t="shared" si="6"/>
        <v>0</v>
      </c>
      <c r="N62" s="1156">
        <f t="shared" si="7"/>
        <v>0</v>
      </c>
    </row>
    <row r="63" spans="1:14" ht="24" customHeight="1">
      <c r="A63" s="530" t="s">
        <v>3871</v>
      </c>
      <c r="B63" s="530" t="s">
        <v>3872</v>
      </c>
      <c r="C63" s="535" t="s">
        <v>3872</v>
      </c>
      <c r="D63" s="566" t="s">
        <v>3841</v>
      </c>
      <c r="E63" s="1156"/>
      <c r="F63" s="1156">
        <f>ROUND(SUMIF(未调整不符事项之分录!D:D,未调整不符事项之报表影响!C63,未调整不符事项之分录!H:H),2)</f>
        <v>0</v>
      </c>
      <c r="G63" s="1156">
        <f>ROUND(SUMIF(未调整不符事项之分录!D:D,未调整不符事项之报表影响!C63,未调整不符事项之分录!I:I),2)</f>
        <v>0</v>
      </c>
      <c r="H63" s="403">
        <f t="shared" si="5"/>
        <v>0</v>
      </c>
      <c r="I63" s="1156">
        <f t="shared" si="3"/>
        <v>0</v>
      </c>
      <c r="J63" s="1156"/>
      <c r="K63" s="1156">
        <f>ROUND(SUMIF(未调整不符事项之分录!D:D,未调整不符事项之报表影响!C63,未调整不符事项之分录!F:F),2)</f>
        <v>0</v>
      </c>
      <c r="L63" s="1156">
        <f>ROUND(SUMIF(未调整不符事项之分录!D:D,未调整不符事项之报表影响!C63,未调整不符事项之分录!G:G),2)</f>
        <v>0</v>
      </c>
      <c r="M63" s="403">
        <f t="shared" si="6"/>
        <v>0</v>
      </c>
      <c r="N63" s="1156">
        <f t="shared" si="7"/>
        <v>0</v>
      </c>
    </row>
    <row r="64" spans="1:14" ht="24" customHeight="1">
      <c r="A64" s="530" t="s">
        <v>3873</v>
      </c>
      <c r="B64" s="530" t="s">
        <v>3874</v>
      </c>
      <c r="C64" s="535" t="s">
        <v>3874</v>
      </c>
      <c r="D64" s="566" t="s">
        <v>3841</v>
      </c>
      <c r="E64" s="1156"/>
      <c r="F64" s="1156">
        <f>ROUND(SUMIF(未调整不符事项之分录!D:D,未调整不符事项之报表影响!C64,未调整不符事项之分录!H:H),2)</f>
        <v>0</v>
      </c>
      <c r="G64" s="1156">
        <f>ROUND(SUMIF(未调整不符事项之分录!D:D,未调整不符事项之报表影响!C64,未调整不符事项之分录!I:I),2)</f>
        <v>0</v>
      </c>
      <c r="H64" s="403">
        <f t="shared" si="5"/>
        <v>0</v>
      </c>
      <c r="I64" s="1156">
        <f t="shared" si="3"/>
        <v>0</v>
      </c>
      <c r="J64" s="1156"/>
      <c r="K64" s="1156">
        <f>ROUND(SUMIF(未调整不符事项之分录!D:D,未调整不符事项之报表影响!C64,未调整不符事项之分录!F:F),2)</f>
        <v>0</v>
      </c>
      <c r="L64" s="1156">
        <f>ROUND(SUMIF(未调整不符事项之分录!D:D,未调整不符事项之报表影响!C64,未调整不符事项之分录!G:G),2)</f>
        <v>0</v>
      </c>
      <c r="M64" s="403">
        <f t="shared" si="6"/>
        <v>0</v>
      </c>
      <c r="N64" s="1156">
        <f t="shared" si="7"/>
        <v>0</v>
      </c>
    </row>
    <row r="65" spans="1:14" ht="24" customHeight="1">
      <c r="A65" s="530" t="s">
        <v>3875</v>
      </c>
      <c r="B65" s="530" t="s">
        <v>1535</v>
      </c>
      <c r="C65" s="535" t="s">
        <v>1535</v>
      </c>
      <c r="D65" s="566" t="s">
        <v>3841</v>
      </c>
      <c r="E65" s="1156"/>
      <c r="F65" s="1156">
        <f>ROUND(SUMIF(未调整不符事项之分录!D:D,未调整不符事项之报表影响!C65,未调整不符事项之分录!H:H),2)</f>
        <v>0</v>
      </c>
      <c r="G65" s="1156">
        <f>ROUND(SUMIF(未调整不符事项之分录!D:D,未调整不符事项之报表影响!C65,未调整不符事项之分录!I:I),2)</f>
        <v>0</v>
      </c>
      <c r="H65" s="403">
        <f>I65-E65</f>
        <v>0</v>
      </c>
      <c r="I65" s="1156">
        <f>IF(D65="借",E65+F65-G65,IF(D65="贷",E65+G65-F65,IF(D65="",0,0)))</f>
        <v>0</v>
      </c>
      <c r="J65" s="1156"/>
      <c r="K65" s="1156">
        <f>ROUND(SUMIF(未调整不符事项之分录!D:D,未调整不符事项之报表影响!C65,未调整不符事项之分录!F:F),2)</f>
        <v>0</v>
      </c>
      <c r="L65" s="1156">
        <f>ROUND(SUMIF(未调整不符事项之分录!D:D,未调整不符事项之报表影响!C65,未调整不符事项之分录!G:G),2)</f>
        <v>0</v>
      </c>
      <c r="M65" s="403">
        <f>N65-J65</f>
        <v>0</v>
      </c>
      <c r="N65" s="1156">
        <f>IF(D65="借",J65+K65-L65,IF(D65="贷",J65+L65-K65,IF(D65="",0,0)))</f>
        <v>0</v>
      </c>
    </row>
    <row r="66" spans="1:14" ht="24" customHeight="1">
      <c r="A66" s="530" t="s">
        <v>3876</v>
      </c>
      <c r="B66" s="530" t="s">
        <v>3877</v>
      </c>
      <c r="C66" s="535" t="s">
        <v>3877</v>
      </c>
      <c r="D66" s="566" t="s">
        <v>3841</v>
      </c>
      <c r="E66" s="1156"/>
      <c r="F66" s="1156">
        <f>ROUND(SUMIF(未调整不符事项之分录!D:D,未调整不符事项之报表影响!C66,未调整不符事项之分录!H:H),2)</f>
        <v>0</v>
      </c>
      <c r="G66" s="1156">
        <f>ROUND(SUMIF(未调整不符事项之分录!D:D,未调整不符事项之报表影响!C66,未调整不符事项之分录!I:I),2)</f>
        <v>0</v>
      </c>
      <c r="H66" s="403">
        <f t="shared" si="5"/>
        <v>0</v>
      </c>
      <c r="I66" s="1156">
        <f t="shared" si="3"/>
        <v>0</v>
      </c>
      <c r="J66" s="1156"/>
      <c r="K66" s="1156">
        <f>ROUND(SUMIF(未调整不符事项之分录!D:D,未调整不符事项之报表影响!C66,未调整不符事项之分录!F:F),2)</f>
        <v>0</v>
      </c>
      <c r="L66" s="1156">
        <f>ROUND(SUMIF(未调整不符事项之分录!D:D,未调整不符事项之报表影响!C66,未调整不符事项之分录!G:G),2)</f>
        <v>0</v>
      </c>
      <c r="M66" s="403">
        <f t="shared" si="6"/>
        <v>0</v>
      </c>
      <c r="N66" s="1156">
        <f t="shared" si="7"/>
        <v>0</v>
      </c>
    </row>
    <row r="67" spans="1:14" ht="24" customHeight="1">
      <c r="A67" s="530" t="s">
        <v>3878</v>
      </c>
      <c r="B67" s="530" t="s">
        <v>1536</v>
      </c>
      <c r="C67" s="535" t="s">
        <v>1536</v>
      </c>
      <c r="D67" s="566" t="s">
        <v>3841</v>
      </c>
      <c r="E67" s="1156"/>
      <c r="F67" s="1156">
        <f>ROUND(SUMIF(未调整不符事项之分录!D:D,未调整不符事项之报表影响!C67,未调整不符事项之分录!H:H),2)</f>
        <v>0</v>
      </c>
      <c r="G67" s="1156">
        <f>ROUND(SUMIF(未调整不符事项之分录!D:D,未调整不符事项之报表影响!C67,未调整不符事项之分录!I:I),2)</f>
        <v>0</v>
      </c>
      <c r="H67" s="403">
        <f t="shared" si="5"/>
        <v>0</v>
      </c>
      <c r="I67" s="1156">
        <f t="shared" si="3"/>
        <v>0</v>
      </c>
      <c r="J67" s="1156"/>
      <c r="K67" s="1156">
        <f>ROUND(SUMIF(未调整不符事项之分录!D:D,未调整不符事项之报表影响!C67,未调整不符事项之分录!F:F),2)</f>
        <v>0</v>
      </c>
      <c r="L67" s="1156">
        <f>ROUND(SUMIF(未调整不符事项之分录!D:D,未调整不符事项之报表影响!C67,未调整不符事项之分录!G:G),2)</f>
        <v>0</v>
      </c>
      <c r="M67" s="403">
        <f t="shared" si="6"/>
        <v>0</v>
      </c>
      <c r="N67" s="1156">
        <f t="shared" si="7"/>
        <v>0</v>
      </c>
    </row>
    <row r="68" spans="1:14" ht="24" customHeight="1">
      <c r="A68" s="530" t="s">
        <v>3879</v>
      </c>
      <c r="B68" s="530" t="s">
        <v>1537</v>
      </c>
      <c r="C68" s="535" t="s">
        <v>1537</v>
      </c>
      <c r="D68" s="566" t="s">
        <v>3841</v>
      </c>
      <c r="E68" s="1156"/>
      <c r="F68" s="1156">
        <f>ROUND(SUMIF(未调整不符事项之分录!D:D,未调整不符事项之报表影响!C68,未调整不符事项之分录!H:H),2)</f>
        <v>0</v>
      </c>
      <c r="G68" s="1156">
        <f>ROUND(SUMIF(未调整不符事项之分录!D:D,未调整不符事项之报表影响!C68,未调整不符事项之分录!I:I),2)</f>
        <v>0</v>
      </c>
      <c r="H68" s="403">
        <f t="shared" si="5"/>
        <v>0</v>
      </c>
      <c r="I68" s="1156">
        <f t="shared" si="3"/>
        <v>0</v>
      </c>
      <c r="J68" s="1156"/>
      <c r="K68" s="1156">
        <f>ROUND(SUMIF(未调整不符事项之分录!D:D,未调整不符事项之报表影响!C68,未调整不符事项之分录!F:F),2)</f>
        <v>0</v>
      </c>
      <c r="L68" s="1156">
        <f>ROUND(SUMIF(未调整不符事项之分录!D:D,未调整不符事项之报表影响!C68,未调整不符事项之分录!G:G),2)</f>
        <v>0</v>
      </c>
      <c r="M68" s="403">
        <f t="shared" si="6"/>
        <v>0</v>
      </c>
      <c r="N68" s="1156">
        <f t="shared" si="7"/>
        <v>0</v>
      </c>
    </row>
    <row r="69" spans="1:14" ht="24" customHeight="1">
      <c r="A69" s="530" t="s">
        <v>3880</v>
      </c>
      <c r="B69" s="530" t="s">
        <v>1538</v>
      </c>
      <c r="C69" s="535" t="s">
        <v>1538</v>
      </c>
      <c r="D69" s="566" t="s">
        <v>3841</v>
      </c>
      <c r="E69" s="1156"/>
      <c r="F69" s="1156">
        <f>ROUND(SUMIF(未调整不符事项之分录!D:D,未调整不符事项之报表影响!C69,未调整不符事项之分录!H:H),2)</f>
        <v>0</v>
      </c>
      <c r="G69" s="1156">
        <f>ROUND(SUMIF(未调整不符事项之分录!D:D,未调整不符事项之报表影响!C69,未调整不符事项之分录!I:I),2)</f>
        <v>0</v>
      </c>
      <c r="H69" s="403">
        <f t="shared" si="5"/>
        <v>0</v>
      </c>
      <c r="I69" s="1156">
        <f t="shared" si="3"/>
        <v>0</v>
      </c>
      <c r="J69" s="1156"/>
      <c r="K69" s="1156">
        <f>ROUND(SUMIF(未调整不符事项之分录!D:D,未调整不符事项之报表影响!C69,未调整不符事项之分录!F:F),2)</f>
        <v>0</v>
      </c>
      <c r="L69" s="1156">
        <f>ROUND(SUMIF(未调整不符事项之分录!D:D,未调整不符事项之报表影响!C69,未调整不符事项之分录!G:G),2)</f>
        <v>0</v>
      </c>
      <c r="M69" s="403">
        <f t="shared" si="6"/>
        <v>0</v>
      </c>
      <c r="N69" s="1156">
        <f t="shared" si="7"/>
        <v>0</v>
      </c>
    </row>
    <row r="70" spans="1:14" ht="24" customHeight="1">
      <c r="A70" s="530" t="s">
        <v>3881</v>
      </c>
      <c r="B70" s="530" t="s">
        <v>3882</v>
      </c>
      <c r="C70" s="535" t="s">
        <v>3882</v>
      </c>
      <c r="D70" s="566" t="s">
        <v>3841</v>
      </c>
      <c r="E70" s="1156"/>
      <c r="F70" s="1156">
        <f>ROUND(SUMIF(未调整不符事项之分录!D:D,未调整不符事项之报表影响!C70,未调整不符事项之分录!H:H),2)</f>
        <v>0</v>
      </c>
      <c r="G70" s="1156">
        <f>ROUND(SUMIF(未调整不符事项之分录!D:D,未调整不符事项之报表影响!C70,未调整不符事项之分录!I:I),2)</f>
        <v>0</v>
      </c>
      <c r="H70" s="403">
        <f t="shared" si="5"/>
        <v>0</v>
      </c>
      <c r="I70" s="1156">
        <f t="shared" si="3"/>
        <v>0</v>
      </c>
      <c r="J70" s="1156"/>
      <c r="K70" s="1156">
        <f>ROUND(SUMIF(未调整不符事项之分录!D:D,未调整不符事项之报表影响!C70,未调整不符事项之分录!F:F),2)</f>
        <v>0</v>
      </c>
      <c r="L70" s="1156">
        <f>ROUND(SUMIF(未调整不符事项之分录!D:D,未调整不符事项之报表影响!C70,未调整不符事项之分录!G:G),2)</f>
        <v>0</v>
      </c>
      <c r="M70" s="403">
        <f t="shared" si="6"/>
        <v>0</v>
      </c>
      <c r="N70" s="1156">
        <f t="shared" si="7"/>
        <v>0</v>
      </c>
    </row>
    <row r="71" spans="1:14" ht="24" customHeight="1">
      <c r="A71" s="530" t="s">
        <v>3883</v>
      </c>
      <c r="B71" s="530" t="s">
        <v>3884</v>
      </c>
      <c r="C71" s="535" t="s">
        <v>3884</v>
      </c>
      <c r="D71" s="566" t="s">
        <v>3841</v>
      </c>
      <c r="E71" s="1156"/>
      <c r="F71" s="1156">
        <f>ROUND(SUMIF(未调整不符事项之分录!D:D,未调整不符事项之报表影响!C71,未调整不符事项之分录!H:H),2)</f>
        <v>0</v>
      </c>
      <c r="G71" s="1156">
        <f>ROUND(SUMIF(未调整不符事项之分录!D:D,未调整不符事项之报表影响!C71,未调整不符事项之分录!I:I),2)</f>
        <v>0</v>
      </c>
      <c r="H71" s="403">
        <f t="shared" si="5"/>
        <v>0</v>
      </c>
      <c r="I71" s="1156">
        <f t="shared" si="3"/>
        <v>0</v>
      </c>
      <c r="J71" s="1156"/>
      <c r="K71" s="1156">
        <f>ROUND(SUMIF(未调整不符事项之分录!D:D,未调整不符事项之报表影响!C71,未调整不符事项之分录!F:F),2)</f>
        <v>0</v>
      </c>
      <c r="L71" s="1156">
        <f>ROUND(SUMIF(未调整不符事项之分录!D:D,未调整不符事项之报表影响!C71,未调整不符事项之分录!G:G),2)</f>
        <v>0</v>
      </c>
      <c r="M71" s="403">
        <f t="shared" si="6"/>
        <v>0</v>
      </c>
      <c r="N71" s="1156">
        <f t="shared" si="7"/>
        <v>0</v>
      </c>
    </row>
    <row r="72" spans="1:14" ht="24" customHeight="1">
      <c r="A72" s="530" t="s">
        <v>3885</v>
      </c>
      <c r="B72" s="530" t="s">
        <v>450</v>
      </c>
      <c r="C72" s="535" t="s">
        <v>3886</v>
      </c>
      <c r="D72" s="566" t="s">
        <v>3841</v>
      </c>
      <c r="E72" s="1156"/>
      <c r="F72" s="1156">
        <f>ROUND(SUMIF(未调整不符事项之分录!D:D,未调整不符事项之报表影响!C72,未调整不符事项之分录!H:H)+F73+F74,2)</f>
        <v>0</v>
      </c>
      <c r="G72" s="1156">
        <f>ROUND(SUMIF(未调整不符事项之分录!D:D,未调整不符事项之报表影响!C72,未调整不符事项之分录!I:I)+G73+G74,2)</f>
        <v>0</v>
      </c>
      <c r="H72" s="403">
        <f t="shared" si="5"/>
        <v>0</v>
      </c>
      <c r="I72" s="1156">
        <f t="shared" si="3"/>
        <v>0</v>
      </c>
      <c r="J72" s="1156"/>
      <c r="K72" s="1156">
        <f>ROUND(SUMIF(未调整不符事项之分录!D:D,未调整不符事项之报表影响!C72,未调整不符事项之分录!F:F)+K73+K74,2)</f>
        <v>0</v>
      </c>
      <c r="L72" s="1156">
        <f>SUMIF(未调整不符事项之分录!D:D,未调整不符事项之报表影响!C72,未调整不符事项之分录!G:G)+L73+L74</f>
        <v>0</v>
      </c>
      <c r="M72" s="403">
        <f t="shared" si="6"/>
        <v>0</v>
      </c>
      <c r="N72" s="1156">
        <f t="shared" si="7"/>
        <v>0</v>
      </c>
    </row>
    <row r="73" spans="1:14" ht="24" customHeight="1">
      <c r="A73" s="530" t="s">
        <v>3887</v>
      </c>
      <c r="B73" s="530"/>
      <c r="C73" s="535" t="s">
        <v>3888</v>
      </c>
      <c r="D73" s="566" t="s">
        <v>3841</v>
      </c>
      <c r="E73" s="1156"/>
      <c r="F73" s="1156">
        <f>ROUND(SUMIF(未调整不符事项之分录!D:D,未调整不符事项之报表影响!C73,未调整不符事项之分录!H:H),2)</f>
        <v>0</v>
      </c>
      <c r="G73" s="1156">
        <f>ROUND(SUMIF(未调整不符事项之分录!D:D,未调整不符事项之报表影响!C73,未调整不符事项之分录!I:I),2)</f>
        <v>0</v>
      </c>
      <c r="H73" s="403">
        <f t="shared" si="5"/>
        <v>0</v>
      </c>
      <c r="I73" s="1156">
        <f t="shared" si="3"/>
        <v>0</v>
      </c>
      <c r="J73" s="1156"/>
      <c r="K73" s="1156">
        <f>ROUND(SUMIF(未调整不符事项之分录!D:D,未调整不符事项之报表影响!C73,未调整不符事项之分录!F:F),2)</f>
        <v>0</v>
      </c>
      <c r="L73" s="1156">
        <f>ROUND(SUMIF(未调整不符事项之分录!D:D,未调整不符事项之报表影响!C73,未调整不符事项之分录!G:G),2)</f>
        <v>0</v>
      </c>
      <c r="M73" s="403">
        <f t="shared" si="6"/>
        <v>0</v>
      </c>
      <c r="N73" s="1156">
        <f t="shared" si="7"/>
        <v>0</v>
      </c>
    </row>
    <row r="74" spans="1:14" ht="24" customHeight="1">
      <c r="A74" s="530" t="s">
        <v>3889</v>
      </c>
      <c r="B74" s="530"/>
      <c r="C74" s="535" t="s">
        <v>3890</v>
      </c>
      <c r="D74" s="566" t="s">
        <v>3841</v>
      </c>
      <c r="E74" s="1156"/>
      <c r="F74" s="1156">
        <f>ROUND(SUMIF(未调整不符事项之分录!D:D,未调整不符事项之报表影响!C74,未调整不符事项之分录!H:H)+F75,2)</f>
        <v>0</v>
      </c>
      <c r="G74" s="1156">
        <f>ROUND(SUMIF(未调整不符事项之分录!D:D,未调整不符事项之报表影响!C74,未调整不符事项之分录!I:I)+G75,2)</f>
        <v>0</v>
      </c>
      <c r="H74" s="403">
        <f t="shared" si="5"/>
        <v>0</v>
      </c>
      <c r="I74" s="1156">
        <f t="shared" si="3"/>
        <v>0</v>
      </c>
      <c r="J74" s="1156"/>
      <c r="K74" s="1156">
        <f>ROUND(SUMIF(未调整不符事项之分录!D:D,未调整不符事项之报表影响!C74,未调整不符事项之分录!F:F)+K75,2)</f>
        <v>0</v>
      </c>
      <c r="L74" s="1156">
        <f>ROUND(SUMIF(未调整不符事项之分录!D:D,未调整不符事项之报表影响!C74,未调整不符事项之分录!G:G)+L75,2)</f>
        <v>0</v>
      </c>
      <c r="M74" s="403">
        <f t="shared" si="6"/>
        <v>0</v>
      </c>
      <c r="N74" s="1156">
        <f t="shared" si="7"/>
        <v>0</v>
      </c>
    </row>
    <row r="75" spans="1:14" ht="24" customHeight="1">
      <c r="A75" s="530" t="s">
        <v>3891</v>
      </c>
      <c r="B75" s="530"/>
      <c r="C75" s="535" t="s">
        <v>3892</v>
      </c>
      <c r="D75" s="566" t="s">
        <v>3841</v>
      </c>
      <c r="E75" s="1156"/>
      <c r="F75" s="1156">
        <f>ROUND(SUMIF(未调整不符事项之分录!D:D,未调整不符事项之报表影响!C75,未调整不符事项之分录!H:H),2)</f>
        <v>0</v>
      </c>
      <c r="G75" s="1156">
        <f>ROUND(SUMIF(未调整不符事项之分录!D:D,未调整不符事项之报表影响!C75,未调整不符事项之分录!I:I),2)</f>
        <v>0</v>
      </c>
      <c r="H75" s="403">
        <f t="shared" si="5"/>
        <v>0</v>
      </c>
      <c r="I75" s="1156">
        <f t="shared" ref="I75:I145" si="8">IF(D75="借",E75+F75-G75,IF(D75="贷",E75+G75-F75,IF(D75="",0,0)))</f>
        <v>0</v>
      </c>
      <c r="J75" s="1156"/>
      <c r="K75" s="1156">
        <f>ROUND(SUMIF(未调整不符事项之分录!D:D,未调整不符事项之报表影响!C75,未调整不符事项之分录!F:F),2)</f>
        <v>0</v>
      </c>
      <c r="L75" s="1156">
        <f>ROUND(SUMIF(未调整不符事项之分录!D:D,未调整不符事项之报表影响!C75,未调整不符事项之分录!G:G),2)</f>
        <v>0</v>
      </c>
      <c r="M75" s="403">
        <f t="shared" si="6"/>
        <v>0</v>
      </c>
      <c r="N75" s="1156">
        <f t="shared" si="7"/>
        <v>0</v>
      </c>
    </row>
    <row r="76" spans="1:14" ht="24" customHeight="1">
      <c r="A76" s="532" t="s">
        <v>3893</v>
      </c>
      <c r="B76" s="532" t="s">
        <v>3894</v>
      </c>
      <c r="C76" s="535" t="s">
        <v>3895</v>
      </c>
      <c r="D76" s="566" t="s">
        <v>3896</v>
      </c>
      <c r="E76" s="1156"/>
      <c r="F76" s="1156">
        <f>ROUND(SUMIF(未调整不符事项之分录!D:D,未调整不符事项之报表影响!C76,未调整不符事项之分录!H:H)+F77,2)</f>
        <v>0</v>
      </c>
      <c r="G76" s="1156">
        <f>ROUND(SUMIF(未调整不符事项之分录!D:D,未调整不符事项之报表影响!C76,未调整不符事项之分录!I:I)+G77,2)</f>
        <v>0</v>
      </c>
      <c r="H76" s="403">
        <f t="shared" si="5"/>
        <v>0</v>
      </c>
      <c r="I76" s="1156">
        <f t="shared" si="8"/>
        <v>0</v>
      </c>
      <c r="J76" s="1156"/>
      <c r="K76" s="1156">
        <f>ROUND(SUMIF(未调整不符事项之分录!D:D,未调整不符事项之报表影响!C76,未调整不符事项之分录!F:F)+K77,2)</f>
        <v>0</v>
      </c>
      <c r="L76" s="1156">
        <f>ROUND(SUMIF(未调整不符事项之分录!D:D,未调整不符事项之报表影响!C76,未调整不符事项之分录!G:G)+L77,2)</f>
        <v>0</v>
      </c>
      <c r="M76" s="403">
        <f t="shared" si="6"/>
        <v>0</v>
      </c>
      <c r="N76" s="1156">
        <f t="shared" si="7"/>
        <v>0</v>
      </c>
    </row>
    <row r="77" spans="1:14" ht="24" customHeight="1">
      <c r="A77" s="532" t="s">
        <v>3897</v>
      </c>
      <c r="B77" s="532"/>
      <c r="C77" s="535" t="s">
        <v>3898</v>
      </c>
      <c r="D77" s="566" t="s">
        <v>3841</v>
      </c>
      <c r="E77" s="1156"/>
      <c r="F77" s="1156">
        <f>ROUND(SUMIF(未调整不符事项之分录!D:D,未调整不符事项之报表影响!C77,未调整不符事项之分录!H:H),2)</f>
        <v>0</v>
      </c>
      <c r="G77" s="1156">
        <f>ROUND(SUMIF(未调整不符事项之分录!D:D,未调整不符事项之报表影响!C77,未调整不符事项之分录!I:I),2)</f>
        <v>0</v>
      </c>
      <c r="H77" s="403">
        <f t="shared" si="5"/>
        <v>0</v>
      </c>
      <c r="I77" s="1156">
        <f t="shared" si="8"/>
        <v>0</v>
      </c>
      <c r="J77" s="1156"/>
      <c r="K77" s="1156">
        <f>ROUND(SUMIF(未调整不符事项之分录!D:D,未调整不符事项之报表影响!C77,未调整不符事项之分录!F:F),2)</f>
        <v>0</v>
      </c>
      <c r="L77" s="1156">
        <f>ROUND(SUMIF(未调整不符事项之分录!D:D,未调整不符事项之报表影响!C77,未调整不符事项之分录!G:G),2)</f>
        <v>0</v>
      </c>
      <c r="M77" s="403">
        <f t="shared" si="6"/>
        <v>0</v>
      </c>
      <c r="N77" s="1156">
        <f t="shared" si="7"/>
        <v>0</v>
      </c>
    </row>
    <row r="78" spans="1:14" ht="24" customHeight="1">
      <c r="A78" s="530" t="s">
        <v>3899</v>
      </c>
      <c r="B78" s="530" t="s">
        <v>1540</v>
      </c>
      <c r="C78" s="535" t="s">
        <v>1540</v>
      </c>
      <c r="D78" s="566" t="s">
        <v>3841</v>
      </c>
      <c r="E78" s="1156"/>
      <c r="F78" s="1156">
        <f>ROUND(SUMIF(未调整不符事项之分录!D:D,未调整不符事项之报表影响!C78,未调整不符事项之分录!H:H),2)</f>
        <v>0</v>
      </c>
      <c r="G78" s="1156">
        <f>ROUND(SUMIF(未调整不符事项之分录!D:D,未调整不符事项之报表影响!C78,未调整不符事项之分录!I:I),2)</f>
        <v>0</v>
      </c>
      <c r="H78" s="403">
        <f t="shared" si="5"/>
        <v>0</v>
      </c>
      <c r="I78" s="1156">
        <f t="shared" si="8"/>
        <v>0</v>
      </c>
      <c r="J78" s="1156"/>
      <c r="K78" s="1156">
        <f>ROUND(SUMIF(未调整不符事项之分录!D:D,未调整不符事项之报表影响!C78,未调整不符事项之分录!F:F),2)</f>
        <v>0</v>
      </c>
      <c r="L78" s="1156">
        <f>ROUND(SUMIF(未调整不符事项之分录!D:D,未调整不符事项之报表影响!C78,未调整不符事项之分录!G:G),2)</f>
        <v>0</v>
      </c>
      <c r="M78" s="403">
        <f t="shared" si="6"/>
        <v>0</v>
      </c>
      <c r="N78" s="1156">
        <f t="shared" si="7"/>
        <v>0</v>
      </c>
    </row>
    <row r="79" spans="1:14" ht="24" customHeight="1">
      <c r="A79" s="530" t="s">
        <v>3900</v>
      </c>
      <c r="B79" s="530" t="s">
        <v>1541</v>
      </c>
      <c r="C79" s="535" t="s">
        <v>1541</v>
      </c>
      <c r="D79" s="566" t="s">
        <v>3841</v>
      </c>
      <c r="E79" s="1156"/>
      <c r="F79" s="1156">
        <f>ROUND(SUMIF(未调整不符事项之分录!D:D,未调整不符事项之报表影响!C79,未调整不符事项之分录!H:H),2)</f>
        <v>0</v>
      </c>
      <c r="G79" s="1156">
        <f>ROUND(SUMIF(未调整不符事项之分录!D:D,未调整不符事项之报表影响!C79,未调整不符事项之分录!I:I),2)</f>
        <v>0</v>
      </c>
      <c r="H79" s="403">
        <f t="shared" si="5"/>
        <v>0</v>
      </c>
      <c r="I79" s="1156">
        <f t="shared" si="8"/>
        <v>0</v>
      </c>
      <c r="J79" s="1156"/>
      <c r="K79" s="1156">
        <f>ROUND(SUMIF(未调整不符事项之分录!D:D,未调整不符事项之报表影响!C79,未调整不符事项之分录!F:F),2)</f>
        <v>0</v>
      </c>
      <c r="L79" s="1156">
        <f>ROUND(SUMIF(未调整不符事项之分录!D:D,未调整不符事项之报表影响!C79,未调整不符事项之分录!G:G),2)</f>
        <v>0</v>
      </c>
      <c r="M79" s="403">
        <f t="shared" si="6"/>
        <v>0</v>
      </c>
      <c r="N79" s="1156">
        <f t="shared" si="7"/>
        <v>0</v>
      </c>
    </row>
    <row r="80" spans="1:14" ht="24" customHeight="1">
      <c r="A80" s="530" t="s">
        <v>3901</v>
      </c>
      <c r="B80" s="530" t="s">
        <v>1542</v>
      </c>
      <c r="C80" s="535" t="s">
        <v>1542</v>
      </c>
      <c r="D80" s="566" t="s">
        <v>3841</v>
      </c>
      <c r="E80" s="1156"/>
      <c r="F80" s="1156">
        <f>ROUND(SUMIF(未调整不符事项之分录!D:D,未调整不符事项之报表影响!C80,未调整不符事项之分录!H:H),2)</f>
        <v>0</v>
      </c>
      <c r="G80" s="1156">
        <f>ROUND(SUMIF(未调整不符事项之分录!D:D,未调整不符事项之报表影响!C80,未调整不符事项之分录!I:I),2)</f>
        <v>0</v>
      </c>
      <c r="H80" s="403">
        <f t="shared" si="5"/>
        <v>0</v>
      </c>
      <c r="I80" s="1156">
        <f t="shared" si="8"/>
        <v>0</v>
      </c>
      <c r="J80" s="1156"/>
      <c r="K80" s="1156">
        <f>ROUND(SUMIF(未调整不符事项之分录!D:D,未调整不符事项之报表影响!C80,未调整不符事项之分录!F:F),2)</f>
        <v>0</v>
      </c>
      <c r="L80" s="1156">
        <f>ROUND(SUMIF(未调整不符事项之分录!D:D,未调整不符事项之报表影响!C80,未调整不符事项之分录!G:G),2)</f>
        <v>0</v>
      </c>
      <c r="M80" s="403">
        <f t="shared" si="6"/>
        <v>0</v>
      </c>
      <c r="N80" s="1156">
        <f t="shared" si="7"/>
        <v>0</v>
      </c>
    </row>
    <row r="81" spans="1:14" ht="24" customHeight="1">
      <c r="A81" s="530" t="s">
        <v>3902</v>
      </c>
      <c r="B81" s="530" t="s">
        <v>3903</v>
      </c>
      <c r="C81" s="535" t="s">
        <v>3903</v>
      </c>
      <c r="D81" s="566" t="s">
        <v>3841</v>
      </c>
      <c r="E81" s="1156"/>
      <c r="F81" s="1156">
        <f>ROUND(SUMIF(未调整不符事项之分录!D:D,未调整不符事项之报表影响!C81,未调整不符事项之分录!H:H),2)</f>
        <v>0</v>
      </c>
      <c r="G81" s="1156">
        <f>ROUND(SUMIF(未调整不符事项之分录!D:D,未调整不符事项之报表影响!C81,未调整不符事项之分录!I:I),2)</f>
        <v>0</v>
      </c>
      <c r="H81" s="403">
        <f t="shared" si="5"/>
        <v>0</v>
      </c>
      <c r="I81" s="1156">
        <f t="shared" si="8"/>
        <v>0</v>
      </c>
      <c r="J81" s="1156"/>
      <c r="K81" s="1156">
        <f>ROUND(SUMIF(未调整不符事项之分录!D:D,未调整不符事项之报表影响!C81,未调整不符事项之分录!F:F),2)</f>
        <v>0</v>
      </c>
      <c r="L81" s="1156">
        <f>ROUND(SUMIF(未调整不符事项之分录!D:D,未调整不符事项之报表影响!C81,未调整不符事项之分录!G:G),2)</f>
        <v>0</v>
      </c>
      <c r="M81" s="403">
        <f t="shared" si="6"/>
        <v>0</v>
      </c>
      <c r="N81" s="1156">
        <f t="shared" si="7"/>
        <v>0</v>
      </c>
    </row>
    <row r="82" spans="1:14" ht="24" customHeight="1">
      <c r="A82" s="530" t="s">
        <v>3904</v>
      </c>
      <c r="B82" s="530" t="s">
        <v>3905</v>
      </c>
      <c r="C82" s="535" t="s">
        <v>3905</v>
      </c>
      <c r="D82" s="566" t="s">
        <v>3841</v>
      </c>
      <c r="E82" s="1156"/>
      <c r="F82" s="1156">
        <f>ROUND(SUMIF(未调整不符事项之分录!D:D,未调整不符事项之报表影响!C82,未调整不符事项之分录!H:H),2)</f>
        <v>0</v>
      </c>
      <c r="G82" s="1156">
        <f>ROUND(SUMIF(未调整不符事项之分录!D:D,未调整不符事项之报表影响!C82,未调整不符事项之分录!I:I),2)</f>
        <v>0</v>
      </c>
      <c r="H82" s="403">
        <f t="shared" si="5"/>
        <v>0</v>
      </c>
      <c r="I82" s="1156">
        <f t="shared" si="8"/>
        <v>0</v>
      </c>
      <c r="J82" s="1156"/>
      <c r="K82" s="1156">
        <f>ROUND(SUMIF(未调整不符事项之分录!D:D,未调整不符事项之报表影响!C82,未调整不符事项之分录!F:F),2)</f>
        <v>0</v>
      </c>
      <c r="L82" s="1156">
        <f>ROUND(SUMIF(未调整不符事项之分录!D:D,未调整不符事项之报表影响!C82,未调整不符事项之分录!G:G),2)</f>
        <v>0</v>
      </c>
      <c r="M82" s="403">
        <f t="shared" si="6"/>
        <v>0</v>
      </c>
      <c r="N82" s="1156">
        <f t="shared" si="7"/>
        <v>0</v>
      </c>
    </row>
    <row r="83" spans="1:14" ht="24" customHeight="1">
      <c r="A83" s="530" t="s">
        <v>3906</v>
      </c>
      <c r="B83" s="530" t="s">
        <v>3907</v>
      </c>
      <c r="C83" s="535" t="s">
        <v>3907</v>
      </c>
      <c r="D83" s="566" t="s">
        <v>3841</v>
      </c>
      <c r="E83" s="1156"/>
      <c r="F83" s="1156">
        <f>ROUND(SUMIF(未调整不符事项之分录!D:D,未调整不符事项之报表影响!C83,未调整不符事项之分录!H:H),2)</f>
        <v>0</v>
      </c>
      <c r="G83" s="1156">
        <f>ROUND(SUMIF(未调整不符事项之分录!D:D,未调整不符事项之报表影响!C83,未调整不符事项之分录!I:I),2)</f>
        <v>0</v>
      </c>
      <c r="H83" s="403">
        <f t="shared" si="5"/>
        <v>0</v>
      </c>
      <c r="I83" s="1156">
        <f t="shared" si="8"/>
        <v>0</v>
      </c>
      <c r="J83" s="1156"/>
      <c r="K83" s="1156">
        <f>ROUND(SUMIF(未调整不符事项之分录!D:D,未调整不符事项之报表影响!C83,未调整不符事项之分录!F:F),2)</f>
        <v>0</v>
      </c>
      <c r="L83" s="1156">
        <f>ROUND(SUMIF(未调整不符事项之分录!D:D,未调整不符事项之报表影响!C83,未调整不符事项之分录!G:G),2)</f>
        <v>0</v>
      </c>
      <c r="M83" s="403">
        <f t="shared" si="6"/>
        <v>0</v>
      </c>
      <c r="N83" s="1156">
        <f t="shared" si="7"/>
        <v>0</v>
      </c>
    </row>
    <row r="84" spans="1:14" ht="24" customHeight="1">
      <c r="A84" s="530" t="s">
        <v>3908</v>
      </c>
      <c r="B84" s="530" t="s">
        <v>3909</v>
      </c>
      <c r="C84" s="535" t="s">
        <v>3909</v>
      </c>
      <c r="D84" s="566" t="s">
        <v>3841</v>
      </c>
      <c r="E84" s="1156"/>
      <c r="F84" s="1156">
        <f>ROUND(SUMIF(未调整不符事项之分录!D:D,未调整不符事项之报表影响!C84,未调整不符事项之分录!H:H),2)</f>
        <v>0</v>
      </c>
      <c r="G84" s="1156">
        <f>ROUND(SUMIF(未调整不符事项之分录!D:D,未调整不符事项之报表影响!C84,未调整不符事项之分录!I:I),2)</f>
        <v>0</v>
      </c>
      <c r="H84" s="403">
        <f t="shared" si="5"/>
        <v>0</v>
      </c>
      <c r="I84" s="1156">
        <f t="shared" si="8"/>
        <v>0</v>
      </c>
      <c r="J84" s="1156"/>
      <c r="K84" s="1156">
        <f>ROUND(SUMIF(未调整不符事项之分录!D:D,未调整不符事项之报表影响!C84,未调整不符事项之分录!F:F),2)</f>
        <v>0</v>
      </c>
      <c r="L84" s="1156">
        <f>ROUND(SUMIF(未调整不符事项之分录!D:D,未调整不符事项之报表影响!C84,未调整不符事项之分录!G:G),2)</f>
        <v>0</v>
      </c>
      <c r="M84" s="403">
        <f t="shared" si="6"/>
        <v>0</v>
      </c>
      <c r="N84" s="1156">
        <f t="shared" si="7"/>
        <v>0</v>
      </c>
    </row>
    <row r="85" spans="1:14" ht="24" customHeight="1">
      <c r="A85" s="1341" t="s">
        <v>4764</v>
      </c>
      <c r="B85" s="1341" t="s">
        <v>4764</v>
      </c>
      <c r="C85" s="1341" t="s">
        <v>4764</v>
      </c>
      <c r="D85" s="566" t="s">
        <v>3841</v>
      </c>
      <c r="E85" s="1156"/>
      <c r="F85" s="1156">
        <f>ROUND(SUMIF(未调整不符事项之分录!D:D,未调整不符事项之报表影响!C85,未调整不符事项之分录!H:H),2)</f>
        <v>0</v>
      </c>
      <c r="G85" s="1156">
        <f>ROUND(SUMIF(未调整不符事项之分录!D:D,未调整不符事项之报表影响!C85,未调整不符事项之分录!I:I),2)</f>
        <v>0</v>
      </c>
      <c r="H85" s="403">
        <f>I85-E85</f>
        <v>0</v>
      </c>
      <c r="I85" s="1156">
        <f>IF(D85="借",E85+F85-G85,IF(D85="贷",E85+G85-F85,IF(D85="",0,0)))</f>
        <v>0</v>
      </c>
      <c r="J85" s="1156"/>
      <c r="K85" s="1156">
        <f>ROUND(SUMIF(未调整不符事项之分录!D:D,未调整不符事项之报表影响!C85,未调整不符事项之分录!F:F),2)</f>
        <v>0</v>
      </c>
      <c r="L85" s="1156">
        <f>ROUND(SUMIF(未调整不符事项之分录!D:D,未调整不符事项之报表影响!C85,未调整不符事项之分录!G:G),2)</f>
        <v>0</v>
      </c>
      <c r="M85" s="403">
        <f>N85-J85</f>
        <v>0</v>
      </c>
      <c r="N85" s="1156">
        <f>IF(D85="借",J85+K85-L85,IF(D85="贷",J85+L85-K85,IF(D85="",0,0)))</f>
        <v>0</v>
      </c>
    </row>
    <row r="86" spans="1:14" ht="24" customHeight="1">
      <c r="A86" s="530" t="s">
        <v>3910</v>
      </c>
      <c r="B86" s="530" t="s">
        <v>1543</v>
      </c>
      <c r="C86" s="535" t="s">
        <v>1543</v>
      </c>
      <c r="D86" s="566" t="s">
        <v>3841</v>
      </c>
      <c r="E86" s="1156"/>
      <c r="F86" s="1156">
        <f>ROUND(SUMIF(未调整不符事项之分录!D:D,未调整不符事项之报表影响!C86,未调整不符事项之分录!H:H),2)</f>
        <v>0</v>
      </c>
      <c r="G86" s="1156">
        <f>ROUND(SUMIF(未调整不符事项之分录!D:D,未调整不符事项之报表影响!C86,未调整不符事项之分录!I:I),2)</f>
        <v>0</v>
      </c>
      <c r="H86" s="403">
        <f t="shared" si="5"/>
        <v>0</v>
      </c>
      <c r="I86" s="1156">
        <f t="shared" si="8"/>
        <v>0</v>
      </c>
      <c r="J86" s="1156"/>
      <c r="K86" s="1156">
        <f>ROUND(SUMIF(未调整不符事项之分录!D:D,未调整不符事项之报表影响!C86,未调整不符事项之分录!F:F),2)</f>
        <v>0</v>
      </c>
      <c r="L86" s="1156">
        <f>ROUND(SUMIF(未调整不符事项之分录!D:D,未调整不符事项之报表影响!C86,未调整不符事项之分录!G:G),2)</f>
        <v>0</v>
      </c>
      <c r="M86" s="403">
        <f t="shared" si="6"/>
        <v>0</v>
      </c>
      <c r="N86" s="1156">
        <f t="shared" si="7"/>
        <v>0</v>
      </c>
    </row>
    <row r="87" spans="1:14" ht="24" customHeight="1">
      <c r="A87" s="530" t="s">
        <v>3911</v>
      </c>
      <c r="B87" s="530" t="s">
        <v>1544</v>
      </c>
      <c r="C87" s="535" t="s">
        <v>1544</v>
      </c>
      <c r="D87" s="566" t="s">
        <v>3841</v>
      </c>
      <c r="E87" s="1156"/>
      <c r="F87" s="1156">
        <f>ROUND(SUMIF(未调整不符事项之分录!D:D,未调整不符事项之报表影响!C87,未调整不符事项之分录!H:H),2)</f>
        <v>0</v>
      </c>
      <c r="G87" s="1156">
        <f>ROUND(SUMIF(未调整不符事项之分录!D:D,未调整不符事项之报表影响!C87,未调整不符事项之分录!I:I),2)</f>
        <v>0</v>
      </c>
      <c r="H87" s="403">
        <f t="shared" si="5"/>
        <v>0</v>
      </c>
      <c r="I87" s="1156">
        <f t="shared" si="8"/>
        <v>0</v>
      </c>
      <c r="J87" s="1156"/>
      <c r="K87" s="1156">
        <f>ROUND(SUMIF(未调整不符事项之分录!D:D,未调整不符事项之报表影响!C87,未调整不符事项之分录!F:F),2)</f>
        <v>0</v>
      </c>
      <c r="L87" s="1156">
        <f>ROUND(SUMIF(未调整不符事项之分录!D:D,未调整不符事项之报表影响!C87,未调整不符事项之分录!G:G),2)</f>
        <v>0</v>
      </c>
      <c r="M87" s="403">
        <f t="shared" si="6"/>
        <v>0</v>
      </c>
      <c r="N87" s="1156">
        <f t="shared" si="7"/>
        <v>0</v>
      </c>
    </row>
    <row r="88" spans="1:14" ht="24" customHeight="1">
      <c r="A88" s="524" t="s">
        <v>3912</v>
      </c>
      <c r="B88" s="524"/>
      <c r="C88" s="535"/>
      <c r="D88" s="429" t="s">
        <v>3841</v>
      </c>
      <c r="E88" s="1156"/>
      <c r="F88" s="1156">
        <f>ROUND(SUM(F61:F87)-F73-F74-F75-F77,2)</f>
        <v>0</v>
      </c>
      <c r="G88" s="1156">
        <f>ROUND(SUM(G61:G87)-G73-G74-G75-G77,2)</f>
        <v>0</v>
      </c>
      <c r="H88" s="403">
        <f t="shared" si="5"/>
        <v>0</v>
      </c>
      <c r="I88" s="1156">
        <f t="shared" si="8"/>
        <v>0</v>
      </c>
      <c r="J88" s="1156"/>
      <c r="K88" s="1156">
        <f>ROUND(SUM(K61:K87)-K73-K74-K75-K77,2)</f>
        <v>0</v>
      </c>
      <c r="L88" s="1156">
        <f>ROUND(SUM(L61:L87)-L73-L74-L75-L77,2)</f>
        <v>0</v>
      </c>
      <c r="M88" s="403">
        <f t="shared" si="6"/>
        <v>0</v>
      </c>
      <c r="N88" s="1156">
        <f t="shared" si="7"/>
        <v>0</v>
      </c>
    </row>
    <row r="89" spans="1:14" ht="24" customHeight="1">
      <c r="A89" s="529" t="s">
        <v>3913</v>
      </c>
      <c r="B89" s="529"/>
      <c r="C89" s="535"/>
      <c r="D89" s="429"/>
      <c r="E89" s="434"/>
      <c r="F89" s="434"/>
      <c r="G89" s="434"/>
      <c r="H89" s="403"/>
      <c r="I89" s="434"/>
      <c r="J89" s="434"/>
      <c r="K89" s="434"/>
      <c r="L89" s="434"/>
      <c r="M89" s="403"/>
      <c r="N89" s="434"/>
    </row>
    <row r="90" spans="1:14" ht="24" customHeight="1">
      <c r="A90" s="535" t="s">
        <v>3914</v>
      </c>
      <c r="B90" s="535" t="s">
        <v>1545</v>
      </c>
      <c r="C90" s="535" t="s">
        <v>1545</v>
      </c>
      <c r="D90" s="566" t="s">
        <v>3841</v>
      </c>
      <c r="E90" s="1156"/>
      <c r="F90" s="1156">
        <f>ROUND(SUMIF(未调整不符事项之分录!D:D,未调整不符事项之报表影响!C90,未调整不符事项之分录!H:H),2)</f>
        <v>0</v>
      </c>
      <c r="G90" s="1156">
        <f>ROUND(SUMIF(未调整不符事项之分录!D:D,未调整不符事项之报表影响!C90,未调整不符事项之分录!I:I),2)</f>
        <v>0</v>
      </c>
      <c r="H90" s="403">
        <f t="shared" ref="H90:H101" si="9">I90-E90</f>
        <v>0</v>
      </c>
      <c r="I90" s="1156">
        <f t="shared" si="8"/>
        <v>0</v>
      </c>
      <c r="J90" s="1156"/>
      <c r="K90" s="1156">
        <f>ROUND(SUMIF(未调整不符事项之分录!D:D,未调整不符事项之报表影响!C90,未调整不符事项之分录!F:F),2)</f>
        <v>0</v>
      </c>
      <c r="L90" s="1156">
        <f>ROUND(SUMIF(未调整不符事项之分录!D:D,未调整不符事项之报表影响!C90,未调整不符事项之分录!G:G),2)</f>
        <v>0</v>
      </c>
      <c r="M90" s="403">
        <f t="shared" ref="M90:M101" si="10">N90-J90</f>
        <v>0</v>
      </c>
      <c r="N90" s="1156">
        <f t="shared" ref="N90:N101" si="11">IF(D90="借",J90+K90-L90,IF(D90="贷",J90+L90-K90,IF(D90="",0,0)))</f>
        <v>0</v>
      </c>
    </row>
    <row r="91" spans="1:14" ht="24" customHeight="1">
      <c r="A91" s="535" t="s">
        <v>3915</v>
      </c>
      <c r="B91" s="535" t="s">
        <v>1546</v>
      </c>
      <c r="C91" s="535" t="s">
        <v>1546</v>
      </c>
      <c r="D91" s="566" t="s">
        <v>3841</v>
      </c>
      <c r="E91" s="1156"/>
      <c r="F91" s="1156">
        <f>ROUND(SUMIF(未调整不符事项之分录!D:D,未调整不符事项之报表影响!C91,未调整不符事项之分录!H:H),2)</f>
        <v>0</v>
      </c>
      <c r="G91" s="1156">
        <f>ROUND(SUMIF(未调整不符事项之分录!D:D,未调整不符事项之报表影响!C91,未调整不符事项之分录!I:I),2)</f>
        <v>0</v>
      </c>
      <c r="H91" s="403">
        <f t="shared" si="9"/>
        <v>0</v>
      </c>
      <c r="I91" s="1156">
        <f t="shared" si="8"/>
        <v>0</v>
      </c>
      <c r="J91" s="1156"/>
      <c r="K91" s="1156">
        <f>ROUND(SUMIF(未调整不符事项之分录!D:D,未调整不符事项之报表影响!C91,未调整不符事项之分录!F:F),2)</f>
        <v>0</v>
      </c>
      <c r="L91" s="1156">
        <f>ROUND(SUMIF(未调整不符事项之分录!D:D,未调整不符事项之报表影响!C91,未调整不符事项之分录!G:G),2)</f>
        <v>0</v>
      </c>
      <c r="M91" s="403">
        <f t="shared" si="10"/>
        <v>0</v>
      </c>
      <c r="N91" s="1156">
        <f t="shared" si="11"/>
        <v>0</v>
      </c>
    </row>
    <row r="92" spans="1:14" ht="24" customHeight="1">
      <c r="A92" s="535" t="s">
        <v>3916</v>
      </c>
      <c r="B92" s="535" t="s">
        <v>1548</v>
      </c>
      <c r="C92" s="535" t="s">
        <v>1548</v>
      </c>
      <c r="D92" s="566" t="s">
        <v>3841</v>
      </c>
      <c r="E92" s="1156"/>
      <c r="F92" s="1156">
        <f>ROUND(SUMIF(未调整不符事项之分录!D:D,未调整不符事项之报表影响!C92,未调整不符事项之分录!H:H),2)</f>
        <v>0</v>
      </c>
      <c r="G92" s="1156">
        <f>ROUND(SUMIF(未调整不符事项之分录!D:D,未调整不符事项之报表影响!C92,未调整不符事项之分录!I:I),2)</f>
        <v>0</v>
      </c>
      <c r="H92" s="403">
        <f t="shared" si="9"/>
        <v>0</v>
      </c>
      <c r="I92" s="1156">
        <f t="shared" si="8"/>
        <v>0</v>
      </c>
      <c r="J92" s="1156"/>
      <c r="K92" s="1156">
        <f>ROUND(SUMIF(未调整不符事项之分录!D:D,未调整不符事项之报表影响!C92,未调整不符事项之分录!F:F),2)</f>
        <v>0</v>
      </c>
      <c r="L92" s="1156">
        <f>ROUND(SUMIF(未调整不符事项之分录!D:D,未调整不符事项之报表影响!C92,未调整不符事项之分录!G:G),2)</f>
        <v>0</v>
      </c>
      <c r="M92" s="403">
        <f t="shared" si="10"/>
        <v>0</v>
      </c>
      <c r="N92" s="1156">
        <f t="shared" si="11"/>
        <v>0</v>
      </c>
    </row>
    <row r="93" spans="1:14" ht="24" customHeight="1">
      <c r="A93" s="535" t="s">
        <v>3917</v>
      </c>
      <c r="B93" s="535" t="s">
        <v>3918</v>
      </c>
      <c r="C93" s="535" t="s">
        <v>3918</v>
      </c>
      <c r="D93" s="566" t="s">
        <v>3841</v>
      </c>
      <c r="E93" s="1156"/>
      <c r="F93" s="1156">
        <f>ROUND(SUMIF(未调整不符事项之分录!D:D,未调整不符事项之报表影响!C93,未调整不符事项之分录!H:H),2)</f>
        <v>0</v>
      </c>
      <c r="G93" s="1156">
        <f>ROUND(SUMIF(未调整不符事项之分录!D:D,未调整不符事项之报表影响!C93,未调整不符事项之分录!I:I),2)</f>
        <v>0</v>
      </c>
      <c r="H93" s="403">
        <f>I93-E93</f>
        <v>0</v>
      </c>
      <c r="I93" s="1156">
        <f>IF(D93="借",E93+F93-G93,IF(D93="贷",E93+G93-F93,IF(D93="",0,0)))</f>
        <v>0</v>
      </c>
      <c r="J93" s="1156"/>
      <c r="K93" s="1156">
        <f>ROUND(SUMIF(未调整不符事项之分录!D:D,未调整不符事项之报表影响!C93,未调整不符事项之分录!F:F),2)</f>
        <v>0</v>
      </c>
      <c r="L93" s="1156">
        <f>ROUND(SUMIF(未调整不符事项之分录!D:D,未调整不符事项之报表影响!C93,未调整不符事项之分录!G:G),2)</f>
        <v>0</v>
      </c>
      <c r="M93" s="403">
        <f>N93-J93</f>
        <v>0</v>
      </c>
      <c r="N93" s="1156">
        <f>IF(D93="借",J93+K93-L93,IF(D93="贷",J93+L93-K93,IF(D93="",0,0)))</f>
        <v>0</v>
      </c>
    </row>
    <row r="94" spans="1:14" ht="24" customHeight="1">
      <c r="A94" s="535" t="s">
        <v>3919</v>
      </c>
      <c r="B94" s="535" t="s">
        <v>1549</v>
      </c>
      <c r="C94" s="535" t="s">
        <v>1549</v>
      </c>
      <c r="D94" s="566" t="s">
        <v>3841</v>
      </c>
      <c r="E94" s="1156"/>
      <c r="F94" s="1156">
        <f>ROUND(SUMIF(未调整不符事项之分录!D:D,未调整不符事项之报表影响!C94,未调整不符事项之分录!H:H),2)</f>
        <v>0</v>
      </c>
      <c r="G94" s="1156">
        <f>ROUND(SUMIF(未调整不符事项之分录!D:D,未调整不符事项之报表影响!C94,未调整不符事项之分录!I:I),2)</f>
        <v>0</v>
      </c>
      <c r="H94" s="403">
        <f t="shared" si="9"/>
        <v>0</v>
      </c>
      <c r="I94" s="1156">
        <f t="shared" si="8"/>
        <v>0</v>
      </c>
      <c r="J94" s="1156"/>
      <c r="K94" s="1156">
        <f>ROUND(SUMIF(未调整不符事项之分录!D:D,未调整不符事项之报表影响!C94,未调整不符事项之分录!F:F),2)</f>
        <v>0</v>
      </c>
      <c r="L94" s="1156">
        <f>ROUND(SUMIF(未调整不符事项之分录!D:D,未调整不符事项之报表影响!C94,未调整不符事项之分录!G:G),2)</f>
        <v>0</v>
      </c>
      <c r="M94" s="403">
        <f t="shared" si="10"/>
        <v>0</v>
      </c>
      <c r="N94" s="1156">
        <f t="shared" si="11"/>
        <v>0</v>
      </c>
    </row>
    <row r="95" spans="1:14" ht="24" customHeight="1">
      <c r="A95" s="535" t="s">
        <v>3920</v>
      </c>
      <c r="B95" s="535" t="s">
        <v>994</v>
      </c>
      <c r="C95" s="535" t="s">
        <v>994</v>
      </c>
      <c r="D95" s="566" t="s">
        <v>3896</v>
      </c>
      <c r="E95" s="1156"/>
      <c r="F95" s="1156">
        <f>ROUND(SUMIF(未调整不符事项之分录!D:D,未调整不符事项之报表影响!C95,未调整不符事项之分录!H:H),2)</f>
        <v>0</v>
      </c>
      <c r="G95" s="1156">
        <f>ROUND(SUMIF(未调整不符事项之分录!D:D,未调整不符事项之报表影响!C95,未调整不符事项之分录!I:I),2)</f>
        <v>0</v>
      </c>
      <c r="H95" s="403">
        <f t="shared" si="9"/>
        <v>0</v>
      </c>
      <c r="I95" s="1156">
        <f t="shared" si="8"/>
        <v>0</v>
      </c>
      <c r="J95" s="1156"/>
      <c r="K95" s="1156">
        <f>ROUND(SUMIF(未调整不符事项之分录!D:D,未调整不符事项之报表影响!C95,未调整不符事项之分录!F:F),2)</f>
        <v>0</v>
      </c>
      <c r="L95" s="1156">
        <f>ROUND(SUMIF(未调整不符事项之分录!D:D,未调整不符事项之报表影响!C95,未调整不符事项之分录!G:G),2)</f>
        <v>0</v>
      </c>
      <c r="M95" s="403">
        <f t="shared" si="10"/>
        <v>0</v>
      </c>
      <c r="N95" s="1156">
        <f t="shared" si="11"/>
        <v>0</v>
      </c>
    </row>
    <row r="96" spans="1:14" ht="24" customHeight="1">
      <c r="A96" s="535" t="s">
        <v>3921</v>
      </c>
      <c r="B96" s="535" t="s">
        <v>997</v>
      </c>
      <c r="C96" s="535" t="s">
        <v>997</v>
      </c>
      <c r="D96" s="566" t="s">
        <v>3841</v>
      </c>
      <c r="E96" s="1156"/>
      <c r="F96" s="1156">
        <f>ROUND(SUMIF(未调整不符事项之分录!D:D,未调整不符事项之报表影响!C96,未调整不符事项之分录!H:H),2)</f>
        <v>0</v>
      </c>
      <c r="G96" s="1156">
        <f>ROUND(SUMIF(未调整不符事项之分录!D:D,未调整不符事项之报表影响!C96,未调整不符事项之分录!I:I),2)</f>
        <v>0</v>
      </c>
      <c r="H96" s="403">
        <f>I96-E96</f>
        <v>0</v>
      </c>
      <c r="I96" s="1156">
        <f>IF(D96="借",E96+F96-G96,IF(D96="贷",E96+G96-F96,IF(D96="",0,0)))</f>
        <v>0</v>
      </c>
      <c r="J96" s="1156"/>
      <c r="K96" s="1156">
        <f>ROUND(SUMIF(未调整不符事项之分录!D:D,未调整不符事项之报表影响!C96,未调整不符事项之分录!F:F),2)</f>
        <v>0</v>
      </c>
      <c r="L96" s="1156">
        <f>ROUND(SUMIF(未调整不符事项之分录!D:D,未调整不符事项之报表影响!C96,未调整不符事项之分录!G:G),2)</f>
        <v>0</v>
      </c>
      <c r="M96" s="403">
        <f>N96-J96</f>
        <v>0</v>
      </c>
      <c r="N96" s="1156">
        <f>IF(D96="借",J96+K96-L96,IF(D96="贷",J96+L96-K96,IF(D96="",0,0)))</f>
        <v>0</v>
      </c>
    </row>
    <row r="97" spans="1:14" ht="24" customHeight="1">
      <c r="A97" s="535" t="s">
        <v>3922</v>
      </c>
      <c r="B97" s="535" t="s">
        <v>3923</v>
      </c>
      <c r="C97" s="535" t="s">
        <v>3923</v>
      </c>
      <c r="D97" s="566" t="s">
        <v>3841</v>
      </c>
      <c r="E97" s="1156"/>
      <c r="F97" s="1156">
        <f>ROUND(SUMIF(未调整不符事项之分录!D:D,未调整不符事项之报表影响!C97,未调整不符事项之分录!H:H),2)</f>
        <v>0</v>
      </c>
      <c r="G97" s="1156">
        <f>ROUND(SUMIF(未调整不符事项之分录!D:D,未调整不符事项之报表影响!C97,未调整不符事项之分录!I:I),2)</f>
        <v>0</v>
      </c>
      <c r="H97" s="403">
        <f t="shared" si="9"/>
        <v>0</v>
      </c>
      <c r="I97" s="1156">
        <f t="shared" si="8"/>
        <v>0</v>
      </c>
      <c r="J97" s="1156"/>
      <c r="K97" s="1156">
        <f>ROUND(SUMIF(未调整不符事项之分录!D:D,未调整不符事项之报表影响!C97,未调整不符事项之分录!F:F),2)</f>
        <v>0</v>
      </c>
      <c r="L97" s="1156">
        <f>ROUND(SUMIF(未调整不符事项之分录!D:D,未调整不符事项之报表影响!C97,未调整不符事项之分录!G:G),2)</f>
        <v>0</v>
      </c>
      <c r="M97" s="403">
        <f t="shared" si="10"/>
        <v>0</v>
      </c>
      <c r="N97" s="1156">
        <f t="shared" si="11"/>
        <v>0</v>
      </c>
    </row>
    <row r="98" spans="1:14" ht="24" customHeight="1">
      <c r="A98" s="535" t="s">
        <v>3924</v>
      </c>
      <c r="B98" s="535" t="s">
        <v>1550</v>
      </c>
      <c r="C98" s="535" t="s">
        <v>3925</v>
      </c>
      <c r="D98" s="566" t="s">
        <v>3841</v>
      </c>
      <c r="E98" s="1156"/>
      <c r="F98" s="1156">
        <f>ROUND(SUMIF(未调整不符事项之分录!D:D,未调整不符事项之报表影响!C98,未调整不符事项之分录!H:H)+F99,2)</f>
        <v>0</v>
      </c>
      <c r="G98" s="1156">
        <f>ROUND(SUMIF(未调整不符事项之分录!D:D,未调整不符事项之报表影响!C98,未调整不符事项之分录!I:I)+G99,2)</f>
        <v>0</v>
      </c>
      <c r="H98" s="403">
        <f t="shared" si="9"/>
        <v>0</v>
      </c>
      <c r="I98" s="1156">
        <f t="shared" si="8"/>
        <v>0</v>
      </c>
      <c r="J98" s="1156"/>
      <c r="K98" s="1156">
        <f>ROUND(SUMIF(未调整不符事项之分录!D:D,未调整不符事项之报表影响!C98,未调整不符事项之分录!F:F)+K99,2)</f>
        <v>0</v>
      </c>
      <c r="L98" s="1156">
        <f>ROUND(SUMIF(未调整不符事项之分录!D:D,未调整不符事项之报表影响!C98,未调整不符事项之分录!G:G)+L99,2)</f>
        <v>0</v>
      </c>
      <c r="M98" s="403">
        <f t="shared" si="10"/>
        <v>0</v>
      </c>
      <c r="N98" s="1156">
        <f t="shared" si="11"/>
        <v>0</v>
      </c>
    </row>
    <row r="99" spans="1:14" ht="24" customHeight="1">
      <c r="A99" s="452" t="s">
        <v>3926</v>
      </c>
      <c r="B99" s="452"/>
      <c r="C99" s="535" t="s">
        <v>3927</v>
      </c>
      <c r="D99" s="566" t="s">
        <v>3841</v>
      </c>
      <c r="E99" s="1156"/>
      <c r="F99" s="1156">
        <f>ROUND(SUMIF(未调整不符事项之分录!D:D,未调整不符事项之报表影响!C99,未调整不符事项之分录!H:H),2)</f>
        <v>0</v>
      </c>
      <c r="G99" s="1156">
        <f>ROUND(SUMIF(未调整不符事项之分录!D:D,未调整不符事项之报表影响!C99,未调整不符事项之分录!I:I),2)</f>
        <v>0</v>
      </c>
      <c r="H99" s="403">
        <f t="shared" si="9"/>
        <v>0</v>
      </c>
      <c r="I99" s="1156">
        <f t="shared" si="8"/>
        <v>0</v>
      </c>
      <c r="J99" s="1156"/>
      <c r="K99" s="1156">
        <f>ROUND(SUMIF(未调整不符事项之分录!D:D,未调整不符事项之报表影响!C99,未调整不符事项之分录!F:F),2)</f>
        <v>0</v>
      </c>
      <c r="L99" s="1156">
        <f>ROUND(SUMIF(未调整不符事项之分录!D:D,未调整不符事项之报表影响!C99,未调整不符事项之分录!G:G),2)</f>
        <v>0</v>
      </c>
      <c r="M99" s="403">
        <f t="shared" si="10"/>
        <v>0</v>
      </c>
      <c r="N99" s="1156">
        <f t="shared" si="11"/>
        <v>0</v>
      </c>
    </row>
    <row r="100" spans="1:14" ht="24" customHeight="1">
      <c r="A100" s="524" t="s">
        <v>3928</v>
      </c>
      <c r="B100" s="524"/>
      <c r="C100" s="535"/>
      <c r="D100" s="429" t="s">
        <v>3841</v>
      </c>
      <c r="E100" s="1156"/>
      <c r="F100" s="1156">
        <f>ROUND(SUM(F90:F99)-F99,2)</f>
        <v>0</v>
      </c>
      <c r="G100" s="1156">
        <f>ROUND(SUM(G90:G99)-G99,2)</f>
        <v>0</v>
      </c>
      <c r="H100" s="403">
        <f t="shared" si="9"/>
        <v>0</v>
      </c>
      <c r="I100" s="1156">
        <f t="shared" si="8"/>
        <v>0</v>
      </c>
      <c r="J100" s="1156"/>
      <c r="K100" s="1156">
        <f>ROUND(SUM(K90:K99)-K99,2)</f>
        <v>0</v>
      </c>
      <c r="L100" s="1156">
        <f>ROUND(SUM(L90:L99)-L99,2)</f>
        <v>0</v>
      </c>
      <c r="M100" s="403">
        <f t="shared" si="10"/>
        <v>0</v>
      </c>
      <c r="N100" s="1156">
        <f t="shared" si="11"/>
        <v>0</v>
      </c>
    </row>
    <row r="101" spans="1:14" ht="24" customHeight="1">
      <c r="A101" s="524" t="s">
        <v>3929</v>
      </c>
      <c r="B101" s="524"/>
      <c r="C101" s="535"/>
      <c r="D101" s="429" t="s">
        <v>3841</v>
      </c>
      <c r="E101" s="1156"/>
      <c r="F101" s="1156">
        <f>ROUND(F100+F88,2)</f>
        <v>0</v>
      </c>
      <c r="G101" s="1156">
        <f>ROUND(G100+G88,2)</f>
        <v>0</v>
      </c>
      <c r="H101" s="403">
        <f t="shared" si="9"/>
        <v>0</v>
      </c>
      <c r="I101" s="1156">
        <f t="shared" si="8"/>
        <v>0</v>
      </c>
      <c r="J101" s="1156"/>
      <c r="K101" s="1156">
        <f>ROUND(K100+K88,2)</f>
        <v>0</v>
      </c>
      <c r="L101" s="1156">
        <f>ROUND(L100+L88,2)</f>
        <v>0</v>
      </c>
      <c r="M101" s="403">
        <f t="shared" si="10"/>
        <v>0</v>
      </c>
      <c r="N101" s="1156">
        <f t="shared" si="11"/>
        <v>0</v>
      </c>
    </row>
    <row r="102" spans="1:14" ht="24" customHeight="1">
      <c r="A102" s="541" t="s">
        <v>3930</v>
      </c>
      <c r="B102" s="541"/>
      <c r="C102" s="535"/>
      <c r="D102" s="485"/>
      <c r="E102" s="434"/>
      <c r="F102" s="434"/>
      <c r="G102" s="434"/>
      <c r="H102" s="403"/>
      <c r="I102" s="434"/>
      <c r="J102" s="434"/>
      <c r="K102" s="434"/>
      <c r="L102" s="434"/>
      <c r="M102" s="403"/>
      <c r="N102" s="434"/>
    </row>
    <row r="103" spans="1:14" ht="24" customHeight="1">
      <c r="A103" s="452" t="s">
        <v>3931</v>
      </c>
      <c r="B103" s="452" t="s">
        <v>1551</v>
      </c>
      <c r="C103" s="535" t="s">
        <v>3932</v>
      </c>
      <c r="D103" s="485" t="s">
        <v>3841</v>
      </c>
      <c r="E103" s="1156"/>
      <c r="F103" s="1156">
        <f>ROUND(SUMIF(未调整不符事项之分录!D:D,未调整不符事项之报表影响!C103,未调整不符事项之分录!H:H)+F104+F106+F107+F109,2)</f>
        <v>0</v>
      </c>
      <c r="G103" s="1156">
        <f>ROUND(SUMIF(未调整不符事项之分录!D:D,未调整不符事项之报表影响!C103,未调整不符事项之分录!I:I)+G104+G106+G107+G109,2)</f>
        <v>0</v>
      </c>
      <c r="H103" s="403">
        <f t="shared" ref="H103:H135" si="12">I103-E103</f>
        <v>0</v>
      </c>
      <c r="I103" s="1156">
        <f t="shared" si="8"/>
        <v>0</v>
      </c>
      <c r="J103" s="1156"/>
      <c r="K103" s="1156">
        <f>ROUND(SUMIF(未调整不符事项之分录!D:D,未调整不符事项之报表影响!C103,未调整不符事项之分录!F:F)+K104+K106+K107+K109,2)</f>
        <v>0</v>
      </c>
      <c r="L103" s="1156">
        <f>ROUND(SUMIF(未调整不符事项之分录!D:D,未调整不符事项之报表影响!C103,未调整不符事项之分录!G:G)+L104+L106+L107+L109,2)</f>
        <v>0</v>
      </c>
      <c r="M103" s="403">
        <f t="shared" ref="M103:M135" si="13">N103-J103</f>
        <v>0</v>
      </c>
      <c r="N103" s="1156">
        <f t="shared" ref="N103:N131" si="14">IF(D103="借",J103+K103-L103,IF(D103="贷",J103+L103-K103,IF(D103="",0,0)))</f>
        <v>0</v>
      </c>
    </row>
    <row r="104" spans="1:14" ht="24" customHeight="1">
      <c r="A104" s="452" t="s">
        <v>3933</v>
      </c>
      <c r="B104" s="452"/>
      <c r="C104" s="452" t="s">
        <v>3934</v>
      </c>
      <c r="D104" s="485" t="s">
        <v>3841</v>
      </c>
      <c r="E104" s="1156"/>
      <c r="F104" s="1156">
        <f>ROUND(SUMIF(未调整不符事项之分录!D:D,未调整不符事项之报表影响!C104,未调整不符事项之分录!H:H)+F105,2)</f>
        <v>0</v>
      </c>
      <c r="G104" s="1156">
        <f>ROUND(SUMIF(未调整不符事项之分录!D:D,未调整不符事项之报表影响!C104,未调整不符事项之分录!I:I)+G105,2)</f>
        <v>0</v>
      </c>
      <c r="H104" s="403">
        <f t="shared" si="12"/>
        <v>0</v>
      </c>
      <c r="I104" s="1156">
        <f t="shared" si="8"/>
        <v>0</v>
      </c>
      <c r="J104" s="1156"/>
      <c r="K104" s="1156">
        <f>ROUND(SUMIF(未调整不符事项之分录!D:D,未调整不符事项之报表影响!C104,未调整不符事项之分录!F:F)+K105,2)</f>
        <v>0</v>
      </c>
      <c r="L104" s="1156">
        <f>ROUND(SUMIF(未调整不符事项之分录!D:D,未调整不符事项之报表影响!C104,未调整不符事项之分录!G:G)+L105,2)</f>
        <v>0</v>
      </c>
      <c r="M104" s="403">
        <f t="shared" si="13"/>
        <v>0</v>
      </c>
      <c r="N104" s="1156">
        <f t="shared" si="14"/>
        <v>0</v>
      </c>
    </row>
    <row r="105" spans="1:14" ht="24" customHeight="1">
      <c r="A105" s="452" t="s">
        <v>3935</v>
      </c>
      <c r="B105" s="452"/>
      <c r="C105" s="535" t="s">
        <v>3936</v>
      </c>
      <c r="D105" s="485" t="s">
        <v>3841</v>
      </c>
      <c r="E105" s="1156"/>
      <c r="F105" s="1156">
        <f>ROUND(SUMIF(未调整不符事项之分录!D:D,未调整不符事项之报表影响!C105,未调整不符事项之分录!H:H),2)</f>
        <v>0</v>
      </c>
      <c r="G105" s="1156">
        <f>ROUND(SUMIF(未调整不符事项之分录!D:D,未调整不符事项之报表影响!C105,未调整不符事项之分录!I:I),2)</f>
        <v>0</v>
      </c>
      <c r="H105" s="403">
        <f t="shared" si="12"/>
        <v>0</v>
      </c>
      <c r="I105" s="1156">
        <f t="shared" si="8"/>
        <v>0</v>
      </c>
      <c r="J105" s="1156"/>
      <c r="K105" s="1156">
        <f>ROUND(SUMIF(未调整不符事项之分录!D:D,未调整不符事项之报表影响!C105,未调整不符事项之分录!F:F),2)</f>
        <v>0</v>
      </c>
      <c r="L105" s="1156">
        <f>ROUND(SUMIF(未调整不符事项之分录!D:D,未调整不符事项之报表影响!C105,未调整不符事项之分录!G:G),2)</f>
        <v>0</v>
      </c>
      <c r="M105" s="403">
        <f t="shared" si="13"/>
        <v>0</v>
      </c>
      <c r="N105" s="1156">
        <f t="shared" si="14"/>
        <v>0</v>
      </c>
    </row>
    <row r="106" spans="1:14" ht="24" customHeight="1">
      <c r="A106" s="452" t="s">
        <v>3937</v>
      </c>
      <c r="B106" s="452"/>
      <c r="C106" s="452" t="s">
        <v>3938</v>
      </c>
      <c r="D106" s="485" t="s">
        <v>3841</v>
      </c>
      <c r="E106" s="1156"/>
      <c r="F106" s="1156">
        <f>ROUND(SUMIF(未调整不符事项之分录!D:D,未调整不符事项之报表影响!C106,未调整不符事项之分录!H:H),2)</f>
        <v>0</v>
      </c>
      <c r="G106" s="1156">
        <f>ROUND(SUMIF(未调整不符事项之分录!D:D,未调整不符事项之报表影响!C106,未调整不符事项之分录!I:I),2)</f>
        <v>0</v>
      </c>
      <c r="H106" s="403">
        <f t="shared" si="12"/>
        <v>0</v>
      </c>
      <c r="I106" s="1156">
        <f t="shared" si="8"/>
        <v>0</v>
      </c>
      <c r="J106" s="1156"/>
      <c r="K106" s="1156">
        <f>ROUND(SUMIF(未调整不符事项之分录!D:D,未调整不符事项之报表影响!C106,未调整不符事项之分录!F:F),2)</f>
        <v>0</v>
      </c>
      <c r="L106" s="1156">
        <f>ROUND(SUMIF(未调整不符事项之分录!D:D,未调整不符事项之报表影响!C106,未调整不符事项之分录!G:G),2)</f>
        <v>0</v>
      </c>
      <c r="M106" s="403">
        <f t="shared" si="13"/>
        <v>0</v>
      </c>
      <c r="N106" s="1156">
        <f t="shared" si="14"/>
        <v>0</v>
      </c>
    </row>
    <row r="107" spans="1:14" ht="24" customHeight="1">
      <c r="A107" s="452" t="s">
        <v>3939</v>
      </c>
      <c r="B107" s="452"/>
      <c r="C107" s="452" t="s">
        <v>3940</v>
      </c>
      <c r="D107" s="485" t="s">
        <v>3841</v>
      </c>
      <c r="E107" s="1156"/>
      <c r="F107" s="1156">
        <f>ROUND(SUMIF(未调整不符事项之分录!D:D,未调整不符事项之报表影响!C107,未调整不符事项之分录!H:H)+F108,2)</f>
        <v>0</v>
      </c>
      <c r="G107" s="1156">
        <f>ROUND(SUMIF(未调整不符事项之分录!D:D,未调整不符事项之报表影响!C107,未调整不符事项之分录!I:I)+G108,2)</f>
        <v>0</v>
      </c>
      <c r="H107" s="403">
        <f t="shared" si="12"/>
        <v>0</v>
      </c>
      <c r="I107" s="1156">
        <f t="shared" si="8"/>
        <v>0</v>
      </c>
      <c r="J107" s="1156"/>
      <c r="K107" s="1156">
        <f>ROUND(SUMIF(未调整不符事项之分录!D:D,未调整不符事项之报表影响!C107,未调整不符事项之分录!F:F)+K108,2)</f>
        <v>0</v>
      </c>
      <c r="L107" s="1156">
        <f>ROUND(SUMIF(未调整不符事项之分录!D:D,未调整不符事项之报表影响!C107,未调整不符事项之分录!G:G)+L108,2)</f>
        <v>0</v>
      </c>
      <c r="M107" s="403">
        <f t="shared" si="13"/>
        <v>0</v>
      </c>
      <c r="N107" s="1156">
        <f t="shared" si="14"/>
        <v>0</v>
      </c>
    </row>
    <row r="108" spans="1:14" ht="24" customHeight="1">
      <c r="A108" s="452" t="s">
        <v>3941</v>
      </c>
      <c r="B108" s="452"/>
      <c r="C108" s="535" t="s">
        <v>3942</v>
      </c>
      <c r="D108" s="485" t="s">
        <v>3841</v>
      </c>
      <c r="E108" s="1156"/>
      <c r="F108" s="1156">
        <f>ROUND(SUMIF(未调整不符事项之分录!D:D,未调整不符事项之报表影响!C108,未调整不符事项之分录!H:H),2)</f>
        <v>0</v>
      </c>
      <c r="G108" s="1156">
        <f>ROUND(SUMIF(未调整不符事项之分录!D:D,未调整不符事项之报表影响!C108,未调整不符事项之分录!I:I),2)</f>
        <v>0</v>
      </c>
      <c r="H108" s="403">
        <f t="shared" si="12"/>
        <v>0</v>
      </c>
      <c r="I108" s="1156">
        <f t="shared" si="8"/>
        <v>0</v>
      </c>
      <c r="J108" s="1156"/>
      <c r="K108" s="1156">
        <f>ROUND(SUMIF(未调整不符事项之分录!D:D,未调整不符事项之报表影响!C108,未调整不符事项之分录!F:F),2)</f>
        <v>0</v>
      </c>
      <c r="L108" s="1156">
        <f>ROUND(SUMIF(未调整不符事项之分录!D:D,未调整不符事项之报表影响!C108,未调整不符事项之分录!G:G),2)</f>
        <v>0</v>
      </c>
      <c r="M108" s="403">
        <f t="shared" si="13"/>
        <v>0</v>
      </c>
      <c r="N108" s="1156">
        <f t="shared" si="14"/>
        <v>0</v>
      </c>
    </row>
    <row r="109" spans="1:14" ht="24" customHeight="1">
      <c r="A109" s="452" t="s">
        <v>3943</v>
      </c>
      <c r="B109" s="452"/>
      <c r="C109" s="452" t="s">
        <v>3944</v>
      </c>
      <c r="D109" s="485" t="s">
        <v>3841</v>
      </c>
      <c r="E109" s="1156"/>
      <c r="F109" s="1156">
        <f>ROUND(SUMIF(未调整不符事项之分录!D:D,未调整不符事项之报表影响!C109,未调整不符事项之分录!H:H),2)</f>
        <v>0</v>
      </c>
      <c r="G109" s="1156">
        <f>ROUND(SUMIF(未调整不符事项之分录!D:D,未调整不符事项之报表影响!C109,未调整不符事项之分录!I:I),2)</f>
        <v>0</v>
      </c>
      <c r="H109" s="403">
        <f t="shared" si="12"/>
        <v>0</v>
      </c>
      <c r="I109" s="1156">
        <f t="shared" si="8"/>
        <v>0</v>
      </c>
      <c r="J109" s="1156"/>
      <c r="K109" s="1156">
        <f>ROUND(SUMIF(未调整不符事项之分录!D:D,未调整不符事项之报表影响!C109,未调整不符事项之分录!F:F),2)</f>
        <v>0</v>
      </c>
      <c r="L109" s="1156">
        <f>ROUND(SUMIF(未调整不符事项之分录!D:D,未调整不符事项之报表影响!C109,未调整不符事项之分录!G:G),2)</f>
        <v>0</v>
      </c>
      <c r="M109" s="403">
        <f t="shared" si="13"/>
        <v>0</v>
      </c>
      <c r="N109" s="1156">
        <f t="shared" si="14"/>
        <v>0</v>
      </c>
    </row>
    <row r="110" spans="1:14" ht="24" customHeight="1">
      <c r="A110" s="535" t="s">
        <v>3945</v>
      </c>
      <c r="B110" s="535"/>
      <c r="C110" s="535" t="s">
        <v>3946</v>
      </c>
      <c r="D110" s="429" t="s">
        <v>3801</v>
      </c>
      <c r="E110" s="1156"/>
      <c r="F110" s="1156">
        <f>ROUND(SUMIF(未调整不符事项之分录!D:D,未调整不符事项之报表影响!C110,未调整不符事项之分录!H:H),2)</f>
        <v>0</v>
      </c>
      <c r="G110" s="1156">
        <f>ROUND(SUMIF(未调整不符事项之分录!D:D,未调整不符事项之报表影响!C110,未调整不符事项之分录!I:I),2)</f>
        <v>0</v>
      </c>
      <c r="H110" s="403">
        <f t="shared" si="12"/>
        <v>0</v>
      </c>
      <c r="I110" s="1156">
        <f t="shared" si="8"/>
        <v>0</v>
      </c>
      <c r="J110" s="1156"/>
      <c r="K110" s="1156">
        <f>ROUND(SUMIF(未调整不符事项之分录!D:D,未调整不符事项之报表影响!C110,未调整不符事项之分录!F:F),2)</f>
        <v>0</v>
      </c>
      <c r="L110" s="1156">
        <f>ROUND(SUMIF(未调整不符事项之分录!D:D,未调整不符事项之报表影响!C110,未调整不符事项之分录!G:G),2)</f>
        <v>0</v>
      </c>
      <c r="M110" s="403">
        <f t="shared" si="13"/>
        <v>0</v>
      </c>
      <c r="N110" s="1156">
        <f t="shared" si="14"/>
        <v>0</v>
      </c>
    </row>
    <row r="111" spans="1:14" ht="24" customHeight="1">
      <c r="A111" s="535" t="s">
        <v>3947</v>
      </c>
      <c r="B111" s="535"/>
      <c r="C111" s="535"/>
      <c r="D111" s="485" t="s">
        <v>3841</v>
      </c>
      <c r="E111" s="1156"/>
      <c r="F111" s="1156">
        <f>ROUND(F110+F103,2)</f>
        <v>0</v>
      </c>
      <c r="G111" s="1156">
        <f>ROUND(G110+G103,2)</f>
        <v>0</v>
      </c>
      <c r="H111" s="403">
        <f t="shared" si="12"/>
        <v>0</v>
      </c>
      <c r="I111" s="1156">
        <f t="shared" si="8"/>
        <v>0</v>
      </c>
      <c r="J111" s="1156"/>
      <c r="K111" s="1156">
        <f>ROUND(K110+K103,2)</f>
        <v>0</v>
      </c>
      <c r="L111" s="1156">
        <f>ROUND(L110+L103,2)</f>
        <v>0</v>
      </c>
      <c r="M111" s="403">
        <f t="shared" si="13"/>
        <v>0</v>
      </c>
      <c r="N111" s="1156">
        <f t="shared" si="14"/>
        <v>0</v>
      </c>
    </row>
    <row r="112" spans="1:14" ht="24" customHeight="1">
      <c r="A112" s="535" t="s">
        <v>3948</v>
      </c>
      <c r="B112" s="535" t="s">
        <v>3949</v>
      </c>
      <c r="C112" s="535" t="s">
        <v>3950</v>
      </c>
      <c r="D112" s="485" t="s">
        <v>3841</v>
      </c>
      <c r="E112" s="1156"/>
      <c r="F112" s="1156">
        <f>ROUND(SUMIF(未调整不符事项之分录!D:D,未调整不符事项之报表影响!C112,未调整不符事项之分录!H:H)+F113+F114,2)</f>
        <v>0</v>
      </c>
      <c r="G112" s="1156">
        <f>ROUND(SUMIF(未调整不符事项之分录!D:D,未调整不符事项之报表影响!C112,未调整不符事项之分录!I:I)+G113+G114,2)</f>
        <v>0</v>
      </c>
      <c r="H112" s="403">
        <f t="shared" si="12"/>
        <v>0</v>
      </c>
      <c r="I112" s="1156">
        <f t="shared" si="8"/>
        <v>0</v>
      </c>
      <c r="J112" s="1156"/>
      <c r="K112" s="1156">
        <f>ROUND(SUMIF(未调整不符事项之分录!D:D,未调整不符事项之报表影响!C112,未调整不符事项之分录!F:F)+K113+K114,2)</f>
        <v>0</v>
      </c>
      <c r="L112" s="1156">
        <f>SUMIF(未调整不符事项之分录!D:D,未调整不符事项之报表影响!C112,未调整不符事项之分录!G:G)+L113+L114</f>
        <v>0</v>
      </c>
      <c r="M112" s="403">
        <f t="shared" si="13"/>
        <v>0</v>
      </c>
      <c r="N112" s="1156">
        <f t="shared" si="14"/>
        <v>0</v>
      </c>
    </row>
    <row r="113" spans="1:14" ht="24" customHeight="1">
      <c r="A113" s="535" t="s">
        <v>3951</v>
      </c>
      <c r="B113" s="535"/>
      <c r="C113" s="535" t="s">
        <v>3952</v>
      </c>
      <c r="D113" s="485" t="s">
        <v>3841</v>
      </c>
      <c r="E113" s="1156"/>
      <c r="F113" s="1156">
        <f>ROUND(SUMIF(未调整不符事项之分录!D:D,未调整不符事项之报表影响!C113,未调整不符事项之分录!H:H),2)</f>
        <v>0</v>
      </c>
      <c r="G113" s="1156">
        <f>ROUND(SUMIF(未调整不符事项之分录!D:D,未调整不符事项之报表影响!C113,未调整不符事项之分录!I:I),2)</f>
        <v>0</v>
      </c>
      <c r="H113" s="403">
        <f>I113-E113</f>
        <v>0</v>
      </c>
      <c r="I113" s="1156">
        <f>IF(D113="借",E113+F113-G113,IF(D113="贷",E113+G113-F113,IF(D113="",0,0)))</f>
        <v>0</v>
      </c>
      <c r="J113" s="1156"/>
      <c r="K113" s="1156">
        <f>ROUND(SUMIF(未调整不符事项之分录!D:D,未调整不符事项之报表影响!C113,未调整不符事项之分录!F:F),2)</f>
        <v>0</v>
      </c>
      <c r="L113" s="1156">
        <f>ROUND(SUMIF(未调整不符事项之分录!D:D,未调整不符事项之报表影响!C113,未调整不符事项之分录!G:G),2)</f>
        <v>0</v>
      </c>
      <c r="M113" s="403">
        <f>N113-J113</f>
        <v>0</v>
      </c>
      <c r="N113" s="1156">
        <f>IF(D113="借",J113+K113-L113,IF(D113="贷",J113+L113-K113,IF(D113="",0,0)))</f>
        <v>0</v>
      </c>
    </row>
    <row r="114" spans="1:14" ht="24" customHeight="1">
      <c r="A114" s="535" t="s">
        <v>3953</v>
      </c>
      <c r="B114" s="535"/>
      <c r="C114" s="535" t="s">
        <v>3954</v>
      </c>
      <c r="D114" s="485" t="s">
        <v>3841</v>
      </c>
      <c r="E114" s="1156"/>
      <c r="F114" s="1156">
        <f>ROUND(SUMIF(未调整不符事项之分录!D:D,未调整不符事项之报表影响!C114,未调整不符事项之分录!H:H),2)</f>
        <v>0</v>
      </c>
      <c r="G114" s="1156">
        <f>ROUND(SUMIF(未调整不符事项之分录!D:D,未调整不符事项之报表影响!C114,未调整不符事项之分录!I:I),2)</f>
        <v>0</v>
      </c>
      <c r="H114" s="403">
        <f>I114-E114</f>
        <v>0</v>
      </c>
      <c r="I114" s="1156">
        <f>IF(D114="借",E114+F114-G114,IF(D114="贷",E114+G114-F114,IF(D114="",0,0)))</f>
        <v>0</v>
      </c>
      <c r="J114" s="1156"/>
      <c r="K114" s="1156">
        <f>ROUND(SUMIF(未调整不符事项之分录!D:D,未调整不符事项之报表影响!C114,未调整不符事项之分录!F:F),2)</f>
        <v>0</v>
      </c>
      <c r="L114" s="1156">
        <f>ROUND(SUMIF(未调整不符事项之分录!D:D,未调整不符事项之报表影响!C114,未调整不符事项之分录!G:G),2)</f>
        <v>0</v>
      </c>
      <c r="M114" s="403">
        <f>N114-J114</f>
        <v>0</v>
      </c>
      <c r="N114" s="1156">
        <f>IF(D114="借",J114+K114-L114,IF(D114="贷",J114+L114-K114,IF(D114="",0,0)))</f>
        <v>0</v>
      </c>
    </row>
    <row r="115" spans="1:14" ht="24" customHeight="1">
      <c r="A115" s="535" t="s">
        <v>3955</v>
      </c>
      <c r="B115" s="535" t="s">
        <v>1552</v>
      </c>
      <c r="C115" s="535" t="s">
        <v>1552</v>
      </c>
      <c r="D115" s="429" t="s">
        <v>3841</v>
      </c>
      <c r="E115" s="1156"/>
      <c r="F115" s="1156">
        <f>ROUND(SUMIF(未调整不符事项之分录!D:D,未调整不符事项之报表影响!C115,未调整不符事项之分录!H:H),2)</f>
        <v>0</v>
      </c>
      <c r="G115" s="1156">
        <f>ROUND(SUMIF(未调整不符事项之分录!D:D,未调整不符事项之报表影响!C115,未调整不符事项之分录!I:I),2)</f>
        <v>0</v>
      </c>
      <c r="H115" s="403">
        <f t="shared" si="12"/>
        <v>0</v>
      </c>
      <c r="I115" s="1156">
        <f t="shared" si="8"/>
        <v>0</v>
      </c>
      <c r="J115" s="1156"/>
      <c r="K115" s="1156">
        <f>ROUND(SUMIF(未调整不符事项之分录!D:D,未调整不符事项之报表影响!C115,未调整不符事项之分录!F:F),2)</f>
        <v>0</v>
      </c>
      <c r="L115" s="1156">
        <f>ROUND(SUMIF(未调整不符事项之分录!D:D,未调整不符事项之报表影响!C115,未调整不符事项之分录!G:G),2)</f>
        <v>0</v>
      </c>
      <c r="M115" s="403">
        <f t="shared" si="13"/>
        <v>0</v>
      </c>
      <c r="N115" s="1156">
        <f t="shared" si="14"/>
        <v>0</v>
      </c>
    </row>
    <row r="116" spans="1:14" ht="24" customHeight="1">
      <c r="A116" s="535" t="s">
        <v>3956</v>
      </c>
      <c r="B116" s="535" t="s">
        <v>3957</v>
      </c>
      <c r="C116" s="535" t="s">
        <v>3957</v>
      </c>
      <c r="D116" s="429" t="s">
        <v>3801</v>
      </c>
      <c r="E116" s="1156"/>
      <c r="F116" s="1156">
        <f>ROUND(SUMIF(未调整不符事项之分录!D:D,未调整不符事项之报表影响!C116,未调整不符事项之分录!H:H),2)</f>
        <v>0</v>
      </c>
      <c r="G116" s="1156">
        <f>ROUND(SUMIF(未调整不符事项之分录!D:D,未调整不符事项之报表影响!C116,未调整不符事项之分录!I:I),2)</f>
        <v>0</v>
      </c>
      <c r="H116" s="403">
        <f t="shared" si="12"/>
        <v>0</v>
      </c>
      <c r="I116" s="1156">
        <f t="shared" si="8"/>
        <v>0</v>
      </c>
      <c r="J116" s="1156"/>
      <c r="K116" s="1156">
        <f>ROUND(SUMIF(未调整不符事项之分录!D:D,未调整不符事项之报表影响!C116,未调整不符事项之分录!F:F),2)</f>
        <v>0</v>
      </c>
      <c r="L116" s="1156">
        <f>ROUND(SUMIF(未调整不符事项之分录!D:D,未调整不符事项之报表影响!C116,未调整不符事项之分录!G:G),2)</f>
        <v>0</v>
      </c>
      <c r="M116" s="403">
        <f t="shared" si="13"/>
        <v>0</v>
      </c>
      <c r="N116" s="1156">
        <f t="shared" si="14"/>
        <v>0</v>
      </c>
    </row>
    <row r="117" spans="1:14" ht="24" customHeight="1">
      <c r="A117" s="1157" t="s">
        <v>3958</v>
      </c>
      <c r="B117" s="535" t="s">
        <v>1565</v>
      </c>
      <c r="C117" s="535" t="s">
        <v>3959</v>
      </c>
      <c r="D117" s="485" t="s">
        <v>3841</v>
      </c>
      <c r="E117" s="1156"/>
      <c r="F117" s="1156">
        <f>ROUND(SUMIF(未调整不符事项之分录!D:D,未调整不符事项之报表影响!C117,未调整不符事项之分录!H:H)+F201-F184,2)</f>
        <v>0</v>
      </c>
      <c r="G117" s="1156">
        <f>ROUND(SUMIF(未调整不符事项之分录!D:D,未调整不符事项之报表影响!C117,未调整不符事项之分录!I:I)+G201-G184,2)</f>
        <v>0</v>
      </c>
      <c r="H117" s="403">
        <f t="shared" si="12"/>
        <v>0</v>
      </c>
      <c r="I117" s="1156">
        <f>IF(D117="借",E117+F117-G117,IF(D117="贷",E117+G117-F117,IF(D117="",0,0)))</f>
        <v>0</v>
      </c>
      <c r="J117" s="1156"/>
      <c r="K117" s="1156">
        <f>ROUND(SUMIF(未调整不符事项之分录!D:D,未调整不符事项之报表影响!C117,未调整不符事项之分录!F:F)+K201-K184,2)</f>
        <v>0</v>
      </c>
      <c r="L117" s="1156">
        <f>ROUND(SUMIF(未调整不符事项之分录!D:D,未调整不符事项之报表影响!C117,未调整不符事项之分录!G:G)+L201-L184,2)</f>
        <v>0</v>
      </c>
      <c r="M117" s="403">
        <f t="shared" si="13"/>
        <v>0</v>
      </c>
      <c r="N117" s="1156">
        <f t="shared" si="14"/>
        <v>0</v>
      </c>
    </row>
    <row r="118" spans="1:14" ht="24" customHeight="1">
      <c r="A118" s="535" t="s">
        <v>3960</v>
      </c>
      <c r="B118" s="535"/>
      <c r="C118" s="535" t="s">
        <v>3961</v>
      </c>
      <c r="D118" s="485" t="s">
        <v>3841</v>
      </c>
      <c r="E118" s="1156"/>
      <c r="F118" s="1156">
        <f>ROUND(SUMIF(未调整不符事项之分录!D:D,未调整不符事项之报表影响!C118,未调整不符事项之分录!H:H)+F198,2)</f>
        <v>0</v>
      </c>
      <c r="G118" s="1156">
        <f>ROUND(SUMIF(未调整不符事项之分录!D:D,未调整不符事项之报表影响!C118,未调整不符事项之分录!I:I)+G198,2)</f>
        <v>0</v>
      </c>
      <c r="H118" s="403">
        <f>I118-E118</f>
        <v>0</v>
      </c>
      <c r="I118" s="1156">
        <f>IF(D118="借",E118+F118-G118,IF(D118="贷",E118+G118-F118,IF(D118="",0,0)))</f>
        <v>0</v>
      </c>
      <c r="J118" s="1156"/>
      <c r="K118" s="1156">
        <f>ROUND(SUMIF(未调整不符事项之分录!D:D,未调整不符事项之报表影响!C118,未调整不符事项之分录!F:F)+K198,2)</f>
        <v>0</v>
      </c>
      <c r="L118" s="1156">
        <f>ROUND(SUMIF(未调整不符事项之分录!D:D,未调整不符事项之报表影响!C118,未调整不符事项之分录!G:G)+L198,2)</f>
        <v>0</v>
      </c>
      <c r="M118" s="403">
        <f>N118-J118</f>
        <v>0</v>
      </c>
      <c r="N118" s="1156">
        <f>IF(D118="借",J118+K118-L118,IF(D118="贷",J118+L118-K118,IF(D118="",0,0)))</f>
        <v>0</v>
      </c>
    </row>
    <row r="119" spans="1:14" ht="24" customHeight="1">
      <c r="A119" s="535" t="s">
        <v>3962</v>
      </c>
      <c r="B119" s="535" t="s">
        <v>1553</v>
      </c>
      <c r="C119" s="535" t="s">
        <v>1553</v>
      </c>
      <c r="D119" s="429" t="s">
        <v>3841</v>
      </c>
      <c r="E119" s="1156"/>
      <c r="F119" s="1156">
        <f>ROUND(SUMIF(未调整不符事项之分录!D:D,未调整不符事项之报表影响!C119,未调整不符事项之分录!H:H),2)</f>
        <v>0</v>
      </c>
      <c r="G119" s="1156">
        <f>ROUND(SUMIF(未调整不符事项之分录!D:D,未调整不符事项之报表影响!C119,未调整不符事项之分录!I:I),2)</f>
        <v>0</v>
      </c>
      <c r="H119" s="403">
        <f t="shared" si="12"/>
        <v>0</v>
      </c>
      <c r="I119" s="1156">
        <f t="shared" si="8"/>
        <v>0</v>
      </c>
      <c r="J119" s="1156"/>
      <c r="K119" s="1156">
        <f>ROUND(SUMIF(未调整不符事项之分录!D:D,未调整不符事项之报表影响!C119,未调整不符事项之分录!F:F),2)</f>
        <v>0</v>
      </c>
      <c r="L119" s="1156">
        <f>ROUND(SUMIF(未调整不符事项之分录!D:D,未调整不符事项之报表影响!C119,未调整不符事项之分录!G:G),2)</f>
        <v>0</v>
      </c>
      <c r="M119" s="403">
        <f t="shared" si="13"/>
        <v>0</v>
      </c>
      <c r="N119" s="1156">
        <f t="shared" si="14"/>
        <v>0</v>
      </c>
    </row>
    <row r="120" spans="1:14" ht="24" customHeight="1">
      <c r="A120" s="535" t="s">
        <v>3963</v>
      </c>
      <c r="B120" s="535" t="s">
        <v>1554</v>
      </c>
      <c r="C120" s="535" t="s">
        <v>3964</v>
      </c>
      <c r="D120" s="429" t="s">
        <v>3841</v>
      </c>
      <c r="E120" s="1156"/>
      <c r="F120" s="1156">
        <f>ROUND(SUMIF(未调整不符事项之分录!D:D,未调整不符事项之报表影响!C120,未调整不符事项之分录!H:H)+F121+F122+F123+F124+F125,2)</f>
        <v>0</v>
      </c>
      <c r="G120" s="1156">
        <f>ROUND(SUMIF(未调整不符事项之分录!D:D,未调整不符事项之报表影响!C120,未调整不符事项之分录!I:I)+G121+G122+G123+G124+G125,2)</f>
        <v>0</v>
      </c>
      <c r="H120" s="403">
        <f t="shared" si="12"/>
        <v>0</v>
      </c>
      <c r="I120" s="1156">
        <f t="shared" si="8"/>
        <v>0</v>
      </c>
      <c r="J120" s="1156"/>
      <c r="K120" s="1156">
        <f>ROUND(SUMIF(未调整不符事项之分录!D:D,未调整不符事项之报表影响!C120,未调整不符事项之分录!F:F)+K121+K122+K123+K124+K125,2)</f>
        <v>0</v>
      </c>
      <c r="L120" s="1156">
        <f>ROUND(SUMIF(未调整不符事项之分录!D:D,未调整不符事项之报表影响!C120,未调整不符事项之分录!G:G)+L121+L122+L123+L124+L125,2)</f>
        <v>0</v>
      </c>
      <c r="M120" s="403">
        <f t="shared" si="13"/>
        <v>0</v>
      </c>
      <c r="N120" s="1156">
        <f t="shared" si="14"/>
        <v>0</v>
      </c>
    </row>
    <row r="121" spans="1:14" ht="24" customHeight="1">
      <c r="A121" s="535" t="s">
        <v>3965</v>
      </c>
      <c r="B121" s="535"/>
      <c r="C121" s="535" t="s">
        <v>3966</v>
      </c>
      <c r="D121" s="429" t="s">
        <v>3967</v>
      </c>
      <c r="E121" s="1156"/>
      <c r="F121" s="1156">
        <f>ROUND(SUMIF(未调整不符事项之分录!D:D,未调整不符事项之报表影响!C121,未调整不符事项之分录!H:H),2)</f>
        <v>0</v>
      </c>
      <c r="G121" s="1156">
        <f>ROUND(SUMIF(未调整不符事项之分录!D:D,未调整不符事项之报表影响!C121,未调整不符事项之分录!I:I),2)</f>
        <v>0</v>
      </c>
      <c r="H121" s="403">
        <f t="shared" si="12"/>
        <v>0</v>
      </c>
      <c r="I121" s="1156">
        <f t="shared" si="8"/>
        <v>0</v>
      </c>
      <c r="J121" s="1156"/>
      <c r="K121" s="1156">
        <f>ROUND(SUMIF(未调整不符事项之分录!D:D,未调整不符事项之报表影响!C121,未调整不符事项之分录!F:F),2)</f>
        <v>0</v>
      </c>
      <c r="L121" s="1156">
        <f>ROUND(SUMIF(未调整不符事项之分录!D:D,未调整不符事项之报表影响!C121,未调整不符事项之分录!G:G),2)</f>
        <v>0</v>
      </c>
      <c r="M121" s="403">
        <f t="shared" si="13"/>
        <v>0</v>
      </c>
      <c r="N121" s="1156">
        <f t="shared" si="14"/>
        <v>0</v>
      </c>
    </row>
    <row r="122" spans="1:14" ht="24" customHeight="1">
      <c r="A122" s="535" t="s">
        <v>3277</v>
      </c>
      <c r="B122" s="535"/>
      <c r="C122" s="535" t="s">
        <v>3968</v>
      </c>
      <c r="D122" s="429" t="s">
        <v>3841</v>
      </c>
      <c r="E122" s="1156"/>
      <c r="F122" s="1156">
        <f>ROUND(SUMIF(未调整不符事项之分录!D:D,未调整不符事项之报表影响!C122,未调整不符事项之分录!H:H),2)</f>
        <v>0</v>
      </c>
      <c r="G122" s="1156">
        <f>ROUND(SUMIF(未调整不符事项之分录!D:D,未调整不符事项之报表影响!C122,未调整不符事项之分录!I:I),2)</f>
        <v>0</v>
      </c>
      <c r="H122" s="403">
        <f t="shared" si="12"/>
        <v>0</v>
      </c>
      <c r="I122" s="1156">
        <f t="shared" si="8"/>
        <v>0</v>
      </c>
      <c r="J122" s="1156"/>
      <c r="K122" s="1156">
        <f>ROUND(SUMIF(未调整不符事项之分录!D:D,未调整不符事项之报表影响!C122,未调整不符事项之分录!F:F),2)</f>
        <v>0</v>
      </c>
      <c r="L122" s="1156">
        <f>ROUND(SUMIF(未调整不符事项之分录!D:D,未调整不符事项之报表影响!C122,未调整不符事项之分录!G:G),2)</f>
        <v>0</v>
      </c>
      <c r="M122" s="403">
        <f t="shared" si="13"/>
        <v>0</v>
      </c>
      <c r="N122" s="1156">
        <f t="shared" si="14"/>
        <v>0</v>
      </c>
    </row>
    <row r="123" spans="1:14" ht="24" customHeight="1">
      <c r="A123" s="535" t="s">
        <v>3294</v>
      </c>
      <c r="B123" s="535"/>
      <c r="C123" s="535" t="s">
        <v>3969</v>
      </c>
      <c r="D123" s="429" t="s">
        <v>3841</v>
      </c>
      <c r="E123" s="1156"/>
      <c r="F123" s="1156">
        <f>ROUND(SUMIF(未调整不符事项之分录!D:D,未调整不符事项之报表影响!C123,未调整不符事项之分录!H:H),2)</f>
        <v>0</v>
      </c>
      <c r="G123" s="1156">
        <f>ROUND(SUMIF(未调整不符事项之分录!D:D,未调整不符事项之报表影响!C123,未调整不符事项之分录!I:I),2)</f>
        <v>0</v>
      </c>
      <c r="H123" s="403">
        <f t="shared" si="12"/>
        <v>0</v>
      </c>
      <c r="I123" s="1156">
        <f t="shared" si="8"/>
        <v>0</v>
      </c>
      <c r="J123" s="1156"/>
      <c r="K123" s="1156">
        <f>ROUND(SUMIF(未调整不符事项之分录!D:D,未调整不符事项之报表影响!C123,未调整不符事项之分录!F:F),2)</f>
        <v>0</v>
      </c>
      <c r="L123" s="1156">
        <f>ROUND(SUMIF(未调整不符事项之分录!D:D,未调整不符事项之报表影响!C123,未调整不符事项之分录!G:G),2)</f>
        <v>0</v>
      </c>
      <c r="M123" s="403">
        <f t="shared" si="13"/>
        <v>0</v>
      </c>
      <c r="N123" s="1156">
        <f t="shared" si="14"/>
        <v>0</v>
      </c>
    </row>
    <row r="124" spans="1:14" ht="24" customHeight="1">
      <c r="A124" s="535" t="s">
        <v>3278</v>
      </c>
      <c r="B124" s="535"/>
      <c r="C124" s="535" t="s">
        <v>3970</v>
      </c>
      <c r="D124" s="429" t="s">
        <v>3841</v>
      </c>
      <c r="E124" s="1156"/>
      <c r="F124" s="1156">
        <f>ROUND(SUMIF(未调整不符事项之分录!D:D,未调整不符事项之报表影响!C124,未调整不符事项之分录!H:H),2)</f>
        <v>0</v>
      </c>
      <c r="G124" s="1156">
        <f>ROUND(SUMIF(未调整不符事项之分录!D:D,未调整不符事项之报表影响!C124,未调整不符事项之分录!I:I),2)</f>
        <v>0</v>
      </c>
      <c r="H124" s="403">
        <f t="shared" si="12"/>
        <v>0</v>
      </c>
      <c r="I124" s="1156">
        <f t="shared" si="8"/>
        <v>0</v>
      </c>
      <c r="J124" s="1156"/>
      <c r="K124" s="1156">
        <f>ROUND(SUMIF(未调整不符事项之分录!D:D,未调整不符事项之报表影响!C124,未调整不符事项之分录!F:F),2)</f>
        <v>0</v>
      </c>
      <c r="L124" s="1156">
        <f>ROUND(SUMIF(未调整不符事项之分录!D:D,未调整不符事项之报表影响!C124,未调整不符事项之分录!G:G),2)</f>
        <v>0</v>
      </c>
      <c r="M124" s="403">
        <f t="shared" si="13"/>
        <v>0</v>
      </c>
      <c r="N124" s="1156">
        <f t="shared" si="14"/>
        <v>0</v>
      </c>
    </row>
    <row r="125" spans="1:14" ht="24" customHeight="1">
      <c r="A125" s="535" t="s">
        <v>3279</v>
      </c>
      <c r="B125" s="535"/>
      <c r="C125" s="535" t="s">
        <v>3971</v>
      </c>
      <c r="D125" s="429" t="s">
        <v>3896</v>
      </c>
      <c r="E125" s="1156"/>
      <c r="F125" s="1156">
        <f>ROUND(SUMIF(未调整不符事项之分录!D:D,未调整不符事项之报表影响!C125,未调整不符事项之分录!H:H),2)</f>
        <v>0</v>
      </c>
      <c r="G125" s="1156">
        <f>ROUND(SUMIF(未调整不符事项之分录!D:D,未调整不符事项之报表影响!C125,未调整不符事项之分录!I:I),2)</f>
        <v>0</v>
      </c>
      <c r="H125" s="403">
        <f t="shared" si="12"/>
        <v>0</v>
      </c>
      <c r="I125" s="1156">
        <f t="shared" si="8"/>
        <v>0</v>
      </c>
      <c r="J125" s="1156"/>
      <c r="K125" s="1156">
        <f>ROUND(SUMIF(未调整不符事项之分录!D:D,未调整不符事项之报表影响!C125,未调整不符事项之分录!F:F),2)</f>
        <v>0</v>
      </c>
      <c r="L125" s="1156">
        <f>ROUND(SUMIF(未调整不符事项之分录!D:D,未调整不符事项之报表影响!C125,未调整不符事项之分录!G:G),2)</f>
        <v>0</v>
      </c>
      <c r="M125" s="403">
        <f t="shared" si="13"/>
        <v>0</v>
      </c>
      <c r="N125" s="1156">
        <f t="shared" si="14"/>
        <v>0</v>
      </c>
    </row>
    <row r="126" spans="1:14" ht="24" customHeight="1">
      <c r="A126" s="535" t="s">
        <v>3972</v>
      </c>
      <c r="B126" s="535" t="s">
        <v>3973</v>
      </c>
      <c r="C126" s="535" t="s">
        <v>3973</v>
      </c>
      <c r="D126" s="429" t="s">
        <v>3841</v>
      </c>
      <c r="E126" s="1156"/>
      <c r="F126" s="1156">
        <f>ROUND(SUMIF(未调整不符事项之分录!D:D,未调整不符事项之报表影响!C126,未调整不符事项之分录!H:H),2)</f>
        <v>0</v>
      </c>
      <c r="G126" s="1156">
        <f>ROUND(SUMIF(未调整不符事项之分录!D:D,未调整不符事项之报表影响!C126,未调整不符事项之分录!I:I),2)</f>
        <v>0</v>
      </c>
      <c r="H126" s="403">
        <f t="shared" si="12"/>
        <v>0</v>
      </c>
      <c r="I126" s="1156">
        <f t="shared" si="8"/>
        <v>0</v>
      </c>
      <c r="J126" s="1156"/>
      <c r="K126" s="1156">
        <f>ROUND(SUMIF(未调整不符事项之分录!D:D,未调整不符事项之报表影响!C126,未调整不符事项之分录!F:F),2)</f>
        <v>0</v>
      </c>
      <c r="L126" s="1156">
        <f>ROUND(SUMIF(未调整不符事项之分录!D:D,未调整不符事项之报表影响!C126,未调整不符事项之分录!G:G),2)</f>
        <v>0</v>
      </c>
      <c r="M126" s="403">
        <f t="shared" si="13"/>
        <v>0</v>
      </c>
      <c r="N126" s="1156">
        <f t="shared" si="14"/>
        <v>0</v>
      </c>
    </row>
    <row r="127" spans="1:14" ht="24" customHeight="1">
      <c r="A127" s="535" t="s">
        <v>3974</v>
      </c>
      <c r="B127" s="535" t="s">
        <v>1555</v>
      </c>
      <c r="C127" s="535" t="s">
        <v>3975</v>
      </c>
      <c r="D127" s="429" t="s">
        <v>3841</v>
      </c>
      <c r="E127" s="1156"/>
      <c r="F127" s="1156">
        <f>ROUND(SUMIF(未调整不符事项之分录!D:D,未调整不符事项之报表影响!C127,未调整不符事项之分录!H:H)+F184,2)</f>
        <v>0</v>
      </c>
      <c r="G127" s="1156">
        <f>ROUND(SUMIF(未调整不符事项之分录!D:D,未调整不符事项之报表影响!C127,未调整不符事项之分录!I:I)+G184,2)</f>
        <v>0</v>
      </c>
      <c r="H127" s="403">
        <f t="shared" si="12"/>
        <v>0</v>
      </c>
      <c r="I127" s="1156">
        <f t="shared" si="8"/>
        <v>0</v>
      </c>
      <c r="J127" s="1156"/>
      <c r="K127" s="1156">
        <f>ROUND(SUMIF(未调整不符事项之分录!D:D,未调整不符事项之报表影响!C127,未调整不符事项之分录!F:F)+K184,2)</f>
        <v>0</v>
      </c>
      <c r="L127" s="1156">
        <f>ROUND(SUMIF(未调整不符事项之分录!D:D,未调整不符事项之报表影响!C127,未调整不符事项之分录!G:G)+L184,2)</f>
        <v>0</v>
      </c>
      <c r="M127" s="403">
        <f t="shared" si="13"/>
        <v>0</v>
      </c>
      <c r="N127" s="1156">
        <f t="shared" si="14"/>
        <v>0</v>
      </c>
    </row>
    <row r="128" spans="1:14" ht="24" customHeight="1">
      <c r="A128" s="524" t="s">
        <v>3976</v>
      </c>
      <c r="B128" s="524"/>
      <c r="C128" s="535"/>
      <c r="D128" s="429" t="s">
        <v>3841</v>
      </c>
      <c r="E128" s="1156"/>
      <c r="F128" s="1156">
        <f>ROUND(F111+F112+F115+F116+F117+F119+F120+F126+F127,2)</f>
        <v>0</v>
      </c>
      <c r="G128" s="1156">
        <f>ROUND(G111+G112+G115+G116+G117+G119+G120+G126+G127,2)</f>
        <v>0</v>
      </c>
      <c r="H128" s="403">
        <f t="shared" si="12"/>
        <v>0</v>
      </c>
      <c r="I128" s="1156">
        <f t="shared" si="8"/>
        <v>0</v>
      </c>
      <c r="J128" s="1156"/>
      <c r="K128" s="1156">
        <f>ROUND(K111+K112+K115+K116+K117+K119+K120+K126+K127,2)</f>
        <v>0</v>
      </c>
      <c r="L128" s="1156">
        <f>ROUND(L111+L112+L115+L116+L117+L119+L120+L126+L127,2)</f>
        <v>0</v>
      </c>
      <c r="M128" s="403">
        <f t="shared" si="13"/>
        <v>0</v>
      </c>
      <c r="N128" s="1156">
        <f t="shared" si="14"/>
        <v>0</v>
      </c>
    </row>
    <row r="129" spans="1:14" ht="24" customHeight="1">
      <c r="A129" s="1157" t="s">
        <v>3977</v>
      </c>
      <c r="B129" s="535" t="s">
        <v>3978</v>
      </c>
      <c r="C129" s="535" t="s">
        <v>3979</v>
      </c>
      <c r="D129" s="429" t="s">
        <v>3841</v>
      </c>
      <c r="E129" s="1156"/>
      <c r="F129" s="1156">
        <f>ROUND(SUMIF(未调整不符事项之分录!D:D,未调整不符事项之报表影响!C129,未调整不符事项之分录!H:H)+F202,2)</f>
        <v>0</v>
      </c>
      <c r="G129" s="1156">
        <f>ROUND(SUMIF(未调整不符事项之分录!D:D,未调整不符事项之报表影响!C129,未调整不符事项之分录!I:I)+G202,2)</f>
        <v>0</v>
      </c>
      <c r="H129" s="403">
        <f t="shared" si="12"/>
        <v>0</v>
      </c>
      <c r="I129" s="1156">
        <f t="shared" si="8"/>
        <v>0</v>
      </c>
      <c r="J129" s="1156"/>
      <c r="K129" s="1156">
        <f>ROUND(SUMIF(未调整不符事项之分录!D:D,未调整不符事项之报表影响!C129,未调整不符事项之分录!F:F)+K202,2)</f>
        <v>0</v>
      </c>
      <c r="L129" s="1156">
        <f>ROUND(SUMIF(未调整不符事项之分录!D:D,未调整不符事项之报表影响!C129,未调整不符事项之分录!G:G)+L202,2)</f>
        <v>0</v>
      </c>
      <c r="M129" s="403">
        <f t="shared" si="13"/>
        <v>0</v>
      </c>
      <c r="N129" s="1156">
        <f t="shared" si="14"/>
        <v>0</v>
      </c>
    </row>
    <row r="130" spans="1:14" ht="24" customHeight="1">
      <c r="A130" s="524" t="s">
        <v>3980</v>
      </c>
      <c r="B130" s="524"/>
      <c r="C130" s="535"/>
      <c r="D130" s="429" t="s">
        <v>3841</v>
      </c>
      <c r="E130" s="1156"/>
      <c r="F130" s="1156">
        <f>ROUND(F128+F129,2)</f>
        <v>0</v>
      </c>
      <c r="G130" s="1156">
        <f>ROUND(G128+G129,2)</f>
        <v>0</v>
      </c>
      <c r="H130" s="403">
        <f t="shared" si="12"/>
        <v>0</v>
      </c>
      <c r="I130" s="1156">
        <f t="shared" si="8"/>
        <v>0</v>
      </c>
      <c r="J130" s="1156"/>
      <c r="K130" s="1156">
        <f>ROUND(K128+K129,2)</f>
        <v>0</v>
      </c>
      <c r="L130" s="1156">
        <f>ROUND(L128+L129,2)</f>
        <v>0</v>
      </c>
      <c r="M130" s="403">
        <f t="shared" si="13"/>
        <v>0</v>
      </c>
      <c r="N130" s="1156">
        <f t="shared" si="14"/>
        <v>0</v>
      </c>
    </row>
    <row r="131" spans="1:14" s="422" customFormat="1" ht="12.75">
      <c r="A131" s="524" t="s">
        <v>3981</v>
      </c>
      <c r="B131" s="524"/>
      <c r="C131" s="535"/>
      <c r="D131" s="429" t="s">
        <v>3841</v>
      </c>
      <c r="E131" s="1156"/>
      <c r="F131" s="1156">
        <f>ROUND(F130+F101,2)</f>
        <v>0</v>
      </c>
      <c r="G131" s="1156">
        <f>ROUND(G130+G101,2)</f>
        <v>0</v>
      </c>
      <c r="H131" s="403">
        <f t="shared" si="12"/>
        <v>0</v>
      </c>
      <c r="I131" s="1156">
        <f t="shared" si="8"/>
        <v>0</v>
      </c>
      <c r="J131" s="1156"/>
      <c r="K131" s="1156">
        <f>ROUND(K130+K101,2)</f>
        <v>0</v>
      </c>
      <c r="L131" s="1156">
        <f>ROUND(L130+L101,2)</f>
        <v>0</v>
      </c>
      <c r="M131" s="403">
        <f t="shared" si="13"/>
        <v>0</v>
      </c>
      <c r="N131" s="1156">
        <f t="shared" si="14"/>
        <v>0</v>
      </c>
    </row>
    <row r="132" spans="1:14" ht="12.75" hidden="1">
      <c r="A132" s="524"/>
      <c r="B132" s="524"/>
      <c r="C132" s="535"/>
      <c r="D132" s="429"/>
      <c r="E132" s="429"/>
      <c r="F132" s="537"/>
      <c r="G132" s="537"/>
      <c r="H132" s="403">
        <f t="shared" si="12"/>
        <v>0</v>
      </c>
      <c r="I132" s="537"/>
      <c r="J132" s="429"/>
      <c r="K132" s="537"/>
      <c r="L132" s="537"/>
      <c r="M132" s="403">
        <f t="shared" si="13"/>
        <v>0</v>
      </c>
      <c r="N132" s="537"/>
    </row>
    <row r="133" spans="1:14" ht="12.75" hidden="1">
      <c r="A133" s="524"/>
      <c r="B133" s="524"/>
      <c r="C133" s="535"/>
      <c r="D133" s="429"/>
      <c r="E133" s="429"/>
      <c r="F133" s="537"/>
      <c r="G133" s="537"/>
      <c r="H133" s="403">
        <f t="shared" si="12"/>
        <v>0</v>
      </c>
      <c r="I133" s="537"/>
      <c r="J133" s="429"/>
      <c r="K133" s="537"/>
      <c r="L133" s="537"/>
      <c r="M133" s="403">
        <f t="shared" si="13"/>
        <v>0</v>
      </c>
      <c r="N133" s="537"/>
    </row>
    <row r="134" spans="1:14" ht="12.75" hidden="1">
      <c r="A134" s="524"/>
      <c r="B134" s="524"/>
      <c r="C134" s="535"/>
      <c r="D134" s="429"/>
      <c r="E134" s="429"/>
      <c r="F134" s="537"/>
      <c r="G134" s="537"/>
      <c r="H134" s="403">
        <f t="shared" si="12"/>
        <v>0</v>
      </c>
      <c r="I134" s="537"/>
      <c r="J134" s="429"/>
      <c r="K134" s="537"/>
      <c r="L134" s="537"/>
      <c r="M134" s="403">
        <f t="shared" si="13"/>
        <v>0</v>
      </c>
      <c r="N134" s="537"/>
    </row>
    <row r="135" spans="1:14" ht="12.75" hidden="1">
      <c r="A135" s="529"/>
      <c r="B135" s="529"/>
      <c r="C135" s="535"/>
      <c r="D135" s="429"/>
      <c r="E135" s="535"/>
      <c r="F135" s="537"/>
      <c r="G135" s="537"/>
      <c r="H135" s="403">
        <f t="shared" si="12"/>
        <v>0</v>
      </c>
      <c r="I135" s="537"/>
      <c r="J135" s="535"/>
      <c r="K135" s="537"/>
      <c r="L135" s="537"/>
      <c r="M135" s="403">
        <f t="shared" si="13"/>
        <v>0</v>
      </c>
      <c r="N135" s="537"/>
    </row>
    <row r="136" spans="1:14" s="568" customFormat="1" ht="25.5" hidden="1">
      <c r="A136" s="524" t="s">
        <v>3982</v>
      </c>
      <c r="B136" s="526"/>
      <c r="C136" s="526"/>
      <c r="D136" s="526"/>
      <c r="E136" s="1155"/>
      <c r="F136" s="542" t="s">
        <v>3865</v>
      </c>
      <c r="G136" s="542" t="s">
        <v>3865</v>
      </c>
      <c r="H136" s="527" t="s">
        <v>3796</v>
      </c>
      <c r="I136" s="1155" t="str">
        <f>"审定"&amp;未审利润表!C4</f>
        <v>审定本期金额</v>
      </c>
      <c r="J136" s="1155"/>
      <c r="K136" s="542" t="s">
        <v>3983</v>
      </c>
      <c r="L136" s="542" t="s">
        <v>3865</v>
      </c>
      <c r="M136" s="527" t="s">
        <v>3796</v>
      </c>
      <c r="N136" s="1155" t="str">
        <f>"审定"&amp;未审利润表!D4</f>
        <v>审定上期金额</v>
      </c>
    </row>
    <row r="137" spans="1:14" ht="12.75">
      <c r="A137" s="543" t="s">
        <v>3984</v>
      </c>
      <c r="B137" s="543"/>
      <c r="C137" s="535"/>
      <c r="D137" s="566" t="s">
        <v>3896</v>
      </c>
      <c r="E137" s="1156"/>
      <c r="F137" s="1156">
        <f>ROUND(F138+F141+F142+F143,2)</f>
        <v>0</v>
      </c>
      <c r="G137" s="1156">
        <f>ROUND(G138+G141+G142+G143,2)</f>
        <v>0</v>
      </c>
      <c r="H137" s="403">
        <f t="shared" ref="H137:H185" si="15">I137-E137</f>
        <v>0</v>
      </c>
      <c r="I137" s="1156">
        <f t="shared" si="8"/>
        <v>0</v>
      </c>
      <c r="J137" s="1156"/>
      <c r="K137" s="1156">
        <f>ROUND(K138+K141+K142+K143,2)</f>
        <v>0</v>
      </c>
      <c r="L137" s="1156">
        <f>ROUND(L138+L141+L142+L143,2)</f>
        <v>0</v>
      </c>
      <c r="M137" s="403">
        <f t="shared" ref="M137:M185" si="16">N137-J137</f>
        <v>0</v>
      </c>
      <c r="N137" s="1156">
        <f t="shared" ref="N137:N185" si="17">IF(D137="借",J137+K137-L137,IF(D137="贷",J137+L137-K137,IF(D137="",0,0)))</f>
        <v>0</v>
      </c>
    </row>
    <row r="138" spans="1:14" ht="24" customHeight="1">
      <c r="A138" s="530" t="s">
        <v>3985</v>
      </c>
      <c r="B138" s="530"/>
      <c r="C138" s="535"/>
      <c r="D138" s="566" t="s">
        <v>3841</v>
      </c>
      <c r="E138" s="1156"/>
      <c r="F138" s="1156">
        <f>ROUND(F139+F140,2)</f>
        <v>0</v>
      </c>
      <c r="G138" s="1156">
        <f>ROUND(G139+G140,2)</f>
        <v>0</v>
      </c>
      <c r="H138" s="403">
        <f t="shared" si="15"/>
        <v>0</v>
      </c>
      <c r="I138" s="1156">
        <f t="shared" si="8"/>
        <v>0</v>
      </c>
      <c r="J138" s="1156"/>
      <c r="K138" s="1156">
        <f>ROUND(K139+K140,2)</f>
        <v>0</v>
      </c>
      <c r="L138" s="1156">
        <f>ROUND(L139+L140,2)</f>
        <v>0</v>
      </c>
      <c r="M138" s="403">
        <f t="shared" si="16"/>
        <v>0</v>
      </c>
      <c r="N138" s="1156">
        <f t="shared" si="17"/>
        <v>0</v>
      </c>
    </row>
    <row r="139" spans="1:14" ht="24" customHeight="1">
      <c r="A139" s="544" t="s">
        <v>3986</v>
      </c>
      <c r="B139" s="530" t="s">
        <v>3265</v>
      </c>
      <c r="C139" s="535" t="s">
        <v>3265</v>
      </c>
      <c r="D139" s="566" t="s">
        <v>3841</v>
      </c>
      <c r="E139" s="1156"/>
      <c r="F139" s="1156">
        <f>ROUND(SUMIF(未调整不符事项之分录!D:D,未调整不符事项之报表影响!C139,未调整不符事项之分录!H:H),2)</f>
        <v>0</v>
      </c>
      <c r="G139" s="1156">
        <f>ROUND(SUMIF(未调整不符事项之分录!D:D,未调整不符事项之报表影响!C139,未调整不符事项之分录!I:I),2)</f>
        <v>0</v>
      </c>
      <c r="H139" s="403">
        <f t="shared" si="15"/>
        <v>0</v>
      </c>
      <c r="I139" s="1156">
        <f t="shared" si="8"/>
        <v>0</v>
      </c>
      <c r="J139" s="1156"/>
      <c r="K139" s="1156">
        <f>ROUND(SUMIF(未调整不符事项之分录!D:D,未调整不符事项之报表影响!C139,未调整不符事项之分录!F:F),2)</f>
        <v>0</v>
      </c>
      <c r="L139" s="1156">
        <f>ROUND(SUMIF(未调整不符事项之分录!D:D,未调整不符事项之报表影响!C139,未调整不符事项之分录!G:G),2)</f>
        <v>0</v>
      </c>
      <c r="M139" s="403">
        <f t="shared" si="16"/>
        <v>0</v>
      </c>
      <c r="N139" s="1156">
        <f t="shared" si="17"/>
        <v>0</v>
      </c>
    </row>
    <row r="140" spans="1:14" ht="24" customHeight="1">
      <c r="A140" s="544" t="s">
        <v>3987</v>
      </c>
      <c r="B140" s="547" t="s">
        <v>371</v>
      </c>
      <c r="C140" s="535" t="s">
        <v>371</v>
      </c>
      <c r="D140" s="566" t="s">
        <v>3841</v>
      </c>
      <c r="E140" s="1156"/>
      <c r="F140" s="1156">
        <f>ROUND(SUMIF(未调整不符事项之分录!D:D,未调整不符事项之报表影响!C140,未调整不符事项之分录!H:H),2)</f>
        <v>0</v>
      </c>
      <c r="G140" s="1156">
        <f>ROUND(SUMIF(未调整不符事项之分录!D:D,未调整不符事项之报表影响!C140,未调整不符事项之分录!I:I),2)</f>
        <v>0</v>
      </c>
      <c r="H140" s="403">
        <f t="shared" si="15"/>
        <v>0</v>
      </c>
      <c r="I140" s="1156">
        <f t="shared" si="8"/>
        <v>0</v>
      </c>
      <c r="J140" s="1156"/>
      <c r="K140" s="1156">
        <f>ROUND(SUMIF(未调整不符事项之分录!D:D,未调整不符事项之报表影响!C140,未调整不符事项之分录!F:F),2)</f>
        <v>0</v>
      </c>
      <c r="L140" s="1156">
        <f>ROUND(SUMIF(未调整不符事项之分录!D:D,未调整不符事项之报表影响!C140,未调整不符事项之分录!G:G),2)</f>
        <v>0</v>
      </c>
      <c r="M140" s="403">
        <f t="shared" si="16"/>
        <v>0</v>
      </c>
      <c r="N140" s="1156">
        <f t="shared" si="17"/>
        <v>0</v>
      </c>
    </row>
    <row r="141" spans="1:14" ht="24" customHeight="1">
      <c r="A141" s="545" t="s">
        <v>3988</v>
      </c>
      <c r="B141" s="530" t="s">
        <v>3989</v>
      </c>
      <c r="C141" s="535" t="s">
        <v>3989</v>
      </c>
      <c r="D141" s="566" t="s">
        <v>3967</v>
      </c>
      <c r="E141" s="1156"/>
      <c r="F141" s="1156">
        <f>ROUND(SUMIF(未调整不符事项之分录!D:D,未调整不符事项之报表影响!C141,未调整不符事项之分录!H:H),2)</f>
        <v>0</v>
      </c>
      <c r="G141" s="1156">
        <f>ROUND(SUMIF(未调整不符事项之分录!D:D,未调整不符事项之报表影响!C141,未调整不符事项之分录!I:I),2)</f>
        <v>0</v>
      </c>
      <c r="H141" s="403">
        <f t="shared" si="15"/>
        <v>0</v>
      </c>
      <c r="I141" s="1156">
        <f t="shared" si="8"/>
        <v>0</v>
      </c>
      <c r="J141" s="1156"/>
      <c r="K141" s="1156">
        <f>ROUND(SUMIF(未调整不符事项之分录!D:D,未调整不符事项之报表影响!C141,未调整不符事项之分录!F:F),2)</f>
        <v>0</v>
      </c>
      <c r="L141" s="1156">
        <f>ROUND(SUMIF(未调整不符事项之分录!D:D,未调整不符事项之报表影响!C141,未调整不符事项之分录!G:G),2)</f>
        <v>0</v>
      </c>
      <c r="M141" s="403">
        <f t="shared" si="16"/>
        <v>0</v>
      </c>
      <c r="N141" s="1156">
        <f t="shared" si="17"/>
        <v>0</v>
      </c>
    </row>
    <row r="142" spans="1:14" ht="24" customHeight="1">
      <c r="A142" s="545" t="s">
        <v>3990</v>
      </c>
      <c r="B142" s="530" t="s">
        <v>3991</v>
      </c>
      <c r="C142" s="535" t="s">
        <v>3991</v>
      </c>
      <c r="D142" s="566" t="s">
        <v>3967</v>
      </c>
      <c r="E142" s="1156"/>
      <c r="F142" s="1156">
        <f>ROUND(SUMIF(未调整不符事项之分录!D:D,未调整不符事项之报表影响!C142,未调整不符事项之分录!H:H),2)</f>
        <v>0</v>
      </c>
      <c r="G142" s="1156">
        <f>ROUND(SUMIF(未调整不符事项之分录!D:D,未调整不符事项之报表影响!C142,未调整不符事项之分录!I:I),2)</f>
        <v>0</v>
      </c>
      <c r="H142" s="403">
        <f t="shared" si="15"/>
        <v>0</v>
      </c>
      <c r="I142" s="1156">
        <f t="shared" si="8"/>
        <v>0</v>
      </c>
      <c r="J142" s="1156"/>
      <c r="K142" s="1156">
        <f>ROUND(SUMIF(未调整不符事项之分录!D:D,未调整不符事项之报表影响!C142,未调整不符事项之分录!F:F),2)</f>
        <v>0</v>
      </c>
      <c r="L142" s="1156">
        <f>ROUND(SUMIF(未调整不符事项之分录!D:D,未调整不符事项之报表影响!C142,未调整不符事项之分录!G:G),2)</f>
        <v>0</v>
      </c>
      <c r="M142" s="403">
        <f t="shared" si="16"/>
        <v>0</v>
      </c>
      <c r="N142" s="1156">
        <f t="shared" si="17"/>
        <v>0</v>
      </c>
    </row>
    <row r="143" spans="1:14" ht="24" customHeight="1">
      <c r="A143" s="545" t="s">
        <v>3992</v>
      </c>
      <c r="B143" s="530" t="s">
        <v>3993</v>
      </c>
      <c r="C143" s="535" t="s">
        <v>3993</v>
      </c>
      <c r="D143" s="566" t="s">
        <v>3841</v>
      </c>
      <c r="E143" s="1156"/>
      <c r="F143" s="1156">
        <f>ROUND(SUMIF(未调整不符事项之分录!D:D,未调整不符事项之报表影响!C143,未调整不符事项之分录!H:H),2)</f>
        <v>0</v>
      </c>
      <c r="G143" s="1156">
        <f>ROUND(SUMIF(未调整不符事项之分录!D:D,未调整不符事项之报表影响!C143,未调整不符事项之分录!I:I),2)</f>
        <v>0</v>
      </c>
      <c r="H143" s="403">
        <f t="shared" si="15"/>
        <v>0</v>
      </c>
      <c r="I143" s="1156">
        <f t="shared" si="8"/>
        <v>0</v>
      </c>
      <c r="J143" s="1156"/>
      <c r="K143" s="1156">
        <f>ROUND(SUMIF(未调整不符事项之分录!D:D,未调整不符事项之报表影响!C143,未调整不符事项之分录!F:F),2)</f>
        <v>0</v>
      </c>
      <c r="L143" s="1156">
        <f>ROUND(SUMIF(未调整不符事项之分录!D:D,未调整不符事项之报表影响!C143,未调整不符事项之分录!G:G),2)</f>
        <v>0</v>
      </c>
      <c r="M143" s="403">
        <f t="shared" si="16"/>
        <v>0</v>
      </c>
      <c r="N143" s="1156">
        <f t="shared" si="17"/>
        <v>0</v>
      </c>
    </row>
    <row r="144" spans="1:14" ht="24" customHeight="1">
      <c r="A144" s="546" t="s">
        <v>3994</v>
      </c>
      <c r="B144" s="546"/>
      <c r="C144" s="535"/>
      <c r="D144" s="566" t="s">
        <v>3801</v>
      </c>
      <c r="E144" s="1156"/>
      <c r="F144" s="1156">
        <f>ROUND(SUM(F145:F165)-F146-F147-F158-F159-F161-F162-F163,2)</f>
        <v>0</v>
      </c>
      <c r="G144" s="1156">
        <f>ROUND(SUM(G145:G165)-G146-G147-G158-F159-G161-G162-G163,2)</f>
        <v>0</v>
      </c>
      <c r="H144" s="403">
        <f t="shared" si="15"/>
        <v>0</v>
      </c>
      <c r="I144" s="1156">
        <f t="shared" si="8"/>
        <v>0</v>
      </c>
      <c r="J144" s="1156"/>
      <c r="K144" s="1156">
        <f>ROUND(SUM(K145:K165)-K146-K147-K158-F159-K161-K162-K163,2)</f>
        <v>0</v>
      </c>
      <c r="L144" s="1156">
        <f>ROUND(SUM(L145:L165)-L146-L147-L158-F159-L161-L162-L163,2)</f>
        <v>0</v>
      </c>
      <c r="M144" s="403">
        <f t="shared" si="16"/>
        <v>0</v>
      </c>
      <c r="N144" s="1156">
        <f t="shared" si="17"/>
        <v>0</v>
      </c>
    </row>
    <row r="145" spans="1:14" ht="24" customHeight="1">
      <c r="A145" s="530" t="s">
        <v>3995</v>
      </c>
      <c r="B145" s="530"/>
      <c r="C145" s="535"/>
      <c r="D145" s="566" t="s">
        <v>3801</v>
      </c>
      <c r="E145" s="1156"/>
      <c r="F145" s="1156">
        <f>ROUND(F146+F147,2)</f>
        <v>0</v>
      </c>
      <c r="G145" s="1156">
        <f>ROUND(G146+G147,2)</f>
        <v>0</v>
      </c>
      <c r="H145" s="403">
        <f t="shared" si="15"/>
        <v>0</v>
      </c>
      <c r="I145" s="1156">
        <f t="shared" si="8"/>
        <v>0</v>
      </c>
      <c r="J145" s="1156"/>
      <c r="K145" s="1156">
        <f>ROUND(K146+K147,2)</f>
        <v>0</v>
      </c>
      <c r="L145" s="1156">
        <f>ROUND(L146+L147,2)</f>
        <v>0</v>
      </c>
      <c r="M145" s="403">
        <f t="shared" si="16"/>
        <v>0</v>
      </c>
      <c r="N145" s="1156">
        <f t="shared" si="17"/>
        <v>0</v>
      </c>
    </row>
    <row r="146" spans="1:14" ht="24" customHeight="1">
      <c r="A146" s="547" t="s">
        <v>3996</v>
      </c>
      <c r="B146" s="530" t="s">
        <v>3266</v>
      </c>
      <c r="C146" s="535" t="s">
        <v>3266</v>
      </c>
      <c r="D146" s="566" t="s">
        <v>3801</v>
      </c>
      <c r="E146" s="1156"/>
      <c r="F146" s="1156">
        <f>ROUND(SUMIF(未调整不符事项之分录!D:D,未调整不符事项之报表影响!C146,未调整不符事项之分录!H:H),2)</f>
        <v>0</v>
      </c>
      <c r="G146" s="1156">
        <f>ROUND(SUMIF(未调整不符事项之分录!D:D,未调整不符事项之报表影响!C146,未调整不符事项之分录!I:I),2)</f>
        <v>0</v>
      </c>
      <c r="H146" s="403">
        <f t="shared" si="15"/>
        <v>0</v>
      </c>
      <c r="I146" s="1156">
        <f t="shared" ref="I146:I205" si="18">IF(D146="借",E146+F146-G146,IF(D146="贷",E146+G146-F146,IF(D146="",0,0)))</f>
        <v>0</v>
      </c>
      <c r="J146" s="1156"/>
      <c r="K146" s="1156">
        <f>ROUND(SUMIF(未调整不符事项之分录!D:D,未调整不符事项之报表影响!C146,未调整不符事项之分录!F:F),2)</f>
        <v>0</v>
      </c>
      <c r="L146" s="1156">
        <f>ROUND(SUMIF(未调整不符事项之分录!D:D,未调整不符事项之报表影响!C146,未调整不符事项之分录!G:G),2)</f>
        <v>0</v>
      </c>
      <c r="M146" s="403">
        <f t="shared" si="16"/>
        <v>0</v>
      </c>
      <c r="N146" s="1156">
        <f t="shared" si="17"/>
        <v>0</v>
      </c>
    </row>
    <row r="147" spans="1:14" ht="24" customHeight="1">
      <c r="A147" s="547" t="s">
        <v>3997</v>
      </c>
      <c r="B147" s="547" t="s">
        <v>3998</v>
      </c>
      <c r="C147" s="535" t="s">
        <v>3998</v>
      </c>
      <c r="D147" s="566" t="s">
        <v>3999</v>
      </c>
      <c r="E147" s="1156"/>
      <c r="F147" s="1156">
        <f>ROUND(SUMIF(未调整不符事项之分录!D:D,未调整不符事项之报表影响!C147,未调整不符事项之分录!H:H),2)</f>
        <v>0</v>
      </c>
      <c r="G147" s="1156">
        <f>ROUND(SUMIF(未调整不符事项之分录!D:D,未调整不符事项之报表影响!C147,未调整不符事项之分录!I:I),2)</f>
        <v>0</v>
      </c>
      <c r="H147" s="403">
        <f t="shared" si="15"/>
        <v>0</v>
      </c>
      <c r="I147" s="1156">
        <f t="shared" si="18"/>
        <v>0</v>
      </c>
      <c r="J147" s="1156"/>
      <c r="K147" s="1156">
        <f>ROUND(SUMIF(未调整不符事项之分录!D:D,未调整不符事项之报表影响!C147,未调整不符事项之分录!F:F),2)</f>
        <v>0</v>
      </c>
      <c r="L147" s="1156">
        <f>ROUND(SUMIF(未调整不符事项之分录!D:D,未调整不符事项之报表影响!C147,未调整不符事项之分录!G:G),2)</f>
        <v>0</v>
      </c>
      <c r="M147" s="403">
        <f t="shared" si="16"/>
        <v>0</v>
      </c>
      <c r="N147" s="1156">
        <f t="shared" si="17"/>
        <v>0</v>
      </c>
    </row>
    <row r="148" spans="1:14" ht="24" customHeight="1">
      <c r="A148" s="545" t="s">
        <v>4000</v>
      </c>
      <c r="B148" s="530" t="s">
        <v>4001</v>
      </c>
      <c r="C148" s="535" t="s">
        <v>4001</v>
      </c>
      <c r="D148" s="566" t="s">
        <v>3999</v>
      </c>
      <c r="E148" s="1156"/>
      <c r="F148" s="1156">
        <f>ROUND(SUMIF(未调整不符事项之分录!D:D,未调整不符事项之报表影响!C148,未调整不符事项之分录!H:H),2)</f>
        <v>0</v>
      </c>
      <c r="G148" s="1156">
        <f>ROUND(SUMIF(未调整不符事项之分录!D:D,未调整不符事项之报表影响!C148,未调整不符事项之分录!I:I),2)</f>
        <v>0</v>
      </c>
      <c r="H148" s="403">
        <f t="shared" si="15"/>
        <v>0</v>
      </c>
      <c r="I148" s="1156">
        <f t="shared" si="18"/>
        <v>0</v>
      </c>
      <c r="J148" s="1156"/>
      <c r="K148" s="1156">
        <f>ROUND(SUMIF(未调整不符事项之分录!D:D,未调整不符事项之报表影响!C148,未调整不符事项之分录!F:F),2)</f>
        <v>0</v>
      </c>
      <c r="L148" s="1156">
        <f>ROUND(SUMIF(未调整不符事项之分录!D:D,未调整不符事项之报表影响!C148,未调整不符事项之分录!G:G),2)</f>
        <v>0</v>
      </c>
      <c r="M148" s="403">
        <f t="shared" si="16"/>
        <v>0</v>
      </c>
      <c r="N148" s="1156">
        <f t="shared" si="17"/>
        <v>0</v>
      </c>
    </row>
    <row r="149" spans="1:14" ht="24" customHeight="1">
      <c r="A149" s="545" t="s">
        <v>4002</v>
      </c>
      <c r="B149" s="530" t="s">
        <v>4003</v>
      </c>
      <c r="C149" s="535" t="s">
        <v>4003</v>
      </c>
      <c r="D149" s="566" t="s">
        <v>3801</v>
      </c>
      <c r="E149" s="1156"/>
      <c r="F149" s="1156">
        <f>ROUND(SUMIF(未调整不符事项之分录!D:D,未调整不符事项之报表影响!C149,未调整不符事项之分录!H:H),2)</f>
        <v>0</v>
      </c>
      <c r="G149" s="1156">
        <f>ROUND(SUMIF(未调整不符事项之分录!D:D,未调整不符事项之报表影响!C149,未调整不符事项之分录!I:I),2)</f>
        <v>0</v>
      </c>
      <c r="H149" s="403">
        <f t="shared" si="15"/>
        <v>0</v>
      </c>
      <c r="I149" s="1156">
        <f t="shared" si="18"/>
        <v>0</v>
      </c>
      <c r="J149" s="1156"/>
      <c r="K149" s="1156">
        <f>ROUND(SUMIF(未调整不符事项之分录!D:D,未调整不符事项之报表影响!C149,未调整不符事项之分录!F:F),2)</f>
        <v>0</v>
      </c>
      <c r="L149" s="1156">
        <f>ROUND(SUMIF(未调整不符事项之分录!D:D,未调整不符事项之报表影响!C149,未调整不符事项之分录!G:G),2)</f>
        <v>0</v>
      </c>
      <c r="M149" s="403">
        <f t="shared" si="16"/>
        <v>0</v>
      </c>
      <c r="N149" s="1156">
        <f t="shared" si="17"/>
        <v>0</v>
      </c>
    </row>
    <row r="150" spans="1:14" ht="24" customHeight="1">
      <c r="A150" s="545" t="s">
        <v>4004</v>
      </c>
      <c r="B150" s="530" t="s">
        <v>4005</v>
      </c>
      <c r="C150" s="535" t="s">
        <v>4005</v>
      </c>
      <c r="D150" s="566" t="s">
        <v>3801</v>
      </c>
      <c r="E150" s="1156"/>
      <c r="F150" s="1156">
        <f>ROUND(SUMIF(未调整不符事项之分录!D:D,未调整不符事项之报表影响!C150,未调整不符事项之分录!H:H),2)</f>
        <v>0</v>
      </c>
      <c r="G150" s="1156">
        <f>ROUND(SUMIF(未调整不符事项之分录!D:D,未调整不符事项之报表影响!C150,未调整不符事项之分录!I:I),2)</f>
        <v>0</v>
      </c>
      <c r="H150" s="403">
        <f t="shared" si="15"/>
        <v>0</v>
      </c>
      <c r="I150" s="1156">
        <f t="shared" si="18"/>
        <v>0</v>
      </c>
      <c r="J150" s="1156"/>
      <c r="K150" s="1156">
        <f>ROUND(SUMIF(未调整不符事项之分录!D:D,未调整不符事项之报表影响!C150,未调整不符事项之分录!F:F),2)</f>
        <v>0</v>
      </c>
      <c r="L150" s="1156">
        <f>ROUND(SUMIF(未调整不符事项之分录!D:D,未调整不符事项之报表影响!C150,未调整不符事项之分录!G:G),2)</f>
        <v>0</v>
      </c>
      <c r="M150" s="403">
        <f t="shared" si="16"/>
        <v>0</v>
      </c>
      <c r="N150" s="1156">
        <f t="shared" si="17"/>
        <v>0</v>
      </c>
    </row>
    <row r="151" spans="1:14" ht="24" customHeight="1">
      <c r="A151" s="545" t="s">
        <v>4006</v>
      </c>
      <c r="B151" s="530" t="s">
        <v>4007</v>
      </c>
      <c r="C151" s="535" t="s">
        <v>4007</v>
      </c>
      <c r="D151" s="566" t="s">
        <v>3801</v>
      </c>
      <c r="E151" s="1156"/>
      <c r="F151" s="1156">
        <f>ROUND(SUMIF(未调整不符事项之分录!D:D,未调整不符事项之报表影响!C151,未调整不符事项之分录!H:H),2)</f>
        <v>0</v>
      </c>
      <c r="G151" s="1156">
        <f>ROUND(SUMIF(未调整不符事项之分录!D:D,未调整不符事项之报表影响!C151,未调整不符事项之分录!I:I),2)</f>
        <v>0</v>
      </c>
      <c r="H151" s="403">
        <f t="shared" si="15"/>
        <v>0</v>
      </c>
      <c r="I151" s="1156">
        <f t="shared" si="18"/>
        <v>0</v>
      </c>
      <c r="J151" s="1156"/>
      <c r="K151" s="1156">
        <f>ROUND(SUMIF(未调整不符事项之分录!D:D,未调整不符事项之报表影响!C151,未调整不符事项之分录!F:F),2)</f>
        <v>0</v>
      </c>
      <c r="L151" s="1156">
        <f>ROUND(SUMIF(未调整不符事项之分录!D:D,未调整不符事项之报表影响!C151,未调整不符事项之分录!G:G),2)</f>
        <v>0</v>
      </c>
      <c r="M151" s="403">
        <f t="shared" si="16"/>
        <v>0</v>
      </c>
      <c r="N151" s="1156">
        <f t="shared" si="17"/>
        <v>0</v>
      </c>
    </row>
    <row r="152" spans="1:14" ht="24" customHeight="1">
      <c r="A152" s="545" t="s">
        <v>4008</v>
      </c>
      <c r="B152" s="530" t="s">
        <v>4009</v>
      </c>
      <c r="C152" s="535" t="s">
        <v>4009</v>
      </c>
      <c r="D152" s="566" t="s">
        <v>4010</v>
      </c>
      <c r="E152" s="1156"/>
      <c r="F152" s="1156">
        <f>ROUND(SUMIF(未调整不符事项之分录!D:D,未调整不符事项之报表影响!C152,未调整不符事项之分录!H:H),2)</f>
        <v>0</v>
      </c>
      <c r="G152" s="1156">
        <f>ROUND(SUMIF(未调整不符事项之分录!D:D,未调整不符事项之报表影响!C152,未调整不符事项之分录!I:I),2)</f>
        <v>0</v>
      </c>
      <c r="H152" s="403">
        <f t="shared" si="15"/>
        <v>0</v>
      </c>
      <c r="I152" s="1156">
        <f t="shared" si="18"/>
        <v>0</v>
      </c>
      <c r="J152" s="1156"/>
      <c r="K152" s="1156">
        <f>ROUND(SUMIF(未调整不符事项之分录!D:D,未调整不符事项之报表影响!C152,未调整不符事项之分录!F:F),2)</f>
        <v>0</v>
      </c>
      <c r="L152" s="1156">
        <f>ROUND(SUMIF(未调整不符事项之分录!D:D,未调整不符事项之报表影响!C152,未调整不符事项之分录!G:G),2)</f>
        <v>0</v>
      </c>
      <c r="M152" s="403">
        <f t="shared" si="16"/>
        <v>0</v>
      </c>
      <c r="N152" s="1156">
        <f t="shared" si="17"/>
        <v>0</v>
      </c>
    </row>
    <row r="153" spans="1:14" ht="24" customHeight="1">
      <c r="A153" s="545" t="s">
        <v>4011</v>
      </c>
      <c r="B153" s="530" t="s">
        <v>4012</v>
      </c>
      <c r="C153" s="535" t="s">
        <v>4012</v>
      </c>
      <c r="D153" s="566" t="s">
        <v>3999</v>
      </c>
      <c r="E153" s="1156"/>
      <c r="F153" s="1156">
        <f>ROUND(SUMIF(未调整不符事项之分录!D:D,未调整不符事项之报表影响!C153,未调整不符事项之分录!H:H),2)</f>
        <v>0</v>
      </c>
      <c r="G153" s="1156">
        <f>ROUND(SUMIF(未调整不符事项之分录!D:D,未调整不符事项之报表影响!C153,未调整不符事项之分录!I:I),2)</f>
        <v>0</v>
      </c>
      <c r="H153" s="403">
        <f t="shared" si="15"/>
        <v>0</v>
      </c>
      <c r="I153" s="1156">
        <f t="shared" si="18"/>
        <v>0</v>
      </c>
      <c r="J153" s="1156"/>
      <c r="K153" s="1156">
        <f>ROUND(SUMIF(未调整不符事项之分录!D:D,未调整不符事项之报表影响!C153,未调整不符事项之分录!F:F),2)</f>
        <v>0</v>
      </c>
      <c r="L153" s="1156">
        <f>ROUND(SUMIF(未调整不符事项之分录!D:D,未调整不符事项之报表影响!C153,未调整不符事项之分录!G:G),2)</f>
        <v>0</v>
      </c>
      <c r="M153" s="403">
        <f t="shared" si="16"/>
        <v>0</v>
      </c>
      <c r="N153" s="1156">
        <f t="shared" si="17"/>
        <v>0</v>
      </c>
    </row>
    <row r="154" spans="1:14" ht="24" customHeight="1">
      <c r="A154" s="545" t="s">
        <v>4013</v>
      </c>
      <c r="B154" s="530" t="s">
        <v>4014</v>
      </c>
      <c r="C154" s="535" t="s">
        <v>4014</v>
      </c>
      <c r="D154" s="566" t="s">
        <v>3801</v>
      </c>
      <c r="E154" s="1156"/>
      <c r="F154" s="1156">
        <f>ROUND(SUMIF(未调整不符事项之分录!D:D,未调整不符事项之报表影响!C154,未调整不符事项之分录!H:H),2)</f>
        <v>0</v>
      </c>
      <c r="G154" s="1156">
        <f>ROUND(SUMIF(未调整不符事项之分录!D:D,未调整不符事项之报表影响!C154,未调整不符事项之分录!I:I),2)</f>
        <v>0</v>
      </c>
      <c r="H154" s="403">
        <f t="shared" si="15"/>
        <v>0</v>
      </c>
      <c r="I154" s="1156">
        <f t="shared" si="18"/>
        <v>0</v>
      </c>
      <c r="J154" s="1156"/>
      <c r="K154" s="1156">
        <f>ROUND(SUMIF(未调整不符事项之分录!D:D,未调整不符事项之报表影响!C154,未调整不符事项之分录!F:F),2)</f>
        <v>0</v>
      </c>
      <c r="L154" s="1156">
        <f>ROUND(SUMIF(未调整不符事项之分录!D:D,未调整不符事项之报表影响!C154,未调整不符事项之分录!G:G),2)</f>
        <v>0</v>
      </c>
      <c r="M154" s="403">
        <f t="shared" si="16"/>
        <v>0</v>
      </c>
      <c r="N154" s="1156">
        <f t="shared" si="17"/>
        <v>0</v>
      </c>
    </row>
    <row r="155" spans="1:14" ht="24" customHeight="1">
      <c r="A155" s="545" t="s">
        <v>4765</v>
      </c>
      <c r="B155" s="1343" t="s">
        <v>4766</v>
      </c>
      <c r="C155" s="1341" t="s">
        <v>4766</v>
      </c>
      <c r="D155" s="566" t="s">
        <v>3999</v>
      </c>
      <c r="E155" s="1156"/>
      <c r="F155" s="1156">
        <f>ROUND(SUMIF(未调整不符事项之分录!D:D,未调整不符事项之报表影响!C155,未调整不符事项之分录!H:H),2)</f>
        <v>0</v>
      </c>
      <c r="G155" s="1156">
        <f>ROUND(SUMIF(未调整不符事项之分录!D:D,未调整不符事项之报表影响!C155,未调整不符事项之分录!I:I),2)</f>
        <v>0</v>
      </c>
      <c r="H155" s="403">
        <f t="shared" si="15"/>
        <v>0</v>
      </c>
      <c r="I155" s="1156">
        <f t="shared" si="18"/>
        <v>0</v>
      </c>
      <c r="J155" s="1156"/>
      <c r="K155" s="1156">
        <f>ROUND(SUMIF(未调整不符事项之分录!D:D,未调整不符事项之报表影响!C155,未调整不符事项之分录!F:F),2)</f>
        <v>0</v>
      </c>
      <c r="L155" s="1156">
        <f>ROUND(SUMIF(未调整不符事项之分录!D:D,未调整不符事项之报表影响!C155,未调整不符事项之分录!G:G),2)</f>
        <v>0</v>
      </c>
      <c r="M155" s="403">
        <f t="shared" si="16"/>
        <v>0</v>
      </c>
      <c r="N155" s="1156">
        <f t="shared" si="17"/>
        <v>0</v>
      </c>
    </row>
    <row r="156" spans="1:14" ht="24" customHeight="1">
      <c r="A156" s="545" t="s">
        <v>4015</v>
      </c>
      <c r="B156" s="530" t="s">
        <v>4016</v>
      </c>
      <c r="C156" s="535" t="s">
        <v>4016</v>
      </c>
      <c r="D156" s="566" t="s">
        <v>4010</v>
      </c>
      <c r="E156" s="1156"/>
      <c r="F156" s="1156">
        <f>ROUND(SUMIF(未调整不符事项之分录!D:D,未调整不符事项之报表影响!C156,未调整不符事项之分录!H:H),2)</f>
        <v>0</v>
      </c>
      <c r="G156" s="1156">
        <f>ROUND(SUMIF(未调整不符事项之分录!D:D,未调整不符事项之报表影响!C156,未调整不符事项之分录!I:I),2)</f>
        <v>0</v>
      </c>
      <c r="H156" s="403">
        <f t="shared" si="15"/>
        <v>0</v>
      </c>
      <c r="I156" s="1156">
        <f t="shared" si="18"/>
        <v>0</v>
      </c>
      <c r="J156" s="1156"/>
      <c r="K156" s="1156">
        <f>ROUND(SUMIF(未调整不符事项之分录!D:D,未调整不符事项之报表影响!C156,未调整不符事项之分录!F:F),2)</f>
        <v>0</v>
      </c>
      <c r="L156" s="1156">
        <f>ROUND(SUMIF(未调整不符事项之分录!D:D,未调整不符事项之报表影响!C156,未调整不符事项之分录!G:G),2)</f>
        <v>0</v>
      </c>
      <c r="M156" s="403">
        <f t="shared" si="16"/>
        <v>0</v>
      </c>
      <c r="N156" s="1156">
        <f t="shared" si="17"/>
        <v>0</v>
      </c>
    </row>
    <row r="157" spans="1:14" ht="24" customHeight="1">
      <c r="A157" s="545" t="s">
        <v>4017</v>
      </c>
      <c r="B157" s="530" t="s">
        <v>4018</v>
      </c>
      <c r="C157" s="535" t="s">
        <v>4019</v>
      </c>
      <c r="D157" s="566" t="s">
        <v>3801</v>
      </c>
      <c r="E157" s="1156"/>
      <c r="F157" s="1156">
        <f>ROUND(SUMIF(未调整不符事项之分录!D:D,未调整不符事项之报表影响!C157,未调整不符事项之分录!H:H)+F158,2)</f>
        <v>0</v>
      </c>
      <c r="G157" s="1156">
        <f>SUMIF(未调整不符事项之分录!D:D,未调整不符事项之报表影响!C157,未调整不符事项之分录!I:I)+G158</f>
        <v>0</v>
      </c>
      <c r="H157" s="403">
        <f t="shared" si="15"/>
        <v>0</v>
      </c>
      <c r="I157" s="1156">
        <f t="shared" si="18"/>
        <v>0</v>
      </c>
      <c r="J157" s="1156"/>
      <c r="K157" s="1156">
        <f>ROUND(SUMIF(未调整不符事项之分录!D:D,未调整不符事项之报表影响!C157,未调整不符事项之分录!F:F)+K158,2)</f>
        <v>0</v>
      </c>
      <c r="L157" s="1156">
        <f>ROUND(SUMIF(未调整不符事项之分录!D:D,未调整不符事项之报表影响!C157,未调整不符事项之分录!G:G)+L158,2)</f>
        <v>0</v>
      </c>
      <c r="M157" s="403">
        <f t="shared" si="16"/>
        <v>0</v>
      </c>
      <c r="N157" s="1156">
        <f t="shared" si="17"/>
        <v>0</v>
      </c>
    </row>
    <row r="158" spans="1:14" ht="24" customHeight="1">
      <c r="A158" s="532" t="s">
        <v>4020</v>
      </c>
      <c r="B158" s="532"/>
      <c r="C158" s="535" t="s">
        <v>4021</v>
      </c>
      <c r="D158" s="566" t="s">
        <v>3801</v>
      </c>
      <c r="E158" s="1156"/>
      <c r="F158" s="1156">
        <f>ROUND(SUMIF(未调整不符事项之分录!D:D,未调整不符事项之报表影响!C158,未调整不符事项之分录!H:H),2)</f>
        <v>0</v>
      </c>
      <c r="G158" s="1156">
        <f>ROUND(SUMIF(未调整不符事项之分录!D:D,未调整不符事项之报表影响!C158,未调整不符事项之分录!I:I),2)</f>
        <v>0</v>
      </c>
      <c r="H158" s="403">
        <f t="shared" si="15"/>
        <v>0</v>
      </c>
      <c r="I158" s="1156">
        <f t="shared" si="18"/>
        <v>0</v>
      </c>
      <c r="J158" s="1156"/>
      <c r="K158" s="1156">
        <f>ROUND(SUMIF(未调整不符事项之分录!D:D,未调整不符事项之报表影响!C158,未调整不符事项之分录!F:F),2)</f>
        <v>0</v>
      </c>
      <c r="L158" s="1156">
        <f>ROUND(SUMIF(未调整不符事项之分录!D:D,未调整不符事项之报表影响!C158,未调整不符事项之分录!G:G),2)</f>
        <v>0</v>
      </c>
      <c r="M158" s="403">
        <f t="shared" si="16"/>
        <v>0</v>
      </c>
      <c r="N158" s="1156">
        <f t="shared" si="17"/>
        <v>0</v>
      </c>
    </row>
    <row r="159" spans="1:14" ht="24" customHeight="1">
      <c r="A159" s="1404" t="s">
        <v>4767</v>
      </c>
      <c r="B159" s="1404"/>
      <c r="C159" s="1409" t="s">
        <v>4768</v>
      </c>
      <c r="D159" s="1410" t="s">
        <v>4769</v>
      </c>
      <c r="E159" s="1447"/>
      <c r="F159" s="1156">
        <f>ROUND(SUMIF(未调整不符事项之分录!D:D,未调整不符事项之报表影响!C159,未调整不符事项之分录!H:H),2)</f>
        <v>0</v>
      </c>
      <c r="G159" s="1156">
        <f>ROUND(SUMIF(未调整不符事项之分录!D:D,未调整不符事项之报表影响!C159,未调整不符事项之分录!I:I),2)</f>
        <v>0</v>
      </c>
      <c r="H159" s="403">
        <f t="shared" si="15"/>
        <v>0</v>
      </c>
      <c r="I159" s="1156">
        <f t="shared" si="18"/>
        <v>0</v>
      </c>
      <c r="J159" s="1447"/>
      <c r="K159" s="1156">
        <f>ROUND(SUMIF(未调整不符事项之分录!D:D,未调整不符事项之报表影响!C159,未调整不符事项之分录!F:F),2)</f>
        <v>0</v>
      </c>
      <c r="L159" s="1156">
        <f>ROUND(SUMIF(未调整不符事项之分录!D:D,未调整不符事项之报表影响!C159,未调整不符事项之分录!G:G),2)</f>
        <v>0</v>
      </c>
      <c r="M159" s="403">
        <f t="shared" si="16"/>
        <v>0</v>
      </c>
      <c r="N159" s="1156">
        <f t="shared" si="17"/>
        <v>0</v>
      </c>
    </row>
    <row r="160" spans="1:14" ht="24" customHeight="1">
      <c r="A160" s="545" t="s">
        <v>4022</v>
      </c>
      <c r="B160" s="530" t="s">
        <v>1559</v>
      </c>
      <c r="C160" s="535" t="s">
        <v>4023</v>
      </c>
      <c r="D160" s="566" t="s">
        <v>3999</v>
      </c>
      <c r="E160" s="1156"/>
      <c r="F160" s="1156">
        <f>ROUND(SUMIF(未调整不符事项之分录!D:D,未调整不符事项之报表影响!C160,未调整不符事项之分录!H:H)+F161+F162+F163,2)</f>
        <v>0</v>
      </c>
      <c r="G160" s="1156">
        <f>ROUND(SUMIF(未调整不符事项之分录!D:D,未调整不符事项之报表影响!C160,未调整不符事项之分录!I:I)+G161+G162+G163,2)</f>
        <v>0</v>
      </c>
      <c r="H160" s="403">
        <f t="shared" si="15"/>
        <v>0</v>
      </c>
      <c r="I160" s="1156">
        <f t="shared" si="18"/>
        <v>0</v>
      </c>
      <c r="J160" s="1156"/>
      <c r="K160" s="1156">
        <f>ROUND(SUMIF(未调整不符事项之分录!D:D,未调整不符事项之报表影响!C160,未调整不符事项之分录!F:F)+K161+K162+K163,2)</f>
        <v>0</v>
      </c>
      <c r="L160" s="1156">
        <f>ROUND(SUMIF(未调整不符事项之分录!D:D,未调整不符事项之报表影响!C160,未调整不符事项之分录!G:G)+L161+L162+L163,2)</f>
        <v>0</v>
      </c>
      <c r="M160" s="403">
        <f t="shared" si="16"/>
        <v>0</v>
      </c>
      <c r="N160" s="1156">
        <f t="shared" si="17"/>
        <v>0</v>
      </c>
    </row>
    <row r="161" spans="1:14" ht="24" customHeight="1">
      <c r="A161" s="547" t="s">
        <v>4024</v>
      </c>
      <c r="B161" s="547"/>
      <c r="C161" s="535" t="s">
        <v>4025</v>
      </c>
      <c r="D161" s="566" t="s">
        <v>3801</v>
      </c>
      <c r="E161" s="1156"/>
      <c r="F161" s="1156">
        <f>ROUND(SUMIF(未调整不符事项之分录!D:D,未调整不符事项之报表影响!C161,未调整不符事项之分录!H:H),2)</f>
        <v>0</v>
      </c>
      <c r="G161" s="1156">
        <f>ROUND(SUMIF(未调整不符事项之分录!D:D,未调整不符事项之报表影响!C161,未调整不符事项之分录!I:I),2)</f>
        <v>0</v>
      </c>
      <c r="H161" s="403">
        <f t="shared" si="15"/>
        <v>0</v>
      </c>
      <c r="I161" s="1156">
        <f t="shared" si="18"/>
        <v>0</v>
      </c>
      <c r="J161" s="1156"/>
      <c r="K161" s="1156">
        <f>ROUND(SUMIF(未调整不符事项之分录!D:D,未调整不符事项之报表影响!C161,未调整不符事项之分录!F:F),2)</f>
        <v>0</v>
      </c>
      <c r="L161" s="1156">
        <f>ROUND(SUMIF(未调整不符事项之分录!D:D,未调整不符事项之报表影响!C161,未调整不符事项之分录!G:G),2)</f>
        <v>0</v>
      </c>
      <c r="M161" s="403">
        <f t="shared" si="16"/>
        <v>0</v>
      </c>
      <c r="N161" s="1156">
        <f t="shared" si="17"/>
        <v>0</v>
      </c>
    </row>
    <row r="162" spans="1:14" ht="24" customHeight="1">
      <c r="A162" s="547" t="s">
        <v>4026</v>
      </c>
      <c r="B162" s="547"/>
      <c r="C162" s="535" t="s">
        <v>4027</v>
      </c>
      <c r="D162" s="566" t="s">
        <v>3841</v>
      </c>
      <c r="E162" s="1156"/>
      <c r="F162" s="1156">
        <f>ROUND(SUMIF(未调整不符事项之分录!D:D,未调整不符事项之报表影响!C162,未调整不符事项之分录!H:H),2)</f>
        <v>0</v>
      </c>
      <c r="G162" s="1156">
        <f>ROUND(SUMIF(未调整不符事项之分录!D:D,未调整不符事项之报表影响!C162,未调整不符事项之分录!I:I),2)</f>
        <v>0</v>
      </c>
      <c r="H162" s="403">
        <f t="shared" si="15"/>
        <v>0</v>
      </c>
      <c r="I162" s="1156">
        <f t="shared" si="18"/>
        <v>0</v>
      </c>
      <c r="J162" s="1156"/>
      <c r="K162" s="1156">
        <f>ROUND(SUMIF(未调整不符事项之分录!D:D,未调整不符事项之报表影响!C162,未调整不符事项之分录!F:F),2)</f>
        <v>0</v>
      </c>
      <c r="L162" s="1156">
        <f>ROUND(SUMIF(未调整不符事项之分录!D:D,未调整不符事项之报表影响!C162,未调整不符事项之分录!G:G),2)</f>
        <v>0</v>
      </c>
      <c r="M162" s="403">
        <f t="shared" si="16"/>
        <v>0</v>
      </c>
      <c r="N162" s="1156">
        <f t="shared" si="17"/>
        <v>0</v>
      </c>
    </row>
    <row r="163" spans="1:14" ht="24" customHeight="1">
      <c r="A163" s="547" t="s">
        <v>4028</v>
      </c>
      <c r="B163" s="547"/>
      <c r="C163" s="535" t="s">
        <v>4029</v>
      </c>
      <c r="D163" s="566" t="s">
        <v>3801</v>
      </c>
      <c r="E163" s="1156"/>
      <c r="F163" s="1156">
        <f>ROUND(SUMIF(未调整不符事项之分录!D:D,未调整不符事项之报表影响!C163,未调整不符事项之分录!H:H),2)</f>
        <v>0</v>
      </c>
      <c r="G163" s="1156">
        <f>ROUND(SUMIF(未调整不符事项之分录!D:D,未调整不符事项之报表影响!C163,未调整不符事项之分录!I:I),2)</f>
        <v>0</v>
      </c>
      <c r="H163" s="403">
        <f t="shared" si="15"/>
        <v>0</v>
      </c>
      <c r="I163" s="1156">
        <f t="shared" si="18"/>
        <v>0</v>
      </c>
      <c r="J163" s="1156"/>
      <c r="K163" s="1156">
        <f>ROUND(SUMIF(未调整不符事项之分录!D:D,未调整不符事项之报表影响!C163,未调整不符事项之分录!F:F),2)</f>
        <v>0</v>
      </c>
      <c r="L163" s="1156">
        <f>ROUND(SUMIF(未调整不符事项之分录!D:D,未调整不符事项之报表影响!C163,未调整不符事项之分录!G:G),2)</f>
        <v>0</v>
      </c>
      <c r="M163" s="403">
        <f t="shared" si="16"/>
        <v>0</v>
      </c>
      <c r="N163" s="1156">
        <f t="shared" si="17"/>
        <v>0</v>
      </c>
    </row>
    <row r="164" spans="1:14" ht="24" customHeight="1">
      <c r="A164" s="545" t="s">
        <v>4030</v>
      </c>
      <c r="B164" s="530" t="s">
        <v>1560</v>
      </c>
      <c r="C164" s="535" t="s">
        <v>1560</v>
      </c>
      <c r="D164" s="566" t="s">
        <v>4010</v>
      </c>
      <c r="E164" s="1156"/>
      <c r="F164" s="1156">
        <f>ROUND(SUMIF(未调整不符事项之分录!D:D,未调整不符事项之报表影响!C164,未调整不符事项之分录!H:H),2)</f>
        <v>0</v>
      </c>
      <c r="G164" s="1156">
        <f>ROUND(SUMIF(未调整不符事项之分录!D:D,未调整不符事项之报表影响!C164,未调整不符事项之分录!I:I),2)</f>
        <v>0</v>
      </c>
      <c r="H164" s="403">
        <f t="shared" si="15"/>
        <v>0</v>
      </c>
      <c r="I164" s="1156">
        <f t="shared" si="18"/>
        <v>0</v>
      </c>
      <c r="J164" s="1156"/>
      <c r="K164" s="1156">
        <f>ROUND(SUMIF(未调整不符事项之分录!D:D,未调整不符事项之报表影响!C164,未调整不符事项之分录!F:F),2)</f>
        <v>0</v>
      </c>
      <c r="L164" s="1156">
        <f>ROUND(SUMIF(未调整不符事项之分录!D:D,未调整不符事项之报表影响!C164,未调整不符事项之分录!G:G),2)</f>
        <v>0</v>
      </c>
      <c r="M164" s="403">
        <f t="shared" si="16"/>
        <v>0</v>
      </c>
      <c r="N164" s="1156">
        <f t="shared" si="17"/>
        <v>0</v>
      </c>
    </row>
    <row r="165" spans="1:14" ht="24" customHeight="1">
      <c r="A165" s="545" t="s">
        <v>291</v>
      </c>
      <c r="B165" s="530"/>
      <c r="C165" s="535" t="s">
        <v>4031</v>
      </c>
      <c r="D165" s="566" t="s">
        <v>3999</v>
      </c>
      <c r="E165" s="1156"/>
      <c r="F165" s="1156">
        <f>ROUND(SUMIF(未调整不符事项之分录!D:D,未调整不符事项之报表影响!C165,未调整不符事项之分录!H:H),2)</f>
        <v>0</v>
      </c>
      <c r="G165" s="1156">
        <f>ROUND(SUMIF(未调整不符事项之分录!D:D,未调整不符事项之报表影响!C165,未调整不符事项之分录!I:I),2)</f>
        <v>0</v>
      </c>
      <c r="H165" s="403">
        <f t="shared" si="15"/>
        <v>0</v>
      </c>
      <c r="I165" s="1156">
        <f t="shared" si="18"/>
        <v>0</v>
      </c>
      <c r="J165" s="1156"/>
      <c r="K165" s="1156">
        <f>ROUND(SUMIF(未调整不符事项之分录!D:D,未调整不符事项之报表影响!C165,未调整不符事项之分录!F:F),2)</f>
        <v>0</v>
      </c>
      <c r="L165" s="1156">
        <f>ROUND(SUMIF(未调整不符事项之分录!D:D,未调整不符事项之报表影响!C165,未调整不符事项之分录!G:G),2)</f>
        <v>0</v>
      </c>
      <c r="M165" s="403">
        <f t="shared" si="16"/>
        <v>0</v>
      </c>
      <c r="N165" s="1156">
        <f t="shared" si="17"/>
        <v>0</v>
      </c>
    </row>
    <row r="166" spans="1:14" ht="24" customHeight="1">
      <c r="A166" s="547" t="s">
        <v>4032</v>
      </c>
      <c r="B166" s="530" t="s">
        <v>4033</v>
      </c>
      <c r="C166" s="535" t="s">
        <v>4033</v>
      </c>
      <c r="D166" s="566" t="s">
        <v>3841</v>
      </c>
      <c r="E166" s="1156"/>
      <c r="F166" s="1156">
        <f>ROUND(SUMIF(未调整不符事项之分录!D:D,未调整不符事项之报表影响!C166,未调整不符事项之分录!H:H),2)</f>
        <v>0</v>
      </c>
      <c r="G166" s="1156">
        <f>ROUND(SUMIF(未调整不符事项之分录!D:D,未调整不符事项之报表影响!C166,未调整不符事项之分录!I:I),2)</f>
        <v>0</v>
      </c>
      <c r="H166" s="403">
        <f t="shared" si="15"/>
        <v>0</v>
      </c>
      <c r="I166" s="1156">
        <f t="shared" si="18"/>
        <v>0</v>
      </c>
      <c r="J166" s="1156"/>
      <c r="K166" s="1156">
        <f>ROUND(SUMIF(未调整不符事项之分录!D:D,未调整不符事项之报表影响!C166,未调整不符事项之分录!F:F),2)</f>
        <v>0</v>
      </c>
      <c r="L166" s="1156">
        <f>ROUND(SUMIF(未调整不符事项之分录!D:D,未调整不符事项之报表影响!C166,未调整不符事项之分录!G:G),2)</f>
        <v>0</v>
      </c>
      <c r="M166" s="403">
        <f t="shared" si="16"/>
        <v>0</v>
      </c>
      <c r="N166" s="1156">
        <f t="shared" si="17"/>
        <v>0</v>
      </c>
    </row>
    <row r="167" spans="1:14" ht="24" customHeight="1">
      <c r="A167" s="547" t="s">
        <v>4034</v>
      </c>
      <c r="B167" s="547" t="s">
        <v>4035</v>
      </c>
      <c r="C167" s="535" t="s">
        <v>4036</v>
      </c>
      <c r="D167" s="566" t="s">
        <v>3841</v>
      </c>
      <c r="E167" s="1156"/>
      <c r="F167" s="1156">
        <f>ROUND(SUMIF(未调整不符事项之分录!D:D,未调整不符事项之报表影响!C167,未调整不符事项之分录!H:H)+F168,2)</f>
        <v>0</v>
      </c>
      <c r="G167" s="1156">
        <f>ROUND(SUMIF(未调整不符事项之分录!D:D,未调整不符事项之报表影响!C167,未调整不符事项之分录!I:I)+G168,2)</f>
        <v>0</v>
      </c>
      <c r="H167" s="403">
        <f t="shared" si="15"/>
        <v>0</v>
      </c>
      <c r="I167" s="1156">
        <f t="shared" si="18"/>
        <v>0</v>
      </c>
      <c r="J167" s="1156"/>
      <c r="K167" s="1156">
        <f>ROUND(SUMIF(未调整不符事项之分录!D:D,未调整不符事项之报表影响!C167,未调整不符事项之分录!F:F)+K168,2)</f>
        <v>0</v>
      </c>
      <c r="L167" s="1156">
        <f>ROUND(SUMIF(未调整不符事项之分录!D:D,未调整不符事项之报表影响!C167,未调整不符事项之分录!G:G)+L168,2)</f>
        <v>0</v>
      </c>
      <c r="M167" s="403">
        <f t="shared" si="16"/>
        <v>0</v>
      </c>
      <c r="N167" s="1156">
        <f t="shared" si="17"/>
        <v>0</v>
      </c>
    </row>
    <row r="168" spans="1:14" ht="24" customHeight="1">
      <c r="A168" s="547" t="s">
        <v>4037</v>
      </c>
      <c r="B168" s="547"/>
      <c r="C168" s="535" t="s">
        <v>4038</v>
      </c>
      <c r="D168" s="566" t="s">
        <v>4039</v>
      </c>
      <c r="E168" s="1156"/>
      <c r="F168" s="1156">
        <f>ROUND(SUMIF(未调整不符事项之分录!D:D,未调整不符事项之报表影响!C168,未调整不符事项之分录!H:H),2)</f>
        <v>0</v>
      </c>
      <c r="G168" s="1156">
        <f>ROUND(SUMIF(未调整不符事项之分录!D:D,未调整不符事项之报表影响!C168,未调整不符事项之分录!I:I),2)</f>
        <v>0</v>
      </c>
      <c r="H168" s="403">
        <f t="shared" si="15"/>
        <v>0</v>
      </c>
      <c r="I168" s="1156">
        <f t="shared" si="18"/>
        <v>0</v>
      </c>
      <c r="J168" s="1156"/>
      <c r="K168" s="1156">
        <f>ROUND(SUMIF(未调整不符事项之分录!D:D,未调整不符事项之报表影响!C168,未调整不符事项之分录!F:F),2)</f>
        <v>0</v>
      </c>
      <c r="L168" s="1156">
        <f>ROUND(SUMIF(未调整不符事项之分录!D:D,未调整不符事项之报表影响!C168,未调整不符事项之分录!G:G),2)</f>
        <v>0</v>
      </c>
      <c r="M168" s="403">
        <f t="shared" si="16"/>
        <v>0</v>
      </c>
      <c r="N168" s="1156">
        <f t="shared" si="17"/>
        <v>0</v>
      </c>
    </row>
    <row r="169" spans="1:14" ht="24" customHeight="1">
      <c r="A169" s="1405" t="s">
        <v>4770</v>
      </c>
      <c r="B169" s="1411" t="s">
        <v>4771</v>
      </c>
      <c r="C169" s="1412" t="s">
        <v>4771</v>
      </c>
      <c r="D169" s="1410" t="s">
        <v>4772</v>
      </c>
      <c r="E169" s="1447"/>
      <c r="F169" s="1156">
        <f>ROUND(SUMIF(未调整不符事项之分录!D:D,未调整不符事项之报表影响!C169,未调整不符事项之分录!H:H),2)</f>
        <v>0</v>
      </c>
      <c r="G169" s="1156">
        <f>ROUND(SUMIF(未调整不符事项之分录!D:D,未调整不符事项之报表影响!C169,未调整不符事项之分录!I:I),2)</f>
        <v>0</v>
      </c>
      <c r="H169" s="403">
        <f t="shared" ref="H169" si="19">I169-E169</f>
        <v>0</v>
      </c>
      <c r="I169" s="1156">
        <f t="shared" ref="I169" si="20">IF(D169="借",E169+F169-G169,IF(D169="贷",E169+G169-F169,IF(D169="",0,0)))</f>
        <v>0</v>
      </c>
      <c r="J169" s="1156"/>
      <c r="K169" s="1156">
        <f>ROUND(SUMIF(未调整不符事项之分录!D:D,未调整不符事项之报表影响!C169,未调整不符事项之分录!F:F),2)</f>
        <v>0</v>
      </c>
      <c r="L169" s="1156">
        <f>ROUND(SUMIF(未调整不符事项之分录!D:D,未调整不符事项之报表影响!C169,未调整不符事项之分录!G:G),2)</f>
        <v>0</v>
      </c>
      <c r="M169" s="403">
        <f t="shared" ref="M169" si="21">N169-J169</f>
        <v>0</v>
      </c>
      <c r="N169" s="1156">
        <f t="shared" ref="N169" si="22">IF(D169="借",J169+K169-L169,IF(D169="贷",J169+L169-K169,IF(D169="",0,0)))</f>
        <v>0</v>
      </c>
    </row>
    <row r="170" spans="1:14" ht="24" customHeight="1">
      <c r="A170" s="530" t="s">
        <v>4592</v>
      </c>
      <c r="B170" s="1343" t="s">
        <v>4581</v>
      </c>
      <c r="C170" s="1341" t="s">
        <v>4581</v>
      </c>
      <c r="D170" s="566" t="s">
        <v>3967</v>
      </c>
      <c r="E170" s="1156"/>
      <c r="F170" s="1156">
        <f>ROUND(SUMIF(未调整不符事项之分录!D:D,未调整不符事项之报表影响!C170,未调整不符事项之分录!H:H),2)</f>
        <v>0</v>
      </c>
      <c r="G170" s="1156">
        <f>ROUND(SUMIF(未调整不符事项之分录!D:D,未调整不符事项之报表影响!C170,未调整不符事项之分录!I:I),2)</f>
        <v>0</v>
      </c>
      <c r="H170" s="403">
        <f t="shared" si="15"/>
        <v>0</v>
      </c>
      <c r="I170" s="1156">
        <f t="shared" si="18"/>
        <v>0</v>
      </c>
      <c r="J170" s="1156"/>
      <c r="K170" s="1156">
        <f>ROUND(SUMIF(未调整不符事项之分录!D:D,未调整不符事项之报表影响!C170,未调整不符事项之分录!F:F),2)</f>
        <v>0</v>
      </c>
      <c r="L170" s="1156">
        <f>ROUND(SUMIF(未调整不符事项之分录!D:D,未调整不符事项之报表影响!C170,未调整不符事项之分录!G:G),2)</f>
        <v>0</v>
      </c>
      <c r="M170" s="403">
        <f t="shared" si="16"/>
        <v>0</v>
      </c>
      <c r="N170" s="1156">
        <f t="shared" si="17"/>
        <v>0</v>
      </c>
    </row>
    <row r="171" spans="1:14" ht="24" customHeight="1">
      <c r="A171" s="543" t="s">
        <v>4040</v>
      </c>
      <c r="B171" s="543"/>
      <c r="C171" s="535"/>
      <c r="D171" s="566" t="s">
        <v>3841</v>
      </c>
      <c r="E171" s="1156"/>
      <c r="F171" s="1156">
        <f>ROUND(F137+F144+F166+F167+F170,2)</f>
        <v>0</v>
      </c>
      <c r="G171" s="1156">
        <f>ROUND(G137+G144+G166+G167+F169+G170,2)</f>
        <v>0</v>
      </c>
      <c r="H171" s="403">
        <f t="shared" si="15"/>
        <v>0</v>
      </c>
      <c r="I171" s="1156">
        <f t="shared" si="18"/>
        <v>0</v>
      </c>
      <c r="J171" s="1156"/>
      <c r="K171" s="1156">
        <f>ROUND(K137+K144+K166+K167+F169+K170,2)</f>
        <v>0</v>
      </c>
      <c r="L171" s="1156">
        <f>ROUND(L137+L144+L166+L167+F169+L170,2)</f>
        <v>0</v>
      </c>
      <c r="M171" s="403">
        <f t="shared" si="16"/>
        <v>0</v>
      </c>
      <c r="N171" s="1156">
        <f t="shared" si="17"/>
        <v>0</v>
      </c>
    </row>
    <row r="172" spans="1:14" ht="24" customHeight="1">
      <c r="A172" s="547" t="s">
        <v>292</v>
      </c>
      <c r="B172" s="530" t="s">
        <v>4041</v>
      </c>
      <c r="C172" s="535" t="s">
        <v>4042</v>
      </c>
      <c r="D172" s="566" t="s">
        <v>4039</v>
      </c>
      <c r="E172" s="1156"/>
      <c r="F172" s="1156">
        <f>ROUND(SUMIF(未调整不符事项之分录!D:D,未调整不符事项之报表影响!C172,未调整不符事项之分录!H:H)+F173+F174+F175+F176,2)</f>
        <v>0</v>
      </c>
      <c r="G172" s="1156">
        <f>ROUND(SUMIF(未调整不符事项之分录!D:D,未调整不符事项之报表影响!C172,未调整不符事项之分录!I:I)+G173+G174+G175+G176,2)</f>
        <v>0</v>
      </c>
      <c r="H172" s="403">
        <f t="shared" si="15"/>
        <v>0</v>
      </c>
      <c r="I172" s="1156">
        <f t="shared" si="18"/>
        <v>0</v>
      </c>
      <c r="J172" s="1156"/>
      <c r="K172" s="1156">
        <f>ROUND(SUMIF(未调整不符事项之分录!D:D,未调整不符事项之报表影响!C172,未调整不符事项之分录!F:F)+K173+K174+K175+K176,2)</f>
        <v>0</v>
      </c>
      <c r="L172" s="1156">
        <f>ROUND(SUMIF(未调整不符事项之分录!D:D,未调整不符事项之报表影响!C172,未调整不符事项之分录!G:G)+L173+L174+L175+L176,2)</f>
        <v>0</v>
      </c>
      <c r="M172" s="403">
        <f t="shared" si="16"/>
        <v>0</v>
      </c>
      <c r="N172" s="1156">
        <f t="shared" si="17"/>
        <v>0</v>
      </c>
    </row>
    <row r="173" spans="1:14" ht="24" customHeight="1">
      <c r="A173" s="547" t="s">
        <v>4043</v>
      </c>
      <c r="B173" s="547"/>
      <c r="C173" s="535" t="s">
        <v>4044</v>
      </c>
      <c r="D173" s="566" t="s">
        <v>3841</v>
      </c>
      <c r="E173" s="1156"/>
      <c r="F173" s="1156">
        <f>ROUND(SUMIF(未调整不符事项之分录!D:D,未调整不符事项之报表影响!C173,未调整不符事项之分录!H:H),2)</f>
        <v>0</v>
      </c>
      <c r="G173" s="1156">
        <f>ROUND(SUMIF(未调整不符事项之分录!D:D,未调整不符事项之报表影响!C173,未调整不符事项之分录!I:I),2)</f>
        <v>0</v>
      </c>
      <c r="H173" s="403">
        <f t="shared" si="15"/>
        <v>0</v>
      </c>
      <c r="I173" s="1156">
        <f t="shared" si="18"/>
        <v>0</v>
      </c>
      <c r="J173" s="1156"/>
      <c r="K173" s="1156">
        <f>ROUND(SUMIF(未调整不符事项之分录!D:D,未调整不符事项之报表影响!C173,未调整不符事项之分录!F:F),2)</f>
        <v>0</v>
      </c>
      <c r="L173" s="1156">
        <f>ROUND(SUMIF(未调整不符事项之分录!D:D,未调整不符事项之报表影响!C173,未调整不符事项之分录!G:G),2)</f>
        <v>0</v>
      </c>
      <c r="M173" s="403">
        <f t="shared" si="16"/>
        <v>0</v>
      </c>
      <c r="N173" s="1156">
        <f t="shared" si="17"/>
        <v>0</v>
      </c>
    </row>
    <row r="174" spans="1:14" ht="24" customHeight="1">
      <c r="A174" s="548" t="s">
        <v>4045</v>
      </c>
      <c r="B174" s="547"/>
      <c r="C174" s="535" t="s">
        <v>4046</v>
      </c>
      <c r="D174" s="566" t="s">
        <v>3967</v>
      </c>
      <c r="E174" s="1156"/>
      <c r="F174" s="1156">
        <f>ROUND(SUMIF(未调整不符事项之分录!D:D,未调整不符事项之报表影响!C174,未调整不符事项之分录!H:H),2)</f>
        <v>0</v>
      </c>
      <c r="G174" s="1156">
        <f>ROUND(SUMIF(未调整不符事项之分录!D:D,未调整不符事项之报表影响!C174,未调整不符事项之分录!I:I),2)</f>
        <v>0</v>
      </c>
      <c r="H174" s="403">
        <f t="shared" si="15"/>
        <v>0</v>
      </c>
      <c r="I174" s="1156">
        <f t="shared" si="18"/>
        <v>0</v>
      </c>
      <c r="J174" s="1156"/>
      <c r="K174" s="1156">
        <f>ROUND(SUMIF(未调整不符事项之分录!D:D,未调整不符事项之报表影响!C174,未调整不符事项之分录!F:F),2)</f>
        <v>0</v>
      </c>
      <c r="L174" s="1156">
        <f>ROUND(SUMIF(未调整不符事项之分录!D:D,未调整不符事项之报表影响!C174,未调整不符事项之分录!G:G),2)</f>
        <v>0</v>
      </c>
      <c r="M174" s="403">
        <f t="shared" si="16"/>
        <v>0</v>
      </c>
      <c r="N174" s="1156">
        <f t="shared" si="17"/>
        <v>0</v>
      </c>
    </row>
    <row r="175" spans="1:14" ht="24" customHeight="1">
      <c r="A175" s="549" t="s">
        <v>4047</v>
      </c>
      <c r="B175" s="530"/>
      <c r="C175" s="535" t="s">
        <v>4048</v>
      </c>
      <c r="D175" s="566" t="s">
        <v>3841</v>
      </c>
      <c r="E175" s="1156"/>
      <c r="F175" s="1156">
        <f>ROUND(SUMIF(未调整不符事项之分录!D:D,未调整不符事项之报表影响!C175,未调整不符事项之分录!H:H),2)</f>
        <v>0</v>
      </c>
      <c r="G175" s="1156">
        <f>ROUND(SUMIF(未调整不符事项之分录!D:D,未调整不符事项之报表影响!C175,未调整不符事项之分录!I:I),2)</f>
        <v>0</v>
      </c>
      <c r="H175" s="403">
        <f t="shared" si="15"/>
        <v>0</v>
      </c>
      <c r="I175" s="1156">
        <f t="shared" si="18"/>
        <v>0</v>
      </c>
      <c r="J175" s="1156"/>
      <c r="K175" s="1156">
        <f>ROUND(SUMIF(未调整不符事项之分录!D:D,未调整不符事项之报表影响!C175,未调整不符事项之分录!F:F),2)</f>
        <v>0</v>
      </c>
      <c r="L175" s="1156">
        <f>ROUND(SUMIF(未调整不符事项之分录!D:D,未调整不符事项之报表影响!C175,未调整不符事项之分录!G:G),2)</f>
        <v>0</v>
      </c>
      <c r="M175" s="403">
        <f t="shared" si="16"/>
        <v>0</v>
      </c>
      <c r="N175" s="1156">
        <f t="shared" si="17"/>
        <v>0</v>
      </c>
    </row>
    <row r="176" spans="1:14" ht="24" customHeight="1">
      <c r="A176" s="549" t="s">
        <v>4049</v>
      </c>
      <c r="B176" s="530"/>
      <c r="C176" s="535" t="s">
        <v>4050</v>
      </c>
      <c r="D176" s="566" t="s">
        <v>3841</v>
      </c>
      <c r="E176" s="1156"/>
      <c r="F176" s="1156">
        <f>ROUND(SUMIF(未调整不符事项之分录!D:D,未调整不符事项之报表影响!C176,未调整不符事项之分录!H:H),2)</f>
        <v>0</v>
      </c>
      <c r="G176" s="1156">
        <f>ROUND(SUMIF(未调整不符事项之分录!D:D,未调整不符事项之报表影响!C176,未调整不符事项之分录!I:I),2)</f>
        <v>0</v>
      </c>
      <c r="H176" s="403">
        <f t="shared" si="15"/>
        <v>0</v>
      </c>
      <c r="I176" s="1156">
        <f t="shared" si="18"/>
        <v>0</v>
      </c>
      <c r="J176" s="1156"/>
      <c r="K176" s="1156">
        <f>ROUND(SUMIF(未调整不符事项之分录!D:D,未调整不符事项之报表影响!C176,未调整不符事项之分录!F:F),2)</f>
        <v>0</v>
      </c>
      <c r="L176" s="1156">
        <f>ROUND(SUMIF(未调整不符事项之分录!D:D,未调整不符事项之报表影响!C176,未调整不符事项之分录!G:G),2)</f>
        <v>0</v>
      </c>
      <c r="M176" s="403">
        <f t="shared" si="16"/>
        <v>0</v>
      </c>
      <c r="N176" s="1156">
        <f t="shared" si="17"/>
        <v>0</v>
      </c>
    </row>
    <row r="177" spans="1:14" ht="24" customHeight="1">
      <c r="A177" s="547" t="s">
        <v>4051</v>
      </c>
      <c r="B177" s="530" t="s">
        <v>4052</v>
      </c>
      <c r="C177" s="535" t="s">
        <v>4053</v>
      </c>
      <c r="D177" s="566" t="s">
        <v>3999</v>
      </c>
      <c r="E177" s="1156"/>
      <c r="F177" s="1156">
        <f>ROUND(SUMIF(未调整不符事项之分录!D:D,未调整不符事项之报表影响!C177,未调整不符事项之分录!H:H)+F178+F179+F180,2)</f>
        <v>0</v>
      </c>
      <c r="G177" s="1156">
        <f>ROUND(SUMIF(未调整不符事项之分录!D:D,未调整不符事项之报表影响!C177,未调整不符事项之分录!I:I)+G178+G179+G180,2)</f>
        <v>0</v>
      </c>
      <c r="H177" s="403">
        <f t="shared" si="15"/>
        <v>0</v>
      </c>
      <c r="I177" s="1156">
        <f t="shared" si="18"/>
        <v>0</v>
      </c>
      <c r="J177" s="1156"/>
      <c r="K177" s="1156">
        <f>ROUND(SUMIF(未调整不符事项之分录!D:D,未调整不符事项之报表影响!C177,未调整不符事项之分录!F:F)+K178+K179+K180,2)</f>
        <v>0</v>
      </c>
      <c r="L177" s="1156">
        <f>ROUND(SUMIF(未调整不符事项之分录!D:D,未调整不符事项之报表影响!C177,未调整不符事项之分录!G:G)+L178+L179+L180,2)</f>
        <v>0</v>
      </c>
      <c r="M177" s="403">
        <f t="shared" si="16"/>
        <v>0</v>
      </c>
      <c r="N177" s="1156">
        <f t="shared" si="17"/>
        <v>0</v>
      </c>
    </row>
    <row r="178" spans="1:14" ht="24" customHeight="1">
      <c r="A178" s="547" t="s">
        <v>4054</v>
      </c>
      <c r="B178" s="547"/>
      <c r="C178" s="535" t="s">
        <v>4055</v>
      </c>
      <c r="D178" s="566" t="s">
        <v>3801</v>
      </c>
      <c r="E178" s="1156"/>
      <c r="F178" s="1156">
        <f>ROUND(SUMIF(未调整不符事项之分录!D:D,未调整不符事项之报表影响!C178,未调整不符事项之分录!H:H),2)</f>
        <v>0</v>
      </c>
      <c r="G178" s="1156">
        <f>ROUND(SUMIF(未调整不符事项之分录!D:D,未调整不符事项之报表影响!C178,未调整不符事项之分录!I:I),2)</f>
        <v>0</v>
      </c>
      <c r="H178" s="403">
        <f t="shared" si="15"/>
        <v>0</v>
      </c>
      <c r="I178" s="1156">
        <f t="shared" si="18"/>
        <v>0</v>
      </c>
      <c r="J178" s="1156"/>
      <c r="K178" s="1156">
        <f>ROUND(SUMIF(未调整不符事项之分录!D:D,未调整不符事项之报表影响!C178,未调整不符事项之分录!F:F),2)</f>
        <v>0</v>
      </c>
      <c r="L178" s="1156">
        <f>ROUND(SUMIF(未调整不符事项之分录!D:D,未调整不符事项之报表影响!C178,未调整不符事项之分录!G:G),2)</f>
        <v>0</v>
      </c>
      <c r="M178" s="403">
        <f t="shared" si="16"/>
        <v>0</v>
      </c>
      <c r="N178" s="1156">
        <f t="shared" si="17"/>
        <v>0</v>
      </c>
    </row>
    <row r="179" spans="1:14" ht="24" customHeight="1">
      <c r="A179" s="549" t="s">
        <v>4056</v>
      </c>
      <c r="B179" s="530"/>
      <c r="C179" s="535" t="s">
        <v>4057</v>
      </c>
      <c r="D179" s="566" t="s">
        <v>3801</v>
      </c>
      <c r="E179" s="1156"/>
      <c r="F179" s="1156">
        <f>ROUND(SUMIF(未调整不符事项之分录!D:D,未调整不符事项之报表影响!C179,未调整不符事项之分录!H:H),2)</f>
        <v>0</v>
      </c>
      <c r="G179" s="1156">
        <f>ROUND(SUMIF(未调整不符事项之分录!D:D,未调整不符事项之报表影响!C179,未调整不符事项之分录!I:I),2)</f>
        <v>0</v>
      </c>
      <c r="H179" s="403">
        <f t="shared" si="15"/>
        <v>0</v>
      </c>
      <c r="I179" s="1156">
        <f t="shared" si="18"/>
        <v>0</v>
      </c>
      <c r="J179" s="1156"/>
      <c r="K179" s="1156">
        <f>ROUND(SUMIF(未调整不符事项之分录!D:D,未调整不符事项之报表影响!C179,未调整不符事项之分录!F:F),2)</f>
        <v>0</v>
      </c>
      <c r="L179" s="1156">
        <f>ROUND(SUMIF(未调整不符事项之分录!D:D,未调整不符事项之报表影响!C179,未调整不符事项之分录!G:G),2)</f>
        <v>0</v>
      </c>
      <c r="M179" s="403">
        <f t="shared" si="16"/>
        <v>0</v>
      </c>
      <c r="N179" s="1156">
        <f t="shared" si="17"/>
        <v>0</v>
      </c>
    </row>
    <row r="180" spans="1:14" ht="24" customHeight="1">
      <c r="A180" s="549" t="s">
        <v>4058</v>
      </c>
      <c r="B180" s="530"/>
      <c r="C180" s="535" t="s">
        <v>4059</v>
      </c>
      <c r="D180" s="566" t="s">
        <v>3801</v>
      </c>
      <c r="E180" s="1156"/>
      <c r="F180" s="1156">
        <f>ROUND(SUMIF(未调整不符事项之分录!D:D,未调整不符事项之报表影响!C180,未调整不符事项之分录!H:H),2)</f>
        <v>0</v>
      </c>
      <c r="G180" s="1156">
        <f>ROUND(SUMIF(未调整不符事项之分录!D:D,未调整不符事项之报表影响!C180,未调整不符事项之分录!I:I),2)</f>
        <v>0</v>
      </c>
      <c r="H180" s="403">
        <f t="shared" si="15"/>
        <v>0</v>
      </c>
      <c r="I180" s="1156">
        <f t="shared" si="18"/>
        <v>0</v>
      </c>
      <c r="J180" s="1156"/>
      <c r="K180" s="1156">
        <f>ROUND(SUMIF(未调整不符事项之分录!D:D,未调整不符事项之报表影响!C180,未调整不符事项之分录!F:F),2)</f>
        <v>0</v>
      </c>
      <c r="L180" s="1156">
        <f>ROUND(SUMIF(未调整不符事项之分录!D:D,未调整不符事项之报表影响!C180,未调整不符事项之分录!G:G),2)</f>
        <v>0</v>
      </c>
      <c r="M180" s="403">
        <f t="shared" si="16"/>
        <v>0</v>
      </c>
      <c r="N180" s="1156">
        <f t="shared" si="17"/>
        <v>0</v>
      </c>
    </row>
    <row r="181" spans="1:14" ht="24" customHeight="1">
      <c r="A181" s="543" t="s">
        <v>4060</v>
      </c>
      <c r="B181" s="543"/>
      <c r="C181" s="535"/>
      <c r="D181" s="566" t="s">
        <v>3841</v>
      </c>
      <c r="E181" s="1156"/>
      <c r="F181" s="1156">
        <f>ROUND(F171+F172+F177,2)</f>
        <v>0</v>
      </c>
      <c r="G181" s="1156">
        <f>ROUND(G171+G172+G177,2)</f>
        <v>0</v>
      </c>
      <c r="H181" s="403">
        <f t="shared" si="15"/>
        <v>0</v>
      </c>
      <c r="I181" s="1156">
        <f t="shared" si="18"/>
        <v>0</v>
      </c>
      <c r="J181" s="1156"/>
      <c r="K181" s="1156">
        <f>ROUND(K171+K172+K177,2)</f>
        <v>0</v>
      </c>
      <c r="L181" s="1156">
        <f>ROUND(L171+L172+L177,2)</f>
        <v>0</v>
      </c>
      <c r="M181" s="403">
        <f t="shared" si="16"/>
        <v>0</v>
      </c>
      <c r="N181" s="1156">
        <f t="shared" si="17"/>
        <v>0</v>
      </c>
    </row>
    <row r="182" spans="1:14" ht="24" customHeight="1">
      <c r="A182" s="547" t="s">
        <v>294</v>
      </c>
      <c r="B182" s="530" t="s">
        <v>2879</v>
      </c>
      <c r="C182" s="535" t="s">
        <v>2879</v>
      </c>
      <c r="D182" s="566" t="s">
        <v>4010</v>
      </c>
      <c r="E182" s="1156"/>
      <c r="F182" s="1156">
        <f>ROUND(SUMIF(未调整不符事项之分录!D:D,未调整不符事项之报表影响!C182,未调整不符事项之分录!H:H),2)</f>
        <v>0</v>
      </c>
      <c r="G182" s="1156">
        <f>ROUND(SUMIF(未调整不符事项之分录!D:D,未调整不符事项之报表影响!C182,未调整不符事项之分录!I:I),2)</f>
        <v>0</v>
      </c>
      <c r="H182" s="403">
        <f t="shared" si="15"/>
        <v>0</v>
      </c>
      <c r="I182" s="1156">
        <f t="shared" si="18"/>
        <v>0</v>
      </c>
      <c r="J182" s="1156"/>
      <c r="K182" s="1156">
        <f>ROUND(SUMIF(未调整不符事项之分录!D:D,未调整不符事项之报表影响!C182,未调整不符事项之分录!F:F),2)</f>
        <v>0</v>
      </c>
      <c r="L182" s="1156">
        <f>ROUND(SUMIF(未调整不符事项之分录!D:D,未调整不符事项之报表影响!C182,未调整不符事项之分录!G:G),2)</f>
        <v>0</v>
      </c>
      <c r="M182" s="403">
        <f t="shared" si="16"/>
        <v>0</v>
      </c>
      <c r="N182" s="1156">
        <f t="shared" si="17"/>
        <v>0</v>
      </c>
    </row>
    <row r="183" spans="1:14" ht="24" customHeight="1">
      <c r="A183" s="543" t="s">
        <v>4061</v>
      </c>
      <c r="B183" s="543"/>
      <c r="C183" s="535"/>
      <c r="D183" s="566" t="s">
        <v>3967</v>
      </c>
      <c r="E183" s="1156"/>
      <c r="F183" s="1156">
        <f>ROUND(F181+F182,2)</f>
        <v>0</v>
      </c>
      <c r="G183" s="1156">
        <f>ROUND(G181+G182,2)</f>
        <v>0</v>
      </c>
      <c r="H183" s="403">
        <f t="shared" si="15"/>
        <v>0</v>
      </c>
      <c r="I183" s="1156">
        <f t="shared" si="18"/>
        <v>0</v>
      </c>
      <c r="J183" s="1156"/>
      <c r="K183" s="1156">
        <f>ROUND(K181+K182,2)</f>
        <v>0</v>
      </c>
      <c r="L183" s="1156">
        <f>ROUND(L181+L182,2)</f>
        <v>0</v>
      </c>
      <c r="M183" s="403">
        <f t="shared" si="16"/>
        <v>0</v>
      </c>
      <c r="N183" s="1156">
        <f t="shared" si="17"/>
        <v>0</v>
      </c>
    </row>
    <row r="184" spans="1:14" ht="24" customHeight="1">
      <c r="A184" s="550" t="s">
        <v>4062</v>
      </c>
      <c r="B184" s="532"/>
      <c r="C184" s="535"/>
      <c r="D184" s="569" t="s">
        <v>4039</v>
      </c>
      <c r="E184" s="1156"/>
      <c r="F184" s="1156">
        <f>ROUND(F183+F185,2)</f>
        <v>0</v>
      </c>
      <c r="G184" s="1156">
        <f>ROUND(G183+G185,2)</f>
        <v>0</v>
      </c>
      <c r="H184" s="403">
        <f t="shared" si="15"/>
        <v>0</v>
      </c>
      <c r="I184" s="1156">
        <f t="shared" si="18"/>
        <v>0</v>
      </c>
      <c r="J184" s="1156"/>
      <c r="K184" s="1156">
        <f>ROUND(K183+K185,2)</f>
        <v>0</v>
      </c>
      <c r="L184" s="1156">
        <f>ROUND(L183+L185,2)</f>
        <v>0</v>
      </c>
      <c r="M184" s="403">
        <f t="shared" si="16"/>
        <v>0</v>
      </c>
      <c r="N184" s="1156">
        <f t="shared" si="17"/>
        <v>0</v>
      </c>
    </row>
    <row r="185" spans="1:14" ht="24" customHeight="1">
      <c r="A185" s="550" t="s">
        <v>4063</v>
      </c>
      <c r="B185" s="532" t="s">
        <v>4064</v>
      </c>
      <c r="C185" s="535" t="s">
        <v>4064</v>
      </c>
      <c r="D185" s="569" t="s">
        <v>3999</v>
      </c>
      <c r="E185" s="1156"/>
      <c r="F185" s="1156">
        <f>ROUND(SUMIF(未调整不符事项之分录!D:D,未调整不符事项之报表影响!C185,未调整不符事项之分录!H:H),2)</f>
        <v>0</v>
      </c>
      <c r="G185" s="1156">
        <f>ROUND(SUMIF(未调整不符事项之分录!D:D,未调整不符事项之报表影响!C185,未调整不符事项之分录!I:I),2)</f>
        <v>0</v>
      </c>
      <c r="H185" s="403">
        <f t="shared" si="15"/>
        <v>0</v>
      </c>
      <c r="I185" s="1156">
        <f t="shared" si="18"/>
        <v>0</v>
      </c>
      <c r="J185" s="1156"/>
      <c r="K185" s="1156">
        <f>ROUND(SUMIF(未调整不符事项之分录!D:D,未调整不符事项之报表影响!C185,未调整不符事项之分录!F:F),2)</f>
        <v>0</v>
      </c>
      <c r="L185" s="1156">
        <f>ROUND(SUMIF(未调整不符事项之分录!D:D,未调整不符事项之报表影响!C185,未调整不符事项之分录!G:G),2)</f>
        <v>0</v>
      </c>
      <c r="M185" s="403">
        <f t="shared" si="16"/>
        <v>0</v>
      </c>
      <c r="N185" s="1156">
        <f t="shared" si="17"/>
        <v>0</v>
      </c>
    </row>
    <row r="186" spans="1:14" ht="24" customHeight="1">
      <c r="A186" s="1406" t="s">
        <v>4773</v>
      </c>
      <c r="B186" s="1341" t="s">
        <v>4773</v>
      </c>
      <c r="C186" s="1341" t="s">
        <v>4773</v>
      </c>
      <c r="D186" s="1414" t="s">
        <v>4772</v>
      </c>
      <c r="E186" s="1447"/>
      <c r="F186" s="1156">
        <f>ROUND(SUMIF(未调整不符事项之分录!D:D,未调整不符事项之报表影响!C186,未调整不符事项之分录!H:H),2)</f>
        <v>0</v>
      </c>
      <c r="G186" s="1156">
        <f>ROUND(SUMIF(未调整不符事项之分录!D:D,未调整不符事项之报表影响!C186,未调整不符事项之分录!I:I),2)</f>
        <v>0</v>
      </c>
      <c r="H186" s="403">
        <f t="shared" ref="H186:H187" si="23">I186-E186</f>
        <v>0</v>
      </c>
      <c r="I186" s="1156">
        <f t="shared" ref="I186:I187" si="24">IF(D186="借",E186+F186-G186,IF(D186="贷",E186+G186-F186,IF(D186="",0,0)))</f>
        <v>0</v>
      </c>
      <c r="J186" s="1156"/>
      <c r="K186" s="1156">
        <f>ROUND(SUMIF(未调整不符事项之分录!D:D,未调整不符事项之报表影响!C186,未调整不符事项之分录!F:F),2)</f>
        <v>0</v>
      </c>
      <c r="L186" s="1156">
        <f>ROUND(SUMIF(未调整不符事项之分录!D:D,未调整不符事项之报表影响!C186,未调整不符事项之分录!G:G),2)</f>
        <v>0</v>
      </c>
      <c r="M186" s="403">
        <f t="shared" ref="M186:M187" si="25">N186-J186</f>
        <v>0</v>
      </c>
      <c r="N186" s="1156">
        <f t="shared" ref="N186:N187" si="26">IF(D186="借",J186+K186-L186,IF(D186="贷",J186+L186-K186,IF(D186="",0,0)))</f>
        <v>0</v>
      </c>
    </row>
    <row r="187" spans="1:14" ht="24" customHeight="1">
      <c r="A187" s="1406" t="s">
        <v>4774</v>
      </c>
      <c r="B187" s="1341" t="s">
        <v>4774</v>
      </c>
      <c r="C187" s="1341" t="s">
        <v>4774</v>
      </c>
      <c r="D187" s="1414" t="s">
        <v>4772</v>
      </c>
      <c r="E187" s="1447"/>
      <c r="F187" s="1156">
        <f>ROUND(SUMIF(未调整不符事项之分录!D:D,未调整不符事项之报表影响!C187,未调整不符事项之分录!H:H),2)</f>
        <v>0</v>
      </c>
      <c r="G187" s="1156">
        <f>ROUND(SUMIF(未调整不符事项之分录!D:D,未调整不符事项之报表影响!C187,未调整不符事项之分录!I:I),2)</f>
        <v>0</v>
      </c>
      <c r="H187" s="403">
        <f t="shared" si="23"/>
        <v>0</v>
      </c>
      <c r="I187" s="1156">
        <f t="shared" si="24"/>
        <v>0</v>
      </c>
      <c r="J187" s="1156"/>
      <c r="K187" s="1156">
        <f>ROUND(SUMIF(未调整不符事项之分录!D:D,未调整不符事项之报表影响!C187,未调整不符事项之分录!F:F),2)</f>
        <v>0</v>
      </c>
      <c r="L187" s="1156">
        <f>ROUND(SUMIF(未调整不符事项之分录!D:D,未调整不符事项之报表影响!C187,未调整不符事项之分录!G:G),2)</f>
        <v>0</v>
      </c>
      <c r="M187" s="403">
        <f t="shared" si="25"/>
        <v>0</v>
      </c>
      <c r="N187" s="1156">
        <f t="shared" si="26"/>
        <v>0</v>
      </c>
    </row>
    <row r="188" spans="1:14" ht="24" customHeight="1">
      <c r="A188" s="543" t="s">
        <v>4065</v>
      </c>
      <c r="B188" s="532"/>
      <c r="C188" s="535"/>
      <c r="D188" s="569" t="s">
        <v>3841</v>
      </c>
      <c r="E188" s="1156"/>
      <c r="F188" s="1156">
        <f>ROUND(SUMIF(未调整不符事项之分录!D:D,未调整不符事项之报表影响!C188,未调整不符事项之分录!H:H),2)</f>
        <v>0</v>
      </c>
      <c r="G188" s="1156">
        <f>ROUND(SUMIF(未调整不符事项之分录!D:D,未调整不符事项之报表影响!C188,未调整不符事项之分录!I:I),2)</f>
        <v>0</v>
      </c>
      <c r="H188" s="403">
        <f t="shared" ref="H188:H202" si="27">I188-E188</f>
        <v>0</v>
      </c>
      <c r="I188" s="1156">
        <f t="shared" ref="I188:I202" si="28">IF(D188="借",E188+F188-G188,IF(D188="贷",E188+G188-F188,IF(D188="",0,0)))</f>
        <v>0</v>
      </c>
      <c r="J188" s="1156"/>
      <c r="K188" s="1156">
        <f>ROUND(SUMIF(未调整不符事项之分录!D:D,未调整不符事项之报表影响!C188,未调整不符事项之分录!F:F),2)</f>
        <v>0</v>
      </c>
      <c r="L188" s="1156">
        <f>ROUND(SUMIF(未调整不符事项之分录!D:D,未调整不符事项之报表影响!C188,未调整不符事项之分录!G:G),2)</f>
        <v>0</v>
      </c>
      <c r="M188" s="403">
        <f t="shared" ref="M188:M202" si="29">N188-J188</f>
        <v>0</v>
      </c>
      <c r="N188" s="1156">
        <f t="shared" ref="N188:N202" si="30">IF(D188="借",J188+K188-L188,IF(D188="贷",J188+L188-K188,IF(D188="",0,0)))</f>
        <v>0</v>
      </c>
    </row>
    <row r="189" spans="1:14" ht="24" customHeight="1">
      <c r="A189" s="1477" t="s">
        <v>4821</v>
      </c>
      <c r="B189" s="1477" t="s">
        <v>4821</v>
      </c>
      <c r="C189" s="1477" t="s">
        <v>4821</v>
      </c>
      <c r="D189" s="1414" t="s">
        <v>4836</v>
      </c>
      <c r="E189" s="1447"/>
      <c r="F189" s="1156">
        <f>ROUND(F188+F199,2)</f>
        <v>0</v>
      </c>
      <c r="G189" s="1156">
        <f>ROUND(G188+G199,2)</f>
        <v>0</v>
      </c>
      <c r="H189" s="403">
        <f t="shared" si="27"/>
        <v>0</v>
      </c>
      <c r="I189" s="1156">
        <f t="shared" si="28"/>
        <v>0</v>
      </c>
      <c r="J189" s="1447"/>
      <c r="K189" s="1156">
        <f>ROUND(K188+K199,2)</f>
        <v>0</v>
      </c>
      <c r="L189" s="1156">
        <f>ROUND(L188+L199,2)</f>
        <v>0</v>
      </c>
      <c r="M189" s="403">
        <f t="shared" si="29"/>
        <v>0</v>
      </c>
      <c r="N189" s="1156">
        <f t="shared" si="30"/>
        <v>0</v>
      </c>
    </row>
    <row r="190" spans="1:14" ht="24" customHeight="1">
      <c r="A190" s="550" t="s">
        <v>4066</v>
      </c>
      <c r="B190" s="532" t="s">
        <v>4067</v>
      </c>
      <c r="C190" s="535" t="s">
        <v>4068</v>
      </c>
      <c r="D190" s="569" t="s">
        <v>3841</v>
      </c>
      <c r="E190" s="1156"/>
      <c r="F190" s="1156">
        <f>ROUND(SUMIF(未调整不符事项之分录!D:D,未调整不符事项之报表影响!C190,未调整不符事项之分录!H:H)+F191+F192,2)</f>
        <v>0</v>
      </c>
      <c r="G190" s="1156">
        <f>ROUND(SUMIF(未调整不符事项之分录!D:D,未调整不符事项之报表影响!C190,未调整不符事项之分录!I:I)+G191+G192,2)</f>
        <v>0</v>
      </c>
      <c r="H190" s="403">
        <f t="shared" si="27"/>
        <v>0</v>
      </c>
      <c r="I190" s="1156">
        <f t="shared" si="28"/>
        <v>0</v>
      </c>
      <c r="J190" s="1156"/>
      <c r="K190" s="1156">
        <f>ROUND(SUMIF(未调整不符事项之分录!D:D,未调整不符事项之报表影响!C190,未调整不符事项之分录!F:F)+K191+K192,2)</f>
        <v>0</v>
      </c>
      <c r="L190" s="1156">
        <f>ROUND(SUMIF(未调整不符事项之分录!D:D,未调整不符事项之报表影响!C190,未调整不符事项之分录!G:G)+L191+L192,2)</f>
        <v>0</v>
      </c>
      <c r="M190" s="403">
        <f t="shared" si="29"/>
        <v>0</v>
      </c>
      <c r="N190" s="1156">
        <f t="shared" si="30"/>
        <v>0</v>
      </c>
    </row>
    <row r="191" spans="1:14" ht="24" customHeight="1">
      <c r="A191" s="550" t="s">
        <v>4069</v>
      </c>
      <c r="B191" s="532"/>
      <c r="C191" s="535" t="s">
        <v>4070</v>
      </c>
      <c r="D191" s="569" t="s">
        <v>4039</v>
      </c>
      <c r="E191" s="1156"/>
      <c r="F191" s="1156">
        <f>ROUND(SUMIF(未调整不符事项之分录!D:D,未调整不符事项之报表影响!C191,未调整不符事项之分录!H:H),2)</f>
        <v>0</v>
      </c>
      <c r="G191" s="1156">
        <f>ROUND(SUMIF(未调整不符事项之分录!D:D,未调整不符事项之报表影响!C191,未调整不符事项之分录!I:I),2)</f>
        <v>0</v>
      </c>
      <c r="H191" s="403">
        <f t="shared" si="27"/>
        <v>0</v>
      </c>
      <c r="I191" s="1156">
        <f t="shared" si="28"/>
        <v>0</v>
      </c>
      <c r="J191" s="1156"/>
      <c r="K191" s="1156">
        <f>ROUND(SUMIF(未调整不符事项之分录!D:D,未调整不符事项之报表影响!C191,未调整不符事项之分录!F:F),2)</f>
        <v>0</v>
      </c>
      <c r="L191" s="1156">
        <f>ROUND(SUMIF(未调整不符事项之分录!D:D,未调整不符事项之报表影响!C191,未调整不符事项之分录!G:G),2)</f>
        <v>0</v>
      </c>
      <c r="M191" s="403">
        <f t="shared" si="29"/>
        <v>0</v>
      </c>
      <c r="N191" s="1156">
        <f t="shared" si="30"/>
        <v>0</v>
      </c>
    </row>
    <row r="192" spans="1:14" ht="24" customHeight="1">
      <c r="A192" s="550" t="s">
        <v>4071</v>
      </c>
      <c r="B192" s="532"/>
      <c r="C192" s="535" t="s">
        <v>4072</v>
      </c>
      <c r="D192" s="569" t="s">
        <v>3841</v>
      </c>
      <c r="E192" s="1156"/>
      <c r="F192" s="1156">
        <f>ROUND(SUMIF(未调整不符事项之分录!D:D,未调整不符事项之报表影响!C192,未调整不符事项之分录!H:H),2)</f>
        <v>0</v>
      </c>
      <c r="G192" s="1156">
        <f>ROUND(SUMIF(未调整不符事项之分录!D:D,未调整不符事项之报表影响!C192,未调整不符事项之分录!I:I),2)</f>
        <v>0</v>
      </c>
      <c r="H192" s="403">
        <f t="shared" si="27"/>
        <v>0</v>
      </c>
      <c r="I192" s="1156">
        <f t="shared" si="28"/>
        <v>0</v>
      </c>
      <c r="J192" s="1156"/>
      <c r="K192" s="1156">
        <f>ROUND(SUMIF(未调整不符事项之分录!D:D,未调整不符事项之报表影响!C192,未调整不符事项之分录!F:F),2)</f>
        <v>0</v>
      </c>
      <c r="L192" s="1156">
        <f>ROUND(SUMIF(未调整不符事项之分录!D:D,未调整不符事项之报表影响!C192,未调整不符事项之分录!G:G),2)</f>
        <v>0</v>
      </c>
      <c r="M192" s="403">
        <f t="shared" si="29"/>
        <v>0</v>
      </c>
      <c r="N192" s="1156">
        <f t="shared" si="30"/>
        <v>0</v>
      </c>
    </row>
    <row r="193" spans="1:14" ht="24" customHeight="1">
      <c r="A193" s="550" t="s">
        <v>4073</v>
      </c>
      <c r="B193" s="532" t="s">
        <v>4074</v>
      </c>
      <c r="C193" s="535" t="s">
        <v>4075</v>
      </c>
      <c r="D193" s="569" t="s">
        <v>4039</v>
      </c>
      <c r="E193" s="1156"/>
      <c r="F193" s="1156">
        <f>ROUND(SUMIF(未调整不符事项之分录!D:D,未调整不符事项之报表影响!C193,未调整不符事项之分录!H:H)+F194+F195+F196+F197+F198,2)</f>
        <v>0</v>
      </c>
      <c r="G193" s="1156">
        <f>ROUND(SUMIF(未调整不符事项之分录!D:D,未调整不符事项之报表影响!C193,未调整不符事项之分录!I:I)+G194+G195+G196+G197+G198,2)</f>
        <v>0</v>
      </c>
      <c r="H193" s="403">
        <f t="shared" si="27"/>
        <v>0</v>
      </c>
      <c r="I193" s="1156">
        <f t="shared" si="28"/>
        <v>0</v>
      </c>
      <c r="J193" s="1156"/>
      <c r="K193" s="1156">
        <f>ROUND(SUMIF(未调整不符事项之分录!D:D,未调整不符事项之报表影响!C193,未调整不符事项之分录!F:F)+K194+K195+K196+K197+K198,2)</f>
        <v>0</v>
      </c>
      <c r="L193" s="1156">
        <f>ROUND(SUMIF(未调整不符事项之分录!D:D,未调整不符事项之报表影响!C193,未调整不符事项之分录!G:G)+L194+L195+L196+L197+L198,2)</f>
        <v>0</v>
      </c>
      <c r="M193" s="403">
        <f t="shared" si="29"/>
        <v>0</v>
      </c>
      <c r="N193" s="1156">
        <f t="shared" si="30"/>
        <v>0</v>
      </c>
    </row>
    <row r="194" spans="1:14" ht="24" customHeight="1">
      <c r="A194" s="550" t="s">
        <v>4076</v>
      </c>
      <c r="B194" s="532"/>
      <c r="C194" s="535" t="s">
        <v>4077</v>
      </c>
      <c r="D194" s="569" t="s">
        <v>3841</v>
      </c>
      <c r="E194" s="1156"/>
      <c r="F194" s="1156">
        <f>ROUND(SUMIF(未调整不符事项之分录!D:D,未调整不符事项之报表影响!C194,未调整不符事项之分录!H:H),2)</f>
        <v>0</v>
      </c>
      <c r="G194" s="1156">
        <f>ROUND(SUMIF(未调整不符事项之分录!D:D,未调整不符事项之报表影响!C194,未调整不符事项之分录!I:I),2)</f>
        <v>0</v>
      </c>
      <c r="H194" s="403">
        <f t="shared" si="27"/>
        <v>0</v>
      </c>
      <c r="I194" s="1156">
        <f t="shared" si="28"/>
        <v>0</v>
      </c>
      <c r="J194" s="1156"/>
      <c r="K194" s="1156">
        <f>ROUND(SUMIF(未调整不符事项之分录!D:D,未调整不符事项之报表影响!C194,未调整不符事项之分录!F:F),2)</f>
        <v>0</v>
      </c>
      <c r="L194" s="1156">
        <f>ROUND(SUMIF(未调整不符事项之分录!D:D,未调整不符事项之报表影响!C194,未调整不符事项之分录!G:G),2)</f>
        <v>0</v>
      </c>
      <c r="M194" s="403">
        <f t="shared" si="29"/>
        <v>0</v>
      </c>
      <c r="N194" s="1156">
        <f t="shared" si="30"/>
        <v>0</v>
      </c>
    </row>
    <row r="195" spans="1:14" ht="24" customHeight="1">
      <c r="A195" s="550" t="s">
        <v>4078</v>
      </c>
      <c r="B195" s="532"/>
      <c r="C195" s="535" t="s">
        <v>4079</v>
      </c>
      <c r="D195" s="569" t="s">
        <v>4039</v>
      </c>
      <c r="E195" s="1156"/>
      <c r="F195" s="1156">
        <f>ROUND(SUMIF(未调整不符事项之分录!D:D,未调整不符事项之报表影响!C195,未调整不符事项之分录!H:H),2)</f>
        <v>0</v>
      </c>
      <c r="G195" s="1156">
        <f>ROUND(SUMIF(未调整不符事项之分录!D:D,未调整不符事项之报表影响!C195,未调整不符事项之分录!I:I),2)</f>
        <v>0</v>
      </c>
      <c r="H195" s="403">
        <f t="shared" si="27"/>
        <v>0</v>
      </c>
      <c r="I195" s="1156">
        <f t="shared" si="28"/>
        <v>0</v>
      </c>
      <c r="J195" s="1156"/>
      <c r="K195" s="1156">
        <f>ROUND(SUMIF(未调整不符事项之分录!D:D,未调整不符事项之报表影响!C195,未调整不符事项之分录!F:F),2)</f>
        <v>0</v>
      </c>
      <c r="L195" s="1156">
        <f>ROUND(SUMIF(未调整不符事项之分录!D:D,未调整不符事项之报表影响!C195,未调整不符事项之分录!G:G),2)</f>
        <v>0</v>
      </c>
      <c r="M195" s="403">
        <f t="shared" si="29"/>
        <v>0</v>
      </c>
      <c r="N195" s="1156">
        <f t="shared" si="30"/>
        <v>0</v>
      </c>
    </row>
    <row r="196" spans="1:14" ht="24" customHeight="1">
      <c r="A196" s="550" t="s">
        <v>4080</v>
      </c>
      <c r="B196" s="532"/>
      <c r="C196" s="535" t="s">
        <v>4081</v>
      </c>
      <c r="D196" s="569" t="s">
        <v>3967</v>
      </c>
      <c r="E196" s="1156"/>
      <c r="F196" s="1156">
        <f>ROUND(SUMIF(未调整不符事项之分录!D:D,未调整不符事项之报表影响!C196,未调整不符事项之分录!H:H),2)</f>
        <v>0</v>
      </c>
      <c r="G196" s="1156">
        <f>ROUND(SUMIF(未调整不符事项之分录!D:D,未调整不符事项之报表影响!C196,未调整不符事项之分录!I:I),2)</f>
        <v>0</v>
      </c>
      <c r="H196" s="403">
        <f t="shared" si="27"/>
        <v>0</v>
      </c>
      <c r="I196" s="1156">
        <f t="shared" si="28"/>
        <v>0</v>
      </c>
      <c r="J196" s="1156"/>
      <c r="K196" s="1156">
        <f>ROUND(SUMIF(未调整不符事项之分录!D:D,未调整不符事项之报表影响!C196,未调整不符事项之分录!F:F),2)</f>
        <v>0</v>
      </c>
      <c r="L196" s="1156">
        <f>ROUND(SUMIF(未调整不符事项之分录!D:D,未调整不符事项之报表影响!C196,未调整不符事项之分录!G:G),2)</f>
        <v>0</v>
      </c>
      <c r="M196" s="403">
        <f t="shared" si="29"/>
        <v>0</v>
      </c>
      <c r="N196" s="1156">
        <f t="shared" si="30"/>
        <v>0</v>
      </c>
    </row>
    <row r="197" spans="1:14" ht="24" customHeight="1">
      <c r="A197" s="550" t="s">
        <v>4082</v>
      </c>
      <c r="B197" s="532"/>
      <c r="C197" s="535" t="s">
        <v>4083</v>
      </c>
      <c r="D197" s="569" t="s">
        <v>3841</v>
      </c>
      <c r="E197" s="1156"/>
      <c r="F197" s="1156">
        <f>ROUND(SUMIF(未调整不符事项之分录!D:D,未调整不符事项之报表影响!C197,未调整不符事项之分录!H:H),2)</f>
        <v>0</v>
      </c>
      <c r="G197" s="1156">
        <f>ROUND(SUMIF(未调整不符事项之分录!D:D,未调整不符事项之报表影响!C197,未调整不符事项之分录!I:I),2)</f>
        <v>0</v>
      </c>
      <c r="H197" s="403">
        <f t="shared" si="27"/>
        <v>0</v>
      </c>
      <c r="I197" s="1156">
        <f t="shared" si="28"/>
        <v>0</v>
      </c>
      <c r="J197" s="1156"/>
      <c r="K197" s="1156">
        <f>ROUND(SUMIF(未调整不符事项之分录!D:D,未调整不符事项之报表影响!C197,未调整不符事项之分录!F:F),2)</f>
        <v>0</v>
      </c>
      <c r="L197" s="1156">
        <f>ROUND(SUMIF(未调整不符事项之分录!D:D,未调整不符事项之报表影响!C197,未调整不符事项之分录!G:G),2)</f>
        <v>0</v>
      </c>
      <c r="M197" s="403">
        <f t="shared" si="29"/>
        <v>0</v>
      </c>
      <c r="N197" s="1156">
        <f t="shared" si="30"/>
        <v>0</v>
      </c>
    </row>
    <row r="198" spans="1:14" ht="24" customHeight="1">
      <c r="A198" s="550" t="s">
        <v>4084</v>
      </c>
      <c r="B198" s="532"/>
      <c r="C198" s="535" t="s">
        <v>4085</v>
      </c>
      <c r="D198" s="569" t="s">
        <v>4039</v>
      </c>
      <c r="E198" s="1156"/>
      <c r="F198" s="1156">
        <f>ROUND(SUMIF(未调整不符事项之分录!D:D,未调整不符事项之报表影响!C198,未调整不符事项之分录!H:H),2)</f>
        <v>0</v>
      </c>
      <c r="G198" s="1156">
        <f>ROUND(SUMIF(未调整不符事项之分录!D:D,未调整不符事项之报表影响!C198,未调整不符事项之分录!I:I),2)</f>
        <v>0</v>
      </c>
      <c r="H198" s="403">
        <f t="shared" si="27"/>
        <v>0</v>
      </c>
      <c r="I198" s="1156">
        <f t="shared" si="28"/>
        <v>0</v>
      </c>
      <c r="J198" s="1156"/>
      <c r="K198" s="1156">
        <f>ROUND(SUMIF(未调整不符事项之分录!D:D,未调整不符事项之报表影响!C198,未调整不符事项之分录!F:F),2)</f>
        <v>0</v>
      </c>
      <c r="L198" s="1156">
        <f>ROUND(SUMIF(未调整不符事项之分录!D:D,未调整不符事项之报表影响!C198,未调整不符事项之分录!G:G),2)</f>
        <v>0</v>
      </c>
      <c r="M198" s="403">
        <f t="shared" si="29"/>
        <v>0</v>
      </c>
      <c r="N198" s="1156">
        <f t="shared" si="30"/>
        <v>0</v>
      </c>
    </row>
    <row r="199" spans="1:14" ht="24" customHeight="1">
      <c r="A199" s="535" t="s">
        <v>4835</v>
      </c>
      <c r="B199" s="535" t="s">
        <v>4835</v>
      </c>
      <c r="C199" s="1478" t="s">
        <v>4835</v>
      </c>
      <c r="D199" s="1414" t="s">
        <v>4837</v>
      </c>
      <c r="E199" s="1447"/>
      <c r="F199" s="1156">
        <f>ROUND(SUMIF(未调整不符事项之分录!D:D,未调整不符事项之报表影响!C199,未调整不符事项之分录!H:H),2)</f>
        <v>0</v>
      </c>
      <c r="G199" s="1156">
        <f>ROUND(SUMIF(未调整不符事项之分录!D:D,未调整不符事项之报表影响!C199,未调整不符事项之分录!I:I),2)</f>
        <v>0</v>
      </c>
      <c r="H199" s="403">
        <f t="shared" si="27"/>
        <v>0</v>
      </c>
      <c r="I199" s="1156">
        <f t="shared" si="28"/>
        <v>0</v>
      </c>
      <c r="J199" s="1447"/>
      <c r="K199" s="1156">
        <f>ROUND(SUMIF(未调整不符事项之分录!D:D,未调整不符事项之报表影响!C199,未调整不符事项之分录!F:F),2)</f>
        <v>0</v>
      </c>
      <c r="L199" s="1156">
        <f>ROUND(SUMIF(未调整不符事项之分录!D:D,未调整不符事项之报表影响!C199,未调整不符事项之分录!G:G),2)</f>
        <v>0</v>
      </c>
      <c r="M199" s="403">
        <f t="shared" si="29"/>
        <v>0</v>
      </c>
      <c r="N199" s="1156">
        <f t="shared" si="30"/>
        <v>0</v>
      </c>
    </row>
    <row r="200" spans="1:14" ht="24" customHeight="1">
      <c r="A200" s="551" t="s">
        <v>4086</v>
      </c>
      <c r="B200" s="551"/>
      <c r="C200" s="535"/>
      <c r="D200" s="569" t="s">
        <v>3841</v>
      </c>
      <c r="E200" s="1156"/>
      <c r="F200" s="1156">
        <f>ROUND(F183+F188,2)</f>
        <v>0</v>
      </c>
      <c r="G200" s="1156">
        <f>ROUND(G183+G188,2)</f>
        <v>0</v>
      </c>
      <c r="H200" s="403">
        <f t="shared" si="27"/>
        <v>0</v>
      </c>
      <c r="I200" s="1156">
        <f t="shared" si="28"/>
        <v>0</v>
      </c>
      <c r="J200" s="1156"/>
      <c r="K200" s="1156">
        <f>ROUND(K183+K188,2)</f>
        <v>0</v>
      </c>
      <c r="L200" s="1156">
        <f>ROUND(L183+L188,2)</f>
        <v>0</v>
      </c>
      <c r="M200" s="403">
        <f t="shared" si="29"/>
        <v>0</v>
      </c>
      <c r="N200" s="1156">
        <f t="shared" si="30"/>
        <v>0</v>
      </c>
    </row>
    <row r="201" spans="1:14" ht="24" customHeight="1">
      <c r="A201" s="550" t="s">
        <v>4087</v>
      </c>
      <c r="B201" s="532"/>
      <c r="C201" s="535"/>
      <c r="D201" s="569" t="s">
        <v>3841</v>
      </c>
      <c r="E201" s="1156"/>
      <c r="F201" s="1156">
        <f>ROUND(F184+F189,2)</f>
        <v>0</v>
      </c>
      <c r="G201" s="1156">
        <f>ROUND(G184+G189,2)</f>
        <v>0</v>
      </c>
      <c r="H201" s="403">
        <f t="shared" si="27"/>
        <v>0</v>
      </c>
      <c r="I201" s="1156">
        <f t="shared" si="28"/>
        <v>0</v>
      </c>
      <c r="J201" s="1156"/>
      <c r="K201" s="1156">
        <f>ROUND(K184+K189,2)</f>
        <v>0</v>
      </c>
      <c r="L201" s="1156">
        <f>ROUND(L184+L189,2)</f>
        <v>0</v>
      </c>
      <c r="M201" s="403">
        <f t="shared" si="29"/>
        <v>0</v>
      </c>
      <c r="N201" s="1156">
        <f t="shared" si="30"/>
        <v>0</v>
      </c>
    </row>
    <row r="202" spans="1:14" ht="24" customHeight="1">
      <c r="A202" s="550" t="s">
        <v>4088</v>
      </c>
      <c r="B202" s="532"/>
      <c r="C202" s="535"/>
      <c r="D202" s="569" t="s">
        <v>3801</v>
      </c>
      <c r="E202" s="1156"/>
      <c r="F202" s="1156">
        <f>ROUND(F185+F199,2)</f>
        <v>0</v>
      </c>
      <c r="G202" s="1156">
        <f>ROUND(G185+G199,2)</f>
        <v>0</v>
      </c>
      <c r="H202" s="403">
        <f t="shared" si="27"/>
        <v>0</v>
      </c>
      <c r="I202" s="1156">
        <f t="shared" si="28"/>
        <v>0</v>
      </c>
      <c r="J202" s="1156"/>
      <c r="K202" s="1156">
        <f>ROUND(K185+K199,2)</f>
        <v>0</v>
      </c>
      <c r="L202" s="1156">
        <f>ROUND(L185+L199,2)</f>
        <v>0</v>
      </c>
      <c r="M202" s="403">
        <f t="shared" si="29"/>
        <v>0</v>
      </c>
      <c r="N202" s="1156">
        <f t="shared" si="30"/>
        <v>0</v>
      </c>
    </row>
    <row r="203" spans="1:14" ht="24" customHeight="1">
      <c r="A203" s="543" t="s">
        <v>4089</v>
      </c>
      <c r="B203" s="543"/>
      <c r="C203" s="535"/>
      <c r="D203" s="571"/>
      <c r="E203" s="430"/>
      <c r="F203" s="434"/>
      <c r="G203" s="434"/>
      <c r="H203" s="403"/>
      <c r="I203" s="434"/>
      <c r="J203" s="430"/>
      <c r="K203" s="434"/>
      <c r="L203" s="434"/>
      <c r="M203" s="403"/>
      <c r="N203" s="434"/>
    </row>
    <row r="204" spans="1:14" ht="24" customHeight="1">
      <c r="A204" s="550" t="s">
        <v>4090</v>
      </c>
      <c r="B204" s="532"/>
      <c r="C204" s="535"/>
      <c r="D204" s="569" t="s">
        <v>3841</v>
      </c>
      <c r="E204" s="1156"/>
      <c r="F204" s="434"/>
      <c r="G204" s="434"/>
      <c r="H204" s="403"/>
      <c r="I204" s="1156">
        <f t="shared" si="18"/>
        <v>0</v>
      </c>
      <c r="J204" s="1156"/>
      <c r="K204" s="434"/>
      <c r="L204" s="434"/>
      <c r="M204" s="403"/>
      <c r="N204" s="1156">
        <f>IF(D204="借",J204+K204-L204,IF(D204="贷",J204+L204-K204,IF(D204="",0,0)))</f>
        <v>0</v>
      </c>
    </row>
    <row r="205" spans="1:14" ht="24" customHeight="1">
      <c r="A205" s="550" t="s">
        <v>4091</v>
      </c>
      <c r="B205" s="532"/>
      <c r="C205" s="535"/>
      <c r="D205" s="569" t="s">
        <v>3967</v>
      </c>
      <c r="E205" s="1156"/>
      <c r="F205" s="434"/>
      <c r="G205" s="434"/>
      <c r="H205" s="403"/>
      <c r="I205" s="1156">
        <f t="shared" si="18"/>
        <v>0</v>
      </c>
      <c r="J205" s="1156"/>
      <c r="K205" s="434"/>
      <c r="L205" s="434"/>
      <c r="M205" s="403"/>
      <c r="N205" s="1156">
        <f>IF(D205="借",J205+K205-L205,IF(D205="贷",J205+L205-K205,IF(D205="",0,0)))</f>
        <v>0</v>
      </c>
    </row>
  </sheetData>
  <sheetProtection formatCells="0" formatColumns="0" formatRows="0" autoFilter="0"/>
  <autoFilter ref="A5:Q5" xr:uid="{00000000-0009-0000-0000-00006C000000}"/>
  <phoneticPr fontId="5" type="noConversion"/>
  <conditionalFormatting sqref="N171:N172 N177 N181 N183:N184 N111 N120 N137:N138 N157 N144:N145 N130:N131 N127:N128 N28 N38 N40 N51 N53:N54 N72 N74 N76 N88 N98 N100:N101 N103 N106 N22 N160 N167 I160:L160 K98:L98 K76:L76 K74:L74 K72:L72 K51:L51 K22:L22 I157:L157 K120:L120 K103:L103 I177:L177 I167:L167 I28 I22 I38 I40 I51 I53:I54 I72 I74 I76 I88 I98 I100:I101 I103 I111 I120 I130:I131 I127:I128 I106 J158:J159 J161:J166 K53:L54 K88:L88 K100:L101 K111:L111 K130:L131 J137:J156 I137:I138 K137:L138 I144:I145 K144:L145 I171:I172 K171:L172 I181 K181:L181 I183:I184 K183:L184 K28:L28 K38:L38 K40:L40 A160:C160 A167:C167 A171:C172 A177:C177 A181:C181 A183:C184 A111:C111 A120:C120 A137:C138 A157:C157 A144:C145 A22:C22 A28:C28 A38:C38 A40:C40 A51:C51 A53:C54 A72:C72 A74:C74 A76:C76 A88:C88 A98:C98 A100:C101 F98:G98 F76:G76 F74:G74 F72:G72 F22:G22 E157:G157 F120:G120 F103:G103 E177:G177 E167:G167 E160:G160 G51 E158:E159 E161:E166 E168:E176 E178:E199 F183:G184 F38:G38 F40:G40 F53:G54 F88:G88 F100:G101 F111:G111 F130:G131 E137:E156 F137:G138 F144:G145 F171:G172 F181:G181 F28:G28 A103:C104 A107:C107 A127:C131 F127:G128 K127:L128 N204:N205 N200:N202 I204:J205 A204:C205 A200:C202 E204:E205 J168:J176 J178:J189 E200:G202 I200:L202">
    <cfRule type="cellIs" dxfId="39" priority="51" stopIfTrue="1" operator="notEqual">
      <formula>0</formula>
    </cfRule>
    <cfRule type="cellIs" dxfId="38" priority="52" stopIfTrue="1" operator="equal">
      <formula>0</formula>
    </cfRule>
  </conditionalFormatting>
  <conditionalFormatting sqref="D209:D65564 D1:D4">
    <cfRule type="cellIs" dxfId="37" priority="49" stopIfTrue="1" operator="equal">
      <formula>"借"</formula>
    </cfRule>
    <cfRule type="cellIs" dxfId="36" priority="50" stopIfTrue="1" operator="equal">
      <formula>"贷"</formula>
    </cfRule>
  </conditionalFormatting>
  <conditionalFormatting sqref="N112 K112:L112 I112 F112:G112">
    <cfRule type="cellIs" dxfId="35" priority="33" stopIfTrue="1" operator="notEqual">
      <formula>0</formula>
    </cfRule>
    <cfRule type="cellIs" dxfId="34" priority="34" stopIfTrue="1" operator="equal">
      <formula>0</formula>
    </cfRule>
  </conditionalFormatting>
  <conditionalFormatting sqref="N117 K117:L117 I117 F117:G117">
    <cfRule type="cellIs" dxfId="33" priority="31" stopIfTrue="1" operator="notEqual">
      <formula>0</formula>
    </cfRule>
    <cfRule type="cellIs" dxfId="32" priority="32" stopIfTrue="1" operator="equal">
      <formula>0</formula>
    </cfRule>
  </conditionalFormatting>
  <conditionalFormatting sqref="A188">
    <cfRule type="cellIs" dxfId="31" priority="29" stopIfTrue="1" operator="notEqual">
      <formula>0</formula>
    </cfRule>
    <cfRule type="cellIs" dxfId="30" priority="30" stopIfTrue="1" operator="equal">
      <formula>0</formula>
    </cfRule>
  </conditionalFormatting>
  <conditionalFormatting sqref="J191">
    <cfRule type="cellIs" dxfId="29" priority="27" stopIfTrue="1" operator="notEqual">
      <formula>0</formula>
    </cfRule>
    <cfRule type="cellIs" dxfId="28" priority="28" stopIfTrue="1" operator="equal">
      <formula>0</formula>
    </cfRule>
  </conditionalFormatting>
  <conditionalFormatting sqref="J192">
    <cfRule type="cellIs" dxfId="27" priority="25" stopIfTrue="1" operator="notEqual">
      <formula>0</formula>
    </cfRule>
    <cfRule type="cellIs" dxfId="26" priority="26" stopIfTrue="1" operator="equal">
      <formula>0</formula>
    </cfRule>
  </conditionalFormatting>
  <conditionalFormatting sqref="J194">
    <cfRule type="cellIs" dxfId="25" priority="23" stopIfTrue="1" operator="notEqual">
      <formula>0</formula>
    </cfRule>
    <cfRule type="cellIs" dxfId="24" priority="24" stopIfTrue="1" operator="equal">
      <formula>0</formula>
    </cfRule>
  </conditionalFormatting>
  <conditionalFormatting sqref="J195">
    <cfRule type="cellIs" dxfId="23" priority="21" stopIfTrue="1" operator="notEqual">
      <formula>0</formula>
    </cfRule>
    <cfRule type="cellIs" dxfId="22" priority="22" stopIfTrue="1" operator="equal">
      <formula>0</formula>
    </cfRule>
  </conditionalFormatting>
  <conditionalFormatting sqref="J196">
    <cfRule type="cellIs" dxfId="21" priority="19" stopIfTrue="1" operator="notEqual">
      <formula>0</formula>
    </cfRule>
    <cfRule type="cellIs" dxfId="20" priority="20" stopIfTrue="1" operator="equal">
      <formula>0</formula>
    </cfRule>
  </conditionalFormatting>
  <conditionalFormatting sqref="J197">
    <cfRule type="cellIs" dxfId="19" priority="17" stopIfTrue="1" operator="notEqual">
      <formula>0</formula>
    </cfRule>
    <cfRule type="cellIs" dxfId="18" priority="18" stopIfTrue="1" operator="equal">
      <formula>0</formula>
    </cfRule>
  </conditionalFormatting>
  <conditionalFormatting sqref="J198:J199">
    <cfRule type="cellIs" dxfId="17" priority="15" stopIfTrue="1" operator="notEqual">
      <formula>0</formula>
    </cfRule>
    <cfRule type="cellIs" dxfId="16" priority="16" stopIfTrue="1" operator="equal">
      <formula>0</formula>
    </cfRule>
  </conditionalFormatting>
  <conditionalFormatting sqref="J193">
    <cfRule type="cellIs" dxfId="15" priority="13" stopIfTrue="1" operator="notEqual">
      <formula>0</formula>
    </cfRule>
    <cfRule type="cellIs" dxfId="14" priority="14" stopIfTrue="1" operator="equal">
      <formula>0</formula>
    </cfRule>
  </conditionalFormatting>
  <conditionalFormatting sqref="J190">
    <cfRule type="cellIs" dxfId="13" priority="11" stopIfTrue="1" operator="notEqual">
      <formula>0</formula>
    </cfRule>
    <cfRule type="cellIs" dxfId="12" priority="12" stopIfTrue="1" operator="equal">
      <formula>0</formula>
    </cfRule>
  </conditionalFormatting>
  <conditionalFormatting sqref="A117:C117">
    <cfRule type="cellIs" dxfId="11" priority="9" stopIfTrue="1" operator="notEqual">
      <formula>0</formula>
    </cfRule>
    <cfRule type="cellIs" dxfId="10" priority="10" stopIfTrue="1" operator="equal">
      <formula>0</formula>
    </cfRule>
  </conditionalFormatting>
  <conditionalFormatting sqref="A112:C112">
    <cfRule type="cellIs" dxfId="9" priority="7" stopIfTrue="1" operator="notEqual">
      <formula>0</formula>
    </cfRule>
    <cfRule type="cellIs" dxfId="8" priority="8" stopIfTrue="1" operator="equal">
      <formula>0</formula>
    </cfRule>
  </conditionalFormatting>
  <conditionalFormatting sqref="A189">
    <cfRule type="cellIs" dxfId="7" priority="5" stopIfTrue="1" operator="notEqual">
      <formula>0</formula>
    </cfRule>
    <cfRule type="cellIs" dxfId="6" priority="6" stopIfTrue="1" operator="equal">
      <formula>0</formula>
    </cfRule>
  </conditionalFormatting>
  <conditionalFormatting sqref="B189">
    <cfRule type="cellIs" dxfId="5" priority="3" stopIfTrue="1" operator="notEqual">
      <formula>0</formula>
    </cfRule>
    <cfRule type="cellIs" dxfId="4" priority="4" stopIfTrue="1" operator="equal">
      <formula>0</formula>
    </cfRule>
  </conditionalFormatting>
  <conditionalFormatting sqref="C189">
    <cfRule type="cellIs" dxfId="3" priority="1" stopIfTrue="1" operator="notEqual">
      <formula>0</formula>
    </cfRule>
    <cfRule type="cellIs" dxfId="2" priority="2" stopIfTrue="1" operator="equal">
      <formula>0</formula>
    </cfRule>
  </conditionalFormatting>
  <hyperlinks>
    <hyperlink ref="P2" location="附注填写封面!B3" display="返回目录" xr:uid="{00000000-0004-0000-6C00-000000000000}"/>
    <hyperlink ref="O3" location="附注填写封面!B3" display="返回目录" xr:uid="{00000000-0004-0000-6C00-000001000000}"/>
    <hyperlink ref="I2" location="附注填写封面!B3" display="返回目录" xr:uid="{00000000-0004-0000-6C00-000002000000}"/>
  </hyperlinks>
  <printOptions horizontalCentered="1"/>
  <pageMargins left="0.82677165354330717" right="0.35433070866141736" top="0.82677165354330717" bottom="0.51181102362204722" header="0.51181102362204722" footer="0.23622047244094491"/>
  <pageSetup paperSize="9" scale="67" fitToHeight="7" orientation="landscape" blackAndWhite="1" useFirstPageNumber="1" r:id="rId1"/>
  <headerFooter alignWithMargins="0">
    <oddFooter>&amp;C&amp;"Times New Roman,常规"&amp;P</oddFooter>
  </headerFooter>
  <rowBreaks count="2" manualBreakCount="2">
    <brk id="58" max="10" man="1"/>
    <brk id="135" max="10" man="1"/>
  </rowBreaks>
  <extLst>
    <ext xmlns:mx="http://schemas.microsoft.com/office/mac/excel/2008/main" uri="{64002731-A6B0-56B0-2670-7721B7C09600}">
      <mx:PLV Mode="0" OnePage="0" WScale="0"/>
    </ext>
  </extLst>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82">
    <pageSetUpPr autoPageBreaks="0" fitToPage="1"/>
  </sheetPr>
  <dimension ref="A1:P65"/>
  <sheetViews>
    <sheetView showGridLines="0" showZeros="0" view="pageBreakPreview" topLeftCell="B34" zoomScaleSheetLayoutView="100" workbookViewId="0">
      <selection activeCell="A30" sqref="A30"/>
    </sheetView>
  </sheetViews>
  <sheetFormatPr defaultColWidth="9.375" defaultRowHeight="12.75"/>
  <cols>
    <col min="1" max="1" width="31.125" style="1192" customWidth="1"/>
    <col min="2" max="2" width="14.5" style="1192" customWidth="1"/>
    <col min="3" max="3" width="7.625" style="887" customWidth="1"/>
    <col min="4" max="4" width="14.375" style="1192" customWidth="1"/>
    <col min="5" max="5" width="7.625" style="1192" customWidth="1"/>
    <col min="6" max="6" width="14.5" style="1192" customWidth="1"/>
    <col min="7" max="7" width="7.625" style="1192" customWidth="1"/>
    <col min="8" max="8" width="9.375" style="1192" customWidth="1"/>
    <col min="9" max="9" width="12.5" style="1192" customWidth="1"/>
    <col min="10" max="10" width="14.5" style="1192" customWidth="1"/>
    <col min="11" max="11" width="7.625" style="1192" customWidth="1"/>
    <col min="12" max="12" width="14.5" style="1192" customWidth="1"/>
    <col min="13" max="13" width="9.125" style="1192" customWidth="1"/>
    <col min="14" max="14" width="10" style="1192" customWidth="1"/>
    <col min="15" max="15" width="12" style="1192" customWidth="1"/>
    <col min="16" max="16384" width="9.375" style="1192"/>
  </cols>
  <sheetData>
    <row r="1" spans="1:16" s="1166" customFormat="1" ht="13.5" thickBot="1">
      <c r="A1" s="1162" t="s">
        <v>4146</v>
      </c>
      <c r="B1" s="1163"/>
      <c r="C1" s="1164"/>
      <c r="D1" s="1165"/>
      <c r="E1" s="1165"/>
      <c r="F1" s="1165"/>
      <c r="G1" s="1165"/>
      <c r="H1" s="1165"/>
      <c r="I1" s="1165"/>
    </row>
    <row r="2" spans="1:16" s="1166" customFormat="1">
      <c r="A2" s="1167" t="str">
        <f>封面!$E$4</f>
        <v>被审计单位：华鼎资本（北京）有限公司</v>
      </c>
      <c r="B2" s="1168"/>
      <c r="C2" s="1169"/>
      <c r="D2" s="1168"/>
      <c r="E2" s="1168"/>
      <c r="F2" s="1168"/>
      <c r="G2" s="1168"/>
      <c r="H2" s="1168" t="s">
        <v>2253</v>
      </c>
      <c r="I2" s="1168"/>
      <c r="J2" s="1170" t="s">
        <v>91</v>
      </c>
      <c r="K2" s="1171"/>
      <c r="L2" s="1171" t="s">
        <v>363</v>
      </c>
      <c r="M2" s="1171"/>
      <c r="N2" s="1171">
        <v>1</v>
      </c>
      <c r="O2" s="1172"/>
      <c r="P2" s="1173"/>
    </row>
    <row r="3" spans="1:16" s="1166" customFormat="1">
      <c r="A3" s="1174" t="s">
        <v>4147</v>
      </c>
      <c r="B3" s="1175"/>
      <c r="C3" s="1176"/>
      <c r="D3" s="1175"/>
      <c r="E3" s="1175"/>
      <c r="F3" s="1175"/>
      <c r="G3" s="1175"/>
      <c r="H3" s="1175" t="s">
        <v>2254</v>
      </c>
      <c r="I3" s="1175" t="str">
        <f>封面!C8</f>
        <v>王咲晨</v>
      </c>
      <c r="J3" s="1175"/>
      <c r="K3" s="1177"/>
      <c r="L3" s="1178" t="s">
        <v>365</v>
      </c>
      <c r="M3" s="1179"/>
      <c r="N3" s="1177"/>
      <c r="O3" s="1180"/>
      <c r="P3" s="1181"/>
    </row>
    <row r="4" spans="1:16" s="1166" customFormat="1" ht="13.5" thickBot="1">
      <c r="A4" s="1182" t="s">
        <v>4425</v>
      </c>
      <c r="B4" s="1183"/>
      <c r="C4" s="1184"/>
      <c r="D4" s="1183"/>
      <c r="E4" s="1183"/>
      <c r="F4" s="1183"/>
      <c r="G4" s="1183"/>
      <c r="H4" s="1183" t="s">
        <v>2257</v>
      </c>
      <c r="I4" s="1183" t="str">
        <f>封面!C9</f>
        <v>逯敏</v>
      </c>
      <c r="J4" s="1183"/>
      <c r="K4" s="1185"/>
      <c r="L4" s="1186" t="s">
        <v>365</v>
      </c>
      <c r="M4" s="1187"/>
      <c r="N4" s="1185"/>
      <c r="O4" s="1188"/>
      <c r="P4" s="1189"/>
    </row>
    <row r="5" spans="1:16" ht="13.5" thickBot="1">
      <c r="A5" s="1190" t="s">
        <v>523</v>
      </c>
      <c r="B5" s="1191"/>
      <c r="C5" s="807"/>
      <c r="D5" s="1191"/>
      <c r="E5" s="1191"/>
      <c r="F5" s="1191"/>
      <c r="G5" s="1191"/>
      <c r="H5" s="1191"/>
      <c r="I5" s="1191"/>
      <c r="J5" s="1191"/>
      <c r="K5" s="1191"/>
      <c r="L5" s="1191"/>
      <c r="M5" s="1191"/>
      <c r="N5" s="1191"/>
    </row>
    <row r="6" spans="1:16" s="1194" customFormat="1" ht="14.25" customHeight="1">
      <c r="A6" s="1894" t="s">
        <v>4148</v>
      </c>
      <c r="B6" s="1896" t="s">
        <v>4149</v>
      </c>
      <c r="C6" s="1896"/>
      <c r="D6" s="1899" t="s">
        <v>4150</v>
      </c>
      <c r="E6" s="1899"/>
      <c r="F6" s="1899"/>
      <c r="G6" s="1899"/>
      <c r="H6" s="1899"/>
      <c r="I6" s="1899"/>
      <c r="J6" s="1899" t="s">
        <v>4151</v>
      </c>
      <c r="K6" s="1899"/>
      <c r="L6" s="1899"/>
      <c r="M6" s="1899"/>
      <c r="N6" s="1899"/>
      <c r="O6" s="1899"/>
      <c r="P6" s="1193"/>
    </row>
    <row r="7" spans="1:16" s="1194" customFormat="1" ht="12.75" customHeight="1">
      <c r="A7" s="1895"/>
      <c r="B7" s="1897"/>
      <c r="C7" s="1897"/>
      <c r="D7" s="1898" t="s">
        <v>4152</v>
      </c>
      <c r="E7" s="1898"/>
      <c r="F7" s="1898" t="s">
        <v>4153</v>
      </c>
      <c r="G7" s="1898"/>
      <c r="H7" s="1898"/>
      <c r="I7" s="1898" t="s">
        <v>4154</v>
      </c>
      <c r="J7" s="1898" t="s">
        <v>4155</v>
      </c>
      <c r="K7" s="1898"/>
      <c r="L7" s="1898" t="s">
        <v>4153</v>
      </c>
      <c r="M7" s="1898"/>
      <c r="N7" s="1898"/>
      <c r="O7" s="1898" t="s">
        <v>4156</v>
      </c>
      <c r="P7" s="1893" t="s">
        <v>4157</v>
      </c>
    </row>
    <row r="8" spans="1:16" s="1194" customFormat="1" ht="14.25" customHeight="1">
      <c r="A8" s="1895"/>
      <c r="B8" s="1195" t="s">
        <v>857</v>
      </c>
      <c r="C8" s="1196" t="s">
        <v>4158</v>
      </c>
      <c r="D8" s="1195" t="s">
        <v>857</v>
      </c>
      <c r="E8" s="1197" t="s">
        <v>4158</v>
      </c>
      <c r="F8" s="1195" t="s">
        <v>857</v>
      </c>
      <c r="G8" s="1195" t="s">
        <v>4159</v>
      </c>
      <c r="H8" s="1195" t="s">
        <v>4160</v>
      </c>
      <c r="I8" s="1898"/>
      <c r="J8" s="1195" t="s">
        <v>857</v>
      </c>
      <c r="K8" s="1197" t="s">
        <v>4158</v>
      </c>
      <c r="L8" s="1195" t="s">
        <v>857</v>
      </c>
      <c r="M8" s="1195" t="s">
        <v>4159</v>
      </c>
      <c r="N8" s="1195" t="s">
        <v>4160</v>
      </c>
      <c r="O8" s="1898"/>
      <c r="P8" s="1893"/>
    </row>
    <row r="9" spans="1:16" s="1191" customFormat="1">
      <c r="A9" s="1895"/>
      <c r="B9" s="1198">
        <v>1</v>
      </c>
      <c r="C9" s="1198">
        <v>2</v>
      </c>
      <c r="D9" s="1198">
        <v>3</v>
      </c>
      <c r="E9" s="1198">
        <v>4</v>
      </c>
      <c r="F9" s="1198" t="s">
        <v>92</v>
      </c>
      <c r="G9" s="1198" t="s">
        <v>93</v>
      </c>
      <c r="H9" s="1199">
        <v>7</v>
      </c>
      <c r="I9" s="1199"/>
      <c r="J9" s="1198">
        <v>8</v>
      </c>
      <c r="K9" s="1198">
        <v>9</v>
      </c>
      <c r="L9" s="1198" t="s">
        <v>94</v>
      </c>
      <c r="M9" s="1198" t="s">
        <v>95</v>
      </c>
      <c r="N9" s="1199">
        <v>12</v>
      </c>
      <c r="O9" s="1200"/>
      <c r="P9" s="1201"/>
    </row>
    <row r="10" spans="1:16">
      <c r="A10" s="1202" t="s">
        <v>105</v>
      </c>
      <c r="B10" s="109"/>
      <c r="C10" s="110"/>
      <c r="D10" s="109"/>
      <c r="E10" s="111"/>
      <c r="F10" s="111"/>
      <c r="G10" s="111"/>
      <c r="H10" s="111"/>
      <c r="I10" s="111"/>
      <c r="J10" s="111"/>
      <c r="K10" s="111"/>
      <c r="L10" s="111"/>
      <c r="M10" s="111"/>
      <c r="N10" s="111"/>
      <c r="O10" s="111"/>
      <c r="P10" s="1201"/>
    </row>
    <row r="11" spans="1:16">
      <c r="A11" s="1202" t="s">
        <v>4161</v>
      </c>
      <c r="B11" s="109">
        <f>试算平衡表!N7</f>
        <v>6270239.29</v>
      </c>
      <c r="C11" s="112">
        <f t="shared" ref="C11:C58" si="0">IF(B11=0,"",B11/B$58)</f>
        <v>0.78067322216240476</v>
      </c>
      <c r="D11" s="109">
        <f>试算平衡表!E7</f>
        <v>1273033.68</v>
      </c>
      <c r="E11" s="113">
        <f t="shared" ref="E11:E58" si="1">IF(D11=0,"",D11/D$58)</f>
        <v>0.43370524783195613</v>
      </c>
      <c r="F11" s="109">
        <f t="shared" ref="F11:F58" si="2">D11-B11</f>
        <v>-4997205.6100000003</v>
      </c>
      <c r="G11" s="113">
        <f>IF(B11=0,"",F11/B11)</f>
        <v>-0.79697207377232337</v>
      </c>
      <c r="H11" s="113">
        <f t="shared" ref="H11:H58" si="3">IF(F11=0,"",F11/F$58)</f>
        <v>0.9805007517199964</v>
      </c>
      <c r="I11" s="113"/>
      <c r="J11" s="114">
        <f>试算平衡表!I7</f>
        <v>1273033.68</v>
      </c>
      <c r="K11" s="109">
        <f t="shared" ref="K11:K58" si="4">IF(J11=0,"",J11/J$58)</f>
        <v>0.1692550402461816</v>
      </c>
      <c r="L11" s="109">
        <f>J11-B11</f>
        <v>-4997205.6100000003</v>
      </c>
      <c r="M11" s="113">
        <f>IF(B11=0,"",L11/B11)</f>
        <v>-0.79697207377232337</v>
      </c>
      <c r="N11" s="113">
        <f t="shared" ref="N11:N58" si="5">IF(L11=0,"",L11/$L$58)</f>
        <v>9.7899391385486449</v>
      </c>
      <c r="O11" s="111"/>
      <c r="P11" s="1201"/>
    </row>
    <row r="12" spans="1:16">
      <c r="A12" s="1202" t="s">
        <v>4162</v>
      </c>
      <c r="B12" s="109">
        <f>试算平衡表!N8</f>
        <v>0</v>
      </c>
      <c r="C12" s="112" t="str">
        <f t="shared" si="0"/>
        <v/>
      </c>
      <c r="D12" s="109">
        <f>试算平衡表!E8</f>
        <v>0</v>
      </c>
      <c r="E12" s="113" t="str">
        <f t="shared" si="1"/>
        <v/>
      </c>
      <c r="F12" s="109">
        <f t="shared" si="2"/>
        <v>0</v>
      </c>
      <c r="G12" s="113" t="str">
        <f t="shared" ref="G12:G58" si="6">IF(B12=0,"",F12/B12)</f>
        <v/>
      </c>
      <c r="H12" s="113" t="str">
        <f t="shared" si="3"/>
        <v/>
      </c>
      <c r="I12" s="113"/>
      <c r="J12" s="114">
        <f>试算平衡表!I8</f>
        <v>0</v>
      </c>
      <c r="K12" s="109" t="str">
        <f t="shared" si="4"/>
        <v/>
      </c>
      <c r="L12" s="109">
        <f t="shared" ref="L12:L58" si="7">J12-B12</f>
        <v>0</v>
      </c>
      <c r="M12" s="113" t="str">
        <f t="shared" ref="M12:M58" si="8">IF(B12=0,"",L12/B12)</f>
        <v/>
      </c>
      <c r="N12" s="113" t="str">
        <f t="shared" si="5"/>
        <v/>
      </c>
      <c r="O12" s="111"/>
      <c r="P12" s="1201"/>
    </row>
    <row r="13" spans="1:16">
      <c r="A13" s="1202" t="s">
        <v>4163</v>
      </c>
      <c r="B13" s="109">
        <f>试算平衡表!N9</f>
        <v>0</v>
      </c>
      <c r="C13" s="112" t="str">
        <f t="shared" si="0"/>
        <v/>
      </c>
      <c r="D13" s="109">
        <f>试算平衡表!E9</f>
        <v>0</v>
      </c>
      <c r="E13" s="113" t="str">
        <f t="shared" si="1"/>
        <v/>
      </c>
      <c r="F13" s="109">
        <f t="shared" si="2"/>
        <v>0</v>
      </c>
      <c r="G13" s="113" t="str">
        <f t="shared" si="6"/>
        <v/>
      </c>
      <c r="H13" s="113" t="str">
        <f t="shared" si="3"/>
        <v/>
      </c>
      <c r="I13" s="113"/>
      <c r="J13" s="114">
        <f>试算平衡表!I9</f>
        <v>0</v>
      </c>
      <c r="K13" s="109" t="str">
        <f t="shared" si="4"/>
        <v/>
      </c>
      <c r="L13" s="109">
        <f t="shared" si="7"/>
        <v>0</v>
      </c>
      <c r="M13" s="113" t="str">
        <f t="shared" si="8"/>
        <v/>
      </c>
      <c r="N13" s="113" t="str">
        <f t="shared" si="5"/>
        <v/>
      </c>
      <c r="O13" s="111"/>
      <c r="P13" s="1201"/>
    </row>
    <row r="14" spans="1:16">
      <c r="A14" s="1202" t="s">
        <v>3806</v>
      </c>
      <c r="B14" s="109">
        <f>试算平衡表!N10</f>
        <v>0</v>
      </c>
      <c r="C14" s="112" t="str">
        <f t="shared" si="0"/>
        <v/>
      </c>
      <c r="D14" s="109">
        <f>试算平衡表!E10</f>
        <v>0</v>
      </c>
      <c r="E14" s="113" t="str">
        <f t="shared" si="1"/>
        <v/>
      </c>
      <c r="F14" s="109">
        <f>D14-B14</f>
        <v>0</v>
      </c>
      <c r="G14" s="113" t="str">
        <f>IF(B14=0,"",F14/B14)</f>
        <v/>
      </c>
      <c r="H14" s="113" t="str">
        <f t="shared" si="3"/>
        <v/>
      </c>
      <c r="I14" s="113"/>
      <c r="J14" s="114">
        <f>试算平衡表!I10</f>
        <v>0</v>
      </c>
      <c r="K14" s="109" t="str">
        <f t="shared" si="4"/>
        <v/>
      </c>
      <c r="L14" s="109">
        <f>J14-B14</f>
        <v>0</v>
      </c>
      <c r="M14" s="113" t="str">
        <f>IF(B14=0,"",L14/B14)</f>
        <v/>
      </c>
      <c r="N14" s="113" t="str">
        <f t="shared" si="5"/>
        <v/>
      </c>
      <c r="O14" s="111"/>
      <c r="P14" s="1201"/>
    </row>
    <row r="15" spans="1:16">
      <c r="A15" s="1202" t="s">
        <v>3807</v>
      </c>
      <c r="B15" s="109">
        <f>试算平衡表!N11</f>
        <v>0</v>
      </c>
      <c r="C15" s="112" t="str">
        <f t="shared" si="0"/>
        <v/>
      </c>
      <c r="D15" s="109">
        <f>试算平衡表!E11</f>
        <v>0</v>
      </c>
      <c r="E15" s="113" t="str">
        <f t="shared" si="1"/>
        <v/>
      </c>
      <c r="F15" s="109">
        <f t="shared" si="2"/>
        <v>0</v>
      </c>
      <c r="G15" s="113" t="str">
        <f t="shared" si="6"/>
        <v/>
      </c>
      <c r="H15" s="113" t="str">
        <f t="shared" si="3"/>
        <v/>
      </c>
      <c r="I15" s="113"/>
      <c r="J15" s="114">
        <f>试算平衡表!I11</f>
        <v>0</v>
      </c>
      <c r="K15" s="109" t="str">
        <f t="shared" si="4"/>
        <v/>
      </c>
      <c r="L15" s="109">
        <f t="shared" si="7"/>
        <v>0</v>
      </c>
      <c r="M15" s="113" t="str">
        <f t="shared" si="8"/>
        <v/>
      </c>
      <c r="N15" s="113" t="str">
        <f t="shared" si="5"/>
        <v/>
      </c>
      <c r="O15" s="111"/>
      <c r="P15" s="1201"/>
    </row>
    <row r="16" spans="1:16">
      <c r="A16" s="1202" t="s">
        <v>4164</v>
      </c>
      <c r="B16" s="109">
        <f>试算平衡表!N12</f>
        <v>0</v>
      </c>
      <c r="C16" s="112" t="str">
        <f t="shared" si="0"/>
        <v/>
      </c>
      <c r="D16" s="109">
        <f>试算平衡表!E12</f>
        <v>0</v>
      </c>
      <c r="E16" s="113" t="str">
        <f t="shared" si="1"/>
        <v/>
      </c>
      <c r="F16" s="109">
        <f t="shared" si="2"/>
        <v>0</v>
      </c>
      <c r="G16" s="113" t="str">
        <f t="shared" si="6"/>
        <v/>
      </c>
      <c r="H16" s="113" t="str">
        <f t="shared" si="3"/>
        <v/>
      </c>
      <c r="I16" s="113"/>
      <c r="J16" s="114">
        <f>试算平衡表!I12</f>
        <v>0</v>
      </c>
      <c r="K16" s="109" t="str">
        <f t="shared" si="4"/>
        <v/>
      </c>
      <c r="L16" s="109">
        <f t="shared" si="7"/>
        <v>0</v>
      </c>
      <c r="M16" s="113" t="str">
        <f t="shared" si="8"/>
        <v/>
      </c>
      <c r="N16" s="113" t="str">
        <f t="shared" si="5"/>
        <v/>
      </c>
      <c r="O16" s="111"/>
      <c r="P16" s="1201"/>
    </row>
    <row r="17" spans="1:16">
      <c r="A17" s="1202" t="s">
        <v>4165</v>
      </c>
      <c r="B17" s="109">
        <f>试算平衡表!N13</f>
        <v>0</v>
      </c>
      <c r="C17" s="112" t="str">
        <f t="shared" si="0"/>
        <v/>
      </c>
      <c r="D17" s="109">
        <f>试算平衡表!E13</f>
        <v>0</v>
      </c>
      <c r="E17" s="113" t="str">
        <f t="shared" si="1"/>
        <v/>
      </c>
      <c r="F17" s="109">
        <f t="shared" si="2"/>
        <v>0</v>
      </c>
      <c r="G17" s="113" t="str">
        <f t="shared" si="6"/>
        <v/>
      </c>
      <c r="H17" s="113" t="str">
        <f t="shared" si="3"/>
        <v/>
      </c>
      <c r="I17" s="113"/>
      <c r="J17" s="114">
        <f>试算平衡表!I13</f>
        <v>4370000</v>
      </c>
      <c r="K17" s="109">
        <f t="shared" si="4"/>
        <v>0.58100939314960909</v>
      </c>
      <c r="L17" s="109">
        <f t="shared" si="7"/>
        <v>4370000</v>
      </c>
      <c r="M17" s="113" t="str">
        <f t="shared" si="8"/>
        <v/>
      </c>
      <c r="N17" s="113">
        <f t="shared" si="5"/>
        <v>-8.5611914686571353</v>
      </c>
      <c r="O17" s="111"/>
      <c r="P17" s="1201"/>
    </row>
    <row r="18" spans="1:16">
      <c r="A18" s="1202" t="s">
        <v>106</v>
      </c>
      <c r="B18" s="109">
        <f>试算平衡表!N14</f>
        <v>0</v>
      </c>
      <c r="C18" s="112" t="str">
        <f t="shared" si="0"/>
        <v/>
      </c>
      <c r="D18" s="109">
        <f>试算平衡表!E14</f>
        <v>0</v>
      </c>
      <c r="E18" s="113" t="str">
        <f t="shared" si="1"/>
        <v/>
      </c>
      <c r="F18" s="109">
        <f t="shared" si="2"/>
        <v>0</v>
      </c>
      <c r="G18" s="113" t="str">
        <f t="shared" si="6"/>
        <v/>
      </c>
      <c r="H18" s="113" t="str">
        <f t="shared" si="3"/>
        <v/>
      </c>
      <c r="I18" s="113"/>
      <c r="J18" s="114">
        <f>试算平衡表!I14</f>
        <v>0</v>
      </c>
      <c r="K18" s="109" t="str">
        <f t="shared" si="4"/>
        <v/>
      </c>
      <c r="L18" s="109">
        <f t="shared" si="7"/>
        <v>0</v>
      </c>
      <c r="M18" s="113" t="str">
        <f t="shared" si="8"/>
        <v/>
      </c>
      <c r="N18" s="113" t="str">
        <f t="shared" si="5"/>
        <v/>
      </c>
      <c r="O18" s="111"/>
      <c r="P18" s="1201"/>
    </row>
    <row r="19" spans="1:16">
      <c r="A19" s="1202" t="s">
        <v>4166</v>
      </c>
      <c r="B19" s="109">
        <f>试算平衡表!N15</f>
        <v>0</v>
      </c>
      <c r="C19" s="112" t="str">
        <f t="shared" si="0"/>
        <v/>
      </c>
      <c r="D19" s="109">
        <f>试算平衡表!E15</f>
        <v>0</v>
      </c>
      <c r="E19" s="113" t="str">
        <f t="shared" si="1"/>
        <v/>
      </c>
      <c r="F19" s="109">
        <f t="shared" si="2"/>
        <v>0</v>
      </c>
      <c r="G19" s="113" t="str">
        <f t="shared" si="6"/>
        <v/>
      </c>
      <c r="H19" s="113" t="str">
        <f t="shared" si="3"/>
        <v/>
      </c>
      <c r="I19" s="113"/>
      <c r="J19" s="114">
        <f>试算平衡表!I15</f>
        <v>0</v>
      </c>
      <c r="K19" s="109" t="str">
        <f t="shared" si="4"/>
        <v/>
      </c>
      <c r="L19" s="109">
        <f t="shared" si="7"/>
        <v>0</v>
      </c>
      <c r="M19" s="113" t="str">
        <f t="shared" si="8"/>
        <v/>
      </c>
      <c r="N19" s="113" t="str">
        <f t="shared" si="5"/>
        <v/>
      </c>
      <c r="O19" s="111"/>
      <c r="P19" s="1201"/>
    </row>
    <row r="20" spans="1:16">
      <c r="A20" s="1202" t="s">
        <v>107</v>
      </c>
      <c r="B20" s="109">
        <f>试算平衡表!N16</f>
        <v>0</v>
      </c>
      <c r="C20" s="112" t="str">
        <f t="shared" si="0"/>
        <v/>
      </c>
      <c r="D20" s="109">
        <f>试算平衡表!E16</f>
        <v>0</v>
      </c>
      <c r="E20" s="113" t="str">
        <f t="shared" si="1"/>
        <v/>
      </c>
      <c r="F20" s="109">
        <f t="shared" si="2"/>
        <v>0</v>
      </c>
      <c r="G20" s="113" t="str">
        <f t="shared" si="6"/>
        <v/>
      </c>
      <c r="H20" s="113" t="str">
        <f t="shared" si="3"/>
        <v/>
      </c>
      <c r="I20" s="113"/>
      <c r="J20" s="114">
        <f>试算平衡表!I16</f>
        <v>0</v>
      </c>
      <c r="K20" s="109" t="str">
        <f t="shared" si="4"/>
        <v/>
      </c>
      <c r="L20" s="109">
        <f t="shared" si="7"/>
        <v>0</v>
      </c>
      <c r="M20" s="113" t="str">
        <f t="shared" si="8"/>
        <v/>
      </c>
      <c r="N20" s="113" t="str">
        <f t="shared" si="5"/>
        <v/>
      </c>
      <c r="O20" s="111"/>
      <c r="P20" s="1201"/>
    </row>
    <row r="21" spans="1:16">
      <c r="A21" s="1202" t="s">
        <v>1431</v>
      </c>
      <c r="B21" s="109">
        <f>试算平衡表!N17</f>
        <v>0</v>
      </c>
      <c r="C21" s="112" t="str">
        <f t="shared" si="0"/>
        <v/>
      </c>
      <c r="D21" s="109">
        <f>试算平衡表!E17</f>
        <v>0</v>
      </c>
      <c r="E21" s="113" t="str">
        <f t="shared" si="1"/>
        <v/>
      </c>
      <c r="F21" s="109">
        <f t="shared" si="2"/>
        <v>0</v>
      </c>
      <c r="G21" s="113" t="str">
        <f t="shared" si="6"/>
        <v/>
      </c>
      <c r="H21" s="113" t="str">
        <f t="shared" si="3"/>
        <v/>
      </c>
      <c r="I21" s="113"/>
      <c r="J21" s="114">
        <f>试算平衡表!I17</f>
        <v>0</v>
      </c>
      <c r="K21" s="109" t="str">
        <f t="shared" si="4"/>
        <v/>
      </c>
      <c r="L21" s="109">
        <f t="shared" si="7"/>
        <v>0</v>
      </c>
      <c r="M21" s="113" t="str">
        <f t="shared" si="8"/>
        <v/>
      </c>
      <c r="N21" s="113" t="str">
        <f t="shared" si="5"/>
        <v/>
      </c>
      <c r="O21" s="111"/>
      <c r="P21" s="1201"/>
    </row>
    <row r="22" spans="1:16">
      <c r="A22" s="1202" t="s">
        <v>4167</v>
      </c>
      <c r="B22" s="109">
        <f>试算平衡表!N18</f>
        <v>0</v>
      </c>
      <c r="C22" s="112" t="str">
        <f t="shared" si="0"/>
        <v/>
      </c>
      <c r="D22" s="109">
        <f>试算平衡表!E18</f>
        <v>0</v>
      </c>
      <c r="E22" s="113" t="str">
        <f t="shared" si="1"/>
        <v/>
      </c>
      <c r="F22" s="109">
        <f t="shared" si="2"/>
        <v>0</v>
      </c>
      <c r="G22" s="113" t="str">
        <f t="shared" si="6"/>
        <v/>
      </c>
      <c r="H22" s="113" t="str">
        <f t="shared" si="3"/>
        <v/>
      </c>
      <c r="I22" s="113"/>
      <c r="J22" s="114">
        <f>试算平衡表!I18</f>
        <v>0</v>
      </c>
      <c r="K22" s="109" t="str">
        <f t="shared" si="4"/>
        <v/>
      </c>
      <c r="L22" s="109">
        <f t="shared" si="7"/>
        <v>0</v>
      </c>
      <c r="M22" s="113" t="str">
        <f t="shared" si="8"/>
        <v/>
      </c>
      <c r="N22" s="113" t="str">
        <f t="shared" si="5"/>
        <v/>
      </c>
      <c r="O22" s="111"/>
      <c r="P22" s="1201"/>
    </row>
    <row r="23" spans="1:16">
      <c r="A23" s="1202" t="s">
        <v>108</v>
      </c>
      <c r="B23" s="109">
        <f>试算平衡表!N19</f>
        <v>0</v>
      </c>
      <c r="C23" s="112" t="str">
        <f t="shared" si="0"/>
        <v/>
      </c>
      <c r="D23" s="109">
        <f>试算平衡表!E19</f>
        <v>0</v>
      </c>
      <c r="E23" s="113" t="str">
        <f t="shared" si="1"/>
        <v/>
      </c>
      <c r="F23" s="109">
        <f t="shared" si="2"/>
        <v>0</v>
      </c>
      <c r="G23" s="113" t="str">
        <f t="shared" si="6"/>
        <v/>
      </c>
      <c r="H23" s="113" t="str">
        <f t="shared" si="3"/>
        <v/>
      </c>
      <c r="I23" s="113"/>
      <c r="J23" s="114">
        <f>试算平衡表!I19</f>
        <v>0</v>
      </c>
      <c r="K23" s="109" t="str">
        <f t="shared" si="4"/>
        <v/>
      </c>
      <c r="L23" s="109">
        <f t="shared" si="7"/>
        <v>0</v>
      </c>
      <c r="M23" s="113" t="str">
        <f t="shared" si="8"/>
        <v/>
      </c>
      <c r="N23" s="113" t="str">
        <f t="shared" si="5"/>
        <v/>
      </c>
      <c r="O23" s="111"/>
      <c r="P23" s="1201"/>
    </row>
    <row r="24" spans="1:16">
      <c r="A24" s="1202" t="s">
        <v>4168</v>
      </c>
      <c r="B24" s="109">
        <f>试算平衡表!N20</f>
        <v>832948.5</v>
      </c>
      <c r="C24" s="112">
        <f t="shared" si="0"/>
        <v>0.10370586501019194</v>
      </c>
      <c r="D24" s="109">
        <f>试算平衡表!E20</f>
        <v>831748.5</v>
      </c>
      <c r="E24" s="113">
        <f t="shared" si="1"/>
        <v>0.28336539322852616</v>
      </c>
      <c r="F24" s="109">
        <f t="shared" si="2"/>
        <v>-1200</v>
      </c>
      <c r="G24" s="113">
        <f t="shared" si="6"/>
        <v>-1.4406652992351868E-3</v>
      </c>
      <c r="H24" s="113">
        <f t="shared" si="3"/>
        <v>2.3545176922668099E-4</v>
      </c>
      <c r="I24" s="113"/>
      <c r="J24" s="114">
        <f>试算平衡表!I20</f>
        <v>860347.9</v>
      </c>
      <c r="K24" s="109">
        <f t="shared" si="4"/>
        <v>0.11438677603582163</v>
      </c>
      <c r="L24" s="109">
        <f t="shared" si="7"/>
        <v>27399.400000000023</v>
      </c>
      <c r="M24" s="113">
        <f t="shared" si="8"/>
        <v>3.2894470666553842E-2</v>
      </c>
      <c r="N24" s="113">
        <f t="shared" si="5"/>
        <v>-5.3677690967122313E-2</v>
      </c>
      <c r="O24" s="111"/>
      <c r="P24" s="1201"/>
    </row>
    <row r="25" spans="1:16">
      <c r="A25" s="1202" t="s">
        <v>4169</v>
      </c>
      <c r="B25" s="109">
        <f>试算平衡表!N21</f>
        <v>0</v>
      </c>
      <c r="C25" s="112" t="str">
        <f t="shared" si="0"/>
        <v/>
      </c>
      <c r="D25" s="109">
        <f>试算平衡表!E21</f>
        <v>0</v>
      </c>
      <c r="E25" s="113" t="str">
        <f t="shared" si="1"/>
        <v/>
      </c>
      <c r="F25" s="109">
        <f t="shared" si="2"/>
        <v>0</v>
      </c>
      <c r="G25" s="113" t="str">
        <f t="shared" si="6"/>
        <v/>
      </c>
      <c r="H25" s="113" t="str">
        <f t="shared" si="3"/>
        <v/>
      </c>
      <c r="I25" s="113"/>
      <c r="J25" s="114">
        <f>试算平衡表!I21</f>
        <v>0</v>
      </c>
      <c r="K25" s="109" t="str">
        <f t="shared" si="4"/>
        <v/>
      </c>
      <c r="L25" s="109">
        <f t="shared" si="7"/>
        <v>0</v>
      </c>
      <c r="M25" s="113" t="str">
        <f t="shared" si="8"/>
        <v/>
      </c>
      <c r="N25" s="113" t="str">
        <f t="shared" si="5"/>
        <v/>
      </c>
      <c r="O25" s="111"/>
      <c r="P25" s="1201"/>
    </row>
    <row r="26" spans="1:16">
      <c r="A26" s="1202" t="s">
        <v>4170</v>
      </c>
      <c r="B26" s="109">
        <f>试算平衡表!N22</f>
        <v>0</v>
      </c>
      <c r="C26" s="112" t="str">
        <f t="shared" si="0"/>
        <v/>
      </c>
      <c r="D26" s="109">
        <f>试算平衡表!E22</f>
        <v>0</v>
      </c>
      <c r="E26" s="113" t="str">
        <f t="shared" si="1"/>
        <v/>
      </c>
      <c r="F26" s="109">
        <f t="shared" si="2"/>
        <v>0</v>
      </c>
      <c r="G26" s="113" t="str">
        <f t="shared" si="6"/>
        <v/>
      </c>
      <c r="H26" s="113" t="str">
        <f t="shared" si="3"/>
        <v/>
      </c>
      <c r="I26" s="113"/>
      <c r="J26" s="114">
        <f>试算平衡表!I22</f>
        <v>0</v>
      </c>
      <c r="K26" s="109" t="str">
        <f t="shared" si="4"/>
        <v/>
      </c>
      <c r="L26" s="109">
        <f t="shared" si="7"/>
        <v>0</v>
      </c>
      <c r="M26" s="113" t="str">
        <f t="shared" si="8"/>
        <v/>
      </c>
      <c r="N26" s="113" t="str">
        <f t="shared" si="5"/>
        <v/>
      </c>
      <c r="O26" s="111"/>
      <c r="P26" s="1201"/>
    </row>
    <row r="27" spans="1:16">
      <c r="A27" s="1202" t="s">
        <v>3822</v>
      </c>
      <c r="B27" s="109">
        <f>试算平衡表!N23</f>
        <v>0</v>
      </c>
      <c r="C27" s="112" t="str">
        <f t="shared" si="0"/>
        <v/>
      </c>
      <c r="D27" s="109">
        <f>试算平衡表!E23</f>
        <v>0</v>
      </c>
      <c r="E27" s="113" t="str">
        <f t="shared" si="1"/>
        <v/>
      </c>
      <c r="F27" s="109">
        <f t="shared" si="2"/>
        <v>0</v>
      </c>
      <c r="G27" s="113" t="str">
        <f t="shared" si="6"/>
        <v/>
      </c>
      <c r="H27" s="113" t="str">
        <f t="shared" si="3"/>
        <v/>
      </c>
      <c r="I27" s="113"/>
      <c r="J27" s="114">
        <f>试算平衡表!I23</f>
        <v>0</v>
      </c>
      <c r="K27" s="109" t="str">
        <f t="shared" si="4"/>
        <v/>
      </c>
      <c r="L27" s="109">
        <f t="shared" si="7"/>
        <v>0</v>
      </c>
      <c r="M27" s="113" t="str">
        <f t="shared" si="8"/>
        <v/>
      </c>
      <c r="N27" s="113" t="str">
        <f t="shared" si="5"/>
        <v/>
      </c>
      <c r="O27" s="111"/>
      <c r="P27" s="1201"/>
    </row>
    <row r="28" spans="1:16">
      <c r="A28" s="1202" t="s">
        <v>3824</v>
      </c>
      <c r="B28" s="109">
        <f>试算平衡表!N24</f>
        <v>0</v>
      </c>
      <c r="C28" s="112" t="str">
        <f t="shared" si="0"/>
        <v/>
      </c>
      <c r="D28" s="109">
        <f>试算平衡表!E24</f>
        <v>0</v>
      </c>
      <c r="E28" s="113" t="str">
        <f t="shared" si="1"/>
        <v/>
      </c>
      <c r="F28" s="109">
        <f t="shared" si="2"/>
        <v>0</v>
      </c>
      <c r="G28" s="113" t="str">
        <f t="shared" si="6"/>
        <v/>
      </c>
      <c r="H28" s="113" t="str">
        <f t="shared" si="3"/>
        <v/>
      </c>
      <c r="I28" s="113"/>
      <c r="J28" s="114">
        <f>试算平衡表!I24</f>
        <v>0</v>
      </c>
      <c r="K28" s="109" t="str">
        <f t="shared" si="4"/>
        <v/>
      </c>
      <c r="L28" s="109">
        <f t="shared" si="7"/>
        <v>0</v>
      </c>
      <c r="M28" s="113" t="str">
        <f t="shared" si="8"/>
        <v/>
      </c>
      <c r="N28" s="113" t="str">
        <f t="shared" si="5"/>
        <v/>
      </c>
      <c r="O28" s="111"/>
      <c r="P28" s="1201"/>
    </row>
    <row r="29" spans="1:16" ht="24">
      <c r="A29" s="1448" t="s">
        <v>4775</v>
      </c>
      <c r="B29" s="109">
        <f>试算平衡表!N25</f>
        <v>0</v>
      </c>
      <c r="C29" s="112" t="str">
        <f t="shared" si="0"/>
        <v/>
      </c>
      <c r="D29" s="109">
        <f>试算平衡表!E25</f>
        <v>0</v>
      </c>
      <c r="E29" s="113" t="str">
        <f t="shared" si="1"/>
        <v/>
      </c>
      <c r="F29" s="109">
        <f>D29-B29</f>
        <v>0</v>
      </c>
      <c r="G29" s="113" t="str">
        <f>IF(B29=0,"",F29/B29)</f>
        <v/>
      </c>
      <c r="H29" s="113" t="str">
        <f t="shared" si="3"/>
        <v/>
      </c>
      <c r="I29" s="113"/>
      <c r="J29" s="114">
        <f>试算平衡表!I25</f>
        <v>0</v>
      </c>
      <c r="K29" s="109" t="str">
        <f t="shared" si="4"/>
        <v/>
      </c>
      <c r="L29" s="109">
        <f>J29-B29</f>
        <v>0</v>
      </c>
      <c r="M29" s="113" t="str">
        <f>IF(B29=0,"",L29/B29)</f>
        <v/>
      </c>
      <c r="N29" s="113" t="str">
        <f t="shared" si="5"/>
        <v/>
      </c>
      <c r="O29" s="111"/>
      <c r="P29" s="1201"/>
    </row>
    <row r="30" spans="1:16">
      <c r="A30" s="1202" t="s">
        <v>4171</v>
      </c>
      <c r="B30" s="109">
        <f>试算平衡表!N26</f>
        <v>0</v>
      </c>
      <c r="C30" s="112" t="str">
        <f t="shared" si="0"/>
        <v/>
      </c>
      <c r="D30" s="109">
        <f>试算平衡表!E26</f>
        <v>0</v>
      </c>
      <c r="E30" s="113" t="str">
        <f t="shared" si="1"/>
        <v/>
      </c>
      <c r="F30" s="109">
        <f t="shared" si="2"/>
        <v>0</v>
      </c>
      <c r="G30" s="113" t="str">
        <f t="shared" si="6"/>
        <v/>
      </c>
      <c r="H30" s="113" t="str">
        <f t="shared" si="3"/>
        <v/>
      </c>
      <c r="I30" s="113"/>
      <c r="J30" s="114">
        <f>试算平衡表!I26</f>
        <v>0</v>
      </c>
      <c r="K30" s="109" t="str">
        <f t="shared" si="4"/>
        <v/>
      </c>
      <c r="L30" s="109">
        <f t="shared" si="7"/>
        <v>0</v>
      </c>
      <c r="M30" s="113" t="str">
        <f t="shared" si="8"/>
        <v/>
      </c>
      <c r="N30" s="113" t="str">
        <f t="shared" si="5"/>
        <v/>
      </c>
      <c r="O30" s="111"/>
      <c r="P30" s="1201"/>
    </row>
    <row r="31" spans="1:16">
      <c r="A31" s="1202" t="s">
        <v>4172</v>
      </c>
      <c r="B31" s="109">
        <f>试算平衡表!N27</f>
        <v>86363.63</v>
      </c>
      <c r="C31" s="112">
        <f t="shared" si="0"/>
        <v>1.0752663525500273E-2</v>
      </c>
      <c r="D31" s="109">
        <f>试算平衡表!E27</f>
        <v>0</v>
      </c>
      <c r="E31" s="113" t="str">
        <f t="shared" si="1"/>
        <v/>
      </c>
      <c r="F31" s="109">
        <f t="shared" si="2"/>
        <v>-86363.63</v>
      </c>
      <c r="G31" s="113">
        <f t="shared" si="6"/>
        <v>-1</v>
      </c>
      <c r="H31" s="113">
        <f t="shared" si="3"/>
        <v>1.6945391233615388E-2</v>
      </c>
      <c r="I31" s="113"/>
      <c r="J31" s="114">
        <f>试算平衡表!I27</f>
        <v>138580.96</v>
      </c>
      <c r="K31" s="109">
        <f t="shared" si="4"/>
        <v>1.842490605759502E-2</v>
      </c>
      <c r="L31" s="109">
        <f t="shared" si="7"/>
        <v>52217.329999999987</v>
      </c>
      <c r="M31" s="113">
        <f t="shared" si="8"/>
        <v>0.6046217603405506</v>
      </c>
      <c r="N31" s="113">
        <f t="shared" si="5"/>
        <v>-0.10229806867552728</v>
      </c>
      <c r="O31" s="111"/>
      <c r="P31" s="1201"/>
    </row>
    <row r="32" spans="1:16">
      <c r="A32" s="1203" t="s">
        <v>109</v>
      </c>
      <c r="B32" s="109">
        <f>试算平衡表!N28</f>
        <v>7189551.4199999999</v>
      </c>
      <c r="C32" s="112">
        <f t="shared" si="0"/>
        <v>0.89513175069809692</v>
      </c>
      <c r="D32" s="109">
        <f>试算平衡表!E28</f>
        <v>2104782.1800000002</v>
      </c>
      <c r="E32" s="113">
        <f t="shared" si="1"/>
        <v>0.71707064106048235</v>
      </c>
      <c r="F32" s="109">
        <f t="shared" si="2"/>
        <v>-5084769.24</v>
      </c>
      <c r="G32" s="113">
        <f t="shared" si="6"/>
        <v>-0.70724429703014768</v>
      </c>
      <c r="H32" s="113">
        <f t="shared" si="3"/>
        <v>0.99768159472283846</v>
      </c>
      <c r="I32" s="113"/>
      <c r="J32" s="114">
        <f>试算平衡表!I28</f>
        <v>6641962.540000001</v>
      </c>
      <c r="K32" s="109">
        <f t="shared" si="4"/>
        <v>0.88307611548920739</v>
      </c>
      <c r="L32" s="109">
        <f t="shared" si="7"/>
        <v>-547588.87999999896</v>
      </c>
      <c r="M32" s="113">
        <f t="shared" si="8"/>
        <v>-7.6164540457518415E-2</v>
      </c>
      <c r="N32" s="113">
        <f t="shared" si="5"/>
        <v>1.0727719102488575</v>
      </c>
      <c r="O32" s="111"/>
      <c r="P32" s="1201"/>
    </row>
    <row r="33" spans="1:16">
      <c r="A33" s="1202" t="s">
        <v>110</v>
      </c>
      <c r="B33" s="109"/>
      <c r="C33" s="112" t="str">
        <f t="shared" si="0"/>
        <v/>
      </c>
      <c r="D33" s="109">
        <f>试算平衡表!E29</f>
        <v>0</v>
      </c>
      <c r="E33" s="113" t="str">
        <f t="shared" si="1"/>
        <v/>
      </c>
      <c r="F33" s="109">
        <f t="shared" si="2"/>
        <v>0</v>
      </c>
      <c r="G33" s="113" t="str">
        <f t="shared" si="6"/>
        <v/>
      </c>
      <c r="H33" s="113" t="str">
        <f t="shared" si="3"/>
        <v/>
      </c>
      <c r="I33" s="113"/>
      <c r="J33" s="114">
        <f>试算平衡表!I29</f>
        <v>0</v>
      </c>
      <c r="K33" s="109" t="str">
        <f t="shared" si="4"/>
        <v/>
      </c>
      <c r="L33" s="109">
        <f t="shared" si="7"/>
        <v>0</v>
      </c>
      <c r="M33" s="113" t="str">
        <f t="shared" si="8"/>
        <v/>
      </c>
      <c r="N33" s="113" t="str">
        <f t="shared" si="5"/>
        <v/>
      </c>
      <c r="O33" s="111"/>
      <c r="P33" s="1201"/>
    </row>
    <row r="34" spans="1:16">
      <c r="A34" s="1202" t="s">
        <v>111</v>
      </c>
      <c r="B34" s="109">
        <f>试算平衡表!N30</f>
        <v>0</v>
      </c>
      <c r="C34" s="112" t="str">
        <f t="shared" si="0"/>
        <v/>
      </c>
      <c r="D34" s="109">
        <f>试算平衡表!E30</f>
        <v>0</v>
      </c>
      <c r="E34" s="113" t="str">
        <f t="shared" si="1"/>
        <v/>
      </c>
      <c r="F34" s="109">
        <f t="shared" si="2"/>
        <v>0</v>
      </c>
      <c r="G34" s="113" t="str">
        <f t="shared" si="6"/>
        <v/>
      </c>
      <c r="H34" s="113" t="str">
        <f t="shared" si="3"/>
        <v/>
      </c>
      <c r="I34" s="113"/>
      <c r="J34" s="114">
        <f>试算平衡表!I30</f>
        <v>0</v>
      </c>
      <c r="K34" s="109" t="str">
        <f t="shared" si="4"/>
        <v/>
      </c>
      <c r="L34" s="109">
        <f t="shared" si="7"/>
        <v>0</v>
      </c>
      <c r="M34" s="113" t="str">
        <f t="shared" si="8"/>
        <v/>
      </c>
      <c r="N34" s="113" t="str">
        <f t="shared" si="5"/>
        <v/>
      </c>
      <c r="O34" s="111"/>
      <c r="P34" s="1201"/>
    </row>
    <row r="35" spans="1:16">
      <c r="A35" s="1202" t="s">
        <v>4173</v>
      </c>
      <c r="B35" s="109">
        <f>试算平衡表!N31</f>
        <v>675294</v>
      </c>
      <c r="C35" s="112">
        <f t="shared" si="0"/>
        <v>8.4077164922192138E-2</v>
      </c>
      <c r="D35" s="109">
        <f>试算平衡表!E31</f>
        <v>705294</v>
      </c>
      <c r="E35" s="113">
        <f t="shared" si="1"/>
        <v>0.24028406621919984</v>
      </c>
      <c r="F35" s="109">
        <f t="shared" si="2"/>
        <v>30000</v>
      </c>
      <c r="G35" s="113">
        <f t="shared" si="6"/>
        <v>4.44250948475775E-2</v>
      </c>
      <c r="H35" s="113">
        <f t="shared" si="3"/>
        <v>-5.8862942306670248E-3</v>
      </c>
      <c r="I35" s="113"/>
      <c r="J35" s="114">
        <f>试算平衡表!I31</f>
        <v>705294</v>
      </c>
      <c r="K35" s="109">
        <f t="shared" si="4"/>
        <v>9.3771725156077887E-2</v>
      </c>
      <c r="L35" s="109">
        <f t="shared" si="7"/>
        <v>30000</v>
      </c>
      <c r="M35" s="113">
        <f t="shared" si="8"/>
        <v>4.44250948475775E-2</v>
      </c>
      <c r="N35" s="113">
        <f t="shared" si="5"/>
        <v>-5.8772481478195436E-2</v>
      </c>
      <c r="O35" s="111"/>
      <c r="P35" s="1201"/>
    </row>
    <row r="36" spans="1:16">
      <c r="A36" s="1202" t="s">
        <v>4174</v>
      </c>
      <c r="B36" s="109">
        <f>试算平衡表!N32</f>
        <v>0</v>
      </c>
      <c r="C36" s="112" t="str">
        <f t="shared" si="0"/>
        <v/>
      </c>
      <c r="D36" s="109">
        <f>试算平衡表!E32</f>
        <v>0</v>
      </c>
      <c r="E36" s="113" t="str">
        <f t="shared" si="1"/>
        <v/>
      </c>
      <c r="F36" s="109">
        <f t="shared" si="2"/>
        <v>0</v>
      </c>
      <c r="G36" s="113" t="str">
        <f t="shared" si="6"/>
        <v/>
      </c>
      <c r="H36" s="113" t="str">
        <f t="shared" si="3"/>
        <v/>
      </c>
      <c r="I36" s="113"/>
      <c r="J36" s="114">
        <f>试算平衡表!I32</f>
        <v>0</v>
      </c>
      <c r="K36" s="109" t="str">
        <f t="shared" si="4"/>
        <v/>
      </c>
      <c r="L36" s="109">
        <f t="shared" si="7"/>
        <v>0</v>
      </c>
      <c r="M36" s="113" t="str">
        <f t="shared" si="8"/>
        <v/>
      </c>
      <c r="N36" s="113" t="str">
        <f t="shared" si="5"/>
        <v/>
      </c>
      <c r="O36" s="111"/>
      <c r="P36" s="1201"/>
    </row>
    <row r="37" spans="1:16">
      <c r="A37" s="1202" t="s">
        <v>4175</v>
      </c>
      <c r="B37" s="109">
        <f>试算平衡表!N33</f>
        <v>0</v>
      </c>
      <c r="C37" s="112" t="str">
        <f t="shared" si="0"/>
        <v/>
      </c>
      <c r="D37" s="109">
        <f>试算平衡表!E33</f>
        <v>0</v>
      </c>
      <c r="E37" s="113" t="str">
        <f t="shared" si="1"/>
        <v/>
      </c>
      <c r="F37" s="109">
        <f t="shared" si="2"/>
        <v>0</v>
      </c>
      <c r="G37" s="113" t="str">
        <f t="shared" si="6"/>
        <v/>
      </c>
      <c r="H37" s="113" t="str">
        <f t="shared" si="3"/>
        <v/>
      </c>
      <c r="I37" s="113"/>
      <c r="J37" s="114">
        <f>试算平衡表!I33</f>
        <v>0</v>
      </c>
      <c r="K37" s="109" t="str">
        <f t="shared" si="4"/>
        <v/>
      </c>
      <c r="L37" s="109">
        <f t="shared" si="7"/>
        <v>0</v>
      </c>
      <c r="M37" s="113" t="str">
        <f t="shared" si="8"/>
        <v/>
      </c>
      <c r="N37" s="113" t="str">
        <f t="shared" si="5"/>
        <v/>
      </c>
      <c r="O37" s="111"/>
      <c r="P37" s="1201"/>
    </row>
    <row r="38" spans="1:16">
      <c r="A38" s="1202" t="s">
        <v>4176</v>
      </c>
      <c r="B38" s="109">
        <f>试算平衡表!N34</f>
        <v>0</v>
      </c>
      <c r="C38" s="112" t="str">
        <f t="shared" si="0"/>
        <v/>
      </c>
      <c r="D38" s="109">
        <f>试算平衡表!E34</f>
        <v>0</v>
      </c>
      <c r="E38" s="113" t="str">
        <f t="shared" si="1"/>
        <v/>
      </c>
      <c r="F38" s="109">
        <f t="shared" si="2"/>
        <v>0</v>
      </c>
      <c r="G38" s="113" t="str">
        <f t="shared" si="6"/>
        <v/>
      </c>
      <c r="H38" s="113" t="str">
        <f t="shared" si="3"/>
        <v/>
      </c>
      <c r="I38" s="113"/>
      <c r="J38" s="114">
        <f>试算平衡表!I34</f>
        <v>0</v>
      </c>
      <c r="K38" s="109" t="str">
        <f t="shared" si="4"/>
        <v/>
      </c>
      <c r="L38" s="109">
        <f t="shared" si="7"/>
        <v>0</v>
      </c>
      <c r="M38" s="113" t="str">
        <f t="shared" si="8"/>
        <v/>
      </c>
      <c r="N38" s="113" t="str">
        <f t="shared" si="5"/>
        <v/>
      </c>
      <c r="O38" s="111"/>
      <c r="P38" s="1201"/>
    </row>
    <row r="39" spans="1:16">
      <c r="A39" s="1202" t="s">
        <v>4177</v>
      </c>
      <c r="B39" s="109">
        <f>试算平衡表!N35</f>
        <v>0</v>
      </c>
      <c r="C39" s="112" t="str">
        <f t="shared" si="0"/>
        <v/>
      </c>
      <c r="D39" s="109">
        <f>试算平衡表!E35</f>
        <v>0</v>
      </c>
      <c r="E39" s="113" t="str">
        <f t="shared" si="1"/>
        <v/>
      </c>
      <c r="F39" s="109">
        <f t="shared" si="2"/>
        <v>0</v>
      </c>
      <c r="G39" s="113" t="str">
        <f t="shared" si="6"/>
        <v/>
      </c>
      <c r="H39" s="113" t="str">
        <f t="shared" si="3"/>
        <v/>
      </c>
      <c r="I39" s="113"/>
      <c r="J39" s="114">
        <f>试算平衡表!I35</f>
        <v>0</v>
      </c>
      <c r="K39" s="109" t="str">
        <f t="shared" si="4"/>
        <v/>
      </c>
      <c r="L39" s="109">
        <f t="shared" si="7"/>
        <v>0</v>
      </c>
      <c r="M39" s="113" t="str">
        <f t="shared" si="8"/>
        <v/>
      </c>
      <c r="N39" s="113" t="str">
        <f t="shared" si="5"/>
        <v/>
      </c>
      <c r="O39" s="111"/>
      <c r="P39" s="1201"/>
    </row>
    <row r="40" spans="1:16">
      <c r="A40" s="1202" t="s">
        <v>4178</v>
      </c>
      <c r="B40" s="109">
        <f>试算平衡表!N36</f>
        <v>429334.24</v>
      </c>
      <c r="C40" s="112">
        <f t="shared" si="0"/>
        <v>5.3454059569941419E-2</v>
      </c>
      <c r="D40" s="109">
        <f>试算平衡表!E36</f>
        <v>429334.24</v>
      </c>
      <c r="E40" s="113">
        <f t="shared" si="1"/>
        <v>0.14626833200669484</v>
      </c>
      <c r="F40" s="109">
        <f t="shared" si="2"/>
        <v>0</v>
      </c>
      <c r="G40" s="113">
        <f t="shared" si="6"/>
        <v>0</v>
      </c>
      <c r="H40" s="113" t="str">
        <f t="shared" si="3"/>
        <v/>
      </c>
      <c r="I40" s="113"/>
      <c r="J40" s="114">
        <f>试算平衡表!I36</f>
        <v>419047.24</v>
      </c>
      <c r="K40" s="109">
        <f t="shared" si="4"/>
        <v>5.5714046364626679E-2</v>
      </c>
      <c r="L40" s="109">
        <f t="shared" si="7"/>
        <v>-10287</v>
      </c>
      <c r="M40" s="113">
        <f t="shared" si="8"/>
        <v>-2.3960353127204577E-2</v>
      </c>
      <c r="N40" s="113">
        <f t="shared" si="5"/>
        <v>2.0153083898873218E-2</v>
      </c>
      <c r="O40" s="111"/>
      <c r="P40" s="1201"/>
    </row>
    <row r="41" spans="1:16">
      <c r="A41" s="1202" t="s">
        <v>4179</v>
      </c>
      <c r="B41" s="109">
        <f>试算平衡表!N37</f>
        <v>277800.52</v>
      </c>
      <c r="C41" s="112">
        <f t="shared" si="0"/>
        <v>3.4587424344819789E-2</v>
      </c>
      <c r="D41" s="109">
        <f>试算平衡表!E37</f>
        <v>315119.46999999997</v>
      </c>
      <c r="E41" s="113">
        <f t="shared" si="1"/>
        <v>0.10735691441645491</v>
      </c>
      <c r="F41" s="109">
        <f t="shared" si="2"/>
        <v>37318.949999999953</v>
      </c>
      <c r="G41" s="113">
        <f t="shared" si="6"/>
        <v>0.13433722154299765</v>
      </c>
      <c r="H41" s="113">
        <f t="shared" si="3"/>
        <v>-7.3223440026516963E-3</v>
      </c>
      <c r="I41" s="113"/>
      <c r="J41" s="114">
        <f>试算平衡表!I37</f>
        <v>306220.75999999995</v>
      </c>
      <c r="K41" s="109">
        <f t="shared" si="4"/>
        <v>4.0713303875837999E-2</v>
      </c>
      <c r="L41" s="109">
        <f t="shared" si="7"/>
        <v>28420.239999999932</v>
      </c>
      <c r="M41" s="113">
        <f t="shared" si="8"/>
        <v>0.10230448812694783</v>
      </c>
      <c r="N41" s="113">
        <f t="shared" si="5"/>
        <v>-5.5677600966862174E-2</v>
      </c>
      <c r="O41" s="111"/>
      <c r="P41" s="1201"/>
    </row>
    <row r="42" spans="1:16">
      <c r="A42" s="1202" t="s">
        <v>4180</v>
      </c>
      <c r="B42" s="109">
        <f>试算平衡表!N38</f>
        <v>151533.72</v>
      </c>
      <c r="C42" s="112">
        <f t="shared" si="0"/>
        <v>1.8866635225121629E-2</v>
      </c>
      <c r="D42" s="109">
        <f>试算平衡表!E38</f>
        <v>114214.77</v>
      </c>
      <c r="E42" s="113">
        <f t="shared" si="1"/>
        <v>3.891141759023993E-2</v>
      </c>
      <c r="F42" s="109">
        <f t="shared" si="2"/>
        <v>-37318.949999999997</v>
      </c>
      <c r="G42" s="113">
        <f t="shared" si="6"/>
        <v>-0.2462748885198621</v>
      </c>
      <c r="H42" s="113">
        <f t="shared" si="3"/>
        <v>7.322344002651705E-3</v>
      </c>
      <c r="I42" s="113"/>
      <c r="J42" s="114">
        <f>试算平衡表!I38</f>
        <v>112826.48000000001</v>
      </c>
      <c r="K42" s="109">
        <f t="shared" si="4"/>
        <v>1.5000742488788675E-2</v>
      </c>
      <c r="L42" s="109">
        <f t="shared" si="7"/>
        <v>-38707.239999999991</v>
      </c>
      <c r="M42" s="113">
        <f t="shared" si="8"/>
        <v>-0.25543647974853378</v>
      </c>
      <c r="N42" s="113">
        <f t="shared" si="5"/>
        <v>7.5830684865735506E-2</v>
      </c>
      <c r="O42" s="111"/>
      <c r="P42" s="1201"/>
    </row>
    <row r="43" spans="1:16">
      <c r="A43" s="1202" t="s">
        <v>4181</v>
      </c>
      <c r="B43" s="109">
        <f>试算平衡表!N39</f>
        <v>0</v>
      </c>
      <c r="C43" s="112" t="str">
        <f t="shared" si="0"/>
        <v/>
      </c>
      <c r="D43" s="109">
        <f>试算平衡表!E39</f>
        <v>0</v>
      </c>
      <c r="E43" s="113" t="str">
        <f t="shared" si="1"/>
        <v/>
      </c>
      <c r="F43" s="109">
        <f t="shared" si="2"/>
        <v>0</v>
      </c>
      <c r="G43" s="113" t="str">
        <f t="shared" si="6"/>
        <v/>
      </c>
      <c r="H43" s="113" t="str">
        <f t="shared" si="3"/>
        <v/>
      </c>
      <c r="I43" s="113"/>
      <c r="J43" s="114">
        <f>试算平衡表!I39</f>
        <v>0</v>
      </c>
      <c r="K43" s="109" t="str">
        <f t="shared" si="4"/>
        <v/>
      </c>
      <c r="L43" s="109">
        <f t="shared" si="7"/>
        <v>0</v>
      </c>
      <c r="M43" s="113" t="str">
        <f t="shared" si="8"/>
        <v/>
      </c>
      <c r="N43" s="113" t="str">
        <f t="shared" si="5"/>
        <v/>
      </c>
      <c r="O43" s="111"/>
      <c r="P43" s="1201"/>
    </row>
    <row r="44" spans="1:16">
      <c r="A44" s="1202" t="s">
        <v>4182</v>
      </c>
      <c r="B44" s="109">
        <f>试算平衡表!N40</f>
        <v>151533.72</v>
      </c>
      <c r="C44" s="112">
        <f t="shared" si="0"/>
        <v>1.8866635225121629E-2</v>
      </c>
      <c r="D44" s="109">
        <f>试算平衡表!E40</f>
        <v>114214.77</v>
      </c>
      <c r="E44" s="113">
        <f t="shared" si="1"/>
        <v>3.891141759023993E-2</v>
      </c>
      <c r="F44" s="109">
        <f t="shared" si="2"/>
        <v>-37318.949999999997</v>
      </c>
      <c r="G44" s="113">
        <f t="shared" si="6"/>
        <v>-0.2462748885198621</v>
      </c>
      <c r="H44" s="113">
        <f t="shared" si="3"/>
        <v>7.322344002651705E-3</v>
      </c>
      <c r="I44" s="113"/>
      <c r="J44" s="114">
        <f>试算平衡表!I40</f>
        <v>112826.48000000001</v>
      </c>
      <c r="K44" s="109">
        <f t="shared" si="4"/>
        <v>1.5000742488788675E-2</v>
      </c>
      <c r="L44" s="109">
        <f t="shared" si="7"/>
        <v>-38707.239999999991</v>
      </c>
      <c r="M44" s="113">
        <f t="shared" si="8"/>
        <v>-0.25543647974853378</v>
      </c>
      <c r="N44" s="113">
        <f t="shared" si="5"/>
        <v>7.5830684865735506E-2</v>
      </c>
      <c r="O44" s="111"/>
      <c r="P44" s="1201"/>
    </row>
    <row r="45" spans="1:16">
      <c r="A45" s="1202" t="s">
        <v>4183</v>
      </c>
      <c r="B45" s="109">
        <f>试算平衡表!N41</f>
        <v>0</v>
      </c>
      <c r="C45" s="112" t="str">
        <f t="shared" si="0"/>
        <v/>
      </c>
      <c r="D45" s="109">
        <f>试算平衡表!E41</f>
        <v>0</v>
      </c>
      <c r="E45" s="113" t="str">
        <f t="shared" si="1"/>
        <v/>
      </c>
      <c r="F45" s="109">
        <f t="shared" si="2"/>
        <v>0</v>
      </c>
      <c r="G45" s="113" t="str">
        <f t="shared" si="6"/>
        <v/>
      </c>
      <c r="H45" s="113" t="str">
        <f t="shared" si="3"/>
        <v/>
      </c>
      <c r="I45" s="113"/>
      <c r="J45" s="114">
        <f>试算平衡表!I41</f>
        <v>0</v>
      </c>
      <c r="K45" s="109" t="str">
        <f t="shared" si="4"/>
        <v/>
      </c>
      <c r="L45" s="109">
        <f t="shared" si="7"/>
        <v>0</v>
      </c>
      <c r="M45" s="113" t="str">
        <f t="shared" si="8"/>
        <v/>
      </c>
      <c r="N45" s="113" t="str">
        <f t="shared" si="5"/>
        <v/>
      </c>
      <c r="O45" s="111"/>
      <c r="P45" s="1201"/>
    </row>
    <row r="46" spans="1:16">
      <c r="A46" s="1202" t="s">
        <v>4184</v>
      </c>
      <c r="B46" s="109">
        <f>试算平衡表!N42</f>
        <v>0</v>
      </c>
      <c r="C46" s="112" t="str">
        <f t="shared" si="0"/>
        <v/>
      </c>
      <c r="D46" s="109">
        <f>试算平衡表!E42</f>
        <v>0</v>
      </c>
      <c r="E46" s="113" t="str">
        <f t="shared" si="1"/>
        <v/>
      </c>
      <c r="F46" s="109">
        <f t="shared" si="2"/>
        <v>0</v>
      </c>
      <c r="G46" s="113" t="str">
        <f t="shared" si="6"/>
        <v/>
      </c>
      <c r="H46" s="113" t="str">
        <f t="shared" si="3"/>
        <v/>
      </c>
      <c r="I46" s="113"/>
      <c r="J46" s="114">
        <f>试算平衡表!I42</f>
        <v>0</v>
      </c>
      <c r="K46" s="109" t="str">
        <f t="shared" si="4"/>
        <v/>
      </c>
      <c r="L46" s="109">
        <f t="shared" si="7"/>
        <v>0</v>
      </c>
      <c r="M46" s="113" t="str">
        <f t="shared" si="8"/>
        <v/>
      </c>
      <c r="N46" s="113" t="str">
        <f t="shared" si="5"/>
        <v/>
      </c>
      <c r="O46" s="111"/>
      <c r="P46" s="1201"/>
    </row>
    <row r="47" spans="1:16">
      <c r="A47" s="1202" t="s">
        <v>4185</v>
      </c>
      <c r="B47" s="109">
        <f>试算平衡表!N43</f>
        <v>0</v>
      </c>
      <c r="C47" s="112" t="str">
        <f t="shared" si="0"/>
        <v/>
      </c>
      <c r="D47" s="109">
        <f>试算平衡表!E43</f>
        <v>0</v>
      </c>
      <c r="E47" s="113" t="str">
        <f t="shared" si="1"/>
        <v/>
      </c>
      <c r="F47" s="109">
        <f t="shared" si="2"/>
        <v>0</v>
      </c>
      <c r="G47" s="113" t="str">
        <f t="shared" si="6"/>
        <v/>
      </c>
      <c r="H47" s="113" t="str">
        <f t="shared" si="3"/>
        <v/>
      </c>
      <c r="I47" s="113"/>
      <c r="J47" s="114">
        <f>试算平衡表!I43</f>
        <v>0</v>
      </c>
      <c r="K47" s="109" t="str">
        <f t="shared" si="4"/>
        <v/>
      </c>
      <c r="L47" s="109">
        <f t="shared" si="7"/>
        <v>0</v>
      </c>
      <c r="M47" s="113" t="str">
        <f t="shared" si="8"/>
        <v/>
      </c>
      <c r="N47" s="113" t="str">
        <f t="shared" si="5"/>
        <v/>
      </c>
      <c r="O47" s="111"/>
      <c r="P47" s="1201"/>
    </row>
    <row r="48" spans="1:16">
      <c r="A48" s="1202" t="s">
        <v>4186</v>
      </c>
      <c r="B48" s="109">
        <f>试算平衡表!N44</f>
        <v>0</v>
      </c>
      <c r="C48" s="112" t="str">
        <f t="shared" si="0"/>
        <v/>
      </c>
      <c r="D48" s="109">
        <f>试算平衡表!E44</f>
        <v>0</v>
      </c>
      <c r="E48" s="113" t="str">
        <f t="shared" si="1"/>
        <v/>
      </c>
      <c r="F48" s="109">
        <f t="shared" si="2"/>
        <v>0</v>
      </c>
      <c r="G48" s="113" t="str">
        <f t="shared" si="6"/>
        <v/>
      </c>
      <c r="H48" s="113" t="str">
        <f t="shared" si="3"/>
        <v/>
      </c>
      <c r="I48" s="113"/>
      <c r="J48" s="114">
        <f>试算平衡表!I44</f>
        <v>0</v>
      </c>
      <c r="K48" s="109" t="str">
        <f t="shared" si="4"/>
        <v/>
      </c>
      <c r="L48" s="109">
        <f t="shared" si="7"/>
        <v>0</v>
      </c>
      <c r="M48" s="113" t="str">
        <f t="shared" si="8"/>
        <v/>
      </c>
      <c r="N48" s="113" t="str">
        <f t="shared" si="5"/>
        <v/>
      </c>
      <c r="O48" s="111"/>
      <c r="P48" s="1201"/>
    </row>
    <row r="49" spans="1:16">
      <c r="A49" s="1202" t="s">
        <v>4187</v>
      </c>
      <c r="B49" s="109">
        <f>试算平衡表!N45</f>
        <v>0</v>
      </c>
      <c r="C49" s="112" t="str">
        <f t="shared" si="0"/>
        <v/>
      </c>
      <c r="D49" s="109">
        <f>试算平衡表!E45</f>
        <v>0</v>
      </c>
      <c r="E49" s="113" t="str">
        <f t="shared" si="1"/>
        <v/>
      </c>
      <c r="F49" s="109">
        <f t="shared" si="2"/>
        <v>0</v>
      </c>
      <c r="G49" s="113" t="str">
        <f t="shared" si="6"/>
        <v/>
      </c>
      <c r="H49" s="113" t="str">
        <f t="shared" si="3"/>
        <v/>
      </c>
      <c r="I49" s="113"/>
      <c r="J49" s="114">
        <f>试算平衡表!I45</f>
        <v>0</v>
      </c>
      <c r="K49" s="109" t="str">
        <f t="shared" si="4"/>
        <v/>
      </c>
      <c r="L49" s="109">
        <f t="shared" si="7"/>
        <v>0</v>
      </c>
      <c r="M49" s="113" t="str">
        <f t="shared" si="8"/>
        <v/>
      </c>
      <c r="N49" s="113" t="str">
        <f t="shared" si="5"/>
        <v/>
      </c>
      <c r="O49" s="111"/>
      <c r="P49" s="1201"/>
    </row>
    <row r="50" spans="1:16">
      <c r="A50" s="1202" t="s">
        <v>4188</v>
      </c>
      <c r="B50" s="109">
        <f>试算平衡表!N46</f>
        <v>0</v>
      </c>
      <c r="C50" s="112" t="str">
        <f t="shared" si="0"/>
        <v/>
      </c>
      <c r="D50" s="109">
        <f>试算平衡表!E46</f>
        <v>0</v>
      </c>
      <c r="E50" s="113" t="str">
        <f t="shared" si="1"/>
        <v/>
      </c>
      <c r="F50" s="109">
        <f t="shared" si="2"/>
        <v>0</v>
      </c>
      <c r="G50" s="113" t="str">
        <f t="shared" si="6"/>
        <v/>
      </c>
      <c r="H50" s="113" t="str">
        <f t="shared" si="3"/>
        <v/>
      </c>
      <c r="I50" s="113"/>
      <c r="J50" s="114">
        <f>试算平衡表!I46</f>
        <v>0</v>
      </c>
      <c r="K50" s="109" t="str">
        <f t="shared" si="4"/>
        <v/>
      </c>
      <c r="L50" s="109">
        <f t="shared" si="7"/>
        <v>0</v>
      </c>
      <c r="M50" s="113" t="str">
        <f t="shared" si="8"/>
        <v/>
      </c>
      <c r="N50" s="113" t="str">
        <f t="shared" si="5"/>
        <v/>
      </c>
      <c r="O50" s="111"/>
      <c r="P50" s="1201"/>
    </row>
    <row r="51" spans="1:16">
      <c r="A51" s="1202" t="s">
        <v>4189</v>
      </c>
      <c r="B51" s="109">
        <f>试算平衡表!N47</f>
        <v>0</v>
      </c>
      <c r="C51" s="112" t="str">
        <f t="shared" si="0"/>
        <v/>
      </c>
      <c r="D51" s="109">
        <f>试算平衡表!E47</f>
        <v>0</v>
      </c>
      <c r="E51" s="113" t="str">
        <f t="shared" si="1"/>
        <v/>
      </c>
      <c r="F51" s="109">
        <f t="shared" si="2"/>
        <v>0</v>
      </c>
      <c r="G51" s="113" t="str">
        <f t="shared" si="6"/>
        <v/>
      </c>
      <c r="H51" s="113" t="str">
        <f t="shared" si="3"/>
        <v/>
      </c>
      <c r="I51" s="113"/>
      <c r="J51" s="114">
        <f>试算平衡表!I47</f>
        <v>0</v>
      </c>
      <c r="K51" s="109" t="str">
        <f t="shared" si="4"/>
        <v/>
      </c>
      <c r="L51" s="109">
        <f t="shared" si="7"/>
        <v>0</v>
      </c>
      <c r="M51" s="113" t="str">
        <f t="shared" si="8"/>
        <v/>
      </c>
      <c r="N51" s="113" t="str">
        <f t="shared" si="5"/>
        <v/>
      </c>
      <c r="O51" s="111"/>
      <c r="P51" s="1201"/>
    </row>
    <row r="52" spans="1:16">
      <c r="A52" s="1202" t="s">
        <v>4190</v>
      </c>
      <c r="B52" s="109">
        <f>试算平衡表!N48</f>
        <v>0</v>
      </c>
      <c r="C52" s="112" t="str">
        <f t="shared" si="0"/>
        <v/>
      </c>
      <c r="D52" s="109">
        <f>试算平衡表!E48</f>
        <v>0</v>
      </c>
      <c r="E52" s="113" t="str">
        <f t="shared" si="1"/>
        <v/>
      </c>
      <c r="F52" s="109">
        <f t="shared" si="2"/>
        <v>0</v>
      </c>
      <c r="G52" s="113" t="str">
        <f t="shared" si="6"/>
        <v/>
      </c>
      <c r="H52" s="113" t="str">
        <f t="shared" si="3"/>
        <v/>
      </c>
      <c r="I52" s="113"/>
      <c r="J52" s="114">
        <f>试算平衡表!I48</f>
        <v>0</v>
      </c>
      <c r="K52" s="109" t="str">
        <f t="shared" si="4"/>
        <v/>
      </c>
      <c r="L52" s="109">
        <f t="shared" si="7"/>
        <v>0</v>
      </c>
      <c r="M52" s="113" t="str">
        <f t="shared" si="8"/>
        <v/>
      </c>
      <c r="N52" s="113" t="str">
        <f t="shared" si="5"/>
        <v/>
      </c>
      <c r="O52" s="111"/>
      <c r="P52" s="1201"/>
    </row>
    <row r="53" spans="1:16">
      <c r="A53" s="1202" t="s">
        <v>4191</v>
      </c>
      <c r="B53" s="109">
        <f>试算平衡表!N49</f>
        <v>4497</v>
      </c>
      <c r="C53" s="112">
        <f t="shared" si="0"/>
        <v>5.5989689032495183E-4</v>
      </c>
      <c r="D53" s="109">
        <f>试算平衡表!E49</f>
        <v>0</v>
      </c>
      <c r="E53" s="113" t="str">
        <f t="shared" si="1"/>
        <v/>
      </c>
      <c r="F53" s="109">
        <f t="shared" si="2"/>
        <v>-4497</v>
      </c>
      <c r="G53" s="113">
        <f t="shared" si="6"/>
        <v>-1</v>
      </c>
      <c r="H53" s="113">
        <f t="shared" si="3"/>
        <v>8.8235550517698708E-4</v>
      </c>
      <c r="I53" s="113"/>
      <c r="J53" s="114">
        <f>试算平衡表!I49</f>
        <v>0</v>
      </c>
      <c r="K53" s="109" t="str">
        <f t="shared" si="4"/>
        <v/>
      </c>
      <c r="L53" s="109">
        <f t="shared" si="7"/>
        <v>-4497</v>
      </c>
      <c r="M53" s="113">
        <f t="shared" si="8"/>
        <v>-1</v>
      </c>
      <c r="N53" s="113">
        <f t="shared" si="5"/>
        <v>8.8099949735814965E-3</v>
      </c>
      <c r="O53" s="111"/>
      <c r="P53" s="1201"/>
    </row>
    <row r="54" spans="1:16">
      <c r="A54" s="1202" t="s">
        <v>4192</v>
      </c>
      <c r="B54" s="109">
        <f>试算平衡表!N50</f>
        <v>10959.86</v>
      </c>
      <c r="C54" s="112">
        <f t="shared" si="0"/>
        <v>1.36455226426436E-3</v>
      </c>
      <c r="D54" s="109">
        <f>试算平衡表!E50</f>
        <v>10959.86</v>
      </c>
      <c r="E54" s="113">
        <f t="shared" si="1"/>
        <v>3.7338751300778962E-3</v>
      </c>
      <c r="F54" s="109">
        <f t="shared" si="2"/>
        <v>0</v>
      </c>
      <c r="G54" s="113">
        <f t="shared" si="6"/>
        <v>0</v>
      </c>
      <c r="H54" s="113" t="str">
        <f t="shared" si="3"/>
        <v/>
      </c>
      <c r="I54" s="113"/>
      <c r="J54" s="114">
        <f>试算平衡表!I50</f>
        <v>61310.01</v>
      </c>
      <c r="K54" s="109">
        <f t="shared" si="4"/>
        <v>8.1514168659259645E-3</v>
      </c>
      <c r="L54" s="109">
        <f t="shared" si="7"/>
        <v>50350.15</v>
      </c>
      <c r="M54" s="113">
        <f t="shared" si="8"/>
        <v>4.5940504714476278</v>
      </c>
      <c r="N54" s="113">
        <f t="shared" si="5"/>
        <v>-9.8640108609978738E-2</v>
      </c>
      <c r="O54" s="111"/>
      <c r="P54" s="1201"/>
    </row>
    <row r="55" spans="1:16">
      <c r="A55" s="1202" t="s">
        <v>4193</v>
      </c>
      <c r="B55" s="109">
        <f>试算平衡表!N51</f>
        <v>0</v>
      </c>
      <c r="C55" s="112" t="str">
        <f t="shared" si="0"/>
        <v/>
      </c>
      <c r="D55" s="109">
        <f>试算平衡表!E51</f>
        <v>0</v>
      </c>
      <c r="E55" s="113" t="str">
        <f t="shared" si="1"/>
        <v/>
      </c>
      <c r="F55" s="109">
        <f t="shared" si="2"/>
        <v>0</v>
      </c>
      <c r="G55" s="113" t="str">
        <f t="shared" si="6"/>
        <v/>
      </c>
      <c r="H55" s="113" t="str">
        <f t="shared" si="3"/>
        <v/>
      </c>
      <c r="I55" s="113"/>
      <c r="J55" s="114">
        <f>试算平衡表!I51</f>
        <v>0</v>
      </c>
      <c r="K55" s="109" t="str">
        <f t="shared" si="4"/>
        <v/>
      </c>
      <c r="L55" s="109">
        <f t="shared" si="7"/>
        <v>0</v>
      </c>
      <c r="M55" s="113" t="str">
        <f t="shared" si="8"/>
        <v/>
      </c>
      <c r="N55" s="113" t="str">
        <f t="shared" si="5"/>
        <v/>
      </c>
      <c r="O55" s="111"/>
      <c r="P55" s="1201"/>
    </row>
    <row r="56" spans="1:16">
      <c r="A56" s="1202" t="s">
        <v>3861</v>
      </c>
      <c r="B56" s="109">
        <f>试算平衡表!N52</f>
        <v>0</v>
      </c>
      <c r="C56" s="112" t="str">
        <f t="shared" si="0"/>
        <v/>
      </c>
      <c r="D56" s="109">
        <f>试算平衡表!E52</f>
        <v>0</v>
      </c>
      <c r="E56" s="113" t="str">
        <f t="shared" si="1"/>
        <v/>
      </c>
      <c r="F56" s="109">
        <f t="shared" si="2"/>
        <v>0</v>
      </c>
      <c r="G56" s="113" t="str">
        <f t="shared" si="6"/>
        <v/>
      </c>
      <c r="H56" s="113" t="str">
        <f t="shared" si="3"/>
        <v/>
      </c>
      <c r="I56" s="113"/>
      <c r="J56" s="114">
        <f>试算平衡表!I52</f>
        <v>0</v>
      </c>
      <c r="K56" s="109" t="str">
        <f t="shared" si="4"/>
        <v/>
      </c>
      <c r="L56" s="109">
        <f t="shared" si="7"/>
        <v>0</v>
      </c>
      <c r="M56" s="113" t="str">
        <f t="shared" si="8"/>
        <v/>
      </c>
      <c r="N56" s="113" t="str">
        <f t="shared" si="5"/>
        <v/>
      </c>
      <c r="O56" s="111"/>
      <c r="P56" s="1201"/>
    </row>
    <row r="57" spans="1:16">
      <c r="A57" s="1203" t="s">
        <v>112</v>
      </c>
      <c r="B57" s="109">
        <f>试算平衡表!N53</f>
        <v>842284.58</v>
      </c>
      <c r="C57" s="112">
        <f t="shared" si="0"/>
        <v>0.10486824930190307</v>
      </c>
      <c r="D57" s="109">
        <f>试算平衡表!E53</f>
        <v>830468.63</v>
      </c>
      <c r="E57" s="113">
        <f t="shared" si="1"/>
        <v>0.28292935893951765</v>
      </c>
      <c r="F57" s="109">
        <f t="shared" si="2"/>
        <v>-11815.949999999953</v>
      </c>
      <c r="G57" s="113">
        <f t="shared" si="6"/>
        <v>-1.4028453423663477E-2</v>
      </c>
      <c r="H57" s="113">
        <f t="shared" si="3"/>
        <v>2.3184052771616586E-3</v>
      </c>
      <c r="I57" s="113"/>
      <c r="J57" s="114">
        <f>试算平衡表!I53</f>
        <v>879430.49</v>
      </c>
      <c r="K57" s="109">
        <f t="shared" si="4"/>
        <v>0.11692388451079253</v>
      </c>
      <c r="L57" s="109">
        <f t="shared" si="7"/>
        <v>37145.910000000033</v>
      </c>
      <c r="M57" s="113">
        <f t="shared" si="8"/>
        <v>4.4101377232858799E-2</v>
      </c>
      <c r="N57" s="113">
        <f t="shared" si="5"/>
        <v>-7.2771910248857222E-2</v>
      </c>
      <c r="O57" s="111"/>
      <c r="P57" s="1201"/>
    </row>
    <row r="58" spans="1:16" ht="13.5" thickBot="1">
      <c r="A58" s="1204" t="s">
        <v>113</v>
      </c>
      <c r="B58" s="115">
        <f>试算平衡表!N54</f>
        <v>8031836</v>
      </c>
      <c r="C58" s="115">
        <f t="shared" si="0"/>
        <v>1</v>
      </c>
      <c r="D58" s="115">
        <f>试算平衡表!E54</f>
        <v>2935250.81</v>
      </c>
      <c r="E58" s="115">
        <f t="shared" si="1"/>
        <v>1</v>
      </c>
      <c r="F58" s="115">
        <f t="shared" si="2"/>
        <v>-5096585.1899999995</v>
      </c>
      <c r="G58" s="115">
        <f t="shared" si="6"/>
        <v>-0.63454796512279377</v>
      </c>
      <c r="H58" s="115">
        <f t="shared" si="3"/>
        <v>1</v>
      </c>
      <c r="I58" s="115"/>
      <c r="J58" s="115">
        <f>试算平衡表!I54</f>
        <v>7521393.0300000012</v>
      </c>
      <c r="K58" s="115">
        <f t="shared" si="4"/>
        <v>1</v>
      </c>
      <c r="L58" s="115">
        <f t="shared" si="7"/>
        <v>-510442.96999999881</v>
      </c>
      <c r="M58" s="115">
        <f t="shared" si="8"/>
        <v>-6.355246421864176E-2</v>
      </c>
      <c r="N58" s="115">
        <f t="shared" si="5"/>
        <v>1</v>
      </c>
      <c r="O58" s="115"/>
      <c r="P58" s="1205"/>
    </row>
    <row r="59" spans="1:16">
      <c r="D59" s="390" t="str">
        <f>IF(D58=负债分析!D81,"",负债分析!D81-资产分析!D58)</f>
        <v/>
      </c>
    </row>
    <row r="61" spans="1:16">
      <c r="A61" s="1192" t="s">
        <v>1650</v>
      </c>
      <c r="B61" s="887">
        <f>B32-B11-B12-B13-B15-B16-B17-B18-B19-B20-B21-B22-B23-B24-B25-B26-B30-B31</f>
        <v>-1.1641532182693481E-10</v>
      </c>
      <c r="C61" s="887" t="e">
        <f>C32-C11-C12-C13-C15-C16-C17-C18-C19-C20-C21-C22-C23-C24-C25-C26-C30-C31</f>
        <v>#VALUE!</v>
      </c>
      <c r="D61" s="887">
        <f t="shared" ref="D61:M61" si="9">D32-D11-D12-D13-D15-D16-D17-D18-D19-D20-D21-D22-D23-D24-D25-D26-D30-D31</f>
        <v>2.3283064365386963E-10</v>
      </c>
      <c r="E61" s="887" t="e">
        <f t="shared" si="9"/>
        <v>#VALUE!</v>
      </c>
      <c r="F61" s="887">
        <f t="shared" si="9"/>
        <v>1.1641532182693481E-10</v>
      </c>
      <c r="G61" s="887" t="e">
        <f t="shared" si="9"/>
        <v>#VALUE!</v>
      </c>
      <c r="H61" s="887" t="e">
        <f t="shared" si="9"/>
        <v>#VALUE!</v>
      </c>
      <c r="I61" s="887"/>
      <c r="J61" s="887">
        <f t="shared" si="9"/>
        <v>1.2514647096395493E-9</v>
      </c>
      <c r="K61" s="887" t="e">
        <f t="shared" si="9"/>
        <v>#VALUE!</v>
      </c>
      <c r="L61" s="887">
        <f t="shared" si="9"/>
        <v>1.3678800314664841E-9</v>
      </c>
      <c r="M61" s="887" t="e">
        <f t="shared" si="9"/>
        <v>#VALUE!</v>
      </c>
      <c r="N61" s="887" t="e">
        <f>N32-N11-N12-N13-N15-N16-N17-N18-N19-N20-N21-N22-N23-N24-N25-N26-N30-N31</f>
        <v>#VALUE!</v>
      </c>
    </row>
    <row r="62" spans="1:16">
      <c r="A62" s="1192" t="s">
        <v>1652</v>
      </c>
      <c r="B62" s="887">
        <f>B57-B55-B54-B53-B52-B51-B50-B49-B48-B47-B46-B45-B44-B39-B38-B37-B36-B35-B34</f>
        <v>0</v>
      </c>
      <c r="C62" s="887" t="e">
        <f t="shared" ref="C62:N62" si="10">C57-C55-C54-C53-C52-C51-C50-C49-C48-C47-C46-C45-C44-C39-C38-C37-C36-C35-C34</f>
        <v>#VALUE!</v>
      </c>
      <c r="D62" s="887">
        <f t="shared" si="10"/>
        <v>0</v>
      </c>
      <c r="E62" s="887" t="e">
        <f t="shared" si="10"/>
        <v>#VALUE!</v>
      </c>
      <c r="F62" s="887">
        <f t="shared" si="10"/>
        <v>4.3655745685100555E-11</v>
      </c>
      <c r="G62" s="887" t="e">
        <f t="shared" si="10"/>
        <v>#VALUE!</v>
      </c>
      <c r="H62" s="887" t="e">
        <f t="shared" si="10"/>
        <v>#VALUE!</v>
      </c>
      <c r="I62" s="887"/>
      <c r="J62" s="887">
        <f t="shared" si="10"/>
        <v>0</v>
      </c>
      <c r="K62" s="887" t="e">
        <f t="shared" si="10"/>
        <v>#VALUE!</v>
      </c>
      <c r="L62" s="887">
        <f t="shared" si="10"/>
        <v>2.1827872842550278E-11</v>
      </c>
      <c r="M62" s="887" t="e">
        <f t="shared" si="10"/>
        <v>#VALUE!</v>
      </c>
      <c r="N62" s="887" t="e">
        <f t="shared" si="10"/>
        <v>#VALUE!</v>
      </c>
    </row>
    <row r="63" spans="1:16">
      <c r="A63" s="1192" t="s">
        <v>4194</v>
      </c>
      <c r="B63" s="887">
        <f>B58-B57-B32</f>
        <v>0</v>
      </c>
      <c r="C63" s="887">
        <f t="shared" ref="C63:N63" si="11">C58-C57-C32</f>
        <v>0</v>
      </c>
      <c r="D63" s="887">
        <f t="shared" si="11"/>
        <v>0</v>
      </c>
      <c r="E63" s="887">
        <f t="shared" si="11"/>
        <v>0</v>
      </c>
      <c r="F63" s="887">
        <f t="shared" si="11"/>
        <v>0</v>
      </c>
      <c r="G63" s="887">
        <f t="shared" si="11"/>
        <v>8.6724785331017351E-2</v>
      </c>
      <c r="H63" s="887">
        <f t="shared" si="11"/>
        <v>0</v>
      </c>
      <c r="I63" s="887"/>
      <c r="J63" s="887">
        <f t="shared" si="11"/>
        <v>0</v>
      </c>
      <c r="K63" s="887">
        <f t="shared" si="11"/>
        <v>0</v>
      </c>
      <c r="L63" s="887">
        <f t="shared" si="11"/>
        <v>0</v>
      </c>
      <c r="M63" s="887">
        <f t="shared" si="11"/>
        <v>-3.1489300993982144E-2</v>
      </c>
      <c r="N63" s="887">
        <f t="shared" si="11"/>
        <v>0</v>
      </c>
    </row>
    <row r="64" spans="1:16">
      <c r="B64" s="887"/>
    </row>
    <row r="65" spans="2:2">
      <c r="B65" s="887"/>
    </row>
  </sheetData>
  <sheetProtection formatCells="0" formatColumns="0" formatRows="0" autoFilter="0"/>
  <mergeCells count="11">
    <mergeCell ref="P7:P8"/>
    <mergeCell ref="A6:A9"/>
    <mergeCell ref="B6:C7"/>
    <mergeCell ref="D7:E7"/>
    <mergeCell ref="F7:H7"/>
    <mergeCell ref="J7:K7"/>
    <mergeCell ref="L7:N7"/>
    <mergeCell ref="D6:I6"/>
    <mergeCell ref="J6:O6"/>
    <mergeCell ref="O7:O8"/>
    <mergeCell ref="I7:I8"/>
  </mergeCells>
  <phoneticPr fontId="5" type="noConversion"/>
  <hyperlinks>
    <hyperlink ref="A5" location="附注填写封面!B3" display="返回目录" xr:uid="{00000000-0004-0000-6D00-000000000000}"/>
  </hyperlinks>
  <printOptions horizontalCentered="1"/>
  <pageMargins left="0" right="0" top="0.74803149606299213" bottom="0.31496062992125984" header="0.51181102362204722" footer="0.15748031496062992"/>
  <pageSetup paperSize="9" scale="69" firstPageNumber="4294963191" fitToHeight="3" orientation="landscape" blackAndWhite="1" r:id="rId1"/>
  <headerFooter alignWithMargins="0">
    <oddHeader>&amp;R&amp;F-&amp;A-&amp;P/&amp;N</oddHeader>
    <oddFooter>&amp;C第 &amp;P 页，共 &amp;N 页</oddFooter>
  </headerFooter>
  <extLst>
    <ext xmlns:mx="http://schemas.microsoft.com/office/mac/excel/2008/main" uri="{64002731-A6B0-56B0-2670-7721B7C09600}">
      <mx:PLV Mode="0" OnePage="0" WScale="0"/>
    </ext>
  </extLst>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83">
    <pageSetUpPr autoPageBreaks="0"/>
  </sheetPr>
  <dimension ref="A1:P90"/>
  <sheetViews>
    <sheetView showGridLines="0" showZeros="0" view="pageBreakPreview" topLeftCell="A24" zoomScaleSheetLayoutView="100" workbookViewId="0">
      <selection activeCell="A36" sqref="A36"/>
    </sheetView>
  </sheetViews>
  <sheetFormatPr defaultColWidth="9.375" defaultRowHeight="12.75"/>
  <cols>
    <col min="1" max="1" width="29.875" style="1192" customWidth="1"/>
    <col min="2" max="2" width="14.5" style="1192" customWidth="1"/>
    <col min="3" max="3" width="7.875" style="1192" customWidth="1"/>
    <col min="4" max="4" width="14.5" style="1192" customWidth="1"/>
    <col min="5" max="5" width="7.875" style="1192" customWidth="1"/>
    <col min="6" max="6" width="14.5" style="1192" customWidth="1"/>
    <col min="7" max="7" width="7.875" style="1192" customWidth="1"/>
    <col min="8" max="8" width="9.625" style="1192" bestFit="1" customWidth="1"/>
    <col min="9" max="9" width="14.625" style="1192" customWidth="1"/>
    <col min="10" max="10" width="14.5" style="1192" customWidth="1"/>
    <col min="11" max="11" width="7.875" style="1192" customWidth="1"/>
    <col min="12" max="12" width="14.5" style="1192" customWidth="1"/>
    <col min="13" max="13" width="9.375" style="1192" bestFit="1" customWidth="1"/>
    <col min="14" max="14" width="9" style="1192" customWidth="1"/>
    <col min="15" max="15" width="14.5" style="1192" customWidth="1"/>
    <col min="16" max="16" width="10.875" style="1192" customWidth="1"/>
    <col min="17" max="16384" width="9.375" style="1192"/>
  </cols>
  <sheetData>
    <row r="1" spans="1:16" s="1166" customFormat="1" ht="16.5" customHeight="1" thickBot="1">
      <c r="A1" s="1162" t="s">
        <v>4146</v>
      </c>
      <c r="B1" s="1163"/>
      <c r="C1" s="1163"/>
      <c r="D1" s="1165"/>
      <c r="E1" s="1165"/>
      <c r="F1" s="1165"/>
      <c r="G1" s="1165"/>
      <c r="H1" s="1165"/>
      <c r="I1" s="1165"/>
    </row>
    <row r="2" spans="1:16" s="1166" customFormat="1" ht="15" customHeight="1">
      <c r="A2" s="1167" t="str">
        <f>资产分析!A2</f>
        <v>被审计单位：华鼎资本（北京）有限公司</v>
      </c>
      <c r="B2" s="1168"/>
      <c r="C2" s="1168"/>
      <c r="D2" s="1168"/>
      <c r="E2" s="1168"/>
      <c r="F2" s="1168"/>
      <c r="G2" s="1168"/>
      <c r="H2" s="1168" t="s">
        <v>2253</v>
      </c>
      <c r="I2" s="1168"/>
      <c r="J2" s="1170" t="s">
        <v>91</v>
      </c>
      <c r="K2" s="1171"/>
      <c r="L2" s="1171" t="s">
        <v>363</v>
      </c>
      <c r="M2" s="1171"/>
      <c r="N2" s="1273">
        <v>1</v>
      </c>
      <c r="O2" s="1172"/>
      <c r="P2" s="1173"/>
    </row>
    <row r="3" spans="1:16" s="1166" customFormat="1" ht="15" customHeight="1">
      <c r="A3" s="1174" t="s">
        <v>4378</v>
      </c>
      <c r="B3" s="1175"/>
      <c r="C3" s="1175"/>
      <c r="D3" s="1175"/>
      <c r="E3" s="1175"/>
      <c r="F3" s="1175"/>
      <c r="G3" s="1175"/>
      <c r="H3" s="1175" t="s">
        <v>2254</v>
      </c>
      <c r="I3" s="1175" t="str">
        <f>资产分析!I3</f>
        <v>王咲晨</v>
      </c>
      <c r="J3" s="1175"/>
      <c r="K3" s="1177"/>
      <c r="L3" s="1178" t="s">
        <v>365</v>
      </c>
      <c r="M3" s="1177">
        <f>资产分析!M3</f>
        <v>0</v>
      </c>
      <c r="N3" s="1274"/>
      <c r="O3" s="1180"/>
      <c r="P3" s="1181"/>
    </row>
    <row r="4" spans="1:16" s="1166" customFormat="1" ht="15" customHeight="1" thickBot="1">
      <c r="A4" s="1182" t="str">
        <f>资产分析!A4</f>
        <v>财务报表截止日/期间：2015年12月31日/2015年度</v>
      </c>
      <c r="B4" s="1183"/>
      <c r="C4" s="1183"/>
      <c r="D4" s="1183"/>
      <c r="E4" s="1183"/>
      <c r="F4" s="1183"/>
      <c r="G4" s="1183"/>
      <c r="H4" s="1183" t="s">
        <v>2257</v>
      </c>
      <c r="I4" s="1183" t="str">
        <f>资产分析!I4</f>
        <v>逯敏</v>
      </c>
      <c r="J4" s="1183"/>
      <c r="K4" s="1185"/>
      <c r="L4" s="1186" t="s">
        <v>365</v>
      </c>
      <c r="M4" s="1185">
        <f>资产分析!M4</f>
        <v>0</v>
      </c>
      <c r="N4" s="1275"/>
      <c r="O4" s="1188"/>
      <c r="P4" s="1189"/>
    </row>
    <row r="5" spans="1:16" ht="22.7" customHeight="1" thickBot="1">
      <c r="A5" s="1190" t="s">
        <v>523</v>
      </c>
      <c r="B5" s="1191"/>
      <c r="C5" s="1191"/>
      <c r="D5" s="1191"/>
      <c r="E5" s="1191"/>
      <c r="F5" s="1191"/>
      <c r="G5" s="1191"/>
      <c r="H5" s="1191"/>
      <c r="I5" s="1191"/>
      <c r="J5" s="1191"/>
      <c r="K5" s="1191"/>
      <c r="L5" s="1191"/>
      <c r="M5" s="1191"/>
      <c r="N5" s="1191"/>
    </row>
    <row r="6" spans="1:16" s="1194" customFormat="1" ht="14.25" customHeight="1">
      <c r="A6" s="1902" t="s">
        <v>4148</v>
      </c>
      <c r="B6" s="1896" t="s">
        <v>4149</v>
      </c>
      <c r="C6" s="1896"/>
      <c r="D6" s="1899" t="s">
        <v>4150</v>
      </c>
      <c r="E6" s="1899"/>
      <c r="F6" s="1899"/>
      <c r="G6" s="1899"/>
      <c r="H6" s="1899"/>
      <c r="I6" s="1899"/>
      <c r="J6" s="1899" t="s">
        <v>4151</v>
      </c>
      <c r="K6" s="1899"/>
      <c r="L6" s="1899"/>
      <c r="M6" s="1899"/>
      <c r="N6" s="1899"/>
      <c r="O6" s="1899"/>
      <c r="P6" s="1193"/>
    </row>
    <row r="7" spans="1:16" s="1194" customFormat="1" ht="12.75" customHeight="1">
      <c r="A7" s="1903"/>
      <c r="B7" s="1897"/>
      <c r="C7" s="1897"/>
      <c r="D7" s="1898" t="s">
        <v>4152</v>
      </c>
      <c r="E7" s="1898"/>
      <c r="F7" s="1898" t="s">
        <v>4153</v>
      </c>
      <c r="G7" s="1898"/>
      <c r="H7" s="1898"/>
      <c r="I7" s="1898" t="s">
        <v>4154</v>
      </c>
      <c r="J7" s="1898" t="s">
        <v>4155</v>
      </c>
      <c r="K7" s="1898"/>
      <c r="L7" s="1898" t="s">
        <v>4153</v>
      </c>
      <c r="M7" s="1898"/>
      <c r="N7" s="1898"/>
      <c r="O7" s="1900" t="s">
        <v>4154</v>
      </c>
      <c r="P7" s="1901" t="s">
        <v>4379</v>
      </c>
    </row>
    <row r="8" spans="1:16" s="1194" customFormat="1">
      <c r="A8" s="1903"/>
      <c r="B8" s="1195" t="s">
        <v>857</v>
      </c>
      <c r="C8" s="1197" t="s">
        <v>4158</v>
      </c>
      <c r="D8" s="1195" t="s">
        <v>857</v>
      </c>
      <c r="E8" s="1197" t="s">
        <v>4158</v>
      </c>
      <c r="F8" s="1195" t="s">
        <v>857</v>
      </c>
      <c r="G8" s="1195" t="s">
        <v>4159</v>
      </c>
      <c r="H8" s="1195" t="s">
        <v>4160</v>
      </c>
      <c r="I8" s="1898"/>
      <c r="J8" s="1195" t="s">
        <v>857</v>
      </c>
      <c r="K8" s="1197" t="s">
        <v>4158</v>
      </c>
      <c r="L8" s="1195" t="s">
        <v>857</v>
      </c>
      <c r="M8" s="1195" t="s">
        <v>4159</v>
      </c>
      <c r="N8" s="1195" t="s">
        <v>4160</v>
      </c>
      <c r="O8" s="1900"/>
      <c r="P8" s="1901"/>
    </row>
    <row r="9" spans="1:16" s="1266" customFormat="1">
      <c r="A9" s="1903"/>
      <c r="B9" s="1199">
        <v>1</v>
      </c>
      <c r="C9" s="1199">
        <v>2</v>
      </c>
      <c r="D9" s="1199">
        <v>3</v>
      </c>
      <c r="E9" s="1199">
        <v>4</v>
      </c>
      <c r="F9" s="1199" t="s">
        <v>92</v>
      </c>
      <c r="G9" s="1199" t="s">
        <v>93</v>
      </c>
      <c r="H9" s="1199">
        <v>7</v>
      </c>
      <c r="I9" s="1199"/>
      <c r="J9" s="1199">
        <v>8</v>
      </c>
      <c r="K9" s="1199">
        <v>9</v>
      </c>
      <c r="L9" s="1199" t="s">
        <v>94</v>
      </c>
      <c r="M9" s="1199" t="s">
        <v>95</v>
      </c>
      <c r="N9" s="1199">
        <v>12</v>
      </c>
      <c r="O9" s="1264"/>
      <c r="P9" s="1265"/>
    </row>
    <row r="10" spans="1:16">
      <c r="A10" s="1202" t="s">
        <v>114</v>
      </c>
      <c r="B10" s="111"/>
      <c r="C10" s="111"/>
      <c r="D10" s="111"/>
      <c r="E10" s="111"/>
      <c r="F10" s="111"/>
      <c r="G10" s="111"/>
      <c r="H10" s="111"/>
      <c r="I10" s="111"/>
      <c r="J10" s="111"/>
      <c r="K10" s="111"/>
      <c r="L10" s="111"/>
      <c r="M10" s="111"/>
      <c r="N10" s="111"/>
      <c r="O10" s="111"/>
      <c r="P10" s="1201"/>
    </row>
    <row r="11" spans="1:16">
      <c r="A11" s="1202" t="s">
        <v>115</v>
      </c>
      <c r="B11" s="109">
        <f>试算平衡表!N61</f>
        <v>0</v>
      </c>
      <c r="C11" s="116">
        <f t="shared" ref="C11:C42" si="0">IF($B$81=0,"",B11/B$81)</f>
        <v>0</v>
      </c>
      <c r="D11" s="109">
        <f>试算平衡表!E61</f>
        <v>0</v>
      </c>
      <c r="E11" s="116">
        <f t="shared" ref="E11:E42" si="1">IF($D$81=0,"",D11/D$81)</f>
        <v>0</v>
      </c>
      <c r="F11" s="109">
        <f>D11-$B11</f>
        <v>0</v>
      </c>
      <c r="G11" s="116" t="str">
        <f t="shared" ref="G11:G81" si="2">IF($B11=0,"",F11/$B11)</f>
        <v/>
      </c>
      <c r="H11" s="116">
        <f t="shared" ref="H11:H42" si="3">IF($L$81=0,"",F11/F$81)</f>
        <v>0</v>
      </c>
      <c r="I11" s="116"/>
      <c r="J11" s="109">
        <f>试算平衡表!I61</f>
        <v>0</v>
      </c>
      <c r="K11" s="116">
        <f t="shared" ref="K11:K42" si="4">IF($J$81=0,"",J11/J$81)</f>
        <v>0</v>
      </c>
      <c r="L11" s="109">
        <f>J11-$B11</f>
        <v>0</v>
      </c>
      <c r="M11" s="113" t="str">
        <f>IF(B11=0,"",L11/B11)</f>
        <v/>
      </c>
      <c r="N11" s="113" t="str">
        <f>IF(L11=0,"",L11/$L$51)</f>
        <v/>
      </c>
      <c r="O11" s="111"/>
      <c r="P11" s="1201"/>
    </row>
    <row r="12" spans="1:16">
      <c r="A12" s="1202" t="s">
        <v>4380</v>
      </c>
      <c r="B12" s="109">
        <f>试算平衡表!N62</f>
        <v>0</v>
      </c>
      <c r="C12" s="116">
        <f t="shared" si="0"/>
        <v>0</v>
      </c>
      <c r="D12" s="109">
        <f>试算平衡表!E62</f>
        <v>0</v>
      </c>
      <c r="E12" s="116">
        <f t="shared" si="1"/>
        <v>0</v>
      </c>
      <c r="F12" s="109">
        <f t="shared" ref="F12:F81" si="5">D12-$B12</f>
        <v>0</v>
      </c>
      <c r="G12" s="116" t="str">
        <f t="shared" si="2"/>
        <v/>
      </c>
      <c r="H12" s="116">
        <f t="shared" si="3"/>
        <v>0</v>
      </c>
      <c r="I12" s="116"/>
      <c r="J12" s="109">
        <f>试算平衡表!I62</f>
        <v>0</v>
      </c>
      <c r="K12" s="116">
        <f t="shared" si="4"/>
        <v>0</v>
      </c>
      <c r="L12" s="109">
        <f t="shared" ref="L12:L81" si="6">J12-$B12</f>
        <v>0</v>
      </c>
      <c r="M12" s="113" t="str">
        <f t="shared" ref="M12:M51" si="7">IF(B12=0,"",L12/B12)</f>
        <v/>
      </c>
      <c r="N12" s="113" t="str">
        <f t="shared" ref="N12:N51" si="8">IF(L12=0,"",L12/$L$51)</f>
        <v/>
      </c>
      <c r="O12" s="111"/>
      <c r="P12" s="1201"/>
    </row>
    <row r="13" spans="1:16">
      <c r="A13" s="1202" t="s">
        <v>4381</v>
      </c>
      <c r="B13" s="109">
        <f>试算平衡表!N63</f>
        <v>0</v>
      </c>
      <c r="C13" s="116">
        <f t="shared" si="0"/>
        <v>0</v>
      </c>
      <c r="D13" s="109">
        <f>试算平衡表!E63</f>
        <v>0</v>
      </c>
      <c r="E13" s="116">
        <f t="shared" si="1"/>
        <v>0</v>
      </c>
      <c r="F13" s="109">
        <f t="shared" si="5"/>
        <v>0</v>
      </c>
      <c r="G13" s="116" t="str">
        <f t="shared" si="2"/>
        <v/>
      </c>
      <c r="H13" s="116">
        <f t="shared" si="3"/>
        <v>0</v>
      </c>
      <c r="I13" s="116"/>
      <c r="J13" s="109">
        <f>试算平衡表!I63</f>
        <v>0</v>
      </c>
      <c r="K13" s="116">
        <f t="shared" si="4"/>
        <v>0</v>
      </c>
      <c r="L13" s="109">
        <f t="shared" si="6"/>
        <v>0</v>
      </c>
      <c r="M13" s="113" t="str">
        <f t="shared" si="7"/>
        <v/>
      </c>
      <c r="N13" s="113" t="str">
        <f t="shared" si="8"/>
        <v/>
      </c>
      <c r="O13" s="111"/>
      <c r="P13" s="1201"/>
    </row>
    <row r="14" spans="1:16">
      <c r="A14" s="1202" t="s">
        <v>4382</v>
      </c>
      <c r="B14" s="109">
        <f>试算平衡表!N64</f>
        <v>0</v>
      </c>
      <c r="C14" s="116">
        <f t="shared" si="0"/>
        <v>0</v>
      </c>
      <c r="D14" s="109">
        <f>试算平衡表!E64</f>
        <v>0</v>
      </c>
      <c r="E14" s="116">
        <f t="shared" si="1"/>
        <v>0</v>
      </c>
      <c r="F14" s="109">
        <f t="shared" si="5"/>
        <v>0</v>
      </c>
      <c r="G14" s="116" t="str">
        <f t="shared" si="2"/>
        <v/>
      </c>
      <c r="H14" s="116">
        <f t="shared" si="3"/>
        <v>0</v>
      </c>
      <c r="I14" s="116"/>
      <c r="J14" s="109">
        <f>试算平衡表!I64</f>
        <v>0</v>
      </c>
      <c r="K14" s="116">
        <f t="shared" si="4"/>
        <v>0</v>
      </c>
      <c r="L14" s="109">
        <f t="shared" si="6"/>
        <v>0</v>
      </c>
      <c r="M14" s="113" t="str">
        <f t="shared" si="7"/>
        <v/>
      </c>
      <c r="N14" s="113" t="str">
        <f t="shared" si="8"/>
        <v/>
      </c>
      <c r="O14" s="111"/>
      <c r="P14" s="1201"/>
    </row>
    <row r="15" spans="1:16">
      <c r="A15" s="1202" t="s">
        <v>3875</v>
      </c>
      <c r="B15" s="109">
        <f>试算平衡表!N65</f>
        <v>0</v>
      </c>
      <c r="C15" s="116">
        <f t="shared" si="0"/>
        <v>0</v>
      </c>
      <c r="D15" s="109">
        <f>试算平衡表!E65</f>
        <v>0</v>
      </c>
      <c r="E15" s="116">
        <f t="shared" si="1"/>
        <v>0</v>
      </c>
      <c r="F15" s="109">
        <f>D15-$B15</f>
        <v>0</v>
      </c>
      <c r="G15" s="116" t="str">
        <f>IF($B15=0,"",F15/$B15)</f>
        <v/>
      </c>
      <c r="H15" s="116">
        <f t="shared" si="3"/>
        <v>0</v>
      </c>
      <c r="I15" s="116"/>
      <c r="J15" s="109">
        <f>试算平衡表!I65</f>
        <v>0</v>
      </c>
      <c r="K15" s="116">
        <f t="shared" si="4"/>
        <v>0</v>
      </c>
      <c r="L15" s="109">
        <f>J15-$B15</f>
        <v>0</v>
      </c>
      <c r="M15" s="113" t="str">
        <f t="shared" si="7"/>
        <v/>
      </c>
      <c r="N15" s="113" t="str">
        <f t="shared" si="8"/>
        <v/>
      </c>
      <c r="O15" s="111"/>
      <c r="P15" s="1201"/>
    </row>
    <row r="16" spans="1:16">
      <c r="A16" s="1202" t="s">
        <v>3876</v>
      </c>
      <c r="B16" s="109">
        <f>试算平衡表!N66</f>
        <v>0</v>
      </c>
      <c r="C16" s="116">
        <f t="shared" si="0"/>
        <v>0</v>
      </c>
      <c r="D16" s="109">
        <f>试算平衡表!E66</f>
        <v>0</v>
      </c>
      <c r="E16" s="116">
        <f t="shared" si="1"/>
        <v>0</v>
      </c>
      <c r="F16" s="109">
        <f t="shared" si="5"/>
        <v>0</v>
      </c>
      <c r="G16" s="116" t="str">
        <f t="shared" si="2"/>
        <v/>
      </c>
      <c r="H16" s="116">
        <f t="shared" si="3"/>
        <v>0</v>
      </c>
      <c r="I16" s="116"/>
      <c r="J16" s="109">
        <f>试算平衡表!I66</f>
        <v>0</v>
      </c>
      <c r="K16" s="116">
        <f t="shared" si="4"/>
        <v>0</v>
      </c>
      <c r="L16" s="109">
        <f t="shared" si="6"/>
        <v>0</v>
      </c>
      <c r="M16" s="113" t="str">
        <f t="shared" si="7"/>
        <v/>
      </c>
      <c r="N16" s="113" t="str">
        <f t="shared" si="8"/>
        <v/>
      </c>
      <c r="O16" s="111"/>
      <c r="P16" s="1201"/>
    </row>
    <row r="17" spans="1:16">
      <c r="A17" s="1202" t="s">
        <v>4383</v>
      </c>
      <c r="B17" s="109">
        <f>试算平衡表!N67</f>
        <v>0</v>
      </c>
      <c r="C17" s="116">
        <f t="shared" si="0"/>
        <v>0</v>
      </c>
      <c r="D17" s="109">
        <f>试算平衡表!E67</f>
        <v>0</v>
      </c>
      <c r="E17" s="116">
        <f t="shared" si="1"/>
        <v>0</v>
      </c>
      <c r="F17" s="109">
        <f t="shared" si="5"/>
        <v>0</v>
      </c>
      <c r="G17" s="116" t="str">
        <f t="shared" si="2"/>
        <v/>
      </c>
      <c r="H17" s="116">
        <f t="shared" si="3"/>
        <v>0</v>
      </c>
      <c r="I17" s="116"/>
      <c r="J17" s="109">
        <f>试算平衡表!I67</f>
        <v>0</v>
      </c>
      <c r="K17" s="116">
        <f t="shared" si="4"/>
        <v>0</v>
      </c>
      <c r="L17" s="109">
        <f t="shared" si="6"/>
        <v>0</v>
      </c>
      <c r="M17" s="113" t="str">
        <f t="shared" si="7"/>
        <v/>
      </c>
      <c r="N17" s="113" t="str">
        <f t="shared" si="8"/>
        <v/>
      </c>
      <c r="O17" s="111"/>
      <c r="P17" s="1201"/>
    </row>
    <row r="18" spans="1:16">
      <c r="A18" s="1202" t="s">
        <v>4384</v>
      </c>
      <c r="B18" s="109">
        <f>试算平衡表!N68</f>
        <v>0</v>
      </c>
      <c r="C18" s="116">
        <f t="shared" si="0"/>
        <v>0</v>
      </c>
      <c r="D18" s="109">
        <f>试算平衡表!E68</f>
        <v>0</v>
      </c>
      <c r="E18" s="116">
        <f t="shared" si="1"/>
        <v>0</v>
      </c>
      <c r="F18" s="109">
        <f t="shared" si="5"/>
        <v>0</v>
      </c>
      <c r="G18" s="116" t="str">
        <f t="shared" si="2"/>
        <v/>
      </c>
      <c r="H18" s="116">
        <f t="shared" si="3"/>
        <v>0</v>
      </c>
      <c r="I18" s="116"/>
      <c r="J18" s="109">
        <f>试算平衡表!I68</f>
        <v>0</v>
      </c>
      <c r="K18" s="116">
        <f t="shared" si="4"/>
        <v>0</v>
      </c>
      <c r="L18" s="109">
        <f t="shared" si="6"/>
        <v>0</v>
      </c>
      <c r="M18" s="113" t="str">
        <f t="shared" si="7"/>
        <v/>
      </c>
      <c r="N18" s="113" t="str">
        <f t="shared" si="8"/>
        <v/>
      </c>
      <c r="O18" s="111"/>
      <c r="P18" s="1201"/>
    </row>
    <row r="19" spans="1:16">
      <c r="A19" s="1202" t="s">
        <v>4385</v>
      </c>
      <c r="B19" s="109">
        <f>试算平衡表!N69</f>
        <v>0</v>
      </c>
      <c r="C19" s="116">
        <f t="shared" si="0"/>
        <v>0</v>
      </c>
      <c r="D19" s="109">
        <f>试算平衡表!E69</f>
        <v>0</v>
      </c>
      <c r="E19" s="116">
        <f t="shared" si="1"/>
        <v>0</v>
      </c>
      <c r="F19" s="109">
        <f t="shared" si="5"/>
        <v>0</v>
      </c>
      <c r="G19" s="116" t="str">
        <f t="shared" si="2"/>
        <v/>
      </c>
      <c r="H19" s="116">
        <f t="shared" si="3"/>
        <v>0</v>
      </c>
      <c r="I19" s="116"/>
      <c r="J19" s="109">
        <f>试算平衡表!I69</f>
        <v>0</v>
      </c>
      <c r="K19" s="116">
        <f t="shared" si="4"/>
        <v>0</v>
      </c>
      <c r="L19" s="109">
        <f t="shared" si="6"/>
        <v>0</v>
      </c>
      <c r="M19" s="113" t="str">
        <f t="shared" si="7"/>
        <v/>
      </c>
      <c r="N19" s="113" t="str">
        <f t="shared" si="8"/>
        <v/>
      </c>
      <c r="O19" s="111"/>
      <c r="P19" s="1201"/>
    </row>
    <row r="20" spans="1:16" ht="12.75" customHeight="1">
      <c r="A20" s="1202" t="s">
        <v>4386</v>
      </c>
      <c r="B20" s="109">
        <f>试算平衡表!N70</f>
        <v>0</v>
      </c>
      <c r="C20" s="116">
        <f t="shared" si="0"/>
        <v>0</v>
      </c>
      <c r="D20" s="109">
        <f>试算平衡表!E70</f>
        <v>0</v>
      </c>
      <c r="E20" s="116">
        <f t="shared" si="1"/>
        <v>0</v>
      </c>
      <c r="F20" s="109">
        <f t="shared" si="5"/>
        <v>0</v>
      </c>
      <c r="G20" s="116" t="str">
        <f t="shared" si="2"/>
        <v/>
      </c>
      <c r="H20" s="116">
        <f t="shared" si="3"/>
        <v>0</v>
      </c>
      <c r="I20" s="116"/>
      <c r="J20" s="109">
        <f>试算平衡表!I70</f>
        <v>0</v>
      </c>
      <c r="K20" s="116">
        <f t="shared" si="4"/>
        <v>0</v>
      </c>
      <c r="L20" s="109">
        <f t="shared" si="6"/>
        <v>0</v>
      </c>
      <c r="M20" s="113" t="str">
        <f t="shared" si="7"/>
        <v/>
      </c>
      <c r="N20" s="113" t="str">
        <f t="shared" si="8"/>
        <v/>
      </c>
      <c r="O20" s="111"/>
      <c r="P20" s="1201"/>
    </row>
    <row r="21" spans="1:16" ht="12.75" customHeight="1">
      <c r="A21" s="1202" t="s">
        <v>4387</v>
      </c>
      <c r="B21" s="109">
        <f>试算平衡表!N71</f>
        <v>0</v>
      </c>
      <c r="C21" s="116">
        <f t="shared" si="0"/>
        <v>0</v>
      </c>
      <c r="D21" s="109">
        <f>试算平衡表!E71</f>
        <v>0</v>
      </c>
      <c r="E21" s="116">
        <f t="shared" si="1"/>
        <v>0</v>
      </c>
      <c r="F21" s="109">
        <f t="shared" si="5"/>
        <v>0</v>
      </c>
      <c r="G21" s="116" t="str">
        <f t="shared" si="2"/>
        <v/>
      </c>
      <c r="H21" s="116">
        <f t="shared" si="3"/>
        <v>0</v>
      </c>
      <c r="I21" s="116"/>
      <c r="J21" s="109">
        <f>试算平衡表!I71</f>
        <v>0</v>
      </c>
      <c r="K21" s="116">
        <f t="shared" si="4"/>
        <v>0</v>
      </c>
      <c r="L21" s="109">
        <f t="shared" si="6"/>
        <v>0</v>
      </c>
      <c r="M21" s="113" t="str">
        <f t="shared" si="7"/>
        <v/>
      </c>
      <c r="N21" s="113" t="str">
        <f t="shared" si="8"/>
        <v/>
      </c>
      <c r="O21" s="111"/>
      <c r="P21" s="1201"/>
    </row>
    <row r="22" spans="1:16">
      <c r="A22" s="1202" t="s">
        <v>4388</v>
      </c>
      <c r="B22" s="109">
        <f>试算平衡表!N72</f>
        <v>48853.89</v>
      </c>
      <c r="C22" s="116">
        <f t="shared" si="0"/>
        <v>6.0825308186073521E-3</v>
      </c>
      <c r="D22" s="109">
        <f>试算平衡表!E72</f>
        <v>41819.14</v>
      </c>
      <c r="E22" s="116">
        <f t="shared" si="1"/>
        <v>1.4247211808111211E-2</v>
      </c>
      <c r="F22" s="109">
        <f t="shared" si="5"/>
        <v>-7034.75</v>
      </c>
      <c r="G22" s="116">
        <f t="shared" si="2"/>
        <v>-0.14399569819312238</v>
      </c>
      <c r="H22" s="116">
        <f t="shared" si="3"/>
        <v>1.3802869446394952E-3</v>
      </c>
      <c r="I22" s="116"/>
      <c r="J22" s="109">
        <f>试算平衡表!I72</f>
        <v>41819.14</v>
      </c>
      <c r="K22" s="116">
        <f t="shared" si="4"/>
        <v>5.5600258932353647E-3</v>
      </c>
      <c r="L22" s="109">
        <f t="shared" si="6"/>
        <v>-7034.75</v>
      </c>
      <c r="M22" s="113">
        <f t="shared" si="7"/>
        <v>-0.14399569819312238</v>
      </c>
      <c r="N22" s="113">
        <f t="shared" si="8"/>
        <v>1.2013032460298933E-2</v>
      </c>
      <c r="O22" s="111"/>
      <c r="P22" s="1201"/>
    </row>
    <row r="23" spans="1:16">
      <c r="A23" s="1202" t="s">
        <v>4389</v>
      </c>
      <c r="B23" s="109">
        <f>试算平衡表!N73</f>
        <v>0</v>
      </c>
      <c r="C23" s="116">
        <f t="shared" si="0"/>
        <v>0</v>
      </c>
      <c r="D23" s="109">
        <f>试算平衡表!E73</f>
        <v>0</v>
      </c>
      <c r="E23" s="116">
        <f t="shared" si="1"/>
        <v>0</v>
      </c>
      <c r="F23" s="109">
        <f t="shared" si="5"/>
        <v>0</v>
      </c>
      <c r="G23" s="116" t="str">
        <f t="shared" si="2"/>
        <v/>
      </c>
      <c r="H23" s="116">
        <f t="shared" si="3"/>
        <v>0</v>
      </c>
      <c r="I23" s="116"/>
      <c r="J23" s="109">
        <f>试算平衡表!I73</f>
        <v>0</v>
      </c>
      <c r="K23" s="116">
        <f t="shared" si="4"/>
        <v>0</v>
      </c>
      <c r="L23" s="109">
        <f t="shared" si="6"/>
        <v>0</v>
      </c>
      <c r="M23" s="113" t="str">
        <f t="shared" si="7"/>
        <v/>
      </c>
      <c r="N23" s="113" t="str">
        <f t="shared" si="8"/>
        <v/>
      </c>
      <c r="O23" s="111"/>
      <c r="P23" s="1201"/>
    </row>
    <row r="24" spans="1:16">
      <c r="A24" s="1202" t="s">
        <v>3889</v>
      </c>
      <c r="B24" s="109">
        <f>试算平衡表!N74</f>
        <v>0</v>
      </c>
      <c r="C24" s="116">
        <f t="shared" si="0"/>
        <v>0</v>
      </c>
      <c r="D24" s="109">
        <f>试算平衡表!E74</f>
        <v>0</v>
      </c>
      <c r="E24" s="116">
        <f t="shared" si="1"/>
        <v>0</v>
      </c>
      <c r="F24" s="109">
        <f t="shared" si="5"/>
        <v>0</v>
      </c>
      <c r="G24" s="116" t="str">
        <f t="shared" si="2"/>
        <v/>
      </c>
      <c r="H24" s="116">
        <f t="shared" si="3"/>
        <v>0</v>
      </c>
      <c r="I24" s="116"/>
      <c r="J24" s="109">
        <f>试算平衡表!I74</f>
        <v>0</v>
      </c>
      <c r="K24" s="116">
        <f t="shared" si="4"/>
        <v>0</v>
      </c>
      <c r="L24" s="109">
        <f t="shared" si="6"/>
        <v>0</v>
      </c>
      <c r="M24" s="113" t="str">
        <f t="shared" si="7"/>
        <v/>
      </c>
      <c r="N24" s="113" t="str">
        <f t="shared" si="8"/>
        <v/>
      </c>
      <c r="O24" s="111"/>
      <c r="P24" s="1201"/>
    </row>
    <row r="25" spans="1:16">
      <c r="A25" s="1202" t="s">
        <v>4390</v>
      </c>
      <c r="B25" s="109">
        <f>试算平衡表!N75</f>
        <v>0</v>
      </c>
      <c r="C25" s="116">
        <f t="shared" si="0"/>
        <v>0</v>
      </c>
      <c r="D25" s="109">
        <f>试算平衡表!E75</f>
        <v>0</v>
      </c>
      <c r="E25" s="116">
        <f t="shared" si="1"/>
        <v>0</v>
      </c>
      <c r="F25" s="109">
        <f t="shared" si="5"/>
        <v>0</v>
      </c>
      <c r="G25" s="116" t="str">
        <f t="shared" si="2"/>
        <v/>
      </c>
      <c r="H25" s="116">
        <f t="shared" si="3"/>
        <v>0</v>
      </c>
      <c r="I25" s="116"/>
      <c r="J25" s="109">
        <f>试算平衡表!I75</f>
        <v>0</v>
      </c>
      <c r="K25" s="116">
        <f t="shared" si="4"/>
        <v>0</v>
      </c>
      <c r="L25" s="109">
        <f t="shared" si="6"/>
        <v>0</v>
      </c>
      <c r="M25" s="113" t="str">
        <f t="shared" si="7"/>
        <v/>
      </c>
      <c r="N25" s="113" t="str">
        <f t="shared" si="8"/>
        <v/>
      </c>
      <c r="O25" s="111"/>
      <c r="P25" s="1201"/>
    </row>
    <row r="26" spans="1:16">
      <c r="A26" s="1202" t="s">
        <v>4391</v>
      </c>
      <c r="B26" s="109">
        <f>试算平衡表!N76</f>
        <v>1020469.11</v>
      </c>
      <c r="C26" s="116">
        <f t="shared" si="0"/>
        <v>0.1270530312122907</v>
      </c>
      <c r="D26" s="109">
        <f>试算平衡表!E76</f>
        <v>-66264.789999999994</v>
      </c>
      <c r="E26" s="116">
        <f t="shared" si="1"/>
        <v>-2.2575512039463501E-2</v>
      </c>
      <c r="F26" s="109">
        <f t="shared" si="5"/>
        <v>-1086733.8999999999</v>
      </c>
      <c r="G26" s="116">
        <f t="shared" si="2"/>
        <v>-1.0649356157385301</v>
      </c>
      <c r="H26" s="116">
        <f t="shared" si="3"/>
        <v>0.21322784952800916</v>
      </c>
      <c r="I26" s="116"/>
      <c r="J26" s="109">
        <f>试算平衡表!I76</f>
        <v>444207.81</v>
      </c>
      <c r="K26" s="116">
        <f t="shared" si="4"/>
        <v>5.9059247167143447E-2</v>
      </c>
      <c r="L26" s="109">
        <f t="shared" si="6"/>
        <v>-576261.30000000005</v>
      </c>
      <c r="M26" s="113">
        <f t="shared" si="7"/>
        <v>-0.56470234557124421</v>
      </c>
      <c r="N26" s="113">
        <f t="shared" si="8"/>
        <v>0.9840642101729361</v>
      </c>
      <c r="O26" s="111"/>
      <c r="P26" s="1201"/>
    </row>
    <row r="27" spans="1:16">
      <c r="A27" s="1202" t="s">
        <v>3897</v>
      </c>
      <c r="B27" s="109">
        <f>试算平衡表!N77</f>
        <v>1020469.11</v>
      </c>
      <c r="C27" s="116">
        <f t="shared" si="0"/>
        <v>0.1270530312122907</v>
      </c>
      <c r="D27" s="109">
        <f>试算平衡表!E77</f>
        <v>-66264.789999999994</v>
      </c>
      <c r="E27" s="116">
        <f t="shared" si="1"/>
        <v>-2.2575512039463501E-2</v>
      </c>
      <c r="F27" s="109">
        <f t="shared" si="5"/>
        <v>-1086733.8999999999</v>
      </c>
      <c r="G27" s="116">
        <f t="shared" si="2"/>
        <v>-1.0649356157385301</v>
      </c>
      <c r="H27" s="116">
        <f t="shared" si="3"/>
        <v>0.21322784952800916</v>
      </c>
      <c r="I27" s="116"/>
      <c r="J27" s="109">
        <f>试算平衡表!I77</f>
        <v>431188.94</v>
      </c>
      <c r="K27" s="116">
        <f t="shared" si="4"/>
        <v>5.732833509433026E-2</v>
      </c>
      <c r="L27" s="109">
        <f t="shared" si="6"/>
        <v>-589280.16999999993</v>
      </c>
      <c r="M27" s="113">
        <f t="shared" si="7"/>
        <v>-0.5774600761800619</v>
      </c>
      <c r="N27" s="113">
        <f t="shared" si="8"/>
        <v>1.0062961456228683</v>
      </c>
      <c r="O27" s="111"/>
      <c r="P27" s="1201"/>
    </row>
    <row r="28" spans="1:16">
      <c r="A28" s="1202" t="s">
        <v>4392</v>
      </c>
      <c r="B28" s="109">
        <f>试算平衡表!N78</f>
        <v>0</v>
      </c>
      <c r="C28" s="116">
        <f t="shared" si="0"/>
        <v>0</v>
      </c>
      <c r="D28" s="109">
        <f>试算平衡表!E78</f>
        <v>0</v>
      </c>
      <c r="E28" s="116">
        <f t="shared" si="1"/>
        <v>0</v>
      </c>
      <c r="F28" s="109">
        <f t="shared" si="5"/>
        <v>0</v>
      </c>
      <c r="G28" s="116" t="str">
        <f t="shared" si="2"/>
        <v/>
      </c>
      <c r="H28" s="116">
        <f t="shared" si="3"/>
        <v>0</v>
      </c>
      <c r="I28" s="116"/>
      <c r="J28" s="109">
        <f>试算平衡表!I78</f>
        <v>0</v>
      </c>
      <c r="K28" s="116">
        <f t="shared" si="4"/>
        <v>0</v>
      </c>
      <c r="L28" s="109">
        <f t="shared" si="6"/>
        <v>0</v>
      </c>
      <c r="M28" s="113" t="str">
        <f t="shared" si="7"/>
        <v/>
      </c>
      <c r="N28" s="113" t="str">
        <f t="shared" si="8"/>
        <v/>
      </c>
      <c r="O28" s="111"/>
      <c r="P28" s="1201"/>
    </row>
    <row r="29" spans="1:16">
      <c r="A29" s="1202" t="s">
        <v>116</v>
      </c>
      <c r="B29" s="109">
        <f>试算平衡表!N79</f>
        <v>0</v>
      </c>
      <c r="C29" s="116">
        <f t="shared" si="0"/>
        <v>0</v>
      </c>
      <c r="D29" s="109">
        <f>试算平衡表!E79</f>
        <v>0</v>
      </c>
      <c r="E29" s="116">
        <f t="shared" si="1"/>
        <v>0</v>
      </c>
      <c r="F29" s="109">
        <f t="shared" si="5"/>
        <v>0</v>
      </c>
      <c r="G29" s="116" t="str">
        <f t="shared" si="2"/>
        <v/>
      </c>
      <c r="H29" s="116">
        <f t="shared" si="3"/>
        <v>0</v>
      </c>
      <c r="I29" s="116"/>
      <c r="J29" s="109">
        <f>试算平衡表!I79</f>
        <v>0</v>
      </c>
      <c r="K29" s="116">
        <f t="shared" si="4"/>
        <v>0</v>
      </c>
      <c r="L29" s="109">
        <f t="shared" si="6"/>
        <v>0</v>
      </c>
      <c r="M29" s="113" t="str">
        <f t="shared" si="7"/>
        <v/>
      </c>
      <c r="N29" s="113" t="str">
        <f t="shared" si="8"/>
        <v/>
      </c>
      <c r="O29" s="111"/>
      <c r="P29" s="1201"/>
    </row>
    <row r="30" spans="1:16">
      <c r="A30" s="1202" t="s">
        <v>4393</v>
      </c>
      <c r="B30" s="109">
        <f>试算平衡表!N80</f>
        <v>40678.199999999997</v>
      </c>
      <c r="C30" s="116">
        <f t="shared" si="0"/>
        <v>5.0646203433436631E-3</v>
      </c>
      <c r="D30" s="109">
        <f>试算平衡表!E80</f>
        <v>38381.06</v>
      </c>
      <c r="E30" s="116">
        <f t="shared" si="1"/>
        <v>1.3075904746960958E-2</v>
      </c>
      <c r="F30" s="109">
        <f t="shared" si="5"/>
        <v>-2297.1399999999994</v>
      </c>
      <c r="G30" s="116">
        <f t="shared" si="2"/>
        <v>-5.6471033624889977E-2</v>
      </c>
      <c r="H30" s="116">
        <f t="shared" si="3"/>
        <v>4.5072139763448156E-4</v>
      </c>
      <c r="I30" s="116"/>
      <c r="J30" s="109">
        <f>试算平衡表!I80</f>
        <v>38381.06</v>
      </c>
      <c r="K30" s="116">
        <f t="shared" si="4"/>
        <v>5.1029190798715643E-3</v>
      </c>
      <c r="L30" s="109">
        <f t="shared" si="6"/>
        <v>-2297.1399999999994</v>
      </c>
      <c r="M30" s="113">
        <f t="shared" si="7"/>
        <v>-5.6471033624889977E-2</v>
      </c>
      <c r="N30" s="113">
        <f t="shared" si="8"/>
        <v>3.9227573667651424E-3</v>
      </c>
      <c r="O30" s="111"/>
      <c r="P30" s="1201"/>
    </row>
    <row r="31" spans="1:16">
      <c r="A31" s="1202" t="s">
        <v>117</v>
      </c>
      <c r="B31" s="109">
        <f>试算平衡表!N81</f>
        <v>0</v>
      </c>
      <c r="C31" s="116">
        <f t="shared" si="0"/>
        <v>0</v>
      </c>
      <c r="D31" s="109">
        <f>试算平衡表!E81</f>
        <v>0</v>
      </c>
      <c r="E31" s="116">
        <f t="shared" si="1"/>
        <v>0</v>
      </c>
      <c r="F31" s="109">
        <f t="shared" si="5"/>
        <v>0</v>
      </c>
      <c r="G31" s="116" t="str">
        <f t="shared" si="2"/>
        <v/>
      </c>
      <c r="H31" s="116">
        <f t="shared" si="3"/>
        <v>0</v>
      </c>
      <c r="I31" s="116"/>
      <c r="J31" s="109">
        <f>试算平衡表!I81</f>
        <v>0</v>
      </c>
      <c r="K31" s="116">
        <f t="shared" si="4"/>
        <v>0</v>
      </c>
      <c r="L31" s="109">
        <f t="shared" si="6"/>
        <v>0</v>
      </c>
      <c r="M31" s="113" t="str">
        <f t="shared" si="7"/>
        <v/>
      </c>
      <c r="N31" s="113" t="str">
        <f t="shared" si="8"/>
        <v/>
      </c>
      <c r="O31" s="111"/>
      <c r="P31" s="1201"/>
    </row>
    <row r="32" spans="1:16">
      <c r="A32" s="1202" t="s">
        <v>118</v>
      </c>
      <c r="B32" s="109">
        <f>试算平衡表!N82</f>
        <v>0</v>
      </c>
      <c r="C32" s="116">
        <f t="shared" si="0"/>
        <v>0</v>
      </c>
      <c r="D32" s="109">
        <f>试算平衡表!E82</f>
        <v>0</v>
      </c>
      <c r="E32" s="116">
        <f t="shared" si="1"/>
        <v>0</v>
      </c>
      <c r="F32" s="109">
        <f t="shared" si="5"/>
        <v>0</v>
      </c>
      <c r="G32" s="116" t="str">
        <f t="shared" si="2"/>
        <v/>
      </c>
      <c r="H32" s="116">
        <f t="shared" si="3"/>
        <v>0</v>
      </c>
      <c r="I32" s="116"/>
      <c r="J32" s="109">
        <f>试算平衡表!I82</f>
        <v>0</v>
      </c>
      <c r="K32" s="116">
        <f t="shared" si="4"/>
        <v>0</v>
      </c>
      <c r="L32" s="109">
        <f t="shared" si="6"/>
        <v>0</v>
      </c>
      <c r="M32" s="113" t="str">
        <f t="shared" si="7"/>
        <v/>
      </c>
      <c r="N32" s="113" t="str">
        <f t="shared" si="8"/>
        <v/>
      </c>
      <c r="O32" s="111"/>
      <c r="P32" s="1201"/>
    </row>
    <row r="33" spans="1:16">
      <c r="A33" s="1202" t="s">
        <v>4394</v>
      </c>
      <c r="B33" s="109">
        <f>试算平衡表!N83</f>
        <v>0</v>
      </c>
      <c r="C33" s="116">
        <f t="shared" si="0"/>
        <v>0</v>
      </c>
      <c r="D33" s="109">
        <f>试算平衡表!E83</f>
        <v>0</v>
      </c>
      <c r="E33" s="116">
        <f t="shared" si="1"/>
        <v>0</v>
      </c>
      <c r="F33" s="109">
        <f t="shared" si="5"/>
        <v>0</v>
      </c>
      <c r="G33" s="116" t="str">
        <f t="shared" si="2"/>
        <v/>
      </c>
      <c r="H33" s="116">
        <f t="shared" si="3"/>
        <v>0</v>
      </c>
      <c r="I33" s="116"/>
      <c r="J33" s="109">
        <f>试算平衡表!I83</f>
        <v>0</v>
      </c>
      <c r="K33" s="116">
        <f t="shared" si="4"/>
        <v>0</v>
      </c>
      <c r="L33" s="109">
        <f t="shared" si="6"/>
        <v>0</v>
      </c>
      <c r="M33" s="113" t="str">
        <f t="shared" si="7"/>
        <v/>
      </c>
      <c r="N33" s="113" t="str">
        <f t="shared" si="8"/>
        <v/>
      </c>
      <c r="O33" s="111"/>
      <c r="P33" s="1201"/>
    </row>
    <row r="34" spans="1:16">
      <c r="A34" s="1202" t="s">
        <v>4395</v>
      </c>
      <c r="B34" s="109">
        <f>试算平衡表!N84</f>
        <v>0</v>
      </c>
      <c r="C34" s="116">
        <f t="shared" si="0"/>
        <v>0</v>
      </c>
      <c r="D34" s="109">
        <f>试算平衡表!E84</f>
        <v>0</v>
      </c>
      <c r="E34" s="116">
        <f t="shared" si="1"/>
        <v>0</v>
      </c>
      <c r="F34" s="109">
        <f t="shared" si="5"/>
        <v>0</v>
      </c>
      <c r="G34" s="116" t="str">
        <f t="shared" si="2"/>
        <v/>
      </c>
      <c r="H34" s="116">
        <f t="shared" si="3"/>
        <v>0</v>
      </c>
      <c r="I34" s="116"/>
      <c r="J34" s="109">
        <f>试算平衡表!I84</f>
        <v>0</v>
      </c>
      <c r="K34" s="116">
        <f t="shared" si="4"/>
        <v>0</v>
      </c>
      <c r="L34" s="109">
        <f t="shared" si="6"/>
        <v>0</v>
      </c>
      <c r="M34" s="113" t="str">
        <f t="shared" si="7"/>
        <v/>
      </c>
      <c r="N34" s="113" t="str">
        <f t="shared" si="8"/>
        <v/>
      </c>
      <c r="O34" s="111"/>
      <c r="P34" s="1201"/>
    </row>
    <row r="35" spans="1:16">
      <c r="A35" s="1346" t="s">
        <v>4776</v>
      </c>
      <c r="B35" s="109">
        <f>试算平衡表!N85</f>
        <v>0</v>
      </c>
      <c r="C35" s="116">
        <f t="shared" si="0"/>
        <v>0</v>
      </c>
      <c r="D35" s="109">
        <f>试算平衡表!E85</f>
        <v>0</v>
      </c>
      <c r="E35" s="116">
        <f t="shared" si="1"/>
        <v>0</v>
      </c>
      <c r="F35" s="109">
        <f>D35-$B35</f>
        <v>0</v>
      </c>
      <c r="G35" s="116" t="str">
        <f>IF($B35=0,"",F35/$B35)</f>
        <v/>
      </c>
      <c r="H35" s="116">
        <f t="shared" si="3"/>
        <v>0</v>
      </c>
      <c r="I35" s="116"/>
      <c r="J35" s="109">
        <f>试算平衡表!I85</f>
        <v>0</v>
      </c>
      <c r="K35" s="116">
        <f t="shared" si="4"/>
        <v>0</v>
      </c>
      <c r="L35" s="109">
        <f>J35-$B35</f>
        <v>0</v>
      </c>
      <c r="M35" s="113" t="str">
        <f t="shared" si="7"/>
        <v/>
      </c>
      <c r="N35" s="113" t="str">
        <f t="shared" si="8"/>
        <v/>
      </c>
      <c r="O35" s="111"/>
      <c r="P35" s="1201"/>
    </row>
    <row r="36" spans="1:16">
      <c r="A36" s="530" t="s">
        <v>601</v>
      </c>
      <c r="B36" s="109">
        <f>试算平衡表!N86</f>
        <v>0</v>
      </c>
      <c r="C36" s="116">
        <f t="shared" si="0"/>
        <v>0</v>
      </c>
      <c r="D36" s="109">
        <f>试算平衡表!E86</f>
        <v>0</v>
      </c>
      <c r="E36" s="116">
        <f t="shared" si="1"/>
        <v>0</v>
      </c>
      <c r="F36" s="109">
        <f t="shared" si="5"/>
        <v>0</v>
      </c>
      <c r="G36" s="116" t="str">
        <f t="shared" si="2"/>
        <v/>
      </c>
      <c r="H36" s="116">
        <f t="shared" si="3"/>
        <v>0</v>
      </c>
      <c r="I36" s="116"/>
      <c r="J36" s="109">
        <f>试算平衡表!I86</f>
        <v>0</v>
      </c>
      <c r="K36" s="116">
        <f t="shared" si="4"/>
        <v>0</v>
      </c>
      <c r="L36" s="109">
        <f t="shared" si="6"/>
        <v>0</v>
      </c>
      <c r="M36" s="113" t="str">
        <f t="shared" si="7"/>
        <v/>
      </c>
      <c r="N36" s="113" t="str">
        <f t="shared" si="8"/>
        <v/>
      </c>
      <c r="O36" s="111"/>
      <c r="P36" s="1201"/>
    </row>
    <row r="37" spans="1:16">
      <c r="A37" s="1202" t="s">
        <v>4396</v>
      </c>
      <c r="B37" s="109">
        <f>试算平衡表!N87</f>
        <v>0</v>
      </c>
      <c r="C37" s="116">
        <f t="shared" si="0"/>
        <v>0</v>
      </c>
      <c r="D37" s="109">
        <f>试算平衡表!E87</f>
        <v>0</v>
      </c>
      <c r="E37" s="116">
        <f t="shared" si="1"/>
        <v>0</v>
      </c>
      <c r="F37" s="109">
        <f t="shared" si="5"/>
        <v>0</v>
      </c>
      <c r="G37" s="116" t="str">
        <f t="shared" si="2"/>
        <v/>
      </c>
      <c r="H37" s="116">
        <f t="shared" si="3"/>
        <v>0</v>
      </c>
      <c r="I37" s="116"/>
      <c r="J37" s="109">
        <f>试算平衡表!I87</f>
        <v>0</v>
      </c>
      <c r="K37" s="116">
        <f t="shared" si="4"/>
        <v>0</v>
      </c>
      <c r="L37" s="109">
        <f t="shared" si="6"/>
        <v>0</v>
      </c>
      <c r="M37" s="113" t="str">
        <f t="shared" si="7"/>
        <v/>
      </c>
      <c r="N37" s="113" t="str">
        <f t="shared" si="8"/>
        <v/>
      </c>
      <c r="O37" s="111"/>
      <c r="P37" s="1201"/>
    </row>
    <row r="38" spans="1:16">
      <c r="A38" s="1203" t="s">
        <v>119</v>
      </c>
      <c r="B38" s="109">
        <f>试算平衡表!N88</f>
        <v>1110001.2</v>
      </c>
      <c r="C38" s="116">
        <f t="shared" si="0"/>
        <v>0.1382001823742417</v>
      </c>
      <c r="D38" s="109">
        <f>试算平衡表!E88</f>
        <v>13935.41</v>
      </c>
      <c r="E38" s="116">
        <f t="shared" si="1"/>
        <v>4.7476045156086676E-3</v>
      </c>
      <c r="F38" s="109">
        <f t="shared" si="5"/>
        <v>-1096065.79</v>
      </c>
      <c r="G38" s="116">
        <f t="shared" si="2"/>
        <v>-0.98744559014891164</v>
      </c>
      <c r="H38" s="116">
        <f t="shared" si="3"/>
        <v>0.21505885787028317</v>
      </c>
      <c r="I38" s="116"/>
      <c r="J38" s="109">
        <f>试算平衡表!I88</f>
        <v>524408.01</v>
      </c>
      <c r="K38" s="116">
        <f t="shared" si="4"/>
        <v>6.9722192140250383E-2</v>
      </c>
      <c r="L38" s="109">
        <f t="shared" si="6"/>
        <v>-585593.18999999994</v>
      </c>
      <c r="M38" s="113">
        <f t="shared" si="7"/>
        <v>-0.52756086209636532</v>
      </c>
      <c r="N38" s="113">
        <f t="shared" si="8"/>
        <v>1</v>
      </c>
      <c r="O38" s="111"/>
      <c r="P38" s="1201"/>
    </row>
    <row r="39" spans="1:16">
      <c r="A39" s="1202" t="s">
        <v>120</v>
      </c>
      <c r="B39" s="109">
        <f>试算平衡表!N89</f>
        <v>0</v>
      </c>
      <c r="C39" s="116">
        <f t="shared" si="0"/>
        <v>0</v>
      </c>
      <c r="D39" s="109">
        <f>试算平衡表!E89</f>
        <v>0</v>
      </c>
      <c r="E39" s="116">
        <f t="shared" si="1"/>
        <v>0</v>
      </c>
      <c r="F39" s="109">
        <f t="shared" si="5"/>
        <v>0</v>
      </c>
      <c r="G39" s="116" t="str">
        <f t="shared" si="2"/>
        <v/>
      </c>
      <c r="H39" s="116">
        <f t="shared" si="3"/>
        <v>0</v>
      </c>
      <c r="I39" s="116"/>
      <c r="J39" s="109">
        <f>试算平衡表!I89</f>
        <v>0</v>
      </c>
      <c r="K39" s="116">
        <f t="shared" si="4"/>
        <v>0</v>
      </c>
      <c r="L39" s="109">
        <f t="shared" si="6"/>
        <v>0</v>
      </c>
      <c r="M39" s="113" t="str">
        <f t="shared" si="7"/>
        <v/>
      </c>
      <c r="N39" s="113" t="str">
        <f t="shared" si="8"/>
        <v/>
      </c>
      <c r="O39" s="111"/>
      <c r="P39" s="1201"/>
    </row>
    <row r="40" spans="1:16">
      <c r="A40" s="1202" t="s">
        <v>4397</v>
      </c>
      <c r="B40" s="109">
        <f>试算平衡表!N90</f>
        <v>0</v>
      </c>
      <c r="C40" s="116">
        <f t="shared" si="0"/>
        <v>0</v>
      </c>
      <c r="D40" s="109">
        <f>试算平衡表!E90</f>
        <v>0</v>
      </c>
      <c r="E40" s="116">
        <f t="shared" si="1"/>
        <v>0</v>
      </c>
      <c r="F40" s="109">
        <f t="shared" si="5"/>
        <v>0</v>
      </c>
      <c r="G40" s="116" t="str">
        <f t="shared" si="2"/>
        <v/>
      </c>
      <c r="H40" s="116">
        <f t="shared" si="3"/>
        <v>0</v>
      </c>
      <c r="I40" s="116"/>
      <c r="J40" s="109">
        <f>试算平衡表!I90</f>
        <v>0</v>
      </c>
      <c r="K40" s="116">
        <f t="shared" si="4"/>
        <v>0</v>
      </c>
      <c r="L40" s="109">
        <f t="shared" si="6"/>
        <v>0</v>
      </c>
      <c r="M40" s="113" t="str">
        <f t="shared" si="7"/>
        <v/>
      </c>
      <c r="N40" s="113" t="str">
        <f t="shared" si="8"/>
        <v/>
      </c>
      <c r="O40" s="111"/>
      <c r="P40" s="1201"/>
    </row>
    <row r="41" spans="1:16">
      <c r="A41" s="1202" t="s">
        <v>4398</v>
      </c>
      <c r="B41" s="109">
        <f>试算平衡表!N91</f>
        <v>0</v>
      </c>
      <c r="C41" s="116">
        <f t="shared" si="0"/>
        <v>0</v>
      </c>
      <c r="D41" s="109">
        <f>试算平衡表!E91</f>
        <v>0</v>
      </c>
      <c r="E41" s="116">
        <f t="shared" si="1"/>
        <v>0</v>
      </c>
      <c r="F41" s="109">
        <f t="shared" si="5"/>
        <v>0</v>
      </c>
      <c r="G41" s="116" t="str">
        <f t="shared" si="2"/>
        <v/>
      </c>
      <c r="H41" s="116">
        <f t="shared" si="3"/>
        <v>0</v>
      </c>
      <c r="I41" s="116"/>
      <c r="J41" s="109">
        <f>试算平衡表!I91</f>
        <v>0</v>
      </c>
      <c r="K41" s="116">
        <f t="shared" si="4"/>
        <v>0</v>
      </c>
      <c r="L41" s="109">
        <f t="shared" si="6"/>
        <v>0</v>
      </c>
      <c r="M41" s="113" t="str">
        <f t="shared" si="7"/>
        <v/>
      </c>
      <c r="N41" s="113" t="str">
        <f t="shared" si="8"/>
        <v/>
      </c>
      <c r="O41" s="111"/>
      <c r="P41" s="1201"/>
    </row>
    <row r="42" spans="1:16">
      <c r="A42" s="1202" t="s">
        <v>4399</v>
      </c>
      <c r="B42" s="109">
        <f>试算平衡表!N92</f>
        <v>0</v>
      </c>
      <c r="C42" s="116">
        <f t="shared" si="0"/>
        <v>0</v>
      </c>
      <c r="D42" s="109">
        <f>试算平衡表!E92</f>
        <v>0</v>
      </c>
      <c r="E42" s="116">
        <f t="shared" si="1"/>
        <v>0</v>
      </c>
      <c r="F42" s="109">
        <f t="shared" si="5"/>
        <v>0</v>
      </c>
      <c r="G42" s="116" t="str">
        <f t="shared" si="2"/>
        <v/>
      </c>
      <c r="H42" s="116">
        <f t="shared" si="3"/>
        <v>0</v>
      </c>
      <c r="I42" s="116"/>
      <c r="J42" s="109">
        <f>试算平衡表!I92</f>
        <v>0</v>
      </c>
      <c r="K42" s="116">
        <f t="shared" si="4"/>
        <v>0</v>
      </c>
      <c r="L42" s="109">
        <f t="shared" si="6"/>
        <v>0</v>
      </c>
      <c r="M42" s="113" t="str">
        <f t="shared" si="7"/>
        <v/>
      </c>
      <c r="N42" s="113" t="str">
        <f t="shared" si="8"/>
        <v/>
      </c>
      <c r="O42" s="111"/>
      <c r="P42" s="1201"/>
    </row>
    <row r="43" spans="1:16">
      <c r="A43" s="1202" t="s">
        <v>4400</v>
      </c>
      <c r="B43" s="109">
        <f>试算平衡表!N93</f>
        <v>0</v>
      </c>
      <c r="C43" s="116">
        <f t="shared" ref="C43:C74" si="9">IF($B$81=0,"",B43/B$81)</f>
        <v>0</v>
      </c>
      <c r="D43" s="109">
        <f>试算平衡表!E93</f>
        <v>0</v>
      </c>
      <c r="E43" s="116">
        <f t="shared" ref="E43:E74" si="10">IF($D$81=0,"",D43/D$81)</f>
        <v>0</v>
      </c>
      <c r="F43" s="109">
        <f>D43-$B43</f>
        <v>0</v>
      </c>
      <c r="G43" s="116" t="str">
        <f>IF($B43=0,"",F43/$B43)</f>
        <v/>
      </c>
      <c r="H43" s="116">
        <f t="shared" ref="H43:H74" si="11">IF($L$81=0,"",F43/F$81)</f>
        <v>0</v>
      </c>
      <c r="I43" s="116"/>
      <c r="J43" s="109">
        <f>试算平衡表!I93</f>
        <v>0</v>
      </c>
      <c r="K43" s="116">
        <f t="shared" ref="K43:K74" si="12">IF($J$81=0,"",J43/J$81)</f>
        <v>0</v>
      </c>
      <c r="L43" s="109">
        <f>J43-$B43</f>
        <v>0</v>
      </c>
      <c r="M43" s="113" t="str">
        <f t="shared" si="7"/>
        <v/>
      </c>
      <c r="N43" s="113" t="str">
        <f t="shared" si="8"/>
        <v/>
      </c>
      <c r="O43" s="111"/>
      <c r="P43" s="1201"/>
    </row>
    <row r="44" spans="1:16">
      <c r="A44" s="1202" t="s">
        <v>4401</v>
      </c>
      <c r="B44" s="109">
        <f>试算平衡表!N94</f>
        <v>0</v>
      </c>
      <c r="C44" s="116">
        <f t="shared" si="9"/>
        <v>0</v>
      </c>
      <c r="D44" s="109">
        <f>试算平衡表!E94</f>
        <v>0</v>
      </c>
      <c r="E44" s="116">
        <f t="shared" si="10"/>
        <v>0</v>
      </c>
      <c r="F44" s="109">
        <f t="shared" si="5"/>
        <v>0</v>
      </c>
      <c r="G44" s="116" t="str">
        <f t="shared" si="2"/>
        <v/>
      </c>
      <c r="H44" s="116">
        <f t="shared" si="11"/>
        <v>0</v>
      </c>
      <c r="I44" s="116"/>
      <c r="J44" s="109">
        <f>试算平衡表!I94</f>
        <v>0</v>
      </c>
      <c r="K44" s="116">
        <f t="shared" si="12"/>
        <v>0</v>
      </c>
      <c r="L44" s="109">
        <f t="shared" si="6"/>
        <v>0</v>
      </c>
      <c r="M44" s="113" t="str">
        <f t="shared" si="7"/>
        <v/>
      </c>
      <c r="N44" s="113" t="str">
        <f t="shared" si="8"/>
        <v/>
      </c>
      <c r="O44" s="111"/>
      <c r="P44" s="1201"/>
    </row>
    <row r="45" spans="1:16">
      <c r="A45" s="1202" t="s">
        <v>4402</v>
      </c>
      <c r="B45" s="109">
        <f>试算平衡表!N95</f>
        <v>0</v>
      </c>
      <c r="C45" s="116">
        <f t="shared" si="9"/>
        <v>0</v>
      </c>
      <c r="D45" s="109">
        <f>试算平衡表!E95</f>
        <v>0</v>
      </c>
      <c r="E45" s="116">
        <f t="shared" si="10"/>
        <v>0</v>
      </c>
      <c r="F45" s="109">
        <f t="shared" si="5"/>
        <v>0</v>
      </c>
      <c r="G45" s="116" t="str">
        <f t="shared" si="2"/>
        <v/>
      </c>
      <c r="H45" s="116">
        <f t="shared" si="11"/>
        <v>0</v>
      </c>
      <c r="I45" s="116"/>
      <c r="J45" s="109">
        <f>试算平衡表!I95</f>
        <v>0</v>
      </c>
      <c r="K45" s="116">
        <f t="shared" si="12"/>
        <v>0</v>
      </c>
      <c r="L45" s="109">
        <f t="shared" si="6"/>
        <v>0</v>
      </c>
      <c r="M45" s="113" t="str">
        <f t="shared" si="7"/>
        <v/>
      </c>
      <c r="N45" s="113" t="str">
        <f t="shared" si="8"/>
        <v/>
      </c>
      <c r="O45" s="111"/>
      <c r="P45" s="1201"/>
    </row>
    <row r="46" spans="1:16">
      <c r="A46" s="1202" t="s">
        <v>4403</v>
      </c>
      <c r="B46" s="109">
        <f>试算平衡表!N96</f>
        <v>0</v>
      </c>
      <c r="C46" s="116">
        <f t="shared" si="9"/>
        <v>0</v>
      </c>
      <c r="D46" s="109">
        <f>试算平衡表!E96</f>
        <v>0</v>
      </c>
      <c r="E46" s="116">
        <f t="shared" si="10"/>
        <v>0</v>
      </c>
      <c r="F46" s="109">
        <f>D46-$B46</f>
        <v>0</v>
      </c>
      <c r="G46" s="116" t="str">
        <f>IF($B46=0,"",F46/$B46)</f>
        <v/>
      </c>
      <c r="H46" s="116">
        <f t="shared" si="11"/>
        <v>0</v>
      </c>
      <c r="I46" s="116"/>
      <c r="J46" s="109">
        <f>试算平衡表!I96</f>
        <v>0</v>
      </c>
      <c r="K46" s="116">
        <f t="shared" si="12"/>
        <v>0</v>
      </c>
      <c r="L46" s="109">
        <f>J46-$B46</f>
        <v>0</v>
      </c>
      <c r="M46" s="113" t="str">
        <f t="shared" si="7"/>
        <v/>
      </c>
      <c r="N46" s="113" t="str">
        <f t="shared" si="8"/>
        <v/>
      </c>
      <c r="O46" s="111"/>
      <c r="P46" s="1201"/>
    </row>
    <row r="47" spans="1:16">
      <c r="A47" s="1202" t="s">
        <v>4404</v>
      </c>
      <c r="B47" s="109">
        <f>试算平衡表!N97</f>
        <v>0</v>
      </c>
      <c r="C47" s="116">
        <f t="shared" si="9"/>
        <v>0</v>
      </c>
      <c r="D47" s="109">
        <f>试算平衡表!E97</f>
        <v>0</v>
      </c>
      <c r="E47" s="116">
        <f t="shared" si="10"/>
        <v>0</v>
      </c>
      <c r="F47" s="109">
        <f t="shared" si="5"/>
        <v>0</v>
      </c>
      <c r="G47" s="116" t="str">
        <f t="shared" si="2"/>
        <v/>
      </c>
      <c r="H47" s="116">
        <f t="shared" si="11"/>
        <v>0</v>
      </c>
      <c r="I47" s="116"/>
      <c r="J47" s="109">
        <f>试算平衡表!I97</f>
        <v>0</v>
      </c>
      <c r="K47" s="116">
        <f t="shared" si="12"/>
        <v>0</v>
      </c>
      <c r="L47" s="109">
        <f t="shared" si="6"/>
        <v>0</v>
      </c>
      <c r="M47" s="113" t="str">
        <f t="shared" si="7"/>
        <v/>
      </c>
      <c r="N47" s="113" t="str">
        <f t="shared" si="8"/>
        <v/>
      </c>
      <c r="O47" s="111"/>
      <c r="P47" s="1201"/>
    </row>
    <row r="48" spans="1:16">
      <c r="A48" s="1202" t="s">
        <v>4405</v>
      </c>
      <c r="B48" s="109">
        <f>试算平衡表!N98</f>
        <v>0</v>
      </c>
      <c r="C48" s="116">
        <f t="shared" si="9"/>
        <v>0</v>
      </c>
      <c r="D48" s="109">
        <f>试算平衡表!E98</f>
        <v>0</v>
      </c>
      <c r="E48" s="116">
        <f t="shared" si="10"/>
        <v>0</v>
      </c>
      <c r="F48" s="109">
        <f t="shared" si="5"/>
        <v>0</v>
      </c>
      <c r="G48" s="116" t="str">
        <f t="shared" si="2"/>
        <v/>
      </c>
      <c r="H48" s="116">
        <f t="shared" si="11"/>
        <v>0</v>
      </c>
      <c r="I48" s="116"/>
      <c r="J48" s="109">
        <f>试算平衡表!I98</f>
        <v>0</v>
      </c>
      <c r="K48" s="116">
        <f t="shared" si="12"/>
        <v>0</v>
      </c>
      <c r="L48" s="109">
        <f t="shared" si="6"/>
        <v>0</v>
      </c>
      <c r="M48" s="113" t="str">
        <f t="shared" si="7"/>
        <v/>
      </c>
      <c r="N48" s="113" t="str">
        <f t="shared" si="8"/>
        <v/>
      </c>
      <c r="O48" s="111"/>
      <c r="P48" s="1201"/>
    </row>
    <row r="49" spans="1:16">
      <c r="A49" s="1202" t="s">
        <v>4406</v>
      </c>
      <c r="B49" s="109">
        <f>试算平衡表!N99</f>
        <v>0</v>
      </c>
      <c r="C49" s="116">
        <f t="shared" si="9"/>
        <v>0</v>
      </c>
      <c r="D49" s="109">
        <f>试算平衡表!E99</f>
        <v>0</v>
      </c>
      <c r="E49" s="116">
        <f t="shared" si="10"/>
        <v>0</v>
      </c>
      <c r="F49" s="109">
        <f t="shared" si="5"/>
        <v>0</v>
      </c>
      <c r="G49" s="116" t="str">
        <f t="shared" si="2"/>
        <v/>
      </c>
      <c r="H49" s="116">
        <f t="shared" si="11"/>
        <v>0</v>
      </c>
      <c r="I49" s="116"/>
      <c r="J49" s="109">
        <f>试算平衡表!I99</f>
        <v>0</v>
      </c>
      <c r="K49" s="116">
        <f t="shared" si="12"/>
        <v>0</v>
      </c>
      <c r="L49" s="109">
        <f t="shared" si="6"/>
        <v>0</v>
      </c>
      <c r="M49" s="113" t="str">
        <f t="shared" si="7"/>
        <v/>
      </c>
      <c r="N49" s="113" t="str">
        <f t="shared" si="8"/>
        <v/>
      </c>
      <c r="O49" s="111"/>
      <c r="P49" s="1201"/>
    </row>
    <row r="50" spans="1:16">
      <c r="A50" s="1203" t="s">
        <v>121</v>
      </c>
      <c r="B50" s="109">
        <f>试算平衡表!N100</f>
        <v>0</v>
      </c>
      <c r="C50" s="116">
        <f t="shared" si="9"/>
        <v>0</v>
      </c>
      <c r="D50" s="109">
        <f>试算平衡表!E100</f>
        <v>0</v>
      </c>
      <c r="E50" s="116">
        <f t="shared" si="10"/>
        <v>0</v>
      </c>
      <c r="F50" s="109">
        <f t="shared" si="5"/>
        <v>0</v>
      </c>
      <c r="G50" s="116" t="str">
        <f t="shared" si="2"/>
        <v/>
      </c>
      <c r="H50" s="116">
        <f t="shared" si="11"/>
        <v>0</v>
      </c>
      <c r="I50" s="116"/>
      <c r="J50" s="109">
        <f>试算平衡表!I100</f>
        <v>0</v>
      </c>
      <c r="K50" s="116">
        <f t="shared" si="12"/>
        <v>0</v>
      </c>
      <c r="L50" s="109">
        <f t="shared" si="6"/>
        <v>0</v>
      </c>
      <c r="M50" s="113" t="str">
        <f t="shared" si="7"/>
        <v/>
      </c>
      <c r="N50" s="113" t="str">
        <f t="shared" si="8"/>
        <v/>
      </c>
      <c r="O50" s="111"/>
      <c r="P50" s="1201"/>
    </row>
    <row r="51" spans="1:16">
      <c r="A51" s="1203" t="s">
        <v>122</v>
      </c>
      <c r="B51" s="109">
        <f>试算平衡表!N101</f>
        <v>1110001.2</v>
      </c>
      <c r="C51" s="116">
        <f t="shared" si="9"/>
        <v>0.1382001823742417</v>
      </c>
      <c r="D51" s="109">
        <f>试算平衡表!E101</f>
        <v>13935.41</v>
      </c>
      <c r="E51" s="116">
        <f t="shared" si="10"/>
        <v>4.7476045156086676E-3</v>
      </c>
      <c r="F51" s="109">
        <f t="shared" si="5"/>
        <v>-1096065.79</v>
      </c>
      <c r="G51" s="116">
        <f t="shared" si="2"/>
        <v>-0.98744559014891164</v>
      </c>
      <c r="H51" s="116">
        <f t="shared" si="11"/>
        <v>0.21505885787028317</v>
      </c>
      <c r="I51" s="116"/>
      <c r="J51" s="109">
        <f>试算平衡表!I101</f>
        <v>524408.01</v>
      </c>
      <c r="K51" s="116">
        <f t="shared" si="12"/>
        <v>6.9722192140250383E-2</v>
      </c>
      <c r="L51" s="109">
        <f t="shared" si="6"/>
        <v>-585593.18999999994</v>
      </c>
      <c r="M51" s="113">
        <f t="shared" si="7"/>
        <v>-0.52756086209636532</v>
      </c>
      <c r="N51" s="113">
        <f t="shared" si="8"/>
        <v>1</v>
      </c>
      <c r="O51" s="111"/>
      <c r="P51" s="1201"/>
    </row>
    <row r="52" spans="1:16">
      <c r="A52" s="1202" t="s">
        <v>123</v>
      </c>
      <c r="B52" s="109">
        <f>试算平衡表!N102</f>
        <v>0</v>
      </c>
      <c r="C52" s="116">
        <f t="shared" si="9"/>
        <v>0</v>
      </c>
      <c r="D52" s="109">
        <f>试算平衡表!E102</f>
        <v>0</v>
      </c>
      <c r="E52" s="116">
        <f t="shared" si="10"/>
        <v>0</v>
      </c>
      <c r="F52" s="109">
        <f t="shared" si="5"/>
        <v>0</v>
      </c>
      <c r="G52" s="116" t="str">
        <f t="shared" si="2"/>
        <v/>
      </c>
      <c r="H52" s="116">
        <f t="shared" si="11"/>
        <v>0</v>
      </c>
      <c r="I52" s="116"/>
      <c r="J52" s="109">
        <f>试算平衡表!I102</f>
        <v>0</v>
      </c>
      <c r="K52" s="116">
        <f t="shared" si="12"/>
        <v>0</v>
      </c>
      <c r="L52" s="109">
        <f t="shared" si="6"/>
        <v>0</v>
      </c>
      <c r="M52" s="113" t="str">
        <f>IF(B52=0,"",L52/B52)</f>
        <v/>
      </c>
      <c r="N52" s="113" t="str">
        <f>IF(L52=0,"",L52/$L$80)</f>
        <v/>
      </c>
      <c r="O52" s="111"/>
      <c r="P52" s="1201"/>
    </row>
    <row r="53" spans="1:16">
      <c r="A53" s="1202" t="s">
        <v>4407</v>
      </c>
      <c r="B53" s="109">
        <f>试算平衡表!N103</f>
        <v>10000</v>
      </c>
      <c r="C53" s="116">
        <f t="shared" si="9"/>
        <v>1.2450453420612673E-3</v>
      </c>
      <c r="D53" s="109">
        <f>试算平衡表!E103</f>
        <v>10000</v>
      </c>
      <c r="E53" s="116">
        <f t="shared" si="10"/>
        <v>3.4068638924930573E-3</v>
      </c>
      <c r="F53" s="109">
        <f t="shared" si="5"/>
        <v>0</v>
      </c>
      <c r="G53" s="116">
        <f t="shared" si="2"/>
        <v>0</v>
      </c>
      <c r="H53" s="116">
        <f t="shared" si="11"/>
        <v>0</v>
      </c>
      <c r="I53" s="116"/>
      <c r="J53" s="109">
        <f>试算平衡表!I103</f>
        <v>10000</v>
      </c>
      <c r="K53" s="116">
        <f t="shared" si="12"/>
        <v>1.3295409454224464E-3</v>
      </c>
      <c r="L53" s="109">
        <f t="shared" si="6"/>
        <v>0</v>
      </c>
      <c r="M53" s="113">
        <f t="shared" ref="M53:M80" si="13">IF(B53=0,"",L53/B53)</f>
        <v>0</v>
      </c>
      <c r="N53" s="113" t="str">
        <f t="shared" ref="N53:N80" si="14">IF(L53=0,"",L53/$L$80)</f>
        <v/>
      </c>
      <c r="O53" s="111"/>
      <c r="P53" s="1201"/>
    </row>
    <row r="54" spans="1:16">
      <c r="A54" s="1202" t="s">
        <v>4408</v>
      </c>
      <c r="B54" s="109">
        <f>试算平衡表!N104</f>
        <v>0</v>
      </c>
      <c r="C54" s="116">
        <f t="shared" si="9"/>
        <v>0</v>
      </c>
      <c r="D54" s="109">
        <f>试算平衡表!E104</f>
        <v>0</v>
      </c>
      <c r="E54" s="116">
        <f t="shared" si="10"/>
        <v>0</v>
      </c>
      <c r="F54" s="109">
        <f t="shared" si="5"/>
        <v>0</v>
      </c>
      <c r="G54" s="116" t="str">
        <f t="shared" si="2"/>
        <v/>
      </c>
      <c r="H54" s="116">
        <f t="shared" si="11"/>
        <v>0</v>
      </c>
      <c r="I54" s="116"/>
      <c r="J54" s="109">
        <f>试算平衡表!I104</f>
        <v>0</v>
      </c>
      <c r="K54" s="116">
        <f t="shared" si="12"/>
        <v>0</v>
      </c>
      <c r="L54" s="109">
        <f t="shared" si="6"/>
        <v>0</v>
      </c>
      <c r="M54" s="113" t="str">
        <f t="shared" si="13"/>
        <v/>
      </c>
      <c r="N54" s="113" t="str">
        <f t="shared" si="14"/>
        <v/>
      </c>
      <c r="O54" s="111"/>
      <c r="P54" s="1201"/>
    </row>
    <row r="55" spans="1:16">
      <c r="A55" s="1202" t="s">
        <v>4409</v>
      </c>
      <c r="B55" s="109">
        <f>试算平衡表!N105</f>
        <v>0</v>
      </c>
      <c r="C55" s="116">
        <f t="shared" si="9"/>
        <v>0</v>
      </c>
      <c r="D55" s="109">
        <f>试算平衡表!E105</f>
        <v>0</v>
      </c>
      <c r="E55" s="116">
        <f t="shared" si="10"/>
        <v>0</v>
      </c>
      <c r="F55" s="109">
        <f t="shared" si="5"/>
        <v>0</v>
      </c>
      <c r="G55" s="116" t="str">
        <f t="shared" si="2"/>
        <v/>
      </c>
      <c r="H55" s="116">
        <f t="shared" si="11"/>
        <v>0</v>
      </c>
      <c r="I55" s="116"/>
      <c r="J55" s="109">
        <f>试算平衡表!I105</f>
        <v>0</v>
      </c>
      <c r="K55" s="116">
        <f t="shared" si="12"/>
        <v>0</v>
      </c>
      <c r="L55" s="109">
        <f t="shared" si="6"/>
        <v>0</v>
      </c>
      <c r="M55" s="113" t="str">
        <f t="shared" si="13"/>
        <v/>
      </c>
      <c r="N55" s="113" t="str">
        <f t="shared" si="14"/>
        <v/>
      </c>
      <c r="O55" s="111"/>
      <c r="P55" s="1201"/>
    </row>
    <row r="56" spans="1:16">
      <c r="A56" s="1202" t="s">
        <v>4410</v>
      </c>
      <c r="B56" s="109">
        <f>试算平衡表!N106</f>
        <v>0</v>
      </c>
      <c r="C56" s="116">
        <f t="shared" si="9"/>
        <v>0</v>
      </c>
      <c r="D56" s="109">
        <f>试算平衡表!E106</f>
        <v>0</v>
      </c>
      <c r="E56" s="116">
        <f t="shared" si="10"/>
        <v>0</v>
      </c>
      <c r="F56" s="109">
        <f t="shared" si="5"/>
        <v>0</v>
      </c>
      <c r="G56" s="116" t="str">
        <f t="shared" si="2"/>
        <v/>
      </c>
      <c r="H56" s="116">
        <f t="shared" si="11"/>
        <v>0</v>
      </c>
      <c r="I56" s="116"/>
      <c r="J56" s="109">
        <f>试算平衡表!I106</f>
        <v>0</v>
      </c>
      <c r="K56" s="116">
        <f t="shared" si="12"/>
        <v>0</v>
      </c>
      <c r="L56" s="109">
        <f t="shared" si="6"/>
        <v>0</v>
      </c>
      <c r="M56" s="113" t="str">
        <f t="shared" si="13"/>
        <v/>
      </c>
      <c r="N56" s="113" t="str">
        <f t="shared" si="14"/>
        <v/>
      </c>
      <c r="O56" s="111"/>
      <c r="P56" s="1201"/>
    </row>
    <row r="57" spans="1:16">
      <c r="A57" s="1202" t="s">
        <v>4411</v>
      </c>
      <c r="B57" s="109">
        <f>试算平衡表!N107</f>
        <v>10000</v>
      </c>
      <c r="C57" s="116">
        <f t="shared" si="9"/>
        <v>1.2450453420612673E-3</v>
      </c>
      <c r="D57" s="109">
        <f>试算平衡表!E107</f>
        <v>10000</v>
      </c>
      <c r="E57" s="116">
        <f t="shared" si="10"/>
        <v>3.4068638924930573E-3</v>
      </c>
      <c r="F57" s="109">
        <f t="shared" si="5"/>
        <v>0</v>
      </c>
      <c r="G57" s="116">
        <f t="shared" si="2"/>
        <v>0</v>
      </c>
      <c r="H57" s="116">
        <f t="shared" si="11"/>
        <v>0</v>
      </c>
      <c r="I57" s="116"/>
      <c r="J57" s="109">
        <f>试算平衡表!I107</f>
        <v>10000</v>
      </c>
      <c r="K57" s="116">
        <f t="shared" si="12"/>
        <v>1.3295409454224464E-3</v>
      </c>
      <c r="L57" s="109">
        <f t="shared" si="6"/>
        <v>0</v>
      </c>
      <c r="M57" s="113">
        <f t="shared" si="13"/>
        <v>0</v>
      </c>
      <c r="N57" s="113" t="str">
        <f t="shared" si="14"/>
        <v/>
      </c>
      <c r="O57" s="111"/>
      <c r="P57" s="1201"/>
    </row>
    <row r="58" spans="1:16">
      <c r="A58" s="1202" t="s">
        <v>4412</v>
      </c>
      <c r="B58" s="109">
        <f>试算平衡表!N108</f>
        <v>0</v>
      </c>
      <c r="C58" s="116">
        <f t="shared" si="9"/>
        <v>0</v>
      </c>
      <c r="D58" s="109">
        <f>试算平衡表!E108</f>
        <v>0</v>
      </c>
      <c r="E58" s="116">
        <f t="shared" si="10"/>
        <v>0</v>
      </c>
      <c r="F58" s="109">
        <f t="shared" si="5"/>
        <v>0</v>
      </c>
      <c r="G58" s="116" t="str">
        <f t="shared" si="2"/>
        <v/>
      </c>
      <c r="H58" s="116">
        <f t="shared" si="11"/>
        <v>0</v>
      </c>
      <c r="I58" s="116"/>
      <c r="J58" s="109">
        <f>试算平衡表!I108</f>
        <v>0</v>
      </c>
      <c r="K58" s="116">
        <f t="shared" si="12"/>
        <v>0</v>
      </c>
      <c r="L58" s="109">
        <f t="shared" si="6"/>
        <v>0</v>
      </c>
      <c r="M58" s="113" t="str">
        <f t="shared" si="13"/>
        <v/>
      </c>
      <c r="N58" s="113" t="str">
        <f t="shared" si="14"/>
        <v/>
      </c>
      <c r="O58" s="111"/>
      <c r="P58" s="1201"/>
    </row>
    <row r="59" spans="1:16">
      <c r="A59" s="1202" t="s">
        <v>4413</v>
      </c>
      <c r="B59" s="109">
        <f>试算平衡表!N109</f>
        <v>0</v>
      </c>
      <c r="C59" s="116">
        <f t="shared" si="9"/>
        <v>0</v>
      </c>
      <c r="D59" s="109">
        <f>试算平衡表!E109</f>
        <v>0</v>
      </c>
      <c r="E59" s="116">
        <f t="shared" si="10"/>
        <v>0</v>
      </c>
      <c r="F59" s="109">
        <f t="shared" si="5"/>
        <v>0</v>
      </c>
      <c r="G59" s="116" t="str">
        <f t="shared" si="2"/>
        <v/>
      </c>
      <c r="H59" s="116">
        <f t="shared" si="11"/>
        <v>0</v>
      </c>
      <c r="I59" s="116"/>
      <c r="J59" s="109">
        <f>试算平衡表!I109</f>
        <v>0</v>
      </c>
      <c r="K59" s="116">
        <f t="shared" si="12"/>
        <v>0</v>
      </c>
      <c r="L59" s="109">
        <f t="shared" si="6"/>
        <v>0</v>
      </c>
      <c r="M59" s="113" t="str">
        <f t="shared" si="13"/>
        <v/>
      </c>
      <c r="N59" s="113" t="str">
        <f t="shared" si="14"/>
        <v/>
      </c>
      <c r="O59" s="111"/>
      <c r="P59" s="1201"/>
    </row>
    <row r="60" spans="1:16" ht="12" customHeight="1">
      <c r="A60" s="1202" t="s">
        <v>3945</v>
      </c>
      <c r="B60" s="109">
        <f>试算平衡表!N110</f>
        <v>0</v>
      </c>
      <c r="C60" s="116">
        <f t="shared" si="9"/>
        <v>0</v>
      </c>
      <c r="D60" s="109">
        <f>试算平衡表!E110</f>
        <v>0</v>
      </c>
      <c r="E60" s="116">
        <f t="shared" si="10"/>
        <v>0</v>
      </c>
      <c r="F60" s="109">
        <f t="shared" si="5"/>
        <v>0</v>
      </c>
      <c r="G60" s="116" t="str">
        <f t="shared" si="2"/>
        <v/>
      </c>
      <c r="H60" s="116">
        <f t="shared" si="11"/>
        <v>0</v>
      </c>
      <c r="I60" s="116"/>
      <c r="J60" s="109">
        <f>试算平衡表!I110</f>
        <v>0</v>
      </c>
      <c r="K60" s="116">
        <f t="shared" si="12"/>
        <v>0</v>
      </c>
      <c r="L60" s="109">
        <f t="shared" si="6"/>
        <v>0</v>
      </c>
      <c r="M60" s="113" t="str">
        <f t="shared" si="13"/>
        <v/>
      </c>
      <c r="N60" s="113" t="str">
        <f t="shared" si="14"/>
        <v/>
      </c>
      <c r="O60" s="111"/>
      <c r="P60" s="1201"/>
    </row>
    <row r="61" spans="1:16" ht="12" customHeight="1">
      <c r="A61" s="1202" t="s">
        <v>4414</v>
      </c>
      <c r="B61" s="109">
        <f>试算平衡表!N111</f>
        <v>10000</v>
      </c>
      <c r="C61" s="116">
        <f t="shared" si="9"/>
        <v>1.2450453420612673E-3</v>
      </c>
      <c r="D61" s="109">
        <f>试算平衡表!E111</f>
        <v>10000</v>
      </c>
      <c r="E61" s="116">
        <f t="shared" si="10"/>
        <v>3.4068638924930573E-3</v>
      </c>
      <c r="F61" s="109">
        <f t="shared" si="5"/>
        <v>0</v>
      </c>
      <c r="G61" s="116">
        <f t="shared" si="2"/>
        <v>0</v>
      </c>
      <c r="H61" s="116">
        <f t="shared" si="11"/>
        <v>0</v>
      </c>
      <c r="I61" s="116"/>
      <c r="J61" s="109">
        <f>试算平衡表!I111</f>
        <v>10000</v>
      </c>
      <c r="K61" s="116">
        <f t="shared" si="12"/>
        <v>1.3295409454224464E-3</v>
      </c>
      <c r="L61" s="109">
        <f t="shared" si="6"/>
        <v>0</v>
      </c>
      <c r="M61" s="113">
        <f t="shared" si="13"/>
        <v>0</v>
      </c>
      <c r="N61" s="113" t="str">
        <f t="shared" si="14"/>
        <v/>
      </c>
      <c r="O61" s="111"/>
      <c r="P61" s="1201"/>
    </row>
    <row r="62" spans="1:16" ht="12" customHeight="1">
      <c r="A62" s="1202" t="s">
        <v>4415</v>
      </c>
      <c r="B62" s="109">
        <f>试算平衡表!N112</f>
        <v>0</v>
      </c>
      <c r="C62" s="116">
        <f t="shared" si="9"/>
        <v>0</v>
      </c>
      <c r="D62" s="109">
        <f>试算平衡表!E112</f>
        <v>0</v>
      </c>
      <c r="E62" s="116">
        <f t="shared" si="10"/>
        <v>0</v>
      </c>
      <c r="F62" s="109">
        <f>D62-$B62</f>
        <v>0</v>
      </c>
      <c r="G62" s="116" t="str">
        <f>IF($B62=0,"",F62/$B62)</f>
        <v/>
      </c>
      <c r="H62" s="116">
        <f t="shared" si="11"/>
        <v>0</v>
      </c>
      <c r="I62" s="116"/>
      <c r="J62" s="109">
        <f>试算平衡表!I112</f>
        <v>0</v>
      </c>
      <c r="K62" s="116">
        <f t="shared" si="12"/>
        <v>0</v>
      </c>
      <c r="L62" s="109">
        <f>J62-$B62</f>
        <v>0</v>
      </c>
      <c r="M62" s="113" t="str">
        <f t="shared" si="13"/>
        <v/>
      </c>
      <c r="N62" s="113" t="str">
        <f t="shared" si="14"/>
        <v/>
      </c>
      <c r="O62" s="111"/>
      <c r="P62" s="1201"/>
    </row>
    <row r="63" spans="1:16" ht="12" customHeight="1">
      <c r="A63" s="1202" t="s">
        <v>3951</v>
      </c>
      <c r="B63" s="109">
        <f>试算平衡表!N113</f>
        <v>0</v>
      </c>
      <c r="C63" s="116">
        <f t="shared" si="9"/>
        <v>0</v>
      </c>
      <c r="D63" s="109">
        <f>试算平衡表!E113</f>
        <v>0</v>
      </c>
      <c r="E63" s="116">
        <f t="shared" si="10"/>
        <v>0</v>
      </c>
      <c r="F63" s="109">
        <f>D63-$B63</f>
        <v>0</v>
      </c>
      <c r="G63" s="116" t="str">
        <f>IF($B63=0,"",F63/$B63)</f>
        <v/>
      </c>
      <c r="H63" s="116">
        <f t="shared" si="11"/>
        <v>0</v>
      </c>
      <c r="I63" s="116"/>
      <c r="J63" s="109">
        <f>试算平衡表!I113</f>
        <v>0</v>
      </c>
      <c r="K63" s="116">
        <f t="shared" si="12"/>
        <v>0</v>
      </c>
      <c r="L63" s="109">
        <f>J63-$B63</f>
        <v>0</v>
      </c>
      <c r="M63" s="113" t="str">
        <f t="shared" si="13"/>
        <v/>
      </c>
      <c r="N63" s="113" t="str">
        <f t="shared" si="14"/>
        <v/>
      </c>
      <c r="O63" s="111"/>
      <c r="P63" s="1201"/>
    </row>
    <row r="64" spans="1:16" ht="12" customHeight="1">
      <c r="A64" s="1202" t="s">
        <v>3953</v>
      </c>
      <c r="B64" s="109">
        <f>试算平衡表!N114</f>
        <v>0</v>
      </c>
      <c r="C64" s="116">
        <f t="shared" si="9"/>
        <v>0</v>
      </c>
      <c r="D64" s="109">
        <f>试算平衡表!E114</f>
        <v>0</v>
      </c>
      <c r="E64" s="116">
        <f t="shared" si="10"/>
        <v>0</v>
      </c>
      <c r="F64" s="109">
        <f>D64-$B64</f>
        <v>0</v>
      </c>
      <c r="G64" s="116" t="str">
        <f>IF($B64=0,"",F64/$B64)</f>
        <v/>
      </c>
      <c r="H64" s="116">
        <f t="shared" si="11"/>
        <v>0</v>
      </c>
      <c r="I64" s="116"/>
      <c r="J64" s="109">
        <f>试算平衡表!I114</f>
        <v>0</v>
      </c>
      <c r="K64" s="116">
        <f t="shared" si="12"/>
        <v>0</v>
      </c>
      <c r="L64" s="109">
        <f>J64-$B64</f>
        <v>0</v>
      </c>
      <c r="M64" s="113" t="str">
        <f t="shared" si="13"/>
        <v/>
      </c>
      <c r="N64" s="113" t="str">
        <f t="shared" si="14"/>
        <v/>
      </c>
      <c r="O64" s="111"/>
      <c r="P64" s="1201"/>
    </row>
    <row r="65" spans="1:16">
      <c r="A65" s="1202" t="s">
        <v>3955</v>
      </c>
      <c r="B65" s="109">
        <f>试算平衡表!N115</f>
        <v>0</v>
      </c>
      <c r="C65" s="116">
        <f t="shared" si="9"/>
        <v>0</v>
      </c>
      <c r="D65" s="109">
        <f>试算平衡表!E115</f>
        <v>0</v>
      </c>
      <c r="E65" s="116">
        <f t="shared" si="10"/>
        <v>0</v>
      </c>
      <c r="F65" s="109">
        <f t="shared" si="5"/>
        <v>0</v>
      </c>
      <c r="G65" s="116" t="str">
        <f t="shared" si="2"/>
        <v/>
      </c>
      <c r="H65" s="116">
        <f t="shared" si="11"/>
        <v>0</v>
      </c>
      <c r="I65" s="116"/>
      <c r="J65" s="109">
        <f>试算平衡表!I115</f>
        <v>0</v>
      </c>
      <c r="K65" s="116">
        <f t="shared" si="12"/>
        <v>0</v>
      </c>
      <c r="L65" s="109">
        <f t="shared" si="6"/>
        <v>0</v>
      </c>
      <c r="M65" s="113" t="str">
        <f t="shared" si="13"/>
        <v/>
      </c>
      <c r="N65" s="113" t="str">
        <f t="shared" si="14"/>
        <v/>
      </c>
      <c r="O65" s="111"/>
      <c r="P65" s="1201"/>
    </row>
    <row r="66" spans="1:16">
      <c r="A66" s="1202" t="s">
        <v>3956</v>
      </c>
      <c r="B66" s="109">
        <f>试算平衡表!N116</f>
        <v>0</v>
      </c>
      <c r="C66" s="116">
        <f t="shared" si="9"/>
        <v>0</v>
      </c>
      <c r="D66" s="109">
        <f>试算平衡表!E116</f>
        <v>0</v>
      </c>
      <c r="E66" s="116">
        <f t="shared" si="10"/>
        <v>0</v>
      </c>
      <c r="F66" s="109">
        <f t="shared" si="5"/>
        <v>0</v>
      </c>
      <c r="G66" s="116" t="str">
        <f t="shared" si="2"/>
        <v/>
      </c>
      <c r="H66" s="116">
        <f t="shared" si="11"/>
        <v>0</v>
      </c>
      <c r="I66" s="116"/>
      <c r="J66" s="109">
        <f>试算平衡表!I116</f>
        <v>0</v>
      </c>
      <c r="K66" s="116">
        <f t="shared" si="12"/>
        <v>0</v>
      </c>
      <c r="L66" s="109">
        <f t="shared" si="6"/>
        <v>0</v>
      </c>
      <c r="M66" s="113" t="str">
        <f t="shared" si="13"/>
        <v/>
      </c>
      <c r="N66" s="113" t="str">
        <f t="shared" si="14"/>
        <v/>
      </c>
      <c r="O66" s="111"/>
      <c r="P66" s="1201"/>
    </row>
    <row r="67" spans="1:16">
      <c r="A67" s="1202" t="s">
        <v>4416</v>
      </c>
      <c r="B67" s="109">
        <f>试算平衡表!N117</f>
        <v>0</v>
      </c>
      <c r="C67" s="116">
        <f t="shared" si="9"/>
        <v>0</v>
      </c>
      <c r="D67" s="109">
        <f>试算平衡表!E117</f>
        <v>0</v>
      </c>
      <c r="E67" s="116">
        <f t="shared" si="10"/>
        <v>0</v>
      </c>
      <c r="F67" s="109">
        <f>D67-$B67</f>
        <v>0</v>
      </c>
      <c r="G67" s="116" t="str">
        <f>IF($B67=0,"",F67/$B67)</f>
        <v/>
      </c>
      <c r="H67" s="116">
        <f t="shared" si="11"/>
        <v>0</v>
      </c>
      <c r="I67" s="116"/>
      <c r="J67" s="109">
        <f>试算平衡表!I117</f>
        <v>0</v>
      </c>
      <c r="K67" s="116">
        <f t="shared" si="12"/>
        <v>0</v>
      </c>
      <c r="L67" s="109">
        <f>J67-$B67</f>
        <v>0</v>
      </c>
      <c r="M67" s="113" t="str">
        <f t="shared" si="13"/>
        <v/>
      </c>
      <c r="N67" s="113" t="str">
        <f t="shared" si="14"/>
        <v/>
      </c>
      <c r="O67" s="111"/>
      <c r="P67" s="1201"/>
    </row>
    <row r="68" spans="1:16">
      <c r="A68" s="1202" t="s">
        <v>3960</v>
      </c>
      <c r="B68" s="109">
        <f>试算平衡表!N118</f>
        <v>0</v>
      </c>
      <c r="C68" s="116">
        <f t="shared" si="9"/>
        <v>0</v>
      </c>
      <c r="D68" s="109">
        <f>试算平衡表!E118</f>
        <v>0</v>
      </c>
      <c r="E68" s="116">
        <f t="shared" si="10"/>
        <v>0</v>
      </c>
      <c r="F68" s="109">
        <f>D68-$B68</f>
        <v>0</v>
      </c>
      <c r="G68" s="116" t="str">
        <f>IF($B68=0,"",F68/$B68)</f>
        <v/>
      </c>
      <c r="H68" s="116">
        <f t="shared" si="11"/>
        <v>0</v>
      </c>
      <c r="I68" s="116"/>
      <c r="J68" s="109">
        <f>试算平衡表!I118</f>
        <v>0</v>
      </c>
      <c r="K68" s="116">
        <f t="shared" si="12"/>
        <v>0</v>
      </c>
      <c r="L68" s="109">
        <f>J68-$B68</f>
        <v>0</v>
      </c>
      <c r="M68" s="113" t="str">
        <f t="shared" si="13"/>
        <v/>
      </c>
      <c r="N68" s="113" t="str">
        <f t="shared" si="14"/>
        <v/>
      </c>
      <c r="O68" s="111"/>
      <c r="P68" s="1201"/>
    </row>
    <row r="69" spans="1:16">
      <c r="A69" s="1202" t="s">
        <v>124</v>
      </c>
      <c r="B69" s="109">
        <f>试算平衡表!N119</f>
        <v>0</v>
      </c>
      <c r="C69" s="116">
        <f t="shared" si="9"/>
        <v>0</v>
      </c>
      <c r="D69" s="109">
        <f>试算平衡表!E119</f>
        <v>0</v>
      </c>
      <c r="E69" s="116">
        <f t="shared" si="10"/>
        <v>0</v>
      </c>
      <c r="F69" s="109">
        <f t="shared" si="5"/>
        <v>0</v>
      </c>
      <c r="G69" s="116" t="str">
        <f t="shared" si="2"/>
        <v/>
      </c>
      <c r="H69" s="116">
        <f t="shared" si="11"/>
        <v>0</v>
      </c>
      <c r="I69" s="116"/>
      <c r="J69" s="109">
        <f>试算平衡表!I119</f>
        <v>0</v>
      </c>
      <c r="K69" s="116">
        <f t="shared" si="12"/>
        <v>0</v>
      </c>
      <c r="L69" s="109">
        <f t="shared" si="6"/>
        <v>0</v>
      </c>
      <c r="M69" s="113" t="str">
        <f t="shared" si="13"/>
        <v/>
      </c>
      <c r="N69" s="113" t="str">
        <f t="shared" si="14"/>
        <v/>
      </c>
      <c r="O69" s="111"/>
      <c r="P69" s="1201"/>
    </row>
    <row r="70" spans="1:16">
      <c r="A70" s="1202" t="s">
        <v>4417</v>
      </c>
      <c r="B70" s="109">
        <f>试算平衡表!N120</f>
        <v>3513183.49</v>
      </c>
      <c r="C70" s="116">
        <f t="shared" si="9"/>
        <v>0.4374072740031047</v>
      </c>
      <c r="D70" s="109">
        <f>试算平衡表!E120</f>
        <v>3513183.49</v>
      </c>
      <c r="E70" s="116">
        <f t="shared" si="10"/>
        <v>1.1968937979783745</v>
      </c>
      <c r="F70" s="109">
        <f t="shared" si="5"/>
        <v>0</v>
      </c>
      <c r="G70" s="116">
        <f t="shared" si="2"/>
        <v>0</v>
      </c>
      <c r="H70" s="116">
        <f t="shared" si="11"/>
        <v>0</v>
      </c>
      <c r="I70" s="116"/>
      <c r="J70" s="109">
        <f>试算平衡表!I120</f>
        <v>3513183.49</v>
      </c>
      <c r="K70" s="116">
        <f t="shared" si="12"/>
        <v>0.46709212987371307</v>
      </c>
      <c r="L70" s="109">
        <f t="shared" si="6"/>
        <v>0</v>
      </c>
      <c r="M70" s="113">
        <f t="shared" si="13"/>
        <v>0</v>
      </c>
      <c r="N70" s="113" t="str">
        <f t="shared" si="14"/>
        <v/>
      </c>
      <c r="O70" s="111"/>
      <c r="P70" s="1201"/>
    </row>
    <row r="71" spans="1:16">
      <c r="A71" s="1202" t="s">
        <v>4418</v>
      </c>
      <c r="B71" s="109">
        <f>试算平衡表!N121</f>
        <v>3513183.49</v>
      </c>
      <c r="C71" s="116">
        <f t="shared" si="9"/>
        <v>0.4374072740031047</v>
      </c>
      <c r="D71" s="109">
        <f>试算平衡表!E121</f>
        <v>3513183.49</v>
      </c>
      <c r="E71" s="116">
        <f t="shared" si="10"/>
        <v>1.1968937979783745</v>
      </c>
      <c r="F71" s="109">
        <f t="shared" si="5"/>
        <v>0</v>
      </c>
      <c r="G71" s="116">
        <f t="shared" si="2"/>
        <v>0</v>
      </c>
      <c r="H71" s="116">
        <f t="shared" si="11"/>
        <v>0</v>
      </c>
      <c r="I71" s="116"/>
      <c r="J71" s="109">
        <f>试算平衡表!I121</f>
        <v>3513183.49</v>
      </c>
      <c r="K71" s="116">
        <f t="shared" si="12"/>
        <v>0.46709212987371307</v>
      </c>
      <c r="L71" s="109">
        <f t="shared" si="6"/>
        <v>0</v>
      </c>
      <c r="M71" s="113">
        <f t="shared" si="13"/>
        <v>0</v>
      </c>
      <c r="N71" s="113" t="str">
        <f t="shared" si="14"/>
        <v/>
      </c>
      <c r="O71" s="111"/>
      <c r="P71" s="1201"/>
    </row>
    <row r="72" spans="1:16">
      <c r="A72" s="1202" t="s">
        <v>3277</v>
      </c>
      <c r="B72" s="109">
        <f>试算平衡表!N122</f>
        <v>0</v>
      </c>
      <c r="C72" s="116">
        <f t="shared" si="9"/>
        <v>0</v>
      </c>
      <c r="D72" s="109">
        <f>试算平衡表!E122</f>
        <v>0</v>
      </c>
      <c r="E72" s="116">
        <f t="shared" si="10"/>
        <v>0</v>
      </c>
      <c r="F72" s="109">
        <f t="shared" si="5"/>
        <v>0</v>
      </c>
      <c r="G72" s="116" t="str">
        <f t="shared" si="2"/>
        <v/>
      </c>
      <c r="H72" s="116">
        <f t="shared" si="11"/>
        <v>0</v>
      </c>
      <c r="I72" s="116"/>
      <c r="J72" s="109">
        <f>试算平衡表!I122</f>
        <v>0</v>
      </c>
      <c r="K72" s="116">
        <f t="shared" si="12"/>
        <v>0</v>
      </c>
      <c r="L72" s="109">
        <f t="shared" si="6"/>
        <v>0</v>
      </c>
      <c r="M72" s="113" t="str">
        <f t="shared" si="13"/>
        <v/>
      </c>
      <c r="N72" s="113" t="str">
        <f t="shared" si="14"/>
        <v/>
      </c>
      <c r="O72" s="111"/>
      <c r="P72" s="1201"/>
    </row>
    <row r="73" spans="1:16">
      <c r="A73" s="1202" t="s">
        <v>3294</v>
      </c>
      <c r="B73" s="109">
        <f>试算平衡表!N123</f>
        <v>0</v>
      </c>
      <c r="C73" s="116">
        <f t="shared" si="9"/>
        <v>0</v>
      </c>
      <c r="D73" s="109">
        <f>试算平衡表!E123</f>
        <v>0</v>
      </c>
      <c r="E73" s="116">
        <f t="shared" si="10"/>
        <v>0</v>
      </c>
      <c r="F73" s="109">
        <f t="shared" si="5"/>
        <v>0</v>
      </c>
      <c r="G73" s="116" t="str">
        <f t="shared" si="2"/>
        <v/>
      </c>
      <c r="H73" s="116">
        <f t="shared" si="11"/>
        <v>0</v>
      </c>
      <c r="I73" s="116"/>
      <c r="J73" s="109">
        <f>试算平衡表!I123</f>
        <v>0</v>
      </c>
      <c r="K73" s="116">
        <f t="shared" si="12"/>
        <v>0</v>
      </c>
      <c r="L73" s="109">
        <f t="shared" si="6"/>
        <v>0</v>
      </c>
      <c r="M73" s="113" t="str">
        <f t="shared" si="13"/>
        <v/>
      </c>
      <c r="N73" s="113" t="str">
        <f t="shared" si="14"/>
        <v/>
      </c>
      <c r="O73" s="111"/>
      <c r="P73" s="1201"/>
    </row>
    <row r="74" spans="1:16">
      <c r="A74" s="1202" t="s">
        <v>3278</v>
      </c>
      <c r="B74" s="109">
        <f>试算平衡表!N124</f>
        <v>0</v>
      </c>
      <c r="C74" s="116">
        <f t="shared" si="9"/>
        <v>0</v>
      </c>
      <c r="D74" s="109">
        <f>试算平衡表!E124</f>
        <v>0</v>
      </c>
      <c r="E74" s="116">
        <f t="shared" si="10"/>
        <v>0</v>
      </c>
      <c r="F74" s="109">
        <f t="shared" si="5"/>
        <v>0</v>
      </c>
      <c r="G74" s="116" t="str">
        <f t="shared" si="2"/>
        <v/>
      </c>
      <c r="H74" s="116">
        <f t="shared" si="11"/>
        <v>0</v>
      </c>
      <c r="I74" s="116"/>
      <c r="J74" s="109">
        <f>试算平衡表!I124</f>
        <v>0</v>
      </c>
      <c r="K74" s="116">
        <f t="shared" si="12"/>
        <v>0</v>
      </c>
      <c r="L74" s="109">
        <f t="shared" si="6"/>
        <v>0</v>
      </c>
      <c r="M74" s="113" t="str">
        <f t="shared" si="13"/>
        <v/>
      </c>
      <c r="N74" s="113" t="str">
        <f t="shared" si="14"/>
        <v/>
      </c>
      <c r="O74" s="111"/>
      <c r="P74" s="1201"/>
    </row>
    <row r="75" spans="1:16">
      <c r="A75" s="1202" t="s">
        <v>3279</v>
      </c>
      <c r="B75" s="109">
        <f>试算平衡表!N125</f>
        <v>0</v>
      </c>
      <c r="C75" s="116">
        <f t="shared" ref="C75:C81" si="15">IF($B$81=0,"",B75/B$81)</f>
        <v>0</v>
      </c>
      <c r="D75" s="109">
        <f>试算平衡表!E125</f>
        <v>0</v>
      </c>
      <c r="E75" s="116">
        <f t="shared" ref="E75:E81" si="16">IF($D$81=0,"",D75/D$81)</f>
        <v>0</v>
      </c>
      <c r="F75" s="109">
        <f t="shared" si="5"/>
        <v>0</v>
      </c>
      <c r="G75" s="116" t="str">
        <f t="shared" si="2"/>
        <v/>
      </c>
      <c r="H75" s="116">
        <f t="shared" ref="H75:H81" si="17">IF($L$81=0,"",F75/F$81)</f>
        <v>0</v>
      </c>
      <c r="I75" s="116"/>
      <c r="J75" s="109">
        <f>试算平衡表!I125</f>
        <v>0</v>
      </c>
      <c r="K75" s="116">
        <f t="shared" ref="K75:K81" si="18">IF($J$81=0,"",J75/J$81)</f>
        <v>0</v>
      </c>
      <c r="L75" s="109">
        <f t="shared" si="6"/>
        <v>0</v>
      </c>
      <c r="M75" s="113" t="str">
        <f t="shared" si="13"/>
        <v/>
      </c>
      <c r="N75" s="113" t="str">
        <f t="shared" si="14"/>
        <v/>
      </c>
      <c r="O75" s="111"/>
      <c r="P75" s="1201"/>
    </row>
    <row r="76" spans="1:16">
      <c r="A76" s="1202" t="s">
        <v>4419</v>
      </c>
      <c r="B76" s="109">
        <f>试算平衡表!N126</f>
        <v>0</v>
      </c>
      <c r="C76" s="116">
        <f t="shared" si="15"/>
        <v>0</v>
      </c>
      <c r="D76" s="109">
        <f>试算平衡表!E126</f>
        <v>0</v>
      </c>
      <c r="E76" s="116">
        <f t="shared" si="16"/>
        <v>0</v>
      </c>
      <c r="F76" s="109">
        <f t="shared" si="5"/>
        <v>0</v>
      </c>
      <c r="G76" s="116" t="str">
        <f t="shared" si="2"/>
        <v/>
      </c>
      <c r="H76" s="116">
        <f t="shared" si="17"/>
        <v>0</v>
      </c>
      <c r="I76" s="116"/>
      <c r="J76" s="109">
        <f>试算平衡表!I126</f>
        <v>0</v>
      </c>
      <c r="K76" s="116">
        <f t="shared" si="18"/>
        <v>0</v>
      </c>
      <c r="L76" s="109">
        <f t="shared" si="6"/>
        <v>0</v>
      </c>
      <c r="M76" s="113" t="str">
        <f t="shared" si="13"/>
        <v/>
      </c>
      <c r="N76" s="113" t="str">
        <f t="shared" si="14"/>
        <v/>
      </c>
      <c r="O76" s="111"/>
      <c r="P76" s="1201"/>
    </row>
    <row r="77" spans="1:16">
      <c r="A77" s="1202" t="s">
        <v>4420</v>
      </c>
      <c r="B77" s="109">
        <f>试算平衡表!N127</f>
        <v>3398651.31</v>
      </c>
      <c r="C77" s="116">
        <f t="shared" si="15"/>
        <v>0.42314749828059239</v>
      </c>
      <c r="D77" s="109">
        <f>试算平衡表!E127</f>
        <v>-601868.09</v>
      </c>
      <c r="E77" s="116">
        <f t="shared" si="16"/>
        <v>-0.20504826638647616</v>
      </c>
      <c r="F77" s="109">
        <f t="shared" si="5"/>
        <v>-4000519.4</v>
      </c>
      <c r="G77" s="116">
        <f t="shared" si="2"/>
        <v>-1.1770902734943998</v>
      </c>
      <c r="H77" s="116">
        <f t="shared" si="17"/>
        <v>0.78494114212971688</v>
      </c>
      <c r="I77" s="116"/>
      <c r="J77" s="109">
        <f>试算平衡表!I127</f>
        <v>3473801.5300000007</v>
      </c>
      <c r="K77" s="116">
        <f t="shared" si="18"/>
        <v>0.46185613704061423</v>
      </c>
      <c r="L77" s="109">
        <f t="shared" si="6"/>
        <v>75150.220000000671</v>
      </c>
      <c r="M77" s="113">
        <f t="shared" si="13"/>
        <v>2.2111777038992763E-2</v>
      </c>
      <c r="N77" s="113">
        <f t="shared" si="14"/>
        <v>1</v>
      </c>
      <c r="O77" s="111"/>
      <c r="P77" s="1201"/>
    </row>
    <row r="78" spans="1:16">
      <c r="A78" s="1203" t="s">
        <v>125</v>
      </c>
      <c r="B78" s="109">
        <f>试算平衡表!N128</f>
        <v>6921834.7999999998</v>
      </c>
      <c r="C78" s="116">
        <f t="shared" si="15"/>
        <v>0.8617998176257583</v>
      </c>
      <c r="D78" s="109">
        <f>试算平衡表!E128</f>
        <v>2921315.4</v>
      </c>
      <c r="E78" s="116">
        <f t="shared" si="16"/>
        <v>0.99525239548439126</v>
      </c>
      <c r="F78" s="109">
        <f t="shared" si="5"/>
        <v>-4000519.4</v>
      </c>
      <c r="G78" s="116">
        <f t="shared" si="2"/>
        <v>-0.57795649789272641</v>
      </c>
      <c r="H78" s="116">
        <f t="shared" si="17"/>
        <v>0.78494114212971688</v>
      </c>
      <c r="I78" s="116"/>
      <c r="J78" s="109">
        <f>试算平衡表!I128</f>
        <v>6996985.0200000005</v>
      </c>
      <c r="K78" s="116">
        <f t="shared" si="18"/>
        <v>0.93027780785974967</v>
      </c>
      <c r="L78" s="109">
        <f t="shared" si="6"/>
        <v>75150.220000000671</v>
      </c>
      <c r="M78" s="113">
        <f t="shared" si="13"/>
        <v>1.0856979712951352E-2</v>
      </c>
      <c r="N78" s="113">
        <f t="shared" si="14"/>
        <v>1</v>
      </c>
      <c r="O78" s="111"/>
      <c r="P78" s="1201"/>
    </row>
    <row r="79" spans="1:16">
      <c r="A79" s="1202" t="s">
        <v>126</v>
      </c>
      <c r="B79" s="109">
        <f>试算平衡表!N129</f>
        <v>0</v>
      </c>
      <c r="C79" s="116">
        <f t="shared" si="15"/>
        <v>0</v>
      </c>
      <c r="D79" s="109">
        <f>试算平衡表!E129</f>
        <v>0</v>
      </c>
      <c r="E79" s="116">
        <f t="shared" si="16"/>
        <v>0</v>
      </c>
      <c r="F79" s="109">
        <f t="shared" si="5"/>
        <v>0</v>
      </c>
      <c r="G79" s="116" t="str">
        <f t="shared" si="2"/>
        <v/>
      </c>
      <c r="H79" s="116">
        <f t="shared" si="17"/>
        <v>0</v>
      </c>
      <c r="I79" s="116"/>
      <c r="J79" s="109">
        <f>试算平衡表!I129</f>
        <v>0</v>
      </c>
      <c r="K79" s="116">
        <f t="shared" si="18"/>
        <v>0</v>
      </c>
      <c r="L79" s="109">
        <f t="shared" si="6"/>
        <v>0</v>
      </c>
      <c r="M79" s="113" t="str">
        <f t="shared" si="13"/>
        <v/>
      </c>
      <c r="N79" s="113" t="str">
        <f t="shared" si="14"/>
        <v/>
      </c>
      <c r="O79" s="111"/>
      <c r="P79" s="1201"/>
    </row>
    <row r="80" spans="1:16">
      <c r="A80" s="1203" t="s">
        <v>127</v>
      </c>
      <c r="B80" s="109">
        <f>试算平衡表!N130</f>
        <v>6921834.7999999998</v>
      </c>
      <c r="C80" s="116">
        <f t="shared" si="15"/>
        <v>0.8617998176257583</v>
      </c>
      <c r="D80" s="109">
        <f>试算平衡表!E130</f>
        <v>2921315.4</v>
      </c>
      <c r="E80" s="116">
        <f t="shared" si="16"/>
        <v>0.99525239548439126</v>
      </c>
      <c r="F80" s="109">
        <f t="shared" si="5"/>
        <v>-4000519.4</v>
      </c>
      <c r="G80" s="116">
        <f t="shared" si="2"/>
        <v>-0.57795649789272641</v>
      </c>
      <c r="H80" s="116">
        <f t="shared" si="17"/>
        <v>0.78494114212971688</v>
      </c>
      <c r="I80" s="116"/>
      <c r="J80" s="109">
        <f>试算平衡表!I130</f>
        <v>6996985.0200000005</v>
      </c>
      <c r="K80" s="116">
        <f t="shared" si="18"/>
        <v>0.93027780785974967</v>
      </c>
      <c r="L80" s="109">
        <f t="shared" si="6"/>
        <v>75150.220000000671</v>
      </c>
      <c r="M80" s="113">
        <f t="shared" si="13"/>
        <v>1.0856979712951352E-2</v>
      </c>
      <c r="N80" s="113">
        <f t="shared" si="14"/>
        <v>1</v>
      </c>
      <c r="O80" s="111"/>
      <c r="P80" s="1201"/>
    </row>
    <row r="81" spans="1:16" ht="13.5" thickBot="1">
      <c r="A81" s="1204" t="s">
        <v>128</v>
      </c>
      <c r="B81" s="1270">
        <f>试算平衡表!N131</f>
        <v>8031836</v>
      </c>
      <c r="C81" s="1270">
        <f t="shared" si="15"/>
        <v>1</v>
      </c>
      <c r="D81" s="1270">
        <f>试算平衡表!E131</f>
        <v>2935250.81</v>
      </c>
      <c r="E81" s="1270">
        <f t="shared" si="16"/>
        <v>1</v>
      </c>
      <c r="F81" s="1270">
        <f t="shared" si="5"/>
        <v>-5096585.1899999995</v>
      </c>
      <c r="G81" s="1270">
        <f t="shared" si="2"/>
        <v>-0.63454796512279377</v>
      </c>
      <c r="H81" s="1270">
        <f t="shared" si="17"/>
        <v>1</v>
      </c>
      <c r="I81" s="1270"/>
      <c r="J81" s="1270">
        <f>试算平衡表!I131</f>
        <v>7521393.0300000003</v>
      </c>
      <c r="K81" s="1270">
        <f t="shared" si="18"/>
        <v>1</v>
      </c>
      <c r="L81" s="1270">
        <f t="shared" si="6"/>
        <v>-510442.96999999974</v>
      </c>
      <c r="M81" s="1270">
        <f>IF($B81=0,"",L81/$B81)</f>
        <v>-6.3552464218641885E-2</v>
      </c>
      <c r="N81" s="1270">
        <f>IF($L$81=0,"",L81/L$81)</f>
        <v>1</v>
      </c>
      <c r="O81" s="1270"/>
      <c r="P81" s="1205"/>
    </row>
    <row r="82" spans="1:16">
      <c r="B82" s="390" t="str">
        <f>IF(B81=资产分析!B58,"",资产分析!B58-负债分析!B81)</f>
        <v/>
      </c>
      <c r="D82" s="390" t="str">
        <f>IF(D81=资产分析!D58,"",资产分析!D58-负债分析!D81)</f>
        <v/>
      </c>
    </row>
    <row r="83" spans="1:16">
      <c r="B83" s="887"/>
    </row>
    <row r="84" spans="1:16">
      <c r="A84" s="1192" t="s">
        <v>1656</v>
      </c>
      <c r="B84" s="887">
        <f t="shared" ref="B84:H84" si="19">SUM(B11:B37)-B23-B24-B25-B27-B38</f>
        <v>0</v>
      </c>
      <c r="C84" s="887">
        <f t="shared" si="19"/>
        <v>0</v>
      </c>
      <c r="D84" s="887">
        <f t="shared" si="19"/>
        <v>0</v>
      </c>
      <c r="E84" s="887">
        <f t="shared" si="19"/>
        <v>0</v>
      </c>
      <c r="F84" s="887">
        <f t="shared" si="19"/>
        <v>0</v>
      </c>
      <c r="G84" s="887" t="e">
        <f t="shared" si="19"/>
        <v>#VALUE!</v>
      </c>
      <c r="H84" s="887">
        <f t="shared" si="19"/>
        <v>0</v>
      </c>
      <c r="I84" s="887"/>
      <c r="J84" s="887">
        <f>SUM(J11:J37)-J23-J24-J25-J27-J38</f>
        <v>0</v>
      </c>
      <c r="K84" s="887">
        <f>SUM(K11:K37)-K23-K24-K25-K27-K38</f>
        <v>0</v>
      </c>
      <c r="L84" s="887">
        <f>SUM(L11:L37)-L23-L24-L25-L27-L38</f>
        <v>0</v>
      </c>
      <c r="M84" s="887" t="e">
        <f>SUM(M11:M37)-M23-M24-M25-M27-M38</f>
        <v>#VALUE!</v>
      </c>
      <c r="N84" s="887" t="e">
        <f>SUM(N11:N37)-N23-N24-N25-N27-N38</f>
        <v>#VALUE!</v>
      </c>
      <c r="O84" s="887"/>
      <c r="P84" s="887"/>
    </row>
    <row r="85" spans="1:16">
      <c r="A85" s="1192" t="s">
        <v>4421</v>
      </c>
      <c r="B85" s="887">
        <f t="shared" ref="B85:H85" si="20">SUM(B40:B48)-B50</f>
        <v>0</v>
      </c>
      <c r="C85" s="887">
        <f t="shared" si="20"/>
        <v>0</v>
      </c>
      <c r="D85" s="887">
        <f t="shared" si="20"/>
        <v>0</v>
      </c>
      <c r="E85" s="887">
        <f t="shared" si="20"/>
        <v>0</v>
      </c>
      <c r="F85" s="887">
        <f t="shared" si="20"/>
        <v>0</v>
      </c>
      <c r="G85" s="887" t="e">
        <f t="shared" si="20"/>
        <v>#VALUE!</v>
      </c>
      <c r="H85" s="887">
        <f t="shared" si="20"/>
        <v>0</v>
      </c>
      <c r="I85" s="887"/>
      <c r="J85" s="887">
        <f>SUM(J40:J48)-J50</f>
        <v>0</v>
      </c>
      <c r="K85" s="887">
        <f>SUM(K40:K48)-K50</f>
        <v>0</v>
      </c>
      <c r="L85" s="887">
        <f>SUM(L40:L48)-L50</f>
        <v>0</v>
      </c>
      <c r="M85" s="887" t="e">
        <f>SUM(M40:M48)-M50</f>
        <v>#VALUE!</v>
      </c>
      <c r="N85" s="887" t="e">
        <f>SUM(N40:N48)-N50</f>
        <v>#VALUE!</v>
      </c>
      <c r="O85" s="887"/>
      <c r="P85" s="887"/>
    </row>
    <row r="86" spans="1:16">
      <c r="A86" s="1192" t="s">
        <v>4422</v>
      </c>
      <c r="B86" s="887">
        <f t="shared" ref="B86:H86" si="21">B51-B50-B38</f>
        <v>0</v>
      </c>
      <c r="C86" s="887">
        <f t="shared" si="21"/>
        <v>0</v>
      </c>
      <c r="D86" s="887">
        <f t="shared" si="21"/>
        <v>0</v>
      </c>
      <c r="E86" s="887">
        <f t="shared" si="21"/>
        <v>0</v>
      </c>
      <c r="F86" s="887">
        <f t="shared" si="21"/>
        <v>0</v>
      </c>
      <c r="G86" s="887" t="e">
        <f t="shared" si="21"/>
        <v>#VALUE!</v>
      </c>
      <c r="H86" s="887">
        <f t="shared" si="21"/>
        <v>0</v>
      </c>
      <c r="I86" s="887"/>
      <c r="J86" s="887">
        <f>J51-J50-J38</f>
        <v>0</v>
      </c>
      <c r="K86" s="887">
        <f>K51-K50-K38</f>
        <v>0</v>
      </c>
      <c r="L86" s="887">
        <f>L51-L50-L38</f>
        <v>0</v>
      </c>
      <c r="M86" s="887" t="e">
        <f>M51-M50-M38</f>
        <v>#VALUE!</v>
      </c>
      <c r="N86" s="887" t="e">
        <f>N51-N50-N38</f>
        <v>#VALUE!</v>
      </c>
      <c r="O86" s="887"/>
      <c r="P86" s="887"/>
    </row>
    <row r="87" spans="1:16">
      <c r="A87" s="1192" t="s">
        <v>4423</v>
      </c>
      <c r="B87" s="887" t="e">
        <f>B78-#REF!-B77-B76-B70-B69-B65-B61</f>
        <v>#REF!</v>
      </c>
      <c r="C87" s="887" t="e">
        <f>C78-#REF!-C77-C76-C70-C69-C65-C61</f>
        <v>#REF!</v>
      </c>
      <c r="D87" s="887" t="e">
        <f>D78-#REF!-D77-D76-D70-D69-D65-D61</f>
        <v>#REF!</v>
      </c>
      <c r="E87" s="887" t="e">
        <f>E78-#REF!-E77-E76-E70-E69-E65-E61</f>
        <v>#REF!</v>
      </c>
      <c r="F87" s="887" t="e">
        <f>F78-#REF!-F77-F76-F70-F69-F65-F61</f>
        <v>#REF!</v>
      </c>
      <c r="G87" s="887" t="e">
        <f>G78-#REF!-G77-G76-G70-G69-G65-G61</f>
        <v>#REF!</v>
      </c>
      <c r="H87" s="887" t="e">
        <f>H78-#REF!-H77-H76-H70-H69-H65-H61</f>
        <v>#REF!</v>
      </c>
      <c r="I87" s="887"/>
      <c r="J87" s="887" t="e">
        <f>J78-#REF!-J77-J76-J70-J69-J65-J61</f>
        <v>#REF!</v>
      </c>
      <c r="K87" s="887" t="e">
        <f>K78-#REF!-K77-K76-K70-K69-K65-K61</f>
        <v>#REF!</v>
      </c>
      <c r="L87" s="887" t="e">
        <f>L78-#REF!-L77-L76-L70-L69-L65-L61</f>
        <v>#REF!</v>
      </c>
      <c r="M87" s="887" t="e">
        <f>M78-#REF!-M77-M76-M70-M69-M65-M61</f>
        <v>#REF!</v>
      </c>
      <c r="N87" s="887" t="e">
        <f>N78-#REF!-N77-N76-N70-N69-N65-N61</f>
        <v>#REF!</v>
      </c>
      <c r="O87" s="887"/>
      <c r="P87" s="887"/>
    </row>
    <row r="88" spans="1:16">
      <c r="A88" s="1192" t="s">
        <v>4424</v>
      </c>
      <c r="B88" s="887">
        <f t="shared" ref="B88:H88" si="22">B81-B80-B51</f>
        <v>0</v>
      </c>
      <c r="C88" s="887">
        <f t="shared" si="22"/>
        <v>0</v>
      </c>
      <c r="D88" s="887">
        <f t="shared" si="22"/>
        <v>1.4915713109076023E-10</v>
      </c>
      <c r="E88" s="887">
        <f t="shared" si="22"/>
        <v>7.1123662515049091E-17</v>
      </c>
      <c r="F88" s="887">
        <f t="shared" si="22"/>
        <v>0</v>
      </c>
      <c r="G88" s="887">
        <f t="shared" si="22"/>
        <v>0.93085412291884428</v>
      </c>
      <c r="H88" s="887">
        <f t="shared" si="22"/>
        <v>0</v>
      </c>
      <c r="I88" s="887"/>
      <c r="J88" s="887">
        <f>J81-J80-J51</f>
        <v>0</v>
      </c>
      <c r="K88" s="887">
        <f>K81-K80-K51</f>
        <v>0</v>
      </c>
      <c r="L88" s="887">
        <f>L81-L80-L51</f>
        <v>0</v>
      </c>
      <c r="M88" s="887">
        <f>M81-M80-M51</f>
        <v>0.45315141816477211</v>
      </c>
      <c r="N88" s="887">
        <f>N81-N80-N51</f>
        <v>-1</v>
      </c>
      <c r="O88" s="887"/>
      <c r="P88" s="887"/>
    </row>
    <row r="89" spans="1:16">
      <c r="B89" s="887"/>
    </row>
    <row r="90" spans="1:16">
      <c r="B90" s="887"/>
    </row>
  </sheetData>
  <sheetProtection formatCells="0" formatColumns="0" formatRows="0" autoFilter="0"/>
  <mergeCells count="11">
    <mergeCell ref="O7:O8"/>
    <mergeCell ref="J6:O6"/>
    <mergeCell ref="P7:P8"/>
    <mergeCell ref="L7:N7"/>
    <mergeCell ref="A6:A9"/>
    <mergeCell ref="B6:C7"/>
    <mergeCell ref="D7:E7"/>
    <mergeCell ref="F7:H7"/>
    <mergeCell ref="J7:K7"/>
    <mergeCell ref="D6:I6"/>
    <mergeCell ref="I7:I8"/>
  </mergeCells>
  <phoneticPr fontId="5" type="noConversion"/>
  <hyperlinks>
    <hyperlink ref="A5" location="附注填写封面!B3" display="返回目录" xr:uid="{00000000-0004-0000-6E00-000000000000}"/>
  </hyperlinks>
  <printOptions horizontalCentered="1"/>
  <pageMargins left="0.23622047244094491" right="0.23622047244094491" top="0.47244094488188981" bottom="0.19685039370078741" header="0.27559055118110237" footer="0.15748031496062992"/>
  <pageSetup paperSize="9" scale="60" firstPageNumber="4294963191" fitToHeight="3" orientation="landscape" blackAndWhite="1" r:id="rId1"/>
  <headerFooter alignWithMargins="0">
    <oddHeader>&amp;R&amp;F-&amp;A-&amp;P/&amp;N</oddHeader>
    <oddFooter>&amp;C第 &amp;P 页，共 &amp;N 页</oddFooter>
  </headerFooter>
  <extLst>
    <ext xmlns:mx="http://schemas.microsoft.com/office/mac/excel/2008/main" uri="{64002731-A6B0-56B0-2670-7721B7C09600}">
      <mx:PLV Mode="0" OnePage="0" WScale="0"/>
    </ext>
  </extLst>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84">
    <pageSetUpPr autoPageBreaks="0"/>
  </sheetPr>
  <dimension ref="A1:P99"/>
  <sheetViews>
    <sheetView showGridLines="0" showZeros="0" view="pageBreakPreview" zoomScaleSheetLayoutView="100" workbookViewId="0">
      <selection activeCell="B72" sqref="B72:P73"/>
    </sheetView>
  </sheetViews>
  <sheetFormatPr defaultColWidth="9.375" defaultRowHeight="12.75"/>
  <cols>
    <col min="1" max="1" width="35" style="1192" customWidth="1"/>
    <col min="2" max="2" width="14.5" style="1192" customWidth="1"/>
    <col min="3" max="3" width="8.125" style="1192" customWidth="1"/>
    <col min="4" max="4" width="14.5" style="1192" customWidth="1"/>
    <col min="5" max="5" width="7.875" style="1192" customWidth="1"/>
    <col min="6" max="6" width="14.5" style="1192" customWidth="1"/>
    <col min="7" max="7" width="8.125" style="1192" customWidth="1"/>
    <col min="8" max="8" width="9.875" style="1192" customWidth="1"/>
    <col min="9" max="9" width="15" style="1192" customWidth="1"/>
    <col min="10" max="10" width="14.5" style="1192" customWidth="1"/>
    <col min="11" max="11" width="7.875" style="1192" customWidth="1"/>
    <col min="12" max="12" width="14.5" style="1192" customWidth="1"/>
    <col min="13" max="13" width="7.875" style="1192" customWidth="1"/>
    <col min="14" max="14" width="9.125" style="1192" customWidth="1"/>
    <col min="15" max="15" width="15.625" style="1192" customWidth="1"/>
    <col min="16" max="16384" width="9.375" style="1192"/>
  </cols>
  <sheetData>
    <row r="1" spans="1:16" s="1166" customFormat="1" ht="13.5" thickBot="1">
      <c r="A1" s="1162" t="s">
        <v>4146</v>
      </c>
      <c r="B1" s="1163"/>
      <c r="C1" s="1163"/>
      <c r="D1" s="1165"/>
      <c r="E1" s="1165"/>
      <c r="F1" s="1165"/>
      <c r="G1" s="1165"/>
      <c r="H1" s="1165"/>
      <c r="I1" s="1165"/>
    </row>
    <row r="2" spans="1:16" s="1166" customFormat="1">
      <c r="A2" s="1167" t="str">
        <f>负债分析!A2</f>
        <v>被审计单位：华鼎资本（北京）有限公司</v>
      </c>
      <c r="B2" s="1168"/>
      <c r="C2" s="1168"/>
      <c r="D2" s="1168"/>
      <c r="E2" s="1168"/>
      <c r="F2" s="1168"/>
      <c r="G2" s="1168"/>
      <c r="H2" s="1168" t="s">
        <v>2253</v>
      </c>
      <c r="I2" s="1168"/>
      <c r="J2" s="1170" t="s">
        <v>96</v>
      </c>
      <c r="K2" s="1171"/>
      <c r="L2" s="1171" t="s">
        <v>363</v>
      </c>
      <c r="M2" s="1171"/>
      <c r="N2" s="1273">
        <v>1</v>
      </c>
      <c r="O2" s="1172"/>
      <c r="P2" s="1173"/>
    </row>
    <row r="3" spans="1:16" s="1166" customFormat="1">
      <c r="A3" s="1174" t="s">
        <v>4332</v>
      </c>
      <c r="B3" s="1175"/>
      <c r="C3" s="1175"/>
      <c r="D3" s="1175"/>
      <c r="E3" s="1175"/>
      <c r="F3" s="1175"/>
      <c r="G3" s="1175"/>
      <c r="H3" s="1175" t="s">
        <v>2254</v>
      </c>
      <c r="I3" s="1175" t="str">
        <f>资产分析!I3</f>
        <v>王咲晨</v>
      </c>
      <c r="J3" s="1175"/>
      <c r="K3" s="1177"/>
      <c r="L3" s="1178" t="s">
        <v>365</v>
      </c>
      <c r="M3" s="1177">
        <f>资产分析!M3</f>
        <v>0</v>
      </c>
      <c r="N3" s="1274"/>
      <c r="O3" s="1180"/>
      <c r="P3" s="1181"/>
    </row>
    <row r="4" spans="1:16" s="1166" customFormat="1" ht="13.5" thickBot="1">
      <c r="A4" s="1182" t="s">
        <v>4426</v>
      </c>
      <c r="B4" s="1183"/>
      <c r="C4" s="1183"/>
      <c r="D4" s="1183"/>
      <c r="E4" s="1183"/>
      <c r="F4" s="1183"/>
      <c r="G4" s="1183"/>
      <c r="H4" s="1183" t="s">
        <v>2257</v>
      </c>
      <c r="I4" s="1183" t="str">
        <f>资产分析!I4</f>
        <v>逯敏</v>
      </c>
      <c r="J4" s="1183"/>
      <c r="K4" s="1185"/>
      <c r="L4" s="1186" t="s">
        <v>365</v>
      </c>
      <c r="M4" s="1185">
        <f>资产分析!M4</f>
        <v>0</v>
      </c>
      <c r="N4" s="1275"/>
      <c r="O4" s="1188"/>
      <c r="P4" s="1189"/>
    </row>
    <row r="5" spans="1:16" ht="13.5" thickBot="1">
      <c r="A5" s="1190" t="s">
        <v>523</v>
      </c>
      <c r="B5" s="1276"/>
      <c r="C5" s="1276"/>
    </row>
    <row r="6" spans="1:16" s="1194" customFormat="1" ht="14.25" customHeight="1">
      <c r="A6" s="1894" t="s">
        <v>4148</v>
      </c>
      <c r="B6" s="1896" t="s">
        <v>4149</v>
      </c>
      <c r="C6" s="1896"/>
      <c r="D6" s="1899" t="s">
        <v>4150</v>
      </c>
      <c r="E6" s="1899"/>
      <c r="F6" s="1899"/>
      <c r="G6" s="1899"/>
      <c r="H6" s="1899"/>
      <c r="I6" s="1899"/>
      <c r="J6" s="1899" t="s">
        <v>4151</v>
      </c>
      <c r="K6" s="1899"/>
      <c r="L6" s="1899"/>
      <c r="M6" s="1899"/>
      <c r="N6" s="1899"/>
      <c r="O6" s="1262"/>
      <c r="P6" s="1193"/>
    </row>
    <row r="7" spans="1:16" s="1194" customFormat="1">
      <c r="A7" s="1895"/>
      <c r="B7" s="1897"/>
      <c r="C7" s="1897"/>
      <c r="D7" s="1898" t="s">
        <v>4152</v>
      </c>
      <c r="E7" s="1898"/>
      <c r="F7" s="1898" t="s">
        <v>4153</v>
      </c>
      <c r="G7" s="1898"/>
      <c r="H7" s="1898"/>
      <c r="I7" s="1898" t="s">
        <v>4156</v>
      </c>
      <c r="J7" s="1898" t="s">
        <v>4155</v>
      </c>
      <c r="K7" s="1898"/>
      <c r="L7" s="1898" t="s">
        <v>4153</v>
      </c>
      <c r="M7" s="1898"/>
      <c r="N7" s="1898"/>
      <c r="O7" s="1898" t="s">
        <v>4154</v>
      </c>
      <c r="P7" s="1901" t="s">
        <v>4333</v>
      </c>
    </row>
    <row r="8" spans="1:16" s="1194" customFormat="1">
      <c r="A8" s="1895"/>
      <c r="B8" s="1195" t="s">
        <v>857</v>
      </c>
      <c r="C8" s="1197" t="s">
        <v>4158</v>
      </c>
      <c r="D8" s="1195" t="s">
        <v>857</v>
      </c>
      <c r="E8" s="1197" t="s">
        <v>4158</v>
      </c>
      <c r="F8" s="1195" t="s">
        <v>857</v>
      </c>
      <c r="G8" s="1195" t="s">
        <v>4159</v>
      </c>
      <c r="H8" s="1195" t="s">
        <v>4160</v>
      </c>
      <c r="I8" s="1898"/>
      <c r="J8" s="1195" t="s">
        <v>857</v>
      </c>
      <c r="K8" s="1197" t="s">
        <v>4158</v>
      </c>
      <c r="L8" s="1195" t="s">
        <v>857</v>
      </c>
      <c r="M8" s="1195" t="s">
        <v>4159</v>
      </c>
      <c r="N8" s="1195" t="s">
        <v>4160</v>
      </c>
      <c r="O8" s="1898"/>
      <c r="P8" s="1901"/>
    </row>
    <row r="9" spans="1:16" s="1191" customFormat="1">
      <c r="A9" s="1895"/>
      <c r="B9" s="1198">
        <v>1</v>
      </c>
      <c r="C9" s="1198">
        <v>2</v>
      </c>
      <c r="D9" s="1198">
        <v>3</v>
      </c>
      <c r="E9" s="1198">
        <v>4</v>
      </c>
      <c r="F9" s="1198" t="s">
        <v>92</v>
      </c>
      <c r="G9" s="1198" t="s">
        <v>93</v>
      </c>
      <c r="H9" s="1199">
        <v>7</v>
      </c>
      <c r="I9" s="1199"/>
      <c r="J9" s="1198">
        <v>8</v>
      </c>
      <c r="K9" s="1198">
        <v>9</v>
      </c>
      <c r="L9" s="1198" t="s">
        <v>94</v>
      </c>
      <c r="M9" s="1198" t="s">
        <v>95</v>
      </c>
      <c r="N9" s="1199">
        <v>12</v>
      </c>
      <c r="O9" s="1200"/>
      <c r="P9" s="1277"/>
    </row>
    <row r="10" spans="1:16">
      <c r="A10" s="1202" t="s">
        <v>3773</v>
      </c>
      <c r="B10" s="109">
        <f>试算平衡表!N137</f>
        <v>16037735.91</v>
      </c>
      <c r="C10" s="113">
        <f t="shared" ref="C10:C79" si="0">IF($B$10=0,"",B10/B$10)</f>
        <v>1</v>
      </c>
      <c r="D10" s="109">
        <f>试算平衡表!E137</f>
        <v>0</v>
      </c>
      <c r="E10" s="113" t="str">
        <f t="shared" ref="E10:E79" si="1">IF($D$10=0,"",D10/D$10)</f>
        <v/>
      </c>
      <c r="F10" s="109">
        <f>D10-$B10</f>
        <v>-16037735.91</v>
      </c>
      <c r="G10" s="113">
        <f t="shared" ref="G10:G79" si="2">IF($B10=0,"",F10/$B10)</f>
        <v>-1</v>
      </c>
      <c r="H10" s="113">
        <f>IF(F10=0,"",F10/F$10)</f>
        <v>1</v>
      </c>
      <c r="I10" s="113"/>
      <c r="J10" s="109">
        <f>试算平衡表!I137</f>
        <v>4339622.6500000004</v>
      </c>
      <c r="K10" s="113">
        <f t="shared" ref="K10:K79" si="3">IF($J$10=0,"",J10/J$10)</f>
        <v>1</v>
      </c>
      <c r="L10" s="109">
        <f>J10-$B10</f>
        <v>-11698113.26</v>
      </c>
      <c r="M10" s="113">
        <f t="shared" ref="M10:M79" si="4">IF($B10=0,"",L10/$B10)</f>
        <v>-0.72941176520470585</v>
      </c>
      <c r="N10" s="113">
        <f>IF(L10=0,"",L10/L$10)</f>
        <v>1</v>
      </c>
      <c r="O10" s="111"/>
      <c r="P10" s="1201"/>
    </row>
    <row r="11" spans="1:16">
      <c r="A11" s="1202" t="s">
        <v>4334</v>
      </c>
      <c r="B11" s="109">
        <f>试算平衡表!N138</f>
        <v>16037735.91</v>
      </c>
      <c r="C11" s="113">
        <f t="shared" si="0"/>
        <v>1</v>
      </c>
      <c r="D11" s="109">
        <f>试算平衡表!E138</f>
        <v>0</v>
      </c>
      <c r="E11" s="113" t="str">
        <f t="shared" si="1"/>
        <v/>
      </c>
      <c r="F11" s="109">
        <f t="shared" ref="F11:F56" si="5">D11-$B11</f>
        <v>-16037735.91</v>
      </c>
      <c r="G11" s="113">
        <f t="shared" si="2"/>
        <v>-1</v>
      </c>
      <c r="H11" s="113">
        <f t="shared" ref="H11:H56" si="6">IF(F11=0,"",F11/F$10)</f>
        <v>1</v>
      </c>
      <c r="I11" s="113"/>
      <c r="J11" s="109">
        <f>试算平衡表!I138</f>
        <v>4339622.6500000004</v>
      </c>
      <c r="K11" s="113">
        <f t="shared" si="3"/>
        <v>1</v>
      </c>
      <c r="L11" s="109">
        <f t="shared" ref="L11:L29" si="7">J11-$B11</f>
        <v>-11698113.26</v>
      </c>
      <c r="M11" s="113">
        <f t="shared" si="4"/>
        <v>-0.72941176520470585</v>
      </c>
      <c r="N11" s="113">
        <f t="shared" ref="N11:N29" si="8">IF(L11=0,"",L11/L$10)</f>
        <v>1</v>
      </c>
      <c r="O11" s="111"/>
      <c r="P11" s="1201"/>
    </row>
    <row r="12" spans="1:16">
      <c r="A12" s="1202" t="s">
        <v>4335</v>
      </c>
      <c r="B12" s="109">
        <f>试算平衡表!N139</f>
        <v>16037735.91</v>
      </c>
      <c r="C12" s="113">
        <f t="shared" si="0"/>
        <v>1</v>
      </c>
      <c r="D12" s="109">
        <f>试算平衡表!E139</f>
        <v>0</v>
      </c>
      <c r="E12" s="113" t="str">
        <f t="shared" si="1"/>
        <v/>
      </c>
      <c r="F12" s="109">
        <f t="shared" si="5"/>
        <v>-16037735.91</v>
      </c>
      <c r="G12" s="113">
        <f t="shared" si="2"/>
        <v>-1</v>
      </c>
      <c r="H12" s="113">
        <f t="shared" si="6"/>
        <v>1</v>
      </c>
      <c r="I12" s="113"/>
      <c r="J12" s="109">
        <f>试算平衡表!I139</f>
        <v>4339622.6500000004</v>
      </c>
      <c r="K12" s="113">
        <f t="shared" si="3"/>
        <v>1</v>
      </c>
      <c r="L12" s="109">
        <f t="shared" si="7"/>
        <v>-11698113.26</v>
      </c>
      <c r="M12" s="113">
        <f t="shared" si="4"/>
        <v>-0.72941176520470585</v>
      </c>
      <c r="N12" s="113">
        <f t="shared" si="8"/>
        <v>1</v>
      </c>
      <c r="O12" s="111"/>
      <c r="P12" s="1201"/>
    </row>
    <row r="13" spans="1:16">
      <c r="A13" s="1202" t="s">
        <v>4336</v>
      </c>
      <c r="B13" s="109">
        <f>试算平衡表!N140</f>
        <v>0</v>
      </c>
      <c r="C13" s="113">
        <f t="shared" si="0"/>
        <v>0</v>
      </c>
      <c r="D13" s="109">
        <f>试算平衡表!E140</f>
        <v>0</v>
      </c>
      <c r="E13" s="113" t="str">
        <f t="shared" si="1"/>
        <v/>
      </c>
      <c r="F13" s="109">
        <f t="shared" si="5"/>
        <v>0</v>
      </c>
      <c r="G13" s="113" t="str">
        <f t="shared" si="2"/>
        <v/>
      </c>
      <c r="H13" s="113" t="str">
        <f t="shared" si="6"/>
        <v/>
      </c>
      <c r="I13" s="113"/>
      <c r="J13" s="109">
        <f>试算平衡表!I140</f>
        <v>0</v>
      </c>
      <c r="K13" s="113">
        <f t="shared" si="3"/>
        <v>0</v>
      </c>
      <c r="L13" s="109">
        <f t="shared" si="7"/>
        <v>0</v>
      </c>
      <c r="M13" s="113" t="str">
        <f t="shared" si="4"/>
        <v/>
      </c>
      <c r="N13" s="113" t="str">
        <f t="shared" si="8"/>
        <v/>
      </c>
      <c r="O13" s="111"/>
      <c r="P13" s="1201"/>
    </row>
    <row r="14" spans="1:16">
      <c r="A14" s="1202" t="s">
        <v>129</v>
      </c>
      <c r="B14" s="109">
        <f>试算平衡表!N141</f>
        <v>0</v>
      </c>
      <c r="C14" s="113">
        <f t="shared" si="0"/>
        <v>0</v>
      </c>
      <c r="D14" s="109">
        <f>试算平衡表!E141</f>
        <v>0</v>
      </c>
      <c r="E14" s="113" t="str">
        <f t="shared" si="1"/>
        <v/>
      </c>
      <c r="F14" s="109">
        <f t="shared" si="5"/>
        <v>0</v>
      </c>
      <c r="G14" s="113" t="str">
        <f t="shared" si="2"/>
        <v/>
      </c>
      <c r="H14" s="113" t="str">
        <f t="shared" si="6"/>
        <v/>
      </c>
      <c r="I14" s="113"/>
      <c r="J14" s="109">
        <f>试算平衡表!I141</f>
        <v>0</v>
      </c>
      <c r="K14" s="113">
        <f t="shared" si="3"/>
        <v>0</v>
      </c>
      <c r="L14" s="109">
        <f t="shared" si="7"/>
        <v>0</v>
      </c>
      <c r="M14" s="113" t="str">
        <f t="shared" si="4"/>
        <v/>
      </c>
      <c r="N14" s="113" t="str">
        <f t="shared" si="8"/>
        <v/>
      </c>
      <c r="O14" s="111"/>
      <c r="P14" s="1201"/>
    </row>
    <row r="15" spans="1:16">
      <c r="A15" s="1202" t="s">
        <v>130</v>
      </c>
      <c r="B15" s="109">
        <f>试算平衡表!N142</f>
        <v>0</v>
      </c>
      <c r="C15" s="113">
        <f t="shared" si="0"/>
        <v>0</v>
      </c>
      <c r="D15" s="109">
        <f>试算平衡表!E142</f>
        <v>0</v>
      </c>
      <c r="E15" s="113" t="str">
        <f t="shared" si="1"/>
        <v/>
      </c>
      <c r="F15" s="109">
        <f t="shared" si="5"/>
        <v>0</v>
      </c>
      <c r="G15" s="113" t="str">
        <f t="shared" si="2"/>
        <v/>
      </c>
      <c r="H15" s="113" t="str">
        <f t="shared" si="6"/>
        <v/>
      </c>
      <c r="I15" s="113"/>
      <c r="J15" s="109">
        <f>试算平衡表!I142</f>
        <v>0</v>
      </c>
      <c r="K15" s="113">
        <f t="shared" si="3"/>
        <v>0</v>
      </c>
      <c r="L15" s="109">
        <f t="shared" si="7"/>
        <v>0</v>
      </c>
      <c r="M15" s="113" t="str">
        <f t="shared" si="4"/>
        <v/>
      </c>
      <c r="N15" s="113" t="str">
        <f t="shared" si="8"/>
        <v/>
      </c>
      <c r="O15" s="111"/>
      <c r="P15" s="1201"/>
    </row>
    <row r="16" spans="1:16">
      <c r="A16" s="1202" t="s">
        <v>131</v>
      </c>
      <c r="B16" s="109">
        <f>试算平衡表!N143</f>
        <v>0</v>
      </c>
      <c r="C16" s="113">
        <f t="shared" si="0"/>
        <v>0</v>
      </c>
      <c r="D16" s="109">
        <f>试算平衡表!E143</f>
        <v>0</v>
      </c>
      <c r="E16" s="113" t="str">
        <f t="shared" si="1"/>
        <v/>
      </c>
      <c r="F16" s="109">
        <f t="shared" si="5"/>
        <v>0</v>
      </c>
      <c r="G16" s="113" t="str">
        <f t="shared" si="2"/>
        <v/>
      </c>
      <c r="H16" s="113" t="str">
        <f t="shared" si="6"/>
        <v/>
      </c>
      <c r="I16" s="113"/>
      <c r="J16" s="109">
        <f>试算平衡表!I143</f>
        <v>0</v>
      </c>
      <c r="K16" s="113">
        <f t="shared" si="3"/>
        <v>0</v>
      </c>
      <c r="L16" s="109">
        <f t="shared" si="7"/>
        <v>0</v>
      </c>
      <c r="M16" s="113" t="str">
        <f t="shared" si="4"/>
        <v/>
      </c>
      <c r="N16" s="113" t="str">
        <f t="shared" si="8"/>
        <v/>
      </c>
      <c r="O16" s="111"/>
      <c r="P16" s="1201"/>
    </row>
    <row r="17" spans="1:16">
      <c r="A17" s="1202" t="s">
        <v>3774</v>
      </c>
      <c r="B17" s="109">
        <f>试算平衡表!N144</f>
        <v>11496308.529999999</v>
      </c>
      <c r="C17" s="113">
        <f t="shared" si="0"/>
        <v>0.71682864679369818</v>
      </c>
      <c r="D17" s="109">
        <f>试算平衡表!E144</f>
        <v>3974196.1</v>
      </c>
      <c r="E17" s="113" t="str">
        <f t="shared" si="1"/>
        <v/>
      </c>
      <c r="F17" s="109">
        <f t="shared" si="5"/>
        <v>-7522112.4299999997</v>
      </c>
      <c r="G17" s="113">
        <f t="shared" si="2"/>
        <v>-0.65430676380777331</v>
      </c>
      <c r="H17" s="113">
        <f t="shared" si="6"/>
        <v>0.46902583208829007</v>
      </c>
      <c r="I17" s="113"/>
      <c r="J17" s="109">
        <f>试算平衡表!I144</f>
        <v>4202449.7300000004</v>
      </c>
      <c r="K17" s="113">
        <f t="shared" si="3"/>
        <v>0.96839058806184453</v>
      </c>
      <c r="L17" s="109">
        <f t="shared" si="7"/>
        <v>-7293858.7999999989</v>
      </c>
      <c r="M17" s="113">
        <f t="shared" si="4"/>
        <v>-0.6344522488211265</v>
      </c>
      <c r="N17" s="113">
        <f t="shared" si="8"/>
        <v>0.62350728172040271</v>
      </c>
      <c r="O17" s="111"/>
      <c r="P17" s="1201"/>
    </row>
    <row r="18" spans="1:16">
      <c r="A18" s="1202" t="s">
        <v>4337</v>
      </c>
      <c r="B18" s="109">
        <f>试算平衡表!N145</f>
        <v>0</v>
      </c>
      <c r="C18" s="113">
        <f t="shared" si="0"/>
        <v>0</v>
      </c>
      <c r="D18" s="109">
        <f>试算平衡表!E145</f>
        <v>0</v>
      </c>
      <c r="E18" s="113" t="str">
        <f t="shared" si="1"/>
        <v/>
      </c>
      <c r="F18" s="109">
        <f t="shared" si="5"/>
        <v>0</v>
      </c>
      <c r="G18" s="113" t="str">
        <f t="shared" si="2"/>
        <v/>
      </c>
      <c r="H18" s="113" t="str">
        <f t="shared" si="6"/>
        <v/>
      </c>
      <c r="I18" s="113"/>
      <c r="J18" s="109">
        <f>试算平衡表!I145</f>
        <v>0</v>
      </c>
      <c r="K18" s="113">
        <f t="shared" si="3"/>
        <v>0</v>
      </c>
      <c r="L18" s="109">
        <f t="shared" si="7"/>
        <v>0</v>
      </c>
      <c r="M18" s="113" t="str">
        <f t="shared" si="4"/>
        <v/>
      </c>
      <c r="N18" s="113" t="str">
        <f t="shared" si="8"/>
        <v/>
      </c>
      <c r="O18" s="111"/>
      <c r="P18" s="1201"/>
    </row>
    <row r="19" spans="1:16">
      <c r="A19" s="1202" t="s">
        <v>4338</v>
      </c>
      <c r="B19" s="109">
        <f>试算平衡表!N146</f>
        <v>0</v>
      </c>
      <c r="C19" s="113">
        <f t="shared" si="0"/>
        <v>0</v>
      </c>
      <c r="D19" s="109">
        <f>试算平衡表!E146</f>
        <v>0</v>
      </c>
      <c r="E19" s="113" t="str">
        <f t="shared" si="1"/>
        <v/>
      </c>
      <c r="F19" s="109">
        <f t="shared" si="5"/>
        <v>0</v>
      </c>
      <c r="G19" s="113" t="str">
        <f t="shared" si="2"/>
        <v/>
      </c>
      <c r="H19" s="113" t="str">
        <f t="shared" si="6"/>
        <v/>
      </c>
      <c r="I19" s="113"/>
      <c r="J19" s="109">
        <f>试算平衡表!I146</f>
        <v>0</v>
      </c>
      <c r="K19" s="113">
        <f t="shared" si="3"/>
        <v>0</v>
      </c>
      <c r="L19" s="109">
        <f t="shared" si="7"/>
        <v>0</v>
      </c>
      <c r="M19" s="113" t="str">
        <f t="shared" si="4"/>
        <v/>
      </c>
      <c r="N19" s="113" t="str">
        <f t="shared" si="8"/>
        <v/>
      </c>
      <c r="O19" s="111"/>
      <c r="P19" s="1201"/>
    </row>
    <row r="20" spans="1:16">
      <c r="A20" s="1202" t="s">
        <v>4339</v>
      </c>
      <c r="B20" s="109">
        <f>试算平衡表!N147</f>
        <v>0</v>
      </c>
      <c r="C20" s="113">
        <f t="shared" si="0"/>
        <v>0</v>
      </c>
      <c r="D20" s="109">
        <f>试算平衡表!E147</f>
        <v>0</v>
      </c>
      <c r="E20" s="113" t="str">
        <f t="shared" si="1"/>
        <v/>
      </c>
      <c r="F20" s="109">
        <f t="shared" si="5"/>
        <v>0</v>
      </c>
      <c r="G20" s="113" t="str">
        <f t="shared" si="2"/>
        <v/>
      </c>
      <c r="H20" s="113" t="str">
        <f t="shared" si="6"/>
        <v/>
      </c>
      <c r="I20" s="113"/>
      <c r="J20" s="109">
        <f>试算平衡表!I147</f>
        <v>0</v>
      </c>
      <c r="K20" s="113">
        <f t="shared" si="3"/>
        <v>0</v>
      </c>
      <c r="L20" s="109">
        <f t="shared" si="7"/>
        <v>0</v>
      </c>
      <c r="M20" s="113" t="str">
        <f t="shared" si="4"/>
        <v/>
      </c>
      <c r="N20" s="113" t="str">
        <f t="shared" si="8"/>
        <v/>
      </c>
      <c r="O20" s="111"/>
      <c r="P20" s="1201"/>
    </row>
    <row r="21" spans="1:16">
      <c r="A21" s="1202" t="s">
        <v>164</v>
      </c>
      <c r="B21" s="109">
        <f>试算平衡表!N148</f>
        <v>0</v>
      </c>
      <c r="C21" s="113">
        <f t="shared" si="0"/>
        <v>0</v>
      </c>
      <c r="D21" s="109">
        <f>试算平衡表!E148</f>
        <v>0</v>
      </c>
      <c r="E21" s="113" t="str">
        <f t="shared" si="1"/>
        <v/>
      </c>
      <c r="F21" s="109">
        <f t="shared" si="5"/>
        <v>0</v>
      </c>
      <c r="G21" s="113" t="str">
        <f t="shared" si="2"/>
        <v/>
      </c>
      <c r="H21" s="113" t="str">
        <f t="shared" si="6"/>
        <v/>
      </c>
      <c r="I21" s="113"/>
      <c r="J21" s="109">
        <f>试算平衡表!I148</f>
        <v>0</v>
      </c>
      <c r="K21" s="113">
        <f t="shared" si="3"/>
        <v>0</v>
      </c>
      <c r="L21" s="109">
        <f t="shared" si="7"/>
        <v>0</v>
      </c>
      <c r="M21" s="113" t="str">
        <f t="shared" si="4"/>
        <v/>
      </c>
      <c r="N21" s="113" t="str">
        <f t="shared" si="8"/>
        <v/>
      </c>
      <c r="O21" s="111"/>
      <c r="P21" s="1201"/>
    </row>
    <row r="22" spans="1:16">
      <c r="A22" s="1202" t="s">
        <v>165</v>
      </c>
      <c r="B22" s="109">
        <f>试算平衡表!N149</f>
        <v>0</v>
      </c>
      <c r="C22" s="113">
        <f t="shared" si="0"/>
        <v>0</v>
      </c>
      <c r="D22" s="109">
        <f>试算平衡表!E149</f>
        <v>0</v>
      </c>
      <c r="E22" s="113" t="str">
        <f t="shared" si="1"/>
        <v/>
      </c>
      <c r="F22" s="109">
        <f t="shared" si="5"/>
        <v>0</v>
      </c>
      <c r="G22" s="113" t="str">
        <f t="shared" si="2"/>
        <v/>
      </c>
      <c r="H22" s="113" t="str">
        <f t="shared" si="6"/>
        <v/>
      </c>
      <c r="I22" s="113"/>
      <c r="J22" s="109">
        <f>试算平衡表!I149</f>
        <v>0</v>
      </c>
      <c r="K22" s="113">
        <f t="shared" si="3"/>
        <v>0</v>
      </c>
      <c r="L22" s="109">
        <f t="shared" si="7"/>
        <v>0</v>
      </c>
      <c r="M22" s="113" t="str">
        <f t="shared" si="4"/>
        <v/>
      </c>
      <c r="N22" s="113" t="str">
        <f t="shared" si="8"/>
        <v/>
      </c>
      <c r="O22" s="111"/>
      <c r="P22" s="1201"/>
    </row>
    <row r="23" spans="1:16">
      <c r="A23" s="1202" t="s">
        <v>166</v>
      </c>
      <c r="B23" s="109">
        <f>试算平衡表!N150</f>
        <v>0</v>
      </c>
      <c r="C23" s="113">
        <f t="shared" si="0"/>
        <v>0</v>
      </c>
      <c r="D23" s="109">
        <f>试算平衡表!E150</f>
        <v>0</v>
      </c>
      <c r="E23" s="113" t="str">
        <f t="shared" si="1"/>
        <v/>
      </c>
      <c r="F23" s="109">
        <f t="shared" si="5"/>
        <v>0</v>
      </c>
      <c r="G23" s="113" t="str">
        <f t="shared" si="2"/>
        <v/>
      </c>
      <c r="H23" s="113" t="str">
        <f t="shared" si="6"/>
        <v/>
      </c>
      <c r="I23" s="113"/>
      <c r="J23" s="109">
        <f>试算平衡表!I150</f>
        <v>0</v>
      </c>
      <c r="K23" s="113">
        <f t="shared" si="3"/>
        <v>0</v>
      </c>
      <c r="L23" s="109">
        <f t="shared" si="7"/>
        <v>0</v>
      </c>
      <c r="M23" s="113" t="str">
        <f t="shared" si="4"/>
        <v/>
      </c>
      <c r="N23" s="113" t="str">
        <f t="shared" si="8"/>
        <v/>
      </c>
      <c r="O23" s="111"/>
      <c r="P23" s="1201"/>
    </row>
    <row r="24" spans="1:16">
      <c r="A24" s="1202" t="s">
        <v>167</v>
      </c>
      <c r="B24" s="109">
        <f>试算平衡表!N151</f>
        <v>0</v>
      </c>
      <c r="C24" s="113">
        <f t="shared" si="0"/>
        <v>0</v>
      </c>
      <c r="D24" s="109">
        <f>试算平衡表!E151</f>
        <v>0</v>
      </c>
      <c r="E24" s="113" t="str">
        <f t="shared" si="1"/>
        <v/>
      </c>
      <c r="F24" s="109">
        <f t="shared" si="5"/>
        <v>0</v>
      </c>
      <c r="G24" s="113" t="str">
        <f t="shared" si="2"/>
        <v/>
      </c>
      <c r="H24" s="113" t="str">
        <f t="shared" si="6"/>
        <v/>
      </c>
      <c r="I24" s="113"/>
      <c r="J24" s="109">
        <f>试算平衡表!I151</f>
        <v>0</v>
      </c>
      <c r="K24" s="113">
        <f t="shared" si="3"/>
        <v>0</v>
      </c>
      <c r="L24" s="109">
        <f t="shared" si="7"/>
        <v>0</v>
      </c>
      <c r="M24" s="113" t="str">
        <f t="shared" si="4"/>
        <v/>
      </c>
      <c r="N24" s="113" t="str">
        <f t="shared" si="8"/>
        <v/>
      </c>
      <c r="O24" s="111"/>
      <c r="P24" s="1201"/>
    </row>
    <row r="25" spans="1:16">
      <c r="A25" s="1202" t="s">
        <v>168</v>
      </c>
      <c r="B25" s="109">
        <f>试算平衡表!N152</f>
        <v>0</v>
      </c>
      <c r="C25" s="113">
        <f t="shared" si="0"/>
        <v>0</v>
      </c>
      <c r="D25" s="109">
        <f>试算平衡表!E152</f>
        <v>0</v>
      </c>
      <c r="E25" s="113" t="str">
        <f t="shared" si="1"/>
        <v/>
      </c>
      <c r="F25" s="109">
        <f t="shared" si="5"/>
        <v>0</v>
      </c>
      <c r="G25" s="113" t="str">
        <f t="shared" si="2"/>
        <v/>
      </c>
      <c r="H25" s="113" t="str">
        <f t="shared" si="6"/>
        <v/>
      </c>
      <c r="I25" s="113"/>
      <c r="J25" s="109">
        <f>试算平衡表!I152</f>
        <v>0</v>
      </c>
      <c r="K25" s="113">
        <f t="shared" si="3"/>
        <v>0</v>
      </c>
      <c r="L25" s="109">
        <f t="shared" si="7"/>
        <v>0</v>
      </c>
      <c r="M25" s="113" t="str">
        <f t="shared" si="4"/>
        <v/>
      </c>
      <c r="N25" s="113" t="str">
        <f t="shared" si="8"/>
        <v/>
      </c>
      <c r="O25" s="111"/>
      <c r="P25" s="1201"/>
    </row>
    <row r="26" spans="1:16">
      <c r="A26" s="1202" t="s">
        <v>169</v>
      </c>
      <c r="B26" s="109">
        <f>试算平衡表!N153</f>
        <v>0</v>
      </c>
      <c r="C26" s="113">
        <f t="shared" si="0"/>
        <v>0</v>
      </c>
      <c r="D26" s="109">
        <f>试算平衡表!E153</f>
        <v>0</v>
      </c>
      <c r="E26" s="113" t="str">
        <f t="shared" si="1"/>
        <v/>
      </c>
      <c r="F26" s="109">
        <f t="shared" si="5"/>
        <v>0</v>
      </c>
      <c r="G26" s="113" t="str">
        <f t="shared" si="2"/>
        <v/>
      </c>
      <c r="H26" s="113" t="str">
        <f t="shared" si="6"/>
        <v/>
      </c>
      <c r="I26" s="113"/>
      <c r="J26" s="109">
        <f>试算平衡表!I153</f>
        <v>0</v>
      </c>
      <c r="K26" s="113">
        <f t="shared" si="3"/>
        <v>0</v>
      </c>
      <c r="L26" s="109">
        <f t="shared" si="7"/>
        <v>0</v>
      </c>
      <c r="M26" s="113" t="str">
        <f t="shared" si="4"/>
        <v/>
      </c>
      <c r="N26" s="113" t="str">
        <f t="shared" si="8"/>
        <v/>
      </c>
      <c r="O26" s="111"/>
      <c r="P26" s="1201"/>
    </row>
    <row r="27" spans="1:16">
      <c r="A27" s="1202" t="s">
        <v>170</v>
      </c>
      <c r="B27" s="109">
        <f>试算平衡表!N154</f>
        <v>0</v>
      </c>
      <c r="C27" s="113">
        <f t="shared" si="0"/>
        <v>0</v>
      </c>
      <c r="D27" s="109">
        <f>试算平衡表!E154</f>
        <v>0</v>
      </c>
      <c r="E27" s="113" t="str">
        <f t="shared" si="1"/>
        <v/>
      </c>
      <c r="F27" s="109">
        <f t="shared" si="5"/>
        <v>0</v>
      </c>
      <c r="G27" s="113" t="str">
        <f t="shared" si="2"/>
        <v/>
      </c>
      <c r="H27" s="113" t="str">
        <f t="shared" si="6"/>
        <v/>
      </c>
      <c r="I27" s="113"/>
      <c r="J27" s="109">
        <f>试算平衡表!I154</f>
        <v>0</v>
      </c>
      <c r="K27" s="113">
        <f t="shared" si="3"/>
        <v>0</v>
      </c>
      <c r="L27" s="109">
        <f t="shared" si="7"/>
        <v>0</v>
      </c>
      <c r="M27" s="113" t="str">
        <f t="shared" si="4"/>
        <v/>
      </c>
      <c r="N27" s="113" t="str">
        <f t="shared" si="8"/>
        <v/>
      </c>
      <c r="O27" s="111"/>
      <c r="P27" s="1201"/>
    </row>
    <row r="28" spans="1:16">
      <c r="A28" s="1202" t="s">
        <v>4778</v>
      </c>
      <c r="B28" s="109">
        <f>试算平衡表!N155</f>
        <v>137120.77000000002</v>
      </c>
      <c r="C28" s="113">
        <f t="shared" si="0"/>
        <v>8.5498832733927974E-3</v>
      </c>
      <c r="D28" s="109">
        <f>试算平衡表!E155</f>
        <v>0</v>
      </c>
      <c r="E28" s="113" t="str">
        <f t="shared" si="1"/>
        <v/>
      </c>
      <c r="F28" s="109">
        <f t="shared" si="5"/>
        <v>-137120.77000000002</v>
      </c>
      <c r="G28" s="113">
        <f t="shared" si="2"/>
        <v>-1</v>
      </c>
      <c r="H28" s="113">
        <f t="shared" si="6"/>
        <v>8.5498832733927974E-3</v>
      </c>
      <c r="I28" s="113"/>
      <c r="J28" s="109">
        <f>试算平衡表!I155</f>
        <v>28235.46</v>
      </c>
      <c r="K28" s="113">
        <f t="shared" si="3"/>
        <v>6.5064320742265454E-3</v>
      </c>
      <c r="L28" s="109">
        <f t="shared" si="7"/>
        <v>-108885.31000000003</v>
      </c>
      <c r="M28" s="113">
        <f t="shared" si="4"/>
        <v>-0.79408327418231395</v>
      </c>
      <c r="N28" s="113">
        <f t="shared" si="8"/>
        <v>9.3079377485869915E-3</v>
      </c>
      <c r="O28" s="111"/>
      <c r="P28" s="1201"/>
    </row>
    <row r="29" spans="1:16">
      <c r="A29" s="1202" t="s">
        <v>4340</v>
      </c>
      <c r="B29" s="109">
        <f>试算平衡表!N156</f>
        <v>0</v>
      </c>
      <c r="C29" s="113">
        <f t="shared" si="0"/>
        <v>0</v>
      </c>
      <c r="D29" s="109">
        <f>试算平衡表!E156</f>
        <v>0</v>
      </c>
      <c r="E29" s="113" t="str">
        <f t="shared" si="1"/>
        <v/>
      </c>
      <c r="F29" s="109">
        <f t="shared" si="5"/>
        <v>0</v>
      </c>
      <c r="G29" s="113" t="str">
        <f t="shared" si="2"/>
        <v/>
      </c>
      <c r="H29" s="113" t="str">
        <f t="shared" si="6"/>
        <v/>
      </c>
      <c r="I29" s="113"/>
      <c r="J29" s="109">
        <f>试算平衡表!I156</f>
        <v>0</v>
      </c>
      <c r="K29" s="113">
        <f t="shared" si="3"/>
        <v>0</v>
      </c>
      <c r="L29" s="109">
        <f t="shared" si="7"/>
        <v>0</v>
      </c>
      <c r="M29" s="113" t="str">
        <f t="shared" si="4"/>
        <v/>
      </c>
      <c r="N29" s="113" t="str">
        <f t="shared" si="8"/>
        <v/>
      </c>
      <c r="O29" s="111"/>
      <c r="P29" s="1201"/>
    </row>
    <row r="30" spans="1:16">
      <c r="A30" s="1202" t="s">
        <v>4341</v>
      </c>
      <c r="B30" s="109">
        <f>试算平衡表!N157</f>
        <v>11413792.880000001</v>
      </c>
      <c r="C30" s="113">
        <f t="shared" si="0"/>
        <v>0.71168355334266131</v>
      </c>
      <c r="D30" s="109">
        <f>试算平衡表!E157</f>
        <v>3976574.31</v>
      </c>
      <c r="E30" s="113" t="str">
        <f t="shared" si="1"/>
        <v/>
      </c>
      <c r="F30" s="109">
        <f t="shared" si="5"/>
        <v>-7437218.5700000003</v>
      </c>
      <c r="G30" s="113">
        <f t="shared" si="2"/>
        <v>-0.65159922281680649</v>
      </c>
      <c r="H30" s="113">
        <f t="shared" si="6"/>
        <v>0.46373245024958143</v>
      </c>
      <c r="I30" s="113"/>
      <c r="J30" s="109">
        <f>试算平衡表!I157</f>
        <v>3975191.88</v>
      </c>
      <c r="K30" s="113">
        <f t="shared" si="3"/>
        <v>0.91602247490343414</v>
      </c>
      <c r="L30" s="109">
        <f t="shared" ref="L30:L56" si="9">J30-$B30</f>
        <v>-7438601.0000000009</v>
      </c>
      <c r="M30" s="113">
        <f t="shared" si="4"/>
        <v>-0.65172034206389073</v>
      </c>
      <c r="N30" s="113">
        <f t="shared" ref="N30:N56" si="10">IF(L30=0,"",L30/L$10)</f>
        <v>0.63588040521331057</v>
      </c>
      <c r="O30" s="111"/>
      <c r="P30" s="1201"/>
    </row>
    <row r="31" spans="1:16">
      <c r="A31" s="1202" t="s">
        <v>4342</v>
      </c>
      <c r="B31" s="109">
        <f>试算平衡表!N158</f>
        <v>0</v>
      </c>
      <c r="C31" s="113">
        <f t="shared" si="0"/>
        <v>0</v>
      </c>
      <c r="D31" s="109">
        <f>试算平衡表!E158</f>
        <v>0</v>
      </c>
      <c r="E31" s="113" t="str">
        <f t="shared" si="1"/>
        <v/>
      </c>
      <c r="F31" s="109">
        <f t="shared" si="5"/>
        <v>0</v>
      </c>
      <c r="G31" s="113" t="str">
        <f t="shared" si="2"/>
        <v/>
      </c>
      <c r="H31" s="113" t="str">
        <f t="shared" si="6"/>
        <v/>
      </c>
      <c r="I31" s="113"/>
      <c r="J31" s="109">
        <f>试算平衡表!I158</f>
        <v>0</v>
      </c>
      <c r="K31" s="113">
        <f t="shared" si="3"/>
        <v>0</v>
      </c>
      <c r="L31" s="109">
        <f t="shared" si="9"/>
        <v>0</v>
      </c>
      <c r="M31" s="113" t="str">
        <f t="shared" si="4"/>
        <v/>
      </c>
      <c r="N31" s="113" t="str">
        <f t="shared" si="10"/>
        <v/>
      </c>
      <c r="O31" s="111"/>
      <c r="P31" s="1201"/>
    </row>
    <row r="32" spans="1:16">
      <c r="A32" s="1202" t="s">
        <v>4777</v>
      </c>
      <c r="B32" s="109">
        <f>试算平衡表!N159</f>
        <v>0</v>
      </c>
      <c r="C32" s="113">
        <f t="shared" ref="C32" si="11">IF($B$10=0,"",B32/B$10)</f>
        <v>0</v>
      </c>
      <c r="D32" s="109">
        <f>试算平衡表!E159</f>
        <v>0</v>
      </c>
      <c r="E32" s="113" t="str">
        <f t="shared" ref="E32" si="12">IF($D$10=0,"",D32/D$10)</f>
        <v/>
      </c>
      <c r="F32" s="109">
        <f t="shared" ref="F32" si="13">D32-$B32</f>
        <v>0</v>
      </c>
      <c r="G32" s="113" t="str">
        <f t="shared" ref="G32" si="14">IF($B32=0,"",F32/$B32)</f>
        <v/>
      </c>
      <c r="H32" s="113" t="str">
        <f t="shared" ref="H32" si="15">IF(F32=0,"",F32/F$10)</f>
        <v/>
      </c>
      <c r="I32" s="113"/>
      <c r="J32" s="109">
        <f>试算平衡表!I159</f>
        <v>0</v>
      </c>
      <c r="K32" s="113">
        <f t="shared" ref="K32" si="16">IF($J$10=0,"",J32/J$10)</f>
        <v>0</v>
      </c>
      <c r="L32" s="109">
        <f t="shared" ref="L32" si="17">J32-$B32</f>
        <v>0</v>
      </c>
      <c r="M32" s="113" t="str">
        <f t="shared" ref="M32" si="18">IF($B32=0,"",L32/$B32)</f>
        <v/>
      </c>
      <c r="N32" s="113" t="str">
        <f t="shared" ref="N32" si="19">IF(L32=0,"",L32/L$10)</f>
        <v/>
      </c>
      <c r="O32" s="111"/>
      <c r="P32" s="1201"/>
    </row>
    <row r="33" spans="1:16">
      <c r="A33" s="1202" t="s">
        <v>4343</v>
      </c>
      <c r="B33" s="109">
        <f>试算平衡表!N160</f>
        <v>-64818.3</v>
      </c>
      <c r="C33" s="113">
        <f t="shared" si="0"/>
        <v>-4.0416116317006992E-3</v>
      </c>
      <c r="D33" s="109">
        <f>试算平衡表!E160</f>
        <v>-2378.21</v>
      </c>
      <c r="E33" s="113" t="str">
        <f t="shared" si="1"/>
        <v/>
      </c>
      <c r="F33" s="109">
        <f t="shared" si="5"/>
        <v>62440.090000000004</v>
      </c>
      <c r="G33" s="113">
        <f t="shared" si="2"/>
        <v>-0.9633095900386156</v>
      </c>
      <c r="H33" s="113">
        <f t="shared" si="6"/>
        <v>-3.8933232440289014E-3</v>
      </c>
      <c r="I33" s="113"/>
      <c r="J33" s="109">
        <f>试算平衡表!I160</f>
        <v>-2378.21</v>
      </c>
      <c r="K33" s="113">
        <f t="shared" si="3"/>
        <v>-5.4802230327560852E-4</v>
      </c>
      <c r="L33" s="109">
        <f t="shared" si="9"/>
        <v>62440.090000000004</v>
      </c>
      <c r="M33" s="113">
        <f t="shared" si="4"/>
        <v>-0.9633095900386156</v>
      </c>
      <c r="N33" s="113">
        <f t="shared" si="10"/>
        <v>-5.337620572840992E-3</v>
      </c>
      <c r="O33" s="111"/>
      <c r="P33" s="1201"/>
    </row>
    <row r="34" spans="1:16">
      <c r="A34" s="1202" t="s">
        <v>4344</v>
      </c>
      <c r="B34" s="109">
        <f>试算平衡表!N161</f>
        <v>0</v>
      </c>
      <c r="C34" s="113">
        <f t="shared" si="0"/>
        <v>0</v>
      </c>
      <c r="D34" s="109">
        <f>试算平衡表!E161</f>
        <v>0</v>
      </c>
      <c r="E34" s="113" t="str">
        <f t="shared" si="1"/>
        <v/>
      </c>
      <c r="F34" s="109">
        <f t="shared" si="5"/>
        <v>0</v>
      </c>
      <c r="G34" s="113" t="str">
        <f t="shared" si="2"/>
        <v/>
      </c>
      <c r="H34" s="113" t="str">
        <f t="shared" si="6"/>
        <v/>
      </c>
      <c r="I34" s="113"/>
      <c r="J34" s="109">
        <f>试算平衡表!I161</f>
        <v>0</v>
      </c>
      <c r="K34" s="113">
        <f t="shared" si="3"/>
        <v>0</v>
      </c>
      <c r="L34" s="109">
        <f t="shared" si="9"/>
        <v>0</v>
      </c>
      <c r="M34" s="113" t="str">
        <f t="shared" si="4"/>
        <v/>
      </c>
      <c r="N34" s="113" t="str">
        <f t="shared" si="10"/>
        <v/>
      </c>
      <c r="O34" s="111"/>
      <c r="P34" s="1201"/>
    </row>
    <row r="35" spans="1:16">
      <c r="A35" s="1202" t="s">
        <v>4345</v>
      </c>
      <c r="B35" s="109">
        <f>试算平衡表!N162</f>
        <v>67742.600000000006</v>
      </c>
      <c r="C35" s="113">
        <f t="shared" si="0"/>
        <v>4.2239503368901657E-3</v>
      </c>
      <c r="D35" s="109">
        <f>试算平衡表!E162</f>
        <v>3501.21</v>
      </c>
      <c r="E35" s="113" t="str">
        <f t="shared" si="1"/>
        <v/>
      </c>
      <c r="F35" s="109">
        <f t="shared" si="5"/>
        <v>-64241.390000000007</v>
      </c>
      <c r="G35" s="113">
        <f t="shared" si="2"/>
        <v>-0.94831597842421167</v>
      </c>
      <c r="H35" s="113">
        <f t="shared" si="6"/>
        <v>4.0056395965432758E-3</v>
      </c>
      <c r="I35" s="113"/>
      <c r="J35" s="109">
        <f>试算平衡表!I162</f>
        <v>3501.21</v>
      </c>
      <c r="K35" s="113">
        <f t="shared" si="3"/>
        <v>8.0680056363886842E-4</v>
      </c>
      <c r="L35" s="109">
        <f t="shared" si="9"/>
        <v>-64241.390000000007</v>
      </c>
      <c r="M35" s="113">
        <f t="shared" si="4"/>
        <v>-0.94831597842421167</v>
      </c>
      <c r="N35" s="113">
        <f t="shared" si="10"/>
        <v>5.4916026689247497E-3</v>
      </c>
      <c r="O35" s="111"/>
      <c r="P35" s="1201"/>
    </row>
    <row r="36" spans="1:16">
      <c r="A36" s="1202" t="s">
        <v>4346</v>
      </c>
      <c r="B36" s="109">
        <f>试算平衡表!N163</f>
        <v>0</v>
      </c>
      <c r="C36" s="113">
        <f t="shared" si="0"/>
        <v>0</v>
      </c>
      <c r="D36" s="109">
        <f>试算平衡表!E163</f>
        <v>0</v>
      </c>
      <c r="E36" s="113" t="str">
        <f t="shared" si="1"/>
        <v/>
      </c>
      <c r="F36" s="109">
        <f t="shared" si="5"/>
        <v>0</v>
      </c>
      <c r="G36" s="113" t="str">
        <f t="shared" si="2"/>
        <v/>
      </c>
      <c r="H36" s="113" t="str">
        <f t="shared" si="6"/>
        <v/>
      </c>
      <c r="I36" s="113"/>
      <c r="J36" s="109">
        <f>试算平衡表!I163</f>
        <v>0</v>
      </c>
      <c r="K36" s="113">
        <f t="shared" si="3"/>
        <v>0</v>
      </c>
      <c r="L36" s="109">
        <f t="shared" si="9"/>
        <v>0</v>
      </c>
      <c r="M36" s="113" t="str">
        <f t="shared" si="4"/>
        <v/>
      </c>
      <c r="N36" s="113" t="str">
        <f t="shared" si="10"/>
        <v/>
      </c>
      <c r="O36" s="111"/>
      <c r="P36" s="1201"/>
    </row>
    <row r="37" spans="1:16">
      <c r="A37" s="1202" t="s">
        <v>4347</v>
      </c>
      <c r="B37" s="109">
        <f>试算平衡表!N164</f>
        <v>10213.18</v>
      </c>
      <c r="C37" s="113">
        <f t="shared" si="0"/>
        <v>6.3682180934478301E-4</v>
      </c>
      <c r="D37" s="109">
        <f>试算平衡表!E164</f>
        <v>0</v>
      </c>
      <c r="E37" s="113" t="str">
        <f t="shared" si="1"/>
        <v/>
      </c>
      <c r="F37" s="109">
        <f t="shared" si="5"/>
        <v>-10213.18</v>
      </c>
      <c r="G37" s="113">
        <f t="shared" si="2"/>
        <v>-1</v>
      </c>
      <c r="H37" s="113">
        <f t="shared" si="6"/>
        <v>6.3682180934478301E-4</v>
      </c>
      <c r="I37" s="113"/>
      <c r="J37" s="109">
        <f>试算平衡表!I164</f>
        <v>201400.6</v>
      </c>
      <c r="K37" s="113">
        <f t="shared" si="3"/>
        <v>4.6409703387459277E-2</v>
      </c>
      <c r="L37" s="109">
        <f t="shared" si="9"/>
        <v>191187.42</v>
      </c>
      <c r="M37" s="113">
        <f t="shared" si="4"/>
        <v>18.719675948137603</v>
      </c>
      <c r="N37" s="113">
        <f t="shared" si="10"/>
        <v>-1.6343440668653605E-2</v>
      </c>
      <c r="O37" s="111"/>
      <c r="P37" s="1201"/>
    </row>
    <row r="38" spans="1:16">
      <c r="A38" s="1202" t="s">
        <v>4348</v>
      </c>
      <c r="B38" s="109">
        <f>试算平衡表!N165</f>
        <v>0</v>
      </c>
      <c r="C38" s="113">
        <f t="shared" si="0"/>
        <v>0</v>
      </c>
      <c r="D38" s="109">
        <f>试算平衡表!E165</f>
        <v>0</v>
      </c>
      <c r="E38" s="113" t="str">
        <f t="shared" si="1"/>
        <v/>
      </c>
      <c r="F38" s="109">
        <f t="shared" si="5"/>
        <v>0</v>
      </c>
      <c r="G38" s="113" t="str">
        <f t="shared" si="2"/>
        <v/>
      </c>
      <c r="H38" s="113" t="str">
        <f t="shared" si="6"/>
        <v/>
      </c>
      <c r="I38" s="113"/>
      <c r="J38" s="109">
        <f>试算平衡表!I165</f>
        <v>0</v>
      </c>
      <c r="K38" s="113">
        <f t="shared" si="3"/>
        <v>0</v>
      </c>
      <c r="L38" s="109">
        <f t="shared" si="9"/>
        <v>0</v>
      </c>
      <c r="M38" s="113" t="str">
        <f t="shared" si="4"/>
        <v/>
      </c>
      <c r="N38" s="113" t="str">
        <f t="shared" si="10"/>
        <v/>
      </c>
      <c r="O38" s="111"/>
      <c r="P38" s="1201"/>
    </row>
    <row r="39" spans="1:16">
      <c r="A39" s="1202" t="s">
        <v>4349</v>
      </c>
      <c r="B39" s="109">
        <f>试算平衡表!N166</f>
        <v>0</v>
      </c>
      <c r="C39" s="113">
        <f t="shared" si="0"/>
        <v>0</v>
      </c>
      <c r="D39" s="109">
        <f>试算平衡表!E166</f>
        <v>0</v>
      </c>
      <c r="E39" s="113" t="str">
        <f t="shared" si="1"/>
        <v/>
      </c>
      <c r="F39" s="109">
        <f t="shared" si="5"/>
        <v>0</v>
      </c>
      <c r="G39" s="113" t="str">
        <f t="shared" si="2"/>
        <v/>
      </c>
      <c r="H39" s="113" t="str">
        <f t="shared" si="6"/>
        <v/>
      </c>
      <c r="I39" s="113"/>
      <c r="J39" s="109">
        <f>试算平衡表!I166</f>
        <v>0</v>
      </c>
      <c r="K39" s="113">
        <f t="shared" si="3"/>
        <v>0</v>
      </c>
      <c r="L39" s="109">
        <f t="shared" si="9"/>
        <v>0</v>
      </c>
      <c r="M39" s="113" t="str">
        <f t="shared" si="4"/>
        <v/>
      </c>
      <c r="N39" s="113" t="str">
        <f t="shared" si="10"/>
        <v/>
      </c>
      <c r="O39" s="111"/>
      <c r="P39" s="1201"/>
    </row>
    <row r="40" spans="1:16">
      <c r="A40" s="1202" t="s">
        <v>4350</v>
      </c>
      <c r="B40" s="109">
        <f>试算平衡表!N167</f>
        <v>0</v>
      </c>
      <c r="C40" s="113">
        <f t="shared" si="0"/>
        <v>0</v>
      </c>
      <c r="D40" s="109">
        <f>试算平衡表!E167</f>
        <v>0</v>
      </c>
      <c r="E40" s="113" t="str">
        <f t="shared" si="1"/>
        <v/>
      </c>
      <c r="F40" s="109">
        <f t="shared" si="5"/>
        <v>0</v>
      </c>
      <c r="G40" s="113" t="str">
        <f t="shared" si="2"/>
        <v/>
      </c>
      <c r="H40" s="113" t="str">
        <f t="shared" si="6"/>
        <v/>
      </c>
      <c r="I40" s="113"/>
      <c r="J40" s="109">
        <f>试算平衡表!I167</f>
        <v>0</v>
      </c>
      <c r="K40" s="113">
        <f t="shared" si="3"/>
        <v>0</v>
      </c>
      <c r="L40" s="109">
        <f t="shared" si="9"/>
        <v>0</v>
      </c>
      <c r="M40" s="113" t="str">
        <f t="shared" si="4"/>
        <v/>
      </c>
      <c r="N40" s="113" t="str">
        <f t="shared" si="10"/>
        <v/>
      </c>
      <c r="O40" s="111"/>
      <c r="P40" s="1201"/>
    </row>
    <row r="41" spans="1:16">
      <c r="A41" s="1202" t="s">
        <v>132</v>
      </c>
      <c r="B41" s="109">
        <f>试算平衡表!N168</f>
        <v>0</v>
      </c>
      <c r="C41" s="113">
        <f t="shared" si="0"/>
        <v>0</v>
      </c>
      <c r="D41" s="109">
        <f>试算平衡表!E168</f>
        <v>0</v>
      </c>
      <c r="E41" s="113" t="str">
        <f t="shared" si="1"/>
        <v/>
      </c>
      <c r="F41" s="109">
        <f t="shared" si="5"/>
        <v>0</v>
      </c>
      <c r="G41" s="113" t="str">
        <f t="shared" si="2"/>
        <v/>
      </c>
      <c r="H41" s="113" t="str">
        <f t="shared" si="6"/>
        <v/>
      </c>
      <c r="I41" s="113"/>
      <c r="J41" s="109">
        <f>试算平衡表!I168</f>
        <v>0</v>
      </c>
      <c r="K41" s="113">
        <f t="shared" si="3"/>
        <v>0</v>
      </c>
      <c r="L41" s="109">
        <f t="shared" si="9"/>
        <v>0</v>
      </c>
      <c r="M41" s="113" t="str">
        <f t="shared" si="4"/>
        <v/>
      </c>
      <c r="N41" s="113" t="str">
        <f t="shared" si="10"/>
        <v/>
      </c>
      <c r="O41" s="111"/>
      <c r="P41" s="1201"/>
    </row>
    <row r="42" spans="1:16">
      <c r="A42" s="1202" t="s">
        <v>4779</v>
      </c>
      <c r="B42" s="109">
        <f>试算平衡表!N169</f>
        <v>0</v>
      </c>
      <c r="C42" s="113">
        <f t="shared" ref="C42" si="20">IF($B$10=0,"",B42/B$10)</f>
        <v>0</v>
      </c>
      <c r="D42" s="109">
        <f>试算平衡表!E169</f>
        <v>0</v>
      </c>
      <c r="E42" s="113" t="str">
        <f t="shared" ref="E42" si="21">IF($D$10=0,"",D42/D$10)</f>
        <v/>
      </c>
      <c r="F42" s="109">
        <f t="shared" ref="F42" si="22">D42-$B42</f>
        <v>0</v>
      </c>
      <c r="G42" s="113" t="str">
        <f t="shared" ref="G42" si="23">IF($B42=0,"",F42/$B42)</f>
        <v/>
      </c>
      <c r="H42" s="113" t="str">
        <f t="shared" ref="H42" si="24">IF(F42=0,"",F42/F$10)</f>
        <v/>
      </c>
      <c r="I42" s="113"/>
      <c r="J42" s="109">
        <f>试算平衡表!I169</f>
        <v>0</v>
      </c>
      <c r="K42" s="113">
        <f t="shared" ref="K42" si="25">IF($J$10=0,"",J42/J$10)</f>
        <v>0</v>
      </c>
      <c r="L42" s="109">
        <f t="shared" ref="L42" si="26">J42-$B42</f>
        <v>0</v>
      </c>
      <c r="M42" s="113" t="str">
        <f t="shared" ref="M42" si="27">IF($B42=0,"",L42/$B42)</f>
        <v/>
      </c>
      <c r="N42" s="113" t="str">
        <f t="shared" ref="N42" si="28">IF(L42=0,"",L42/L$10)</f>
        <v/>
      </c>
      <c r="O42" s="111"/>
      <c r="P42" s="1201"/>
    </row>
    <row r="43" spans="1:16">
      <c r="A43" s="1202" t="s">
        <v>4591</v>
      </c>
      <c r="B43" s="109">
        <f>试算平衡表!N171</f>
        <v>0</v>
      </c>
      <c r="C43" s="113">
        <f t="shared" si="0"/>
        <v>0</v>
      </c>
      <c r="D43" s="109">
        <f>试算平衡表!E171</f>
        <v>0</v>
      </c>
      <c r="E43" s="113" t="str">
        <f t="shared" si="1"/>
        <v/>
      </c>
      <c r="F43" s="109">
        <f t="shared" si="5"/>
        <v>0</v>
      </c>
      <c r="G43" s="113" t="str">
        <f t="shared" si="2"/>
        <v/>
      </c>
      <c r="H43" s="113" t="str">
        <f t="shared" si="6"/>
        <v/>
      </c>
      <c r="I43" s="113"/>
      <c r="J43" s="109">
        <f>试算平衡表!I171</f>
        <v>0</v>
      </c>
      <c r="K43" s="113">
        <f t="shared" si="3"/>
        <v>0</v>
      </c>
      <c r="L43" s="109">
        <f t="shared" si="9"/>
        <v>0</v>
      </c>
      <c r="M43" s="113" t="str">
        <f t="shared" si="4"/>
        <v/>
      </c>
      <c r="N43" s="113" t="str">
        <f t="shared" si="10"/>
        <v/>
      </c>
      <c r="O43" s="111"/>
      <c r="P43" s="1201"/>
    </row>
    <row r="44" spans="1:16">
      <c r="A44" s="1202" t="s">
        <v>4351</v>
      </c>
      <c r="B44" s="109">
        <f>试算平衡表!N172</f>
        <v>4541427.38</v>
      </c>
      <c r="C44" s="113">
        <f t="shared" si="0"/>
        <v>0.28317135320630177</v>
      </c>
      <c r="D44" s="109">
        <f>试算平衡表!E172</f>
        <v>-3974196.1</v>
      </c>
      <c r="E44" s="113" t="str">
        <f t="shared" si="1"/>
        <v/>
      </c>
      <c r="F44" s="109">
        <f t="shared" si="5"/>
        <v>-8515623.4800000004</v>
      </c>
      <c r="G44" s="113">
        <f t="shared" si="2"/>
        <v>-1.8750984585819801</v>
      </c>
      <c r="H44" s="113">
        <f t="shared" si="6"/>
        <v>0.53097416791170993</v>
      </c>
      <c r="I44" s="113"/>
      <c r="J44" s="109">
        <f>试算平衡表!I172</f>
        <v>137172.92000000036</v>
      </c>
      <c r="K44" s="113">
        <f t="shared" si="3"/>
        <v>3.1609411938155578E-2</v>
      </c>
      <c r="L44" s="109">
        <f t="shared" si="9"/>
        <v>-4404254.46</v>
      </c>
      <c r="M44" s="113">
        <f t="shared" si="4"/>
        <v>-0.96979519685724891</v>
      </c>
      <c r="N44" s="113">
        <f t="shared" si="10"/>
        <v>0.37649271827959718</v>
      </c>
      <c r="O44" s="111"/>
      <c r="P44" s="1201"/>
    </row>
    <row r="45" spans="1:16">
      <c r="A45" s="1202" t="s">
        <v>292</v>
      </c>
      <c r="B45" s="109">
        <f>试算平衡表!N173</f>
        <v>511678</v>
      </c>
      <c r="C45" s="113">
        <f t="shared" si="0"/>
        <v>3.1904628114056532E-2</v>
      </c>
      <c r="D45" s="109">
        <f>试算平衡表!E173</f>
        <v>0</v>
      </c>
      <c r="E45" s="113" t="str">
        <f t="shared" si="1"/>
        <v/>
      </c>
      <c r="F45" s="109">
        <f t="shared" si="5"/>
        <v>-511678</v>
      </c>
      <c r="G45" s="113">
        <f t="shared" si="2"/>
        <v>-1</v>
      </c>
      <c r="H45" s="113">
        <f t="shared" si="6"/>
        <v>3.1904628114056532E-2</v>
      </c>
      <c r="I45" s="113"/>
      <c r="J45" s="109">
        <f>试算平衡表!I173</f>
        <v>0</v>
      </c>
      <c r="K45" s="113">
        <f t="shared" si="3"/>
        <v>0</v>
      </c>
      <c r="L45" s="109">
        <f t="shared" si="9"/>
        <v>-511678</v>
      </c>
      <c r="M45" s="113">
        <f t="shared" si="4"/>
        <v>-1</v>
      </c>
      <c r="N45" s="113">
        <f t="shared" si="10"/>
        <v>4.3740215932906772E-2</v>
      </c>
      <c r="O45" s="111"/>
      <c r="P45" s="1201"/>
    </row>
    <row r="46" spans="1:16">
      <c r="A46" s="1202" t="s">
        <v>4352</v>
      </c>
      <c r="B46" s="109">
        <f>试算平衡表!N174</f>
        <v>0</v>
      </c>
      <c r="C46" s="113">
        <f t="shared" si="0"/>
        <v>0</v>
      </c>
      <c r="D46" s="109">
        <f>试算平衡表!E174</f>
        <v>0</v>
      </c>
      <c r="E46" s="113" t="str">
        <f t="shared" si="1"/>
        <v/>
      </c>
      <c r="F46" s="109">
        <f t="shared" si="5"/>
        <v>0</v>
      </c>
      <c r="G46" s="113" t="str">
        <f t="shared" si="2"/>
        <v/>
      </c>
      <c r="H46" s="113" t="str">
        <f t="shared" si="6"/>
        <v/>
      </c>
      <c r="I46" s="113"/>
      <c r="J46" s="109">
        <f>试算平衡表!I174</f>
        <v>0</v>
      </c>
      <c r="K46" s="113">
        <f t="shared" si="3"/>
        <v>0</v>
      </c>
      <c r="L46" s="109">
        <f t="shared" si="9"/>
        <v>0</v>
      </c>
      <c r="M46" s="113" t="str">
        <f t="shared" si="4"/>
        <v/>
      </c>
      <c r="N46" s="113" t="str">
        <f t="shared" si="10"/>
        <v/>
      </c>
      <c r="O46" s="111"/>
      <c r="P46" s="1201"/>
    </row>
    <row r="47" spans="1:16">
      <c r="A47" s="1202" t="s">
        <v>4353</v>
      </c>
      <c r="B47" s="109">
        <f>试算平衡表!N175</f>
        <v>0</v>
      </c>
      <c r="C47" s="113">
        <f t="shared" si="0"/>
        <v>0</v>
      </c>
      <c r="D47" s="109">
        <f>试算平衡表!E175</f>
        <v>0</v>
      </c>
      <c r="E47" s="113" t="str">
        <f t="shared" si="1"/>
        <v/>
      </c>
      <c r="F47" s="109">
        <f t="shared" si="5"/>
        <v>0</v>
      </c>
      <c r="G47" s="113" t="str">
        <f t="shared" si="2"/>
        <v/>
      </c>
      <c r="H47" s="113" t="str">
        <f t="shared" si="6"/>
        <v/>
      </c>
      <c r="I47" s="113"/>
      <c r="J47" s="109">
        <f>试算平衡表!I175</f>
        <v>0</v>
      </c>
      <c r="K47" s="113">
        <f t="shared" si="3"/>
        <v>0</v>
      </c>
      <c r="L47" s="109">
        <f t="shared" si="9"/>
        <v>0</v>
      </c>
      <c r="M47" s="113" t="str">
        <f t="shared" si="4"/>
        <v/>
      </c>
      <c r="N47" s="113" t="str">
        <f t="shared" si="10"/>
        <v/>
      </c>
      <c r="O47" s="111"/>
      <c r="P47" s="1201"/>
    </row>
    <row r="48" spans="1:16">
      <c r="A48" s="1202" t="s">
        <v>4354</v>
      </c>
      <c r="B48" s="109">
        <f>试算平衡表!N176</f>
        <v>511678</v>
      </c>
      <c r="C48" s="113">
        <f t="shared" si="0"/>
        <v>3.1904628114056532E-2</v>
      </c>
      <c r="D48" s="109">
        <f>试算平衡表!E176</f>
        <v>0</v>
      </c>
      <c r="E48" s="113" t="str">
        <f t="shared" si="1"/>
        <v/>
      </c>
      <c r="F48" s="109">
        <f t="shared" si="5"/>
        <v>-511678</v>
      </c>
      <c r="G48" s="113">
        <f t="shared" si="2"/>
        <v>-1</v>
      </c>
      <c r="H48" s="113">
        <f t="shared" si="6"/>
        <v>3.1904628114056532E-2</v>
      </c>
      <c r="I48" s="113"/>
      <c r="J48" s="109">
        <f>试算平衡表!I176</f>
        <v>0</v>
      </c>
      <c r="K48" s="113">
        <f t="shared" si="3"/>
        <v>0</v>
      </c>
      <c r="L48" s="109">
        <f t="shared" si="9"/>
        <v>-511678</v>
      </c>
      <c r="M48" s="113">
        <f t="shared" si="4"/>
        <v>-1</v>
      </c>
      <c r="N48" s="113">
        <f t="shared" si="10"/>
        <v>4.3740215932906772E-2</v>
      </c>
      <c r="O48" s="111"/>
      <c r="P48" s="1201"/>
    </row>
    <row r="49" spans="1:16">
      <c r="A49" s="1202" t="s">
        <v>4355</v>
      </c>
      <c r="B49" s="109">
        <f>试算平衡表!N177</f>
        <v>0</v>
      </c>
      <c r="C49" s="113">
        <f t="shared" si="0"/>
        <v>0</v>
      </c>
      <c r="D49" s="109">
        <f>试算平衡表!E177</f>
        <v>0</v>
      </c>
      <c r="E49" s="113" t="str">
        <f t="shared" si="1"/>
        <v/>
      </c>
      <c r="F49" s="109">
        <f t="shared" si="5"/>
        <v>0</v>
      </c>
      <c r="G49" s="113" t="str">
        <f t="shared" si="2"/>
        <v/>
      </c>
      <c r="H49" s="113" t="str">
        <f t="shared" si="6"/>
        <v/>
      </c>
      <c r="I49" s="113"/>
      <c r="J49" s="109">
        <f>试算平衡表!I177</f>
        <v>0</v>
      </c>
      <c r="K49" s="113">
        <f t="shared" si="3"/>
        <v>0</v>
      </c>
      <c r="L49" s="109">
        <f t="shared" si="9"/>
        <v>0</v>
      </c>
      <c r="M49" s="113" t="str">
        <f t="shared" si="4"/>
        <v/>
      </c>
      <c r="N49" s="113" t="str">
        <f t="shared" si="10"/>
        <v/>
      </c>
      <c r="O49" s="111"/>
      <c r="P49" s="1201"/>
    </row>
    <row r="50" spans="1:16" ht="12" customHeight="1">
      <c r="A50" s="1202" t="s">
        <v>293</v>
      </c>
      <c r="B50" s="109">
        <f>试算平衡表!N178</f>
        <v>0</v>
      </c>
      <c r="C50" s="113">
        <f t="shared" si="0"/>
        <v>0</v>
      </c>
      <c r="D50" s="109">
        <f>试算平衡表!E178</f>
        <v>0</v>
      </c>
      <c r="E50" s="113" t="str">
        <f t="shared" si="1"/>
        <v/>
      </c>
      <c r="F50" s="109">
        <f t="shared" si="5"/>
        <v>0</v>
      </c>
      <c r="G50" s="113" t="str">
        <f t="shared" si="2"/>
        <v/>
      </c>
      <c r="H50" s="113" t="str">
        <f t="shared" si="6"/>
        <v/>
      </c>
      <c r="I50" s="113"/>
      <c r="J50" s="109">
        <f>试算平衡表!I178</f>
        <v>1874.89</v>
      </c>
      <c r="K50" s="113">
        <f t="shared" si="3"/>
        <v>4.3203986871992201E-4</v>
      </c>
      <c r="L50" s="109">
        <f t="shared" si="9"/>
        <v>1874.89</v>
      </c>
      <c r="M50" s="113" t="str">
        <f t="shared" si="4"/>
        <v/>
      </c>
      <c r="N50" s="113">
        <f t="shared" si="10"/>
        <v>-1.602728541200669E-4</v>
      </c>
      <c r="O50" s="111"/>
      <c r="P50" s="1201"/>
    </row>
    <row r="51" spans="1:16" ht="12" customHeight="1">
      <c r="A51" s="1202" t="s">
        <v>4356</v>
      </c>
      <c r="B51" s="109">
        <f>试算平衡表!N179</f>
        <v>0</v>
      </c>
      <c r="C51" s="113">
        <f t="shared" si="0"/>
        <v>0</v>
      </c>
      <c r="D51" s="109">
        <f>试算平衡表!E179</f>
        <v>0</v>
      </c>
      <c r="E51" s="113" t="str">
        <f t="shared" si="1"/>
        <v/>
      </c>
      <c r="F51" s="109">
        <f t="shared" si="5"/>
        <v>0</v>
      </c>
      <c r="G51" s="113" t="str">
        <f t="shared" si="2"/>
        <v/>
      </c>
      <c r="H51" s="113" t="str">
        <f t="shared" si="6"/>
        <v/>
      </c>
      <c r="I51" s="113"/>
      <c r="J51" s="109">
        <f>试算平衡表!I179</f>
        <v>0</v>
      </c>
      <c r="K51" s="113">
        <f t="shared" si="3"/>
        <v>0</v>
      </c>
      <c r="L51" s="109">
        <f t="shared" si="9"/>
        <v>0</v>
      </c>
      <c r="M51" s="113" t="str">
        <f t="shared" si="4"/>
        <v/>
      </c>
      <c r="N51" s="113" t="str">
        <f t="shared" si="10"/>
        <v/>
      </c>
      <c r="O51" s="111"/>
      <c r="P51" s="1201"/>
    </row>
    <row r="52" spans="1:16" ht="12" customHeight="1">
      <c r="A52" s="1202" t="s">
        <v>4357</v>
      </c>
      <c r="B52" s="109">
        <f>试算平衡表!N180</f>
        <v>0</v>
      </c>
      <c r="C52" s="113">
        <f t="shared" si="0"/>
        <v>0</v>
      </c>
      <c r="D52" s="109">
        <f>试算平衡表!E180</f>
        <v>0</v>
      </c>
      <c r="E52" s="113" t="str">
        <f t="shared" si="1"/>
        <v/>
      </c>
      <c r="F52" s="109">
        <f t="shared" si="5"/>
        <v>0</v>
      </c>
      <c r="G52" s="113" t="str">
        <f t="shared" si="2"/>
        <v/>
      </c>
      <c r="H52" s="113" t="str">
        <f t="shared" si="6"/>
        <v/>
      </c>
      <c r="I52" s="113"/>
      <c r="J52" s="109">
        <f>试算平衡表!I180</f>
        <v>0</v>
      </c>
      <c r="K52" s="113">
        <f t="shared" si="3"/>
        <v>0</v>
      </c>
      <c r="L52" s="109">
        <f t="shared" si="9"/>
        <v>0</v>
      </c>
      <c r="M52" s="113" t="str">
        <f t="shared" si="4"/>
        <v/>
      </c>
      <c r="N52" s="113" t="str">
        <f t="shared" si="10"/>
        <v/>
      </c>
      <c r="O52" s="111"/>
      <c r="P52" s="1201"/>
    </row>
    <row r="53" spans="1:16" ht="12" customHeight="1">
      <c r="A53" s="1202" t="s">
        <v>4358</v>
      </c>
      <c r="B53" s="109">
        <f>试算平衡表!N181</f>
        <v>0</v>
      </c>
      <c r="C53" s="113">
        <f t="shared" si="0"/>
        <v>0</v>
      </c>
      <c r="D53" s="109">
        <f>试算平衡表!E181</f>
        <v>0</v>
      </c>
      <c r="E53" s="113" t="str">
        <f t="shared" si="1"/>
        <v/>
      </c>
      <c r="F53" s="109">
        <f t="shared" si="5"/>
        <v>0</v>
      </c>
      <c r="G53" s="113" t="str">
        <f t="shared" si="2"/>
        <v/>
      </c>
      <c r="H53" s="113" t="str">
        <f t="shared" si="6"/>
        <v/>
      </c>
      <c r="I53" s="113"/>
      <c r="J53" s="109">
        <f>试算平衡表!I181</f>
        <v>0</v>
      </c>
      <c r="K53" s="113">
        <f t="shared" si="3"/>
        <v>0</v>
      </c>
      <c r="L53" s="109">
        <f t="shared" si="9"/>
        <v>0</v>
      </c>
      <c r="M53" s="113" t="str">
        <f t="shared" si="4"/>
        <v/>
      </c>
      <c r="N53" s="113" t="str">
        <f t="shared" si="10"/>
        <v/>
      </c>
      <c r="O53" s="111"/>
      <c r="P53" s="1201"/>
    </row>
    <row r="54" spans="1:16">
      <c r="A54" s="1202" t="s">
        <v>4359</v>
      </c>
      <c r="B54" s="109">
        <f>试算平衡表!N182</f>
        <v>5053105.38</v>
      </c>
      <c r="C54" s="113">
        <f t="shared" si="0"/>
        <v>0.3150759813203583</v>
      </c>
      <c r="D54" s="109">
        <f>试算平衡表!E182</f>
        <v>-3974196.1</v>
      </c>
      <c r="E54" s="113" t="str">
        <f t="shared" si="1"/>
        <v/>
      </c>
      <c r="F54" s="109">
        <f t="shared" si="5"/>
        <v>-9027301.4800000004</v>
      </c>
      <c r="G54" s="113">
        <f t="shared" si="2"/>
        <v>-1.7864858935516601</v>
      </c>
      <c r="H54" s="113">
        <f t="shared" si="6"/>
        <v>0.56287879602576651</v>
      </c>
      <c r="I54" s="113"/>
      <c r="J54" s="109">
        <f>试算平衡表!I182</f>
        <v>135298.03000000035</v>
      </c>
      <c r="K54" s="113">
        <f t="shared" si="3"/>
        <v>3.1177372069435653E-2</v>
      </c>
      <c r="L54" s="109">
        <f t="shared" si="9"/>
        <v>-4917807.3499999996</v>
      </c>
      <c r="M54" s="113">
        <f t="shared" si="4"/>
        <v>-0.97322477569228916</v>
      </c>
      <c r="N54" s="113">
        <f t="shared" si="10"/>
        <v>0.42039320706662398</v>
      </c>
      <c r="O54" s="111"/>
      <c r="P54" s="1201"/>
    </row>
    <row r="55" spans="1:16">
      <c r="A55" s="1202" t="s">
        <v>4360</v>
      </c>
      <c r="B55" s="109">
        <f>试算平衡表!N183</f>
        <v>1280228.47</v>
      </c>
      <c r="C55" s="113">
        <f t="shared" si="0"/>
        <v>7.9826010179014098E-2</v>
      </c>
      <c r="D55" s="109">
        <f>试算平衡表!E183</f>
        <v>26323.3</v>
      </c>
      <c r="E55" s="113" t="str">
        <f t="shared" si="1"/>
        <v/>
      </c>
      <c r="F55" s="109">
        <f t="shared" si="5"/>
        <v>-1253905.17</v>
      </c>
      <c r="G55" s="113">
        <f t="shared" si="2"/>
        <v>-0.97943859192570526</v>
      </c>
      <c r="H55" s="113">
        <f t="shared" si="6"/>
        <v>7.8184675008780583E-2</v>
      </c>
      <c r="I55" s="113"/>
      <c r="J55" s="109">
        <f>试算平衡表!I183</f>
        <v>60147.81</v>
      </c>
      <c r="K55" s="113">
        <f t="shared" si="3"/>
        <v>1.3860147494621449E-2</v>
      </c>
      <c r="L55" s="109">
        <f t="shared" si="9"/>
        <v>-1220080.6599999999</v>
      </c>
      <c r="M55" s="113">
        <f t="shared" si="4"/>
        <v>-0.95301790937362918</v>
      </c>
      <c r="N55" s="113">
        <f t="shared" si="10"/>
        <v>0.10429721724202215</v>
      </c>
      <c r="O55" s="111"/>
      <c r="P55" s="1201"/>
    </row>
    <row r="56" spans="1:16">
      <c r="A56" s="1202" t="s">
        <v>4361</v>
      </c>
      <c r="B56" s="109">
        <f>试算平衡表!N184</f>
        <v>3772876.91</v>
      </c>
      <c r="C56" s="113">
        <f t="shared" si="0"/>
        <v>0.23524997114134424</v>
      </c>
      <c r="D56" s="109">
        <f>试算平衡表!E184</f>
        <v>-4000519.4</v>
      </c>
      <c r="E56" s="113" t="str">
        <f t="shared" si="1"/>
        <v/>
      </c>
      <c r="F56" s="109">
        <f t="shared" si="5"/>
        <v>-7773396.3100000005</v>
      </c>
      <c r="G56" s="113">
        <f t="shared" si="2"/>
        <v>-2.0603365801297771</v>
      </c>
      <c r="H56" s="113">
        <f t="shared" si="6"/>
        <v>0.48469412101698589</v>
      </c>
      <c r="I56" s="113"/>
      <c r="J56" s="109">
        <f>试算平衡表!I184</f>
        <v>75150.220000000554</v>
      </c>
      <c r="K56" s="113">
        <f t="shared" si="3"/>
        <v>1.7317224574814251E-2</v>
      </c>
      <c r="L56" s="109">
        <f t="shared" si="9"/>
        <v>-3697726.6899999995</v>
      </c>
      <c r="M56" s="113">
        <f t="shared" si="4"/>
        <v>-0.98008145460541918</v>
      </c>
      <c r="N56" s="113">
        <f t="shared" si="10"/>
        <v>0.3160959898246018</v>
      </c>
      <c r="O56" s="111"/>
      <c r="P56" s="1201"/>
    </row>
    <row r="57" spans="1:16">
      <c r="A57" s="1202" t="s">
        <v>4362</v>
      </c>
      <c r="B57" s="100"/>
      <c r="C57" s="117">
        <f t="shared" si="0"/>
        <v>0</v>
      </c>
      <c r="D57" s="100"/>
      <c r="E57" s="117" t="str">
        <f t="shared" si="1"/>
        <v/>
      </c>
      <c r="F57" s="100">
        <f>D57-$B57</f>
        <v>0</v>
      </c>
      <c r="G57" s="117" t="str">
        <f t="shared" si="2"/>
        <v/>
      </c>
      <c r="H57" s="117" t="str">
        <f>IF(F57=0,"",F57/F$10)</f>
        <v/>
      </c>
      <c r="I57" s="117"/>
      <c r="J57" s="100"/>
      <c r="K57" s="117">
        <f t="shared" si="3"/>
        <v>0</v>
      </c>
      <c r="L57" s="100">
        <f>J57-$B57</f>
        <v>0</v>
      </c>
      <c r="M57" s="117" t="str">
        <f t="shared" si="4"/>
        <v/>
      </c>
      <c r="N57" s="117" t="str">
        <f>IF(L57=0,"",L57/L$10)</f>
        <v/>
      </c>
      <c r="O57" s="1278"/>
      <c r="P57" s="1279"/>
    </row>
    <row r="58" spans="1:16">
      <c r="A58" s="1202" t="s">
        <v>133</v>
      </c>
      <c r="B58" s="109">
        <f>试算平衡表!N185</f>
        <v>3772876.91</v>
      </c>
      <c r="C58" s="113">
        <f t="shared" si="0"/>
        <v>0.23524997114134424</v>
      </c>
      <c r="D58" s="109">
        <f>试算平衡表!E185</f>
        <v>-4000519.4</v>
      </c>
      <c r="E58" s="113" t="str">
        <f t="shared" si="1"/>
        <v/>
      </c>
      <c r="F58" s="109">
        <f>D58-$B58</f>
        <v>-7773396.3100000005</v>
      </c>
      <c r="G58" s="113">
        <f t="shared" si="2"/>
        <v>-2.0603365801297771</v>
      </c>
      <c r="H58" s="113">
        <f>IF(F58=0,"",F58/F$10)</f>
        <v>0.48469412101698589</v>
      </c>
      <c r="I58" s="113"/>
      <c r="J58" s="109">
        <f>试算平衡表!I185</f>
        <v>75150.220000000554</v>
      </c>
      <c r="K58" s="113">
        <f t="shared" si="3"/>
        <v>1.7317224574814251E-2</v>
      </c>
      <c r="L58" s="109">
        <f>J58-$B58</f>
        <v>-3697726.6899999995</v>
      </c>
      <c r="M58" s="113">
        <f t="shared" si="4"/>
        <v>-0.98008145460541918</v>
      </c>
      <c r="N58" s="113">
        <f>IF(L58=0,"",L58/L$10)</f>
        <v>0.3160959898246018</v>
      </c>
      <c r="O58" s="111"/>
      <c r="P58" s="1201"/>
    </row>
    <row r="59" spans="1:16">
      <c r="A59" s="1202" t="s">
        <v>134</v>
      </c>
      <c r="B59" s="109">
        <f>试算平衡表!N186</f>
        <v>0</v>
      </c>
      <c r="C59" s="113">
        <f t="shared" si="0"/>
        <v>0</v>
      </c>
      <c r="D59" s="109">
        <f>试算平衡表!E186</f>
        <v>0</v>
      </c>
      <c r="E59" s="113" t="str">
        <f t="shared" si="1"/>
        <v/>
      </c>
      <c r="F59" s="109">
        <f>D59-$B59</f>
        <v>0</v>
      </c>
      <c r="G59" s="113" t="str">
        <f t="shared" si="2"/>
        <v/>
      </c>
      <c r="H59" s="113" t="str">
        <f>IF(F59=0,"",F59/F$10)</f>
        <v/>
      </c>
      <c r="I59" s="113"/>
      <c r="J59" s="109">
        <f>试算平衡表!I186</f>
        <v>0</v>
      </c>
      <c r="K59" s="113">
        <f t="shared" si="3"/>
        <v>0</v>
      </c>
      <c r="L59" s="109">
        <f>J59-$B59</f>
        <v>0</v>
      </c>
      <c r="M59" s="113" t="str">
        <f t="shared" si="4"/>
        <v/>
      </c>
      <c r="N59" s="113" t="str">
        <f>IF(L59=0,"",L59/L$10)</f>
        <v/>
      </c>
      <c r="O59" s="111"/>
      <c r="P59" s="1201"/>
    </row>
    <row r="60" spans="1:16">
      <c r="A60" s="1202" t="s">
        <v>4780</v>
      </c>
      <c r="B60" s="109">
        <f>试算平衡表!N187</f>
        <v>0</v>
      </c>
      <c r="C60" s="113">
        <f t="shared" ref="C60:C61" si="29">IF($B$10=0,"",B60/B$10)</f>
        <v>0</v>
      </c>
      <c r="D60" s="109">
        <f>试算平衡表!E187</f>
        <v>0</v>
      </c>
      <c r="E60" s="113" t="str">
        <f t="shared" ref="E60:E61" si="30">IF($D$10=0,"",D60/D$10)</f>
        <v/>
      </c>
      <c r="F60" s="109">
        <f t="shared" ref="F60:F61" si="31">D60-$B60</f>
        <v>0</v>
      </c>
      <c r="G60" s="113" t="str">
        <f t="shared" ref="G60:G61" si="32">IF($B60=0,"",F60/$B60)</f>
        <v/>
      </c>
      <c r="H60" s="113" t="str">
        <f t="shared" ref="H60:H61" si="33">IF(F60=0,"",F60/F$10)</f>
        <v/>
      </c>
      <c r="I60" s="113"/>
      <c r="J60" s="109">
        <f>试算平衡表!I187</f>
        <v>0</v>
      </c>
      <c r="K60" s="113">
        <f t="shared" ref="K60:K61" si="34">IF($J$10=0,"",J60/J$10)</f>
        <v>0</v>
      </c>
      <c r="L60" s="109">
        <f t="shared" ref="L60:L61" si="35">J60-$B60</f>
        <v>0</v>
      </c>
      <c r="M60" s="113" t="str">
        <f t="shared" ref="M60:M61" si="36">IF($B60=0,"",L60/$B60)</f>
        <v/>
      </c>
      <c r="N60" s="113" t="str">
        <f t="shared" ref="N60:N61" si="37">IF(L60=0,"",L60/L$10)</f>
        <v/>
      </c>
      <c r="O60" s="111"/>
      <c r="P60" s="1201"/>
    </row>
    <row r="61" spans="1:16">
      <c r="A61" s="1202" t="s">
        <v>4781</v>
      </c>
      <c r="B61" s="109">
        <f>试算平衡表!N188</f>
        <v>0</v>
      </c>
      <c r="C61" s="113">
        <f t="shared" si="29"/>
        <v>0</v>
      </c>
      <c r="D61" s="109">
        <f>试算平衡表!E188</f>
        <v>0</v>
      </c>
      <c r="E61" s="113" t="str">
        <f t="shared" si="30"/>
        <v/>
      </c>
      <c r="F61" s="109">
        <f t="shared" si="31"/>
        <v>0</v>
      </c>
      <c r="G61" s="113" t="str">
        <f t="shared" si="32"/>
        <v/>
      </c>
      <c r="H61" s="113" t="str">
        <f t="shared" si="33"/>
        <v/>
      </c>
      <c r="I61" s="113"/>
      <c r="J61" s="109">
        <f>试算平衡表!I188</f>
        <v>0</v>
      </c>
      <c r="K61" s="113">
        <f t="shared" si="34"/>
        <v>0</v>
      </c>
      <c r="L61" s="109">
        <f t="shared" si="35"/>
        <v>0</v>
      </c>
      <c r="M61" s="113" t="str">
        <f t="shared" si="36"/>
        <v/>
      </c>
      <c r="N61" s="113" t="str">
        <f t="shared" si="37"/>
        <v/>
      </c>
      <c r="O61" s="111"/>
      <c r="P61" s="1201"/>
    </row>
    <row r="62" spans="1:16">
      <c r="A62" s="1202" t="s">
        <v>4363</v>
      </c>
      <c r="B62" s="109">
        <f>试算平衡表!N189</f>
        <v>0</v>
      </c>
      <c r="C62" s="113">
        <f t="shared" ref="C62:C72" si="38">IF($B$10=0,"",B62/B$10)</f>
        <v>0</v>
      </c>
      <c r="D62" s="109">
        <f>试算平衡表!E189</f>
        <v>0</v>
      </c>
      <c r="E62" s="113" t="str">
        <f t="shared" ref="E62:E72" si="39">IF($D$10=0,"",D62/D$10)</f>
        <v/>
      </c>
      <c r="F62" s="109">
        <f t="shared" ref="F62:F72" si="40">D62-$B62</f>
        <v>0</v>
      </c>
      <c r="G62" s="113" t="str">
        <f t="shared" ref="G62:G72" si="41">IF($B62=0,"",F62/$B62)</f>
        <v/>
      </c>
      <c r="H62" s="113" t="str">
        <f t="shared" ref="H62:H72" si="42">IF(F62=0,"",F62/F$10)</f>
        <v/>
      </c>
      <c r="I62" s="113"/>
      <c r="J62" s="109">
        <f>试算平衡表!I189</f>
        <v>0</v>
      </c>
      <c r="K62" s="113">
        <f t="shared" ref="K62:K72" si="43">IF($J$10=0,"",J62/J$10)</f>
        <v>0</v>
      </c>
      <c r="L62" s="109">
        <f t="shared" ref="L62:L72" si="44">J62-$B62</f>
        <v>0</v>
      </c>
      <c r="M62" s="113" t="str">
        <f t="shared" ref="M62:M72" si="45">IF($B62=0,"",L62/$B62)</f>
        <v/>
      </c>
      <c r="N62" s="113" t="str">
        <f t="shared" ref="N62:N72" si="46">IF(L62=0,"",L62/L$10)</f>
        <v/>
      </c>
      <c r="O62" s="111"/>
      <c r="P62" s="1201"/>
    </row>
    <row r="63" spans="1:16">
      <c r="A63" s="1475" t="s">
        <v>4821</v>
      </c>
      <c r="B63" s="109">
        <f>试算平衡表!N190</f>
        <v>0</v>
      </c>
      <c r="C63" s="113">
        <f t="shared" ref="C63" si="47">IF($B$10=0,"",B63/B$10)</f>
        <v>0</v>
      </c>
      <c r="D63" s="109">
        <f>试算平衡表!E190</f>
        <v>0</v>
      </c>
      <c r="E63" s="113" t="str">
        <f t="shared" ref="E63" si="48">IF($D$10=0,"",D63/D$10)</f>
        <v/>
      </c>
      <c r="F63" s="109">
        <f t="shared" ref="F63" si="49">D63-$B63</f>
        <v>0</v>
      </c>
      <c r="G63" s="113" t="str">
        <f t="shared" ref="G63" si="50">IF($B63=0,"",F63/$B63)</f>
        <v/>
      </c>
      <c r="H63" s="113" t="str">
        <f t="shared" ref="H63" si="51">IF(F63=0,"",F63/F$10)</f>
        <v/>
      </c>
      <c r="I63" s="113"/>
      <c r="J63" s="109">
        <f>试算平衡表!I190</f>
        <v>0</v>
      </c>
      <c r="K63" s="113">
        <f t="shared" ref="K63" si="52">IF($J$10=0,"",J63/J$10)</f>
        <v>0</v>
      </c>
      <c r="L63" s="109">
        <f t="shared" ref="L63" si="53">J63-$B63</f>
        <v>0</v>
      </c>
      <c r="M63" s="113" t="str">
        <f t="shared" ref="M63" si="54">IF($B63=0,"",L63/$B63)</f>
        <v/>
      </c>
      <c r="N63" s="113" t="str">
        <f t="shared" ref="N63" si="55">IF(L63=0,"",L63/L$10)</f>
        <v/>
      </c>
      <c r="O63" s="111"/>
      <c r="P63" s="1201"/>
    </row>
    <row r="64" spans="1:16">
      <c r="A64" s="1202" t="s">
        <v>4066</v>
      </c>
      <c r="B64" s="109">
        <f>试算平衡表!N191</f>
        <v>0</v>
      </c>
      <c r="C64" s="113">
        <f t="shared" si="38"/>
        <v>0</v>
      </c>
      <c r="D64" s="109">
        <f>试算平衡表!E191</f>
        <v>0</v>
      </c>
      <c r="E64" s="113" t="str">
        <f t="shared" si="39"/>
        <v/>
      </c>
      <c r="F64" s="109">
        <f t="shared" si="40"/>
        <v>0</v>
      </c>
      <c r="G64" s="113" t="str">
        <f t="shared" si="41"/>
        <v/>
      </c>
      <c r="H64" s="113" t="str">
        <f t="shared" si="42"/>
        <v/>
      </c>
      <c r="I64" s="113"/>
      <c r="J64" s="109">
        <f>试算平衡表!I191</f>
        <v>0</v>
      </c>
      <c r="K64" s="113">
        <f t="shared" si="43"/>
        <v>0</v>
      </c>
      <c r="L64" s="109">
        <f t="shared" si="44"/>
        <v>0</v>
      </c>
      <c r="M64" s="113" t="str">
        <f t="shared" si="45"/>
        <v/>
      </c>
      <c r="N64" s="113" t="str">
        <f t="shared" si="46"/>
        <v/>
      </c>
      <c r="O64" s="111"/>
      <c r="P64" s="1201"/>
    </row>
    <row r="65" spans="1:16">
      <c r="A65" s="1202" t="s">
        <v>4069</v>
      </c>
      <c r="B65" s="109">
        <f>试算平衡表!N192</f>
        <v>0</v>
      </c>
      <c r="C65" s="113">
        <f t="shared" si="38"/>
        <v>0</v>
      </c>
      <c r="D65" s="109">
        <f>试算平衡表!E192</f>
        <v>0</v>
      </c>
      <c r="E65" s="113" t="str">
        <f t="shared" si="39"/>
        <v/>
      </c>
      <c r="F65" s="109">
        <f t="shared" si="40"/>
        <v>0</v>
      </c>
      <c r="G65" s="113" t="str">
        <f t="shared" si="41"/>
        <v/>
      </c>
      <c r="H65" s="113" t="str">
        <f t="shared" si="42"/>
        <v/>
      </c>
      <c r="I65" s="113"/>
      <c r="J65" s="109">
        <f>试算平衡表!I192</f>
        <v>0</v>
      </c>
      <c r="K65" s="113">
        <f t="shared" si="43"/>
        <v>0</v>
      </c>
      <c r="L65" s="109">
        <f t="shared" si="44"/>
        <v>0</v>
      </c>
      <c r="M65" s="113" t="str">
        <f t="shared" si="45"/>
        <v/>
      </c>
      <c r="N65" s="113" t="str">
        <f t="shared" si="46"/>
        <v/>
      </c>
      <c r="O65" s="111"/>
      <c r="P65" s="1201"/>
    </row>
    <row r="66" spans="1:16">
      <c r="A66" s="1202" t="s">
        <v>4071</v>
      </c>
      <c r="B66" s="109">
        <f>试算平衡表!N193</f>
        <v>0</v>
      </c>
      <c r="C66" s="113">
        <f t="shared" si="38"/>
        <v>0</v>
      </c>
      <c r="D66" s="109">
        <f>试算平衡表!E193</f>
        <v>0</v>
      </c>
      <c r="E66" s="113" t="str">
        <f t="shared" si="39"/>
        <v/>
      </c>
      <c r="F66" s="109">
        <f t="shared" si="40"/>
        <v>0</v>
      </c>
      <c r="G66" s="113" t="str">
        <f t="shared" si="41"/>
        <v/>
      </c>
      <c r="H66" s="113" t="str">
        <f t="shared" si="42"/>
        <v/>
      </c>
      <c r="I66" s="113"/>
      <c r="J66" s="109">
        <f>试算平衡表!I193</f>
        <v>0</v>
      </c>
      <c r="K66" s="113">
        <f t="shared" si="43"/>
        <v>0</v>
      </c>
      <c r="L66" s="109">
        <f t="shared" si="44"/>
        <v>0</v>
      </c>
      <c r="M66" s="113" t="str">
        <f t="shared" si="45"/>
        <v/>
      </c>
      <c r="N66" s="113" t="str">
        <f t="shared" si="46"/>
        <v/>
      </c>
      <c r="O66" s="111"/>
      <c r="P66" s="1201"/>
    </row>
    <row r="67" spans="1:16">
      <c r="A67" s="1202" t="s">
        <v>4073</v>
      </c>
      <c r="B67" s="109">
        <f>试算平衡表!N194</f>
        <v>0</v>
      </c>
      <c r="C67" s="113">
        <f t="shared" si="38"/>
        <v>0</v>
      </c>
      <c r="D67" s="109">
        <f>试算平衡表!E194</f>
        <v>0</v>
      </c>
      <c r="E67" s="113" t="str">
        <f t="shared" si="39"/>
        <v/>
      </c>
      <c r="F67" s="109">
        <f t="shared" si="40"/>
        <v>0</v>
      </c>
      <c r="G67" s="113" t="str">
        <f t="shared" si="41"/>
        <v/>
      </c>
      <c r="H67" s="113" t="str">
        <f t="shared" si="42"/>
        <v/>
      </c>
      <c r="I67" s="113"/>
      <c r="J67" s="109">
        <f>试算平衡表!I194</f>
        <v>0</v>
      </c>
      <c r="K67" s="113">
        <f t="shared" si="43"/>
        <v>0</v>
      </c>
      <c r="L67" s="109">
        <f t="shared" si="44"/>
        <v>0</v>
      </c>
      <c r="M67" s="113" t="str">
        <f t="shared" si="45"/>
        <v/>
      </c>
      <c r="N67" s="113" t="str">
        <f t="shared" si="46"/>
        <v/>
      </c>
      <c r="O67" s="111"/>
      <c r="P67" s="1201"/>
    </row>
    <row r="68" spans="1:16">
      <c r="A68" s="1202" t="s">
        <v>4076</v>
      </c>
      <c r="B68" s="109">
        <f>试算平衡表!N195</f>
        <v>0</v>
      </c>
      <c r="C68" s="113">
        <f t="shared" si="38"/>
        <v>0</v>
      </c>
      <c r="D68" s="109">
        <f>试算平衡表!E195</f>
        <v>0</v>
      </c>
      <c r="E68" s="113" t="str">
        <f t="shared" si="39"/>
        <v/>
      </c>
      <c r="F68" s="109">
        <f t="shared" si="40"/>
        <v>0</v>
      </c>
      <c r="G68" s="113" t="str">
        <f t="shared" si="41"/>
        <v/>
      </c>
      <c r="H68" s="113" t="str">
        <f t="shared" si="42"/>
        <v/>
      </c>
      <c r="I68" s="113"/>
      <c r="J68" s="109">
        <f>试算平衡表!I195</f>
        <v>0</v>
      </c>
      <c r="K68" s="113">
        <f t="shared" si="43"/>
        <v>0</v>
      </c>
      <c r="L68" s="109">
        <f t="shared" si="44"/>
        <v>0</v>
      </c>
      <c r="M68" s="113" t="str">
        <f t="shared" si="45"/>
        <v/>
      </c>
      <c r="N68" s="113" t="str">
        <f t="shared" si="46"/>
        <v/>
      </c>
      <c r="O68" s="111"/>
      <c r="P68" s="1201"/>
    </row>
    <row r="69" spans="1:16">
      <c r="A69" s="1202" t="s">
        <v>4078</v>
      </c>
      <c r="B69" s="109">
        <f>试算平衡表!N196</f>
        <v>0</v>
      </c>
      <c r="C69" s="113">
        <f t="shared" si="38"/>
        <v>0</v>
      </c>
      <c r="D69" s="109">
        <f>试算平衡表!E196</f>
        <v>0</v>
      </c>
      <c r="E69" s="113" t="str">
        <f t="shared" si="39"/>
        <v/>
      </c>
      <c r="F69" s="109">
        <f t="shared" si="40"/>
        <v>0</v>
      </c>
      <c r="G69" s="113" t="str">
        <f t="shared" si="41"/>
        <v/>
      </c>
      <c r="H69" s="113" t="str">
        <f t="shared" si="42"/>
        <v/>
      </c>
      <c r="I69" s="113"/>
      <c r="J69" s="109">
        <f>试算平衡表!I196</f>
        <v>0</v>
      </c>
      <c r="K69" s="113">
        <f t="shared" si="43"/>
        <v>0</v>
      </c>
      <c r="L69" s="109">
        <f t="shared" si="44"/>
        <v>0</v>
      </c>
      <c r="M69" s="113" t="str">
        <f t="shared" si="45"/>
        <v/>
      </c>
      <c r="N69" s="113" t="str">
        <f t="shared" si="46"/>
        <v/>
      </c>
      <c r="O69" s="111"/>
      <c r="P69" s="1201"/>
    </row>
    <row r="70" spans="1:16">
      <c r="A70" s="1202" t="s">
        <v>4080</v>
      </c>
      <c r="B70" s="109">
        <f>试算平衡表!N197</f>
        <v>0</v>
      </c>
      <c r="C70" s="113">
        <f t="shared" si="38"/>
        <v>0</v>
      </c>
      <c r="D70" s="109">
        <f>试算平衡表!E197</f>
        <v>0</v>
      </c>
      <c r="E70" s="113" t="str">
        <f t="shared" si="39"/>
        <v/>
      </c>
      <c r="F70" s="109">
        <f t="shared" si="40"/>
        <v>0</v>
      </c>
      <c r="G70" s="113" t="str">
        <f t="shared" si="41"/>
        <v/>
      </c>
      <c r="H70" s="113" t="str">
        <f t="shared" si="42"/>
        <v/>
      </c>
      <c r="I70" s="113"/>
      <c r="J70" s="109">
        <f>试算平衡表!I197</f>
        <v>0</v>
      </c>
      <c r="K70" s="113">
        <f t="shared" si="43"/>
        <v>0</v>
      </c>
      <c r="L70" s="109">
        <f t="shared" si="44"/>
        <v>0</v>
      </c>
      <c r="M70" s="113" t="str">
        <f t="shared" si="45"/>
        <v/>
      </c>
      <c r="N70" s="113" t="str">
        <f t="shared" si="46"/>
        <v/>
      </c>
      <c r="O70" s="111"/>
      <c r="P70" s="1201"/>
    </row>
    <row r="71" spans="1:16">
      <c r="A71" s="1202" t="s">
        <v>4082</v>
      </c>
      <c r="B71" s="109">
        <f>试算平衡表!N198</f>
        <v>0</v>
      </c>
      <c r="C71" s="113">
        <f t="shared" si="38"/>
        <v>0</v>
      </c>
      <c r="D71" s="109">
        <f>试算平衡表!E198</f>
        <v>0</v>
      </c>
      <c r="E71" s="113" t="str">
        <f t="shared" si="39"/>
        <v/>
      </c>
      <c r="F71" s="109">
        <f t="shared" si="40"/>
        <v>0</v>
      </c>
      <c r="G71" s="113" t="str">
        <f t="shared" si="41"/>
        <v/>
      </c>
      <c r="H71" s="113" t="str">
        <f t="shared" si="42"/>
        <v/>
      </c>
      <c r="I71" s="113"/>
      <c r="J71" s="109">
        <f>试算平衡表!I198</f>
        <v>0</v>
      </c>
      <c r="K71" s="113">
        <f t="shared" si="43"/>
        <v>0</v>
      </c>
      <c r="L71" s="109">
        <f t="shared" si="44"/>
        <v>0</v>
      </c>
      <c r="M71" s="113" t="str">
        <f t="shared" si="45"/>
        <v/>
      </c>
      <c r="N71" s="113" t="str">
        <f t="shared" si="46"/>
        <v/>
      </c>
      <c r="O71" s="111"/>
      <c r="P71" s="1201"/>
    </row>
    <row r="72" spans="1:16">
      <c r="A72" s="1202" t="s">
        <v>4084</v>
      </c>
      <c r="B72" s="109">
        <f>试算平衡表!N199</f>
        <v>0</v>
      </c>
      <c r="C72" s="113">
        <f t="shared" si="38"/>
        <v>0</v>
      </c>
      <c r="D72" s="109">
        <f>试算平衡表!E199</f>
        <v>0</v>
      </c>
      <c r="E72" s="113" t="str">
        <f t="shared" si="39"/>
        <v/>
      </c>
      <c r="F72" s="109">
        <f t="shared" si="40"/>
        <v>0</v>
      </c>
      <c r="G72" s="113" t="str">
        <f t="shared" si="41"/>
        <v/>
      </c>
      <c r="H72" s="113" t="str">
        <f t="shared" si="42"/>
        <v/>
      </c>
      <c r="I72" s="113"/>
      <c r="J72" s="109">
        <f>试算平衡表!I199</f>
        <v>0</v>
      </c>
      <c r="K72" s="113">
        <f t="shared" si="43"/>
        <v>0</v>
      </c>
      <c r="L72" s="109">
        <f t="shared" si="44"/>
        <v>0</v>
      </c>
      <c r="M72" s="113" t="str">
        <f t="shared" si="45"/>
        <v/>
      </c>
      <c r="N72" s="113" t="str">
        <f t="shared" si="46"/>
        <v/>
      </c>
      <c r="O72" s="111"/>
      <c r="P72" s="1201"/>
    </row>
    <row r="73" spans="1:16">
      <c r="A73" s="1398" t="s">
        <v>4822</v>
      </c>
      <c r="B73" s="109">
        <f>试算平衡表!N200</f>
        <v>0</v>
      </c>
      <c r="C73" s="113">
        <f t="shared" ref="C73" si="56">IF($B$10=0,"",B73/B$10)</f>
        <v>0</v>
      </c>
      <c r="D73" s="109">
        <f>试算平衡表!E200</f>
        <v>0</v>
      </c>
      <c r="E73" s="113" t="str">
        <f t="shared" ref="E73" si="57">IF($D$10=0,"",D73/D$10)</f>
        <v/>
      </c>
      <c r="F73" s="109">
        <f t="shared" ref="F73" si="58">D73-$B73</f>
        <v>0</v>
      </c>
      <c r="G73" s="113" t="str">
        <f t="shared" ref="G73" si="59">IF($B73=0,"",F73/$B73)</f>
        <v/>
      </c>
      <c r="H73" s="113" t="str">
        <f t="shared" ref="H73" si="60">IF(F73=0,"",F73/F$10)</f>
        <v/>
      </c>
      <c r="I73" s="113"/>
      <c r="J73" s="109">
        <f>试算平衡表!I200</f>
        <v>0</v>
      </c>
      <c r="K73" s="113">
        <f t="shared" ref="K73" si="61">IF($J$10=0,"",J73/J$10)</f>
        <v>0</v>
      </c>
      <c r="L73" s="109">
        <f t="shared" ref="L73" si="62">J73-$B73</f>
        <v>0</v>
      </c>
      <c r="M73" s="113" t="str">
        <f t="shared" ref="M73" si="63">IF($B73=0,"",L73/$B73)</f>
        <v/>
      </c>
      <c r="N73" s="113" t="str">
        <f t="shared" ref="N73" si="64">IF(L73=0,"",L73/L$10)</f>
        <v/>
      </c>
      <c r="O73" s="111"/>
      <c r="P73" s="1201"/>
    </row>
    <row r="74" spans="1:16">
      <c r="A74" s="1202" t="s">
        <v>4364</v>
      </c>
      <c r="B74" s="109">
        <f>试算平衡表!N201</f>
        <v>3772876.91</v>
      </c>
      <c r="C74" s="113">
        <f>IF($B$10=0,"",B74/B$10)</f>
        <v>0.23524997114134424</v>
      </c>
      <c r="D74" s="109">
        <f>试算平衡表!E201</f>
        <v>-4000519.4</v>
      </c>
      <c r="E74" s="113" t="str">
        <f>IF($D$10=0,"",D74/D$10)</f>
        <v/>
      </c>
      <c r="F74" s="109">
        <f t="shared" ref="F74:F79" si="65">D74-$B74</f>
        <v>-7773396.3100000005</v>
      </c>
      <c r="G74" s="113">
        <f>IF($B74=0,"",F74/$B74)</f>
        <v>-2.0603365801297771</v>
      </c>
      <c r="H74" s="113">
        <f t="shared" ref="H74:H79" si="66">IF(F74=0,"",F74/F$10)</f>
        <v>0.48469412101698589</v>
      </c>
      <c r="I74" s="111"/>
      <c r="J74" s="109">
        <f>试算平衡表!I201</f>
        <v>75150.220000000554</v>
      </c>
      <c r="K74" s="113">
        <f>IF($J$10=0,"",J74/J$10)</f>
        <v>1.7317224574814251E-2</v>
      </c>
      <c r="L74" s="109">
        <f t="shared" ref="L74:L79" si="67">J74-$B74</f>
        <v>-3697726.6899999995</v>
      </c>
      <c r="M74" s="113">
        <f>IF($B74=0,"",L74/$B74)</f>
        <v>-0.98008145460541918</v>
      </c>
      <c r="N74" s="113">
        <f t="shared" ref="N74:N79" si="68">IF(L74=0,"",L74/L$10)</f>
        <v>0.3160959898246018</v>
      </c>
      <c r="O74" s="111"/>
      <c r="P74" s="1201"/>
    </row>
    <row r="75" spans="1:16">
      <c r="A75" s="1202" t="s">
        <v>4365</v>
      </c>
      <c r="B75" s="109">
        <f>试算平衡表!N202</f>
        <v>3772876.91</v>
      </c>
      <c r="C75" s="113">
        <f>IF($B$10=0,"",B75/B$10)</f>
        <v>0.23524997114134424</v>
      </c>
      <c r="D75" s="109">
        <f>试算平衡表!E202</f>
        <v>-4000519.4</v>
      </c>
      <c r="E75" s="113" t="str">
        <f>IF($D$10=0,"",D75/D$10)</f>
        <v/>
      </c>
      <c r="F75" s="109">
        <f t="shared" si="65"/>
        <v>-7773396.3100000005</v>
      </c>
      <c r="G75" s="113">
        <f>IF($B75=0,"",F75/$B75)</f>
        <v>-2.0603365801297771</v>
      </c>
      <c r="H75" s="113">
        <f t="shared" si="66"/>
        <v>0.48469412101698589</v>
      </c>
      <c r="I75" s="111"/>
      <c r="J75" s="109">
        <f>试算平衡表!I202</f>
        <v>75150.220000000554</v>
      </c>
      <c r="K75" s="113">
        <f>IF($J$10=0,"",J75/J$10)</f>
        <v>1.7317224574814251E-2</v>
      </c>
      <c r="L75" s="109">
        <f t="shared" si="67"/>
        <v>-3697726.6899999995</v>
      </c>
      <c r="M75" s="113">
        <f>IF($B75=0,"",L75/$B75)</f>
        <v>-0.98008145460541918</v>
      </c>
      <c r="N75" s="113">
        <f t="shared" si="68"/>
        <v>0.3160959898246018</v>
      </c>
      <c r="O75" s="111"/>
      <c r="P75" s="1201"/>
    </row>
    <row r="76" spans="1:16" ht="13.5" thickBot="1">
      <c r="A76" s="1269" t="s">
        <v>4366</v>
      </c>
      <c r="B76" s="1270">
        <f>试算平衡表!N203</f>
        <v>0</v>
      </c>
      <c r="C76" s="1270">
        <f>IF($B$10=0,"",B76/B$10)</f>
        <v>0</v>
      </c>
      <c r="D76" s="1270">
        <f>试算平衡表!E203</f>
        <v>0</v>
      </c>
      <c r="E76" s="1270" t="str">
        <f>IF($D$10=0,"",D76/D$10)</f>
        <v/>
      </c>
      <c r="F76" s="1270">
        <f t="shared" si="65"/>
        <v>0</v>
      </c>
      <c r="G76" s="1270" t="str">
        <f>IF($B76=0,"",F76/$B76)</f>
        <v/>
      </c>
      <c r="H76" s="1270" t="str">
        <f t="shared" si="66"/>
        <v/>
      </c>
      <c r="I76" s="1270"/>
      <c r="J76" s="1270">
        <f>试算平衡表!I203</f>
        <v>0</v>
      </c>
      <c r="K76" s="1270">
        <f>IF($J$10=0,"",J76/J$10)</f>
        <v>0</v>
      </c>
      <c r="L76" s="1270">
        <f t="shared" si="67"/>
        <v>0</v>
      </c>
      <c r="M76" s="1270" t="str">
        <f>IF($B76=0,"",L76/$B76)</f>
        <v/>
      </c>
      <c r="N76" s="1270" t="str">
        <f t="shared" si="68"/>
        <v/>
      </c>
      <c r="O76" s="1270"/>
      <c r="P76" s="1205"/>
    </row>
    <row r="77" spans="1:16">
      <c r="A77" s="1202" t="s">
        <v>4367</v>
      </c>
      <c r="B77" s="109">
        <f>试算平衡表!N204</f>
        <v>0</v>
      </c>
      <c r="C77" s="113">
        <f t="shared" si="0"/>
        <v>0</v>
      </c>
      <c r="D77" s="109">
        <f>试算平衡表!E204</f>
        <v>0</v>
      </c>
      <c r="E77" s="113" t="str">
        <f t="shared" si="1"/>
        <v/>
      </c>
      <c r="F77" s="109">
        <f t="shared" si="65"/>
        <v>0</v>
      </c>
      <c r="G77" s="113" t="str">
        <f t="shared" si="2"/>
        <v/>
      </c>
      <c r="H77" s="113" t="str">
        <f t="shared" si="66"/>
        <v/>
      </c>
      <c r="I77" s="111"/>
      <c r="J77" s="109">
        <f>试算平衡表!I204</f>
        <v>0</v>
      </c>
      <c r="K77" s="113">
        <f t="shared" si="3"/>
        <v>0</v>
      </c>
      <c r="L77" s="109">
        <f t="shared" si="67"/>
        <v>0</v>
      </c>
      <c r="M77" s="113" t="str">
        <f t="shared" si="4"/>
        <v/>
      </c>
      <c r="N77" s="113" t="str">
        <f t="shared" si="68"/>
        <v/>
      </c>
      <c r="O77" s="111"/>
      <c r="P77" s="1201"/>
    </row>
    <row r="78" spans="1:16">
      <c r="A78" s="1202" t="s">
        <v>4368</v>
      </c>
      <c r="B78" s="109">
        <f>试算平衡表!N205</f>
        <v>0</v>
      </c>
      <c r="C78" s="113">
        <f t="shared" si="0"/>
        <v>0</v>
      </c>
      <c r="D78" s="109">
        <f>试算平衡表!E205</f>
        <v>0</v>
      </c>
      <c r="E78" s="113" t="str">
        <f t="shared" si="1"/>
        <v/>
      </c>
      <c r="F78" s="109">
        <f t="shared" si="65"/>
        <v>0</v>
      </c>
      <c r="G78" s="113" t="str">
        <f t="shared" si="2"/>
        <v/>
      </c>
      <c r="H78" s="113" t="str">
        <f t="shared" si="66"/>
        <v/>
      </c>
      <c r="I78" s="111"/>
      <c r="J78" s="109">
        <f>试算平衡表!I205</f>
        <v>0</v>
      </c>
      <c r="K78" s="113">
        <f t="shared" si="3"/>
        <v>0</v>
      </c>
      <c r="L78" s="109">
        <f t="shared" si="67"/>
        <v>0</v>
      </c>
      <c r="M78" s="113" t="str">
        <f t="shared" si="4"/>
        <v/>
      </c>
      <c r="N78" s="113" t="str">
        <f t="shared" si="68"/>
        <v/>
      </c>
      <c r="O78" s="111"/>
      <c r="P78" s="1201"/>
    </row>
    <row r="79" spans="1:16">
      <c r="A79" s="1202" t="s">
        <v>4369</v>
      </c>
      <c r="B79" s="109">
        <f>试算平衡表!N206</f>
        <v>0</v>
      </c>
      <c r="C79" s="113">
        <f t="shared" si="0"/>
        <v>0</v>
      </c>
      <c r="D79" s="109">
        <f>试算平衡表!E206</f>
        <v>0</v>
      </c>
      <c r="E79" s="113" t="str">
        <f t="shared" si="1"/>
        <v/>
      </c>
      <c r="F79" s="109">
        <f t="shared" si="65"/>
        <v>0</v>
      </c>
      <c r="G79" s="113" t="str">
        <f t="shared" si="2"/>
        <v/>
      </c>
      <c r="H79" s="113" t="str">
        <f t="shared" si="66"/>
        <v/>
      </c>
      <c r="I79" s="111"/>
      <c r="J79" s="109">
        <f>试算平衡表!I206</f>
        <v>0</v>
      </c>
      <c r="K79" s="113">
        <f t="shared" si="3"/>
        <v>0</v>
      </c>
      <c r="L79" s="109">
        <f t="shared" si="67"/>
        <v>0</v>
      </c>
      <c r="M79" s="113" t="str">
        <f t="shared" si="4"/>
        <v/>
      </c>
      <c r="N79" s="113" t="str">
        <f t="shared" si="68"/>
        <v/>
      </c>
      <c r="O79" s="111"/>
      <c r="P79" s="1201"/>
    </row>
    <row r="85" spans="1:14">
      <c r="B85" s="887"/>
    </row>
    <row r="86" spans="1:14">
      <c r="A86" s="456" t="s">
        <v>4370</v>
      </c>
      <c r="B86" s="578">
        <f>B10-B11-B14-B15-B16</f>
        <v>0</v>
      </c>
      <c r="C86" s="578">
        <f t="shared" ref="C86:N86" si="69">C10-C11-C14-C15-C16</f>
        <v>0</v>
      </c>
      <c r="D86" s="578">
        <f t="shared" si="69"/>
        <v>0</v>
      </c>
      <c r="E86" s="578" t="e">
        <f t="shared" si="69"/>
        <v>#VALUE!</v>
      </c>
      <c r="F86" s="578">
        <f t="shared" si="69"/>
        <v>0</v>
      </c>
      <c r="G86" s="578" t="e">
        <f t="shared" si="69"/>
        <v>#VALUE!</v>
      </c>
      <c r="H86" s="578" t="e">
        <f t="shared" si="69"/>
        <v>#VALUE!</v>
      </c>
      <c r="I86" s="578">
        <f t="shared" si="69"/>
        <v>0</v>
      </c>
      <c r="J86" s="578">
        <f t="shared" si="69"/>
        <v>0</v>
      </c>
      <c r="K86" s="578">
        <f t="shared" si="69"/>
        <v>0</v>
      </c>
      <c r="L86" s="578">
        <f t="shared" si="69"/>
        <v>0</v>
      </c>
      <c r="M86" s="578" t="e">
        <f t="shared" si="69"/>
        <v>#VALUE!</v>
      </c>
      <c r="N86" s="578" t="e">
        <f t="shared" si="69"/>
        <v>#VALUE!</v>
      </c>
    </row>
    <row r="87" spans="1:14">
      <c r="A87" s="456" t="s">
        <v>4371</v>
      </c>
      <c r="B87" s="578">
        <f>B11-B12-B13</f>
        <v>0</v>
      </c>
      <c r="C87" s="578">
        <f t="shared" ref="C87:N87" si="70">C11-C12-C13</f>
        <v>0</v>
      </c>
      <c r="D87" s="578">
        <f t="shared" si="70"/>
        <v>0</v>
      </c>
      <c r="E87" s="578" t="e">
        <f t="shared" si="70"/>
        <v>#VALUE!</v>
      </c>
      <c r="F87" s="578">
        <f t="shared" si="70"/>
        <v>0</v>
      </c>
      <c r="G87" s="578" t="e">
        <f t="shared" si="70"/>
        <v>#VALUE!</v>
      </c>
      <c r="H87" s="578" t="e">
        <f t="shared" si="70"/>
        <v>#VALUE!</v>
      </c>
      <c r="I87" s="578">
        <f t="shared" si="70"/>
        <v>0</v>
      </c>
      <c r="J87" s="578">
        <f t="shared" si="70"/>
        <v>0</v>
      </c>
      <c r="K87" s="578">
        <f t="shared" si="70"/>
        <v>0</v>
      </c>
      <c r="L87" s="578">
        <f t="shared" si="70"/>
        <v>0</v>
      </c>
      <c r="M87" s="578" t="e">
        <f t="shared" si="70"/>
        <v>#VALUE!</v>
      </c>
      <c r="N87" s="578" t="e">
        <f t="shared" si="70"/>
        <v>#VALUE!</v>
      </c>
    </row>
    <row r="88" spans="1:14">
      <c r="A88" s="456" t="s">
        <v>2090</v>
      </c>
      <c r="B88" s="578">
        <f t="shared" ref="B88:N88" si="71">B17-B18-B21-B22-B23-B24-B25-B26-B27-B28-B29-B30-B33-B37-B38</f>
        <v>-1.0404619388282299E-9</v>
      </c>
      <c r="C88" s="578">
        <f t="shared" si="71"/>
        <v>-8.565197162635485E-18</v>
      </c>
      <c r="D88" s="578">
        <f t="shared" si="71"/>
        <v>3.7289282772690058E-11</v>
      </c>
      <c r="E88" s="578" t="e">
        <f t="shared" si="71"/>
        <v>#VALUE!</v>
      </c>
      <c r="F88" s="578">
        <f t="shared" si="71"/>
        <v>1.4551915228366852E-10</v>
      </c>
      <c r="G88" s="578" t="e">
        <f t="shared" si="71"/>
        <v>#VALUE!</v>
      </c>
      <c r="H88" s="578" t="e">
        <f t="shared" si="71"/>
        <v>#VALUE!</v>
      </c>
      <c r="I88" s="578">
        <f t="shared" si="71"/>
        <v>0</v>
      </c>
      <c r="J88" s="578">
        <f t="shared" si="71"/>
        <v>5.8207660913467407E-10</v>
      </c>
      <c r="K88" s="578">
        <f t="shared" si="71"/>
        <v>2.0122792321330962E-16</v>
      </c>
      <c r="L88" s="578">
        <f t="shared" si="71"/>
        <v>1.6298145055770874E-9</v>
      </c>
      <c r="M88" s="578" t="e">
        <f t="shared" si="71"/>
        <v>#VALUE!</v>
      </c>
      <c r="N88" s="578" t="e">
        <f t="shared" si="71"/>
        <v>#VALUE!</v>
      </c>
    </row>
    <row r="89" spans="1:14">
      <c r="A89" s="456" t="s">
        <v>4372</v>
      </c>
      <c r="B89" s="578">
        <f>B18-B19-B20</f>
        <v>0</v>
      </c>
      <c r="C89" s="578">
        <f t="shared" ref="C89:N89" si="72">C18-C19-C20</f>
        <v>0</v>
      </c>
      <c r="D89" s="578">
        <f t="shared" si="72"/>
        <v>0</v>
      </c>
      <c r="E89" s="578" t="e">
        <f t="shared" si="72"/>
        <v>#VALUE!</v>
      </c>
      <c r="F89" s="578">
        <f t="shared" si="72"/>
        <v>0</v>
      </c>
      <c r="G89" s="578" t="e">
        <f t="shared" si="72"/>
        <v>#VALUE!</v>
      </c>
      <c r="H89" s="578" t="e">
        <f t="shared" si="72"/>
        <v>#VALUE!</v>
      </c>
      <c r="I89" s="578">
        <f t="shared" si="72"/>
        <v>0</v>
      </c>
      <c r="J89" s="578">
        <f t="shared" si="72"/>
        <v>0</v>
      </c>
      <c r="K89" s="578">
        <f t="shared" si="72"/>
        <v>0</v>
      </c>
      <c r="L89" s="578">
        <f t="shared" si="72"/>
        <v>0</v>
      </c>
      <c r="M89" s="578" t="e">
        <f t="shared" si="72"/>
        <v>#VALUE!</v>
      </c>
      <c r="N89" s="578" t="e">
        <f t="shared" si="72"/>
        <v>#VALUE!</v>
      </c>
    </row>
    <row r="90" spans="1:14">
      <c r="A90" s="456" t="s">
        <v>4373</v>
      </c>
      <c r="B90" s="417">
        <f>IF(B30-B31&gt;0,0,B30-B31)</f>
        <v>0</v>
      </c>
      <c r="C90" s="417">
        <f t="shared" ref="C90:N90" si="73">IF(C30-C31&gt;0,0,C30-C31)</f>
        <v>0</v>
      </c>
      <c r="D90" s="417">
        <f t="shared" si="73"/>
        <v>0</v>
      </c>
      <c r="E90" s="417" t="e">
        <f t="shared" si="73"/>
        <v>#VALUE!</v>
      </c>
      <c r="F90" s="417">
        <f t="shared" si="73"/>
        <v>-7437218.5700000003</v>
      </c>
      <c r="G90" s="417" t="e">
        <f t="shared" si="73"/>
        <v>#VALUE!</v>
      </c>
      <c r="H90" s="417" t="e">
        <f t="shared" si="73"/>
        <v>#VALUE!</v>
      </c>
      <c r="I90" s="417">
        <f t="shared" si="73"/>
        <v>0</v>
      </c>
      <c r="J90" s="417">
        <f t="shared" si="73"/>
        <v>0</v>
      </c>
      <c r="K90" s="417">
        <f t="shared" si="73"/>
        <v>0</v>
      </c>
      <c r="L90" s="417">
        <f t="shared" si="73"/>
        <v>-7438601.0000000009</v>
      </c>
      <c r="M90" s="417" t="e">
        <f t="shared" si="73"/>
        <v>#VALUE!</v>
      </c>
      <c r="N90" s="417" t="e">
        <f t="shared" si="73"/>
        <v>#VALUE!</v>
      </c>
    </row>
    <row r="91" spans="1:14">
      <c r="A91" s="456" t="s">
        <v>2093</v>
      </c>
      <c r="B91" s="417">
        <f>IF(B33-B34+B35-B36&gt;0,0,B33-B34+B35-B36)</f>
        <v>0</v>
      </c>
      <c r="C91" s="417">
        <f t="shared" ref="C91:N91" si="74">IF(C33-C34+C35-C36&gt;0,0,C33-C34+C35-C36)</f>
        <v>0</v>
      </c>
      <c r="D91" s="417">
        <f t="shared" si="74"/>
        <v>0</v>
      </c>
      <c r="E91" s="417" t="e">
        <f t="shared" si="74"/>
        <v>#VALUE!</v>
      </c>
      <c r="F91" s="417">
        <f t="shared" si="74"/>
        <v>-1801.3000000000029</v>
      </c>
      <c r="G91" s="417" t="e">
        <f t="shared" si="74"/>
        <v>#VALUE!</v>
      </c>
      <c r="H91" s="417" t="e">
        <f t="shared" si="74"/>
        <v>#VALUE!</v>
      </c>
      <c r="I91" s="417">
        <f t="shared" si="74"/>
        <v>0</v>
      </c>
      <c r="J91" s="417">
        <f t="shared" si="74"/>
        <v>0</v>
      </c>
      <c r="K91" s="417">
        <f t="shared" si="74"/>
        <v>0</v>
      </c>
      <c r="L91" s="417">
        <f t="shared" si="74"/>
        <v>-1801.3000000000029</v>
      </c>
      <c r="M91" s="417" t="e">
        <f t="shared" si="74"/>
        <v>#VALUE!</v>
      </c>
      <c r="N91" s="417" t="e">
        <f t="shared" si="74"/>
        <v>#VALUE!</v>
      </c>
    </row>
    <row r="92" spans="1:14">
      <c r="A92" s="456" t="s">
        <v>4374</v>
      </c>
      <c r="B92" s="417">
        <f>IF(B45-B46-B47-B48-B49&gt;0,0,B45-B46-B47-B48-B49)</f>
        <v>0</v>
      </c>
      <c r="C92" s="417">
        <f t="shared" ref="C92:N92" si="75">IF(C45-C46-C47-C48-C49&gt;0,0,C45-C46-C47-C48-C49)</f>
        <v>0</v>
      </c>
      <c r="D92" s="417">
        <f t="shared" si="75"/>
        <v>0</v>
      </c>
      <c r="E92" s="417" t="e">
        <f t="shared" si="75"/>
        <v>#VALUE!</v>
      </c>
      <c r="F92" s="417">
        <f t="shared" si="75"/>
        <v>0</v>
      </c>
      <c r="G92" s="417" t="e">
        <f t="shared" si="75"/>
        <v>#VALUE!</v>
      </c>
      <c r="H92" s="417" t="e">
        <f t="shared" si="75"/>
        <v>#VALUE!</v>
      </c>
      <c r="I92" s="417">
        <f t="shared" si="75"/>
        <v>0</v>
      </c>
      <c r="J92" s="417">
        <f t="shared" si="75"/>
        <v>0</v>
      </c>
      <c r="K92" s="417">
        <f t="shared" si="75"/>
        <v>0</v>
      </c>
      <c r="L92" s="417">
        <f t="shared" si="75"/>
        <v>0</v>
      </c>
      <c r="M92" s="417" t="e">
        <f t="shared" si="75"/>
        <v>#VALUE!</v>
      </c>
      <c r="N92" s="417" t="e">
        <f t="shared" si="75"/>
        <v>#VALUE!</v>
      </c>
    </row>
    <row r="93" spans="1:14">
      <c r="A93" s="456" t="s">
        <v>2095</v>
      </c>
      <c r="B93" s="417">
        <f>IF(B50-B51-B52-B53&gt;0,0,B50-B51-B52-B53)</f>
        <v>0</v>
      </c>
      <c r="C93" s="417">
        <f t="shared" ref="C93:N93" si="76">IF(C50-C51-C52-C53&gt;0,0,C50-C51-C52-C53)</f>
        <v>0</v>
      </c>
      <c r="D93" s="417">
        <f t="shared" si="76"/>
        <v>0</v>
      </c>
      <c r="E93" s="417" t="e">
        <f t="shared" si="76"/>
        <v>#VALUE!</v>
      </c>
      <c r="F93" s="417">
        <f t="shared" si="76"/>
        <v>0</v>
      </c>
      <c r="G93" s="417" t="e">
        <f t="shared" si="76"/>
        <v>#VALUE!</v>
      </c>
      <c r="H93" s="417" t="e">
        <f t="shared" si="76"/>
        <v>#VALUE!</v>
      </c>
      <c r="I93" s="417">
        <f t="shared" si="76"/>
        <v>0</v>
      </c>
      <c r="J93" s="417">
        <f t="shared" si="76"/>
        <v>0</v>
      </c>
      <c r="K93" s="417">
        <f t="shared" si="76"/>
        <v>0</v>
      </c>
      <c r="L93" s="417">
        <f t="shared" si="76"/>
        <v>0</v>
      </c>
      <c r="M93" s="417" t="e">
        <f t="shared" si="76"/>
        <v>#VALUE!</v>
      </c>
      <c r="N93" s="417" t="e">
        <f t="shared" si="76"/>
        <v>#VALUE!</v>
      </c>
    </row>
    <row r="94" spans="1:14">
      <c r="A94" s="456" t="s">
        <v>2096</v>
      </c>
      <c r="B94" s="417">
        <f t="shared" ref="B94:N94" si="77">B10-B17+B39+B40+B43-B44</f>
        <v>0</v>
      </c>
      <c r="C94" s="417">
        <f t="shared" si="77"/>
        <v>0</v>
      </c>
      <c r="D94" s="417">
        <f t="shared" si="77"/>
        <v>0</v>
      </c>
      <c r="E94" s="417" t="e">
        <f t="shared" si="77"/>
        <v>#VALUE!</v>
      </c>
      <c r="F94" s="417">
        <f t="shared" si="77"/>
        <v>0</v>
      </c>
      <c r="G94" s="417" t="e">
        <f t="shared" si="77"/>
        <v>#VALUE!</v>
      </c>
      <c r="H94" s="417" t="e">
        <f t="shared" si="77"/>
        <v>#VALUE!</v>
      </c>
      <c r="I94" s="417">
        <f t="shared" si="77"/>
        <v>0</v>
      </c>
      <c r="J94" s="417">
        <f t="shared" si="77"/>
        <v>-4.3655745685100555E-10</v>
      </c>
      <c r="K94" s="417">
        <f t="shared" si="77"/>
        <v>-1.0408340855860843E-16</v>
      </c>
      <c r="L94" s="417">
        <f t="shared" si="77"/>
        <v>0</v>
      </c>
      <c r="M94" s="417" t="e">
        <f t="shared" si="77"/>
        <v>#VALUE!</v>
      </c>
      <c r="N94" s="417" t="e">
        <f t="shared" si="77"/>
        <v>#VALUE!</v>
      </c>
    </row>
    <row r="95" spans="1:14">
      <c r="A95" s="456" t="s">
        <v>4375</v>
      </c>
      <c r="B95" s="417">
        <f>B44+B45-B50-B54</f>
        <v>0</v>
      </c>
      <c r="C95" s="417">
        <f t="shared" ref="C95:N95" si="78">C44+C45-C50-C54</f>
        <v>0</v>
      </c>
      <c r="D95" s="417">
        <f t="shared" si="78"/>
        <v>0</v>
      </c>
      <c r="E95" s="417" t="e">
        <f t="shared" si="78"/>
        <v>#VALUE!</v>
      </c>
      <c r="F95" s="417">
        <f t="shared" si="78"/>
        <v>0</v>
      </c>
      <c r="G95" s="417" t="e">
        <f t="shared" si="78"/>
        <v>#VALUE!</v>
      </c>
      <c r="H95" s="417" t="e">
        <f t="shared" si="78"/>
        <v>#VALUE!</v>
      </c>
      <c r="I95" s="417">
        <f t="shared" si="78"/>
        <v>0</v>
      </c>
      <c r="J95" s="417">
        <f t="shared" si="78"/>
        <v>0</v>
      </c>
      <c r="K95" s="417">
        <f t="shared" si="78"/>
        <v>0</v>
      </c>
      <c r="L95" s="417">
        <f t="shared" si="78"/>
        <v>0</v>
      </c>
      <c r="M95" s="417" t="e">
        <f t="shared" si="78"/>
        <v>#VALUE!</v>
      </c>
      <c r="N95" s="417">
        <f t="shared" si="78"/>
        <v>0</v>
      </c>
    </row>
    <row r="96" spans="1:14">
      <c r="A96" s="456" t="s">
        <v>2098</v>
      </c>
      <c r="B96" s="417">
        <f>B54-B55-B56</f>
        <v>0</v>
      </c>
      <c r="C96" s="417">
        <f t="shared" ref="C96:N96" si="79">C54-C55-C56</f>
        <v>0</v>
      </c>
      <c r="D96" s="417">
        <f t="shared" si="79"/>
        <v>0</v>
      </c>
      <c r="E96" s="417" t="e">
        <f t="shared" si="79"/>
        <v>#VALUE!</v>
      </c>
      <c r="F96" s="417">
        <f t="shared" si="79"/>
        <v>0</v>
      </c>
      <c r="G96" s="417">
        <f t="shared" si="79"/>
        <v>1.2532892785038223</v>
      </c>
      <c r="H96" s="417">
        <f t="shared" si="79"/>
        <v>0</v>
      </c>
      <c r="I96" s="417">
        <f t="shared" si="79"/>
        <v>0</v>
      </c>
      <c r="J96" s="417">
        <f t="shared" si="79"/>
        <v>-2.0372681319713593E-10</v>
      </c>
      <c r="K96" s="417">
        <f t="shared" si="79"/>
        <v>-4.8572257327350599E-17</v>
      </c>
      <c r="L96" s="417">
        <f t="shared" si="79"/>
        <v>0</v>
      </c>
      <c r="M96" s="417">
        <f t="shared" si="79"/>
        <v>0.9598745882867592</v>
      </c>
      <c r="N96" s="417">
        <f t="shared" si="79"/>
        <v>0</v>
      </c>
    </row>
    <row r="97" spans="1:14">
      <c r="A97" s="456" t="s">
        <v>2099</v>
      </c>
      <c r="B97" s="417">
        <f>B56-B58-B59</f>
        <v>0</v>
      </c>
      <c r="C97" s="417">
        <f t="shared" ref="C97:N97" si="80">C56-C58-C59</f>
        <v>0</v>
      </c>
      <c r="D97" s="417">
        <f t="shared" si="80"/>
        <v>0</v>
      </c>
      <c r="E97" s="417" t="e">
        <f t="shared" si="80"/>
        <v>#VALUE!</v>
      </c>
      <c r="F97" s="417">
        <f t="shared" si="80"/>
        <v>0</v>
      </c>
      <c r="G97" s="417" t="e">
        <f t="shared" si="80"/>
        <v>#VALUE!</v>
      </c>
      <c r="H97" s="417" t="e">
        <f t="shared" si="80"/>
        <v>#VALUE!</v>
      </c>
      <c r="I97" s="417">
        <f t="shared" si="80"/>
        <v>0</v>
      </c>
      <c r="J97" s="417">
        <f t="shared" si="80"/>
        <v>0</v>
      </c>
      <c r="K97" s="417">
        <f t="shared" si="80"/>
        <v>0</v>
      </c>
      <c r="L97" s="417">
        <f t="shared" si="80"/>
        <v>0</v>
      </c>
      <c r="M97" s="417" t="e">
        <f t="shared" si="80"/>
        <v>#VALUE!</v>
      </c>
      <c r="N97" s="417" t="e">
        <f t="shared" si="80"/>
        <v>#VALUE!</v>
      </c>
    </row>
    <row r="98" spans="1:14">
      <c r="A98" s="456" t="s">
        <v>4376</v>
      </c>
      <c r="B98" s="417">
        <f t="shared" ref="B98:N98" si="81">B74-B62-B56</f>
        <v>0</v>
      </c>
      <c r="C98" s="417">
        <f t="shared" si="81"/>
        <v>0</v>
      </c>
      <c r="D98" s="417">
        <f t="shared" si="81"/>
        <v>0</v>
      </c>
      <c r="E98" s="417" t="e">
        <f t="shared" si="81"/>
        <v>#VALUE!</v>
      </c>
      <c r="F98" s="417">
        <f t="shared" si="81"/>
        <v>0</v>
      </c>
      <c r="G98" s="417" t="e">
        <f t="shared" si="81"/>
        <v>#VALUE!</v>
      </c>
      <c r="H98" s="417" t="e">
        <f t="shared" si="81"/>
        <v>#VALUE!</v>
      </c>
      <c r="I98" s="417">
        <f t="shared" si="81"/>
        <v>0</v>
      </c>
      <c r="J98" s="417">
        <f t="shared" si="81"/>
        <v>0</v>
      </c>
      <c r="K98" s="417">
        <f t="shared" si="81"/>
        <v>0</v>
      </c>
      <c r="L98" s="417">
        <f t="shared" si="81"/>
        <v>0</v>
      </c>
      <c r="M98" s="417" t="e">
        <f t="shared" si="81"/>
        <v>#VALUE!</v>
      </c>
      <c r="N98" s="417" t="e">
        <f t="shared" si="81"/>
        <v>#VALUE!</v>
      </c>
    </row>
    <row r="99" spans="1:14">
      <c r="A99" s="1280" t="s">
        <v>4377</v>
      </c>
      <c r="B99" s="419">
        <f t="shared" ref="B99:N99" si="82">B74-B75-B76</f>
        <v>0</v>
      </c>
      <c r="C99" s="419">
        <f t="shared" si="82"/>
        <v>0</v>
      </c>
      <c r="D99" s="419">
        <f t="shared" si="82"/>
        <v>0</v>
      </c>
      <c r="E99" s="419" t="e">
        <f t="shared" si="82"/>
        <v>#VALUE!</v>
      </c>
      <c r="F99" s="419">
        <f t="shared" si="82"/>
        <v>0</v>
      </c>
      <c r="G99" s="419" t="e">
        <f t="shared" si="82"/>
        <v>#VALUE!</v>
      </c>
      <c r="H99" s="419" t="e">
        <f t="shared" si="82"/>
        <v>#VALUE!</v>
      </c>
      <c r="I99" s="419">
        <f t="shared" si="82"/>
        <v>0</v>
      </c>
      <c r="J99" s="419">
        <f t="shared" si="82"/>
        <v>0</v>
      </c>
      <c r="K99" s="419">
        <f t="shared" si="82"/>
        <v>0</v>
      </c>
      <c r="L99" s="419">
        <f t="shared" si="82"/>
        <v>0</v>
      </c>
      <c r="M99" s="419" t="e">
        <f t="shared" si="82"/>
        <v>#VALUE!</v>
      </c>
      <c r="N99" s="419" t="e">
        <f t="shared" si="82"/>
        <v>#VALUE!</v>
      </c>
    </row>
  </sheetData>
  <sheetProtection formatCells="0" formatColumns="0" formatRows="0" autoFilter="0"/>
  <mergeCells count="11">
    <mergeCell ref="I7:I8"/>
    <mergeCell ref="O7:O8"/>
    <mergeCell ref="P7:P8"/>
    <mergeCell ref="A6:A9"/>
    <mergeCell ref="B6:C7"/>
    <mergeCell ref="J6:N6"/>
    <mergeCell ref="D7:E7"/>
    <mergeCell ref="F7:H7"/>
    <mergeCell ref="J7:K7"/>
    <mergeCell ref="L7:N7"/>
    <mergeCell ref="D6:I6"/>
  </mergeCells>
  <phoneticPr fontId="5" type="noConversion"/>
  <conditionalFormatting sqref="A73">
    <cfRule type="cellIs" dxfId="1" priority="1" stopIfTrue="1" operator="notEqual">
      <formula>0</formula>
    </cfRule>
    <cfRule type="cellIs" dxfId="0" priority="2" stopIfTrue="1" operator="equal">
      <formula>0</formula>
    </cfRule>
  </conditionalFormatting>
  <hyperlinks>
    <hyperlink ref="A5" location="附注填写封面!B3" display="返回目录" xr:uid="{00000000-0004-0000-6F00-000000000000}"/>
  </hyperlinks>
  <printOptions horizontalCentered="1"/>
  <pageMargins left="0.23622047244094491" right="0.15748031496062992" top="0.78740157480314965" bottom="0.39370078740157483" header="0.51181102362204722" footer="0.15748031496062992"/>
  <pageSetup paperSize="9" scale="65" firstPageNumber="4294963191" fitToHeight="3" orientation="landscape" blackAndWhite="1" r:id="rId1"/>
  <headerFooter alignWithMargins="0">
    <oddHeader>&amp;R&amp;F-&amp;A-&amp;P/&amp;N</oddHeader>
    <oddFooter>&amp;C第 &amp;P 页，共 &amp;N 页</oddFooter>
  </headerFooter>
  <extLst>
    <ext xmlns:mx="http://schemas.microsoft.com/office/mac/excel/2008/main" uri="{64002731-A6B0-56B0-2670-7721B7C09600}">
      <mx:PLV Mode="0" OnePage="0" WScale="0"/>
    </ext>
  </extLst>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85">
    <pageSetUpPr autoPageBreaks="0"/>
  </sheetPr>
  <dimension ref="A1:K113"/>
  <sheetViews>
    <sheetView showGridLines="0" showZeros="0" view="pageBreakPreview" topLeftCell="A31" zoomScaleSheetLayoutView="100" workbookViewId="0">
      <selection activeCell="C76" sqref="C76"/>
    </sheetView>
  </sheetViews>
  <sheetFormatPr defaultColWidth="9.375" defaultRowHeight="12.75" outlineLevelCol="1"/>
  <cols>
    <col min="1" max="1" width="45.125" style="1192" customWidth="1"/>
    <col min="2" max="2" width="15.5" style="887" customWidth="1" outlineLevel="1"/>
    <col min="3" max="4" width="14.875" style="887" customWidth="1" outlineLevel="1"/>
    <col min="5" max="5" width="10.125" style="887" customWidth="1" outlineLevel="1"/>
    <col min="6" max="8" width="14.875" style="887" customWidth="1" outlineLevel="1"/>
    <col min="9" max="9" width="10.125" style="887" customWidth="1" outlineLevel="1"/>
    <col min="10" max="10" width="16" style="1192" customWidth="1"/>
    <col min="11" max="16384" width="9.375" style="1192"/>
  </cols>
  <sheetData>
    <row r="1" spans="1:11" s="1166" customFormat="1" ht="13.5" thickBot="1">
      <c r="A1" s="1162" t="s">
        <v>4288</v>
      </c>
      <c r="B1" s="1164"/>
      <c r="C1" s="1164"/>
      <c r="D1" s="1255"/>
      <c r="E1" s="1255"/>
      <c r="F1" s="1255"/>
      <c r="G1" s="1255"/>
      <c r="H1" s="1255"/>
      <c r="I1" s="1255"/>
    </row>
    <row r="2" spans="1:11" s="1166" customFormat="1">
      <c r="A2" s="1167" t="str">
        <f>利润表分析!A2</f>
        <v>被审计单位：华鼎资本（北京）有限公司</v>
      </c>
      <c r="B2" s="1169"/>
      <c r="C2" s="1169" t="s">
        <v>2253</v>
      </c>
      <c r="D2" s="1256" t="s">
        <v>97</v>
      </c>
      <c r="E2" s="1257"/>
      <c r="F2" s="1257"/>
      <c r="G2" s="1257" t="s">
        <v>363</v>
      </c>
      <c r="H2" s="1257"/>
      <c r="I2" s="1257">
        <v>1</v>
      </c>
      <c r="J2" s="1172"/>
      <c r="K2" s="1173"/>
    </row>
    <row r="3" spans="1:11" s="1166" customFormat="1">
      <c r="A3" s="1174" t="s">
        <v>4289</v>
      </c>
      <c r="B3" s="1176"/>
      <c r="C3" s="1176" t="s">
        <v>2254</v>
      </c>
      <c r="D3" s="1176" t="str">
        <f>资产分析!I3</f>
        <v>王咲晨</v>
      </c>
      <c r="E3" s="1258"/>
      <c r="F3" s="1258"/>
      <c r="G3" s="1178" t="s">
        <v>365</v>
      </c>
      <c r="H3" s="1259">
        <f>资产分析!M3</f>
        <v>0</v>
      </c>
      <c r="I3" s="1176"/>
      <c r="J3" s="1180"/>
      <c r="K3" s="1181"/>
    </row>
    <row r="4" spans="1:11" s="1166" customFormat="1" ht="13.5" thickBot="1">
      <c r="A4" s="1182" t="s">
        <v>4427</v>
      </c>
      <c r="B4" s="1184"/>
      <c r="C4" s="1184" t="s">
        <v>2257</v>
      </c>
      <c r="D4" s="1184" t="str">
        <f>资产分析!I4</f>
        <v>逯敏</v>
      </c>
      <c r="E4" s="1260"/>
      <c r="F4" s="1260"/>
      <c r="G4" s="1186" t="s">
        <v>365</v>
      </c>
      <c r="H4" s="1261">
        <f>资产分析!M4</f>
        <v>0</v>
      </c>
      <c r="I4" s="1184"/>
      <c r="J4" s="1188"/>
      <c r="K4" s="1189"/>
    </row>
    <row r="5" spans="1:11" ht="13.5" thickBot="1">
      <c r="A5" s="1190" t="s">
        <v>523</v>
      </c>
      <c r="B5" s="578"/>
      <c r="C5" s="578"/>
    </row>
    <row r="6" spans="1:11" s="1194" customFormat="1" ht="14.25" customHeight="1">
      <c r="A6" s="1902" t="s">
        <v>4290</v>
      </c>
      <c r="B6" s="1904" t="s">
        <v>4149</v>
      </c>
      <c r="C6" s="1904" t="s">
        <v>4150</v>
      </c>
      <c r="D6" s="1904"/>
      <c r="E6" s="1904"/>
      <c r="F6" s="1904"/>
      <c r="G6" s="1904" t="s">
        <v>4151</v>
      </c>
      <c r="H6" s="1904"/>
      <c r="I6" s="1904"/>
      <c r="J6" s="1262"/>
      <c r="K6" s="1193"/>
    </row>
    <row r="7" spans="1:11" s="1194" customFormat="1" ht="12.75" customHeight="1">
      <c r="A7" s="1903"/>
      <c r="B7" s="1905"/>
      <c r="C7" s="1196" t="s">
        <v>4152</v>
      </c>
      <c r="D7" s="1905" t="s">
        <v>4153</v>
      </c>
      <c r="E7" s="1905"/>
      <c r="F7" s="1905" t="s">
        <v>4156</v>
      </c>
      <c r="G7" s="1196" t="s">
        <v>4155</v>
      </c>
      <c r="H7" s="1905" t="s">
        <v>4153</v>
      </c>
      <c r="I7" s="1905"/>
      <c r="J7" s="1898" t="s">
        <v>4156</v>
      </c>
      <c r="K7" s="1898" t="s">
        <v>4291</v>
      </c>
    </row>
    <row r="8" spans="1:11" s="1194" customFormat="1">
      <c r="A8" s="1903"/>
      <c r="B8" s="1196" t="s">
        <v>857</v>
      </c>
      <c r="C8" s="1196" t="s">
        <v>857</v>
      </c>
      <c r="D8" s="1196" t="s">
        <v>857</v>
      </c>
      <c r="E8" s="1196" t="s">
        <v>4159</v>
      </c>
      <c r="F8" s="1905"/>
      <c r="G8" s="1196" t="s">
        <v>857</v>
      </c>
      <c r="H8" s="1196" t="s">
        <v>857</v>
      </c>
      <c r="I8" s="1196" t="s">
        <v>4159</v>
      </c>
      <c r="J8" s="1898"/>
      <c r="K8" s="1898"/>
    </row>
    <row r="9" spans="1:11" s="1266" customFormat="1">
      <c r="A9" s="1903"/>
      <c r="B9" s="1263">
        <v>2</v>
      </c>
      <c r="C9" s="1263">
        <v>3</v>
      </c>
      <c r="D9" s="1263" t="s">
        <v>98</v>
      </c>
      <c r="E9" s="1263" t="s">
        <v>99</v>
      </c>
      <c r="F9" s="1263"/>
      <c r="G9" s="1263">
        <v>6</v>
      </c>
      <c r="H9" s="1263" t="s">
        <v>100</v>
      </c>
      <c r="I9" s="1263" t="s">
        <v>101</v>
      </c>
      <c r="J9" s="1264"/>
      <c r="K9" s="1265"/>
    </row>
    <row r="10" spans="1:11">
      <c r="A10" s="1202" t="s">
        <v>4108</v>
      </c>
      <c r="B10" s="110"/>
      <c r="C10" s="110"/>
      <c r="D10" s="110"/>
      <c r="E10" s="110"/>
      <c r="F10" s="110"/>
      <c r="G10" s="110"/>
      <c r="H10" s="110"/>
      <c r="I10" s="110"/>
      <c r="J10" s="111"/>
      <c r="K10" s="1201"/>
    </row>
    <row r="11" spans="1:11">
      <c r="A11" s="1202" t="s">
        <v>295</v>
      </c>
      <c r="B11" s="110">
        <f>未审现金流量表!N6</f>
        <v>17000000</v>
      </c>
      <c r="C11" s="110">
        <f>未审现金流量表!C6</f>
        <v>0</v>
      </c>
      <c r="D11" s="110">
        <f t="shared" ref="D11:D35" si="0">C11-$B11</f>
        <v>-17000000</v>
      </c>
      <c r="E11" s="110">
        <f t="shared" ref="E11:E42" si="1">IF($B11=0,"",D11/$B11)</f>
        <v>-1</v>
      </c>
      <c r="F11" s="110"/>
      <c r="G11" s="110">
        <f>未审现金流量表!H6</f>
        <v>0</v>
      </c>
      <c r="H11" s="110">
        <f t="shared" ref="H11:H35" si="2">G11-$B11</f>
        <v>-17000000</v>
      </c>
      <c r="I11" s="110">
        <f t="shared" ref="I11:I42" si="3">IF($B11=0,"",H11/$B11)</f>
        <v>-1</v>
      </c>
      <c r="J11" s="111"/>
      <c r="K11" s="1201"/>
    </row>
    <row r="12" spans="1:11">
      <c r="A12" s="1202" t="s">
        <v>4109</v>
      </c>
      <c r="B12" s="110">
        <f>未审现金流量表!N7</f>
        <v>0</v>
      </c>
      <c r="C12" s="110">
        <f>未审现金流量表!C7</f>
        <v>0</v>
      </c>
      <c r="D12" s="110">
        <f t="shared" si="0"/>
        <v>0</v>
      </c>
      <c r="E12" s="110" t="str">
        <f t="shared" si="1"/>
        <v/>
      </c>
      <c r="F12" s="110"/>
      <c r="G12" s="110">
        <f>未审现金流量表!H7</f>
        <v>0</v>
      </c>
      <c r="H12" s="110">
        <f t="shared" si="2"/>
        <v>0</v>
      </c>
      <c r="I12" s="110" t="str">
        <f t="shared" si="3"/>
        <v/>
      </c>
      <c r="J12" s="111"/>
      <c r="K12" s="1201"/>
    </row>
    <row r="13" spans="1:11">
      <c r="A13" s="1202" t="s">
        <v>4110</v>
      </c>
      <c r="B13" s="110">
        <f>未审现金流量表!N8</f>
        <v>0</v>
      </c>
      <c r="C13" s="110">
        <f>未审现金流量表!C8</f>
        <v>0</v>
      </c>
      <c r="D13" s="110">
        <f t="shared" si="0"/>
        <v>0</v>
      </c>
      <c r="E13" s="110" t="str">
        <f t="shared" si="1"/>
        <v/>
      </c>
      <c r="F13" s="110"/>
      <c r="G13" s="110">
        <f>未审现金流量表!H8</f>
        <v>0</v>
      </c>
      <c r="H13" s="110">
        <f t="shared" si="2"/>
        <v>0</v>
      </c>
      <c r="I13" s="110" t="str">
        <f t="shared" si="3"/>
        <v/>
      </c>
      <c r="J13" s="111"/>
      <c r="K13" s="1201"/>
    </row>
    <row r="14" spans="1:11">
      <c r="A14" s="1202" t="s">
        <v>4111</v>
      </c>
      <c r="B14" s="110">
        <f>未审现金流量表!N9</f>
        <v>0</v>
      </c>
      <c r="C14" s="110">
        <f>未审现金流量表!C9</f>
        <v>0</v>
      </c>
      <c r="D14" s="110">
        <f t="shared" si="0"/>
        <v>0</v>
      </c>
      <c r="E14" s="110" t="str">
        <f t="shared" si="1"/>
        <v/>
      </c>
      <c r="F14" s="110"/>
      <c r="G14" s="110">
        <f>未审现金流量表!H9</f>
        <v>0</v>
      </c>
      <c r="H14" s="110">
        <f t="shared" si="2"/>
        <v>0</v>
      </c>
      <c r="I14" s="110" t="str">
        <f t="shared" si="3"/>
        <v/>
      </c>
      <c r="J14" s="111"/>
      <c r="K14" s="1201"/>
    </row>
    <row r="15" spans="1:11">
      <c r="A15" s="1202" t="s">
        <v>4112</v>
      </c>
      <c r="B15" s="110">
        <f>未审现金流量表!N10</f>
        <v>0</v>
      </c>
      <c r="C15" s="110">
        <f>未审现金流量表!C10</f>
        <v>0</v>
      </c>
      <c r="D15" s="110">
        <f t="shared" si="0"/>
        <v>0</v>
      </c>
      <c r="E15" s="110" t="str">
        <f t="shared" si="1"/>
        <v/>
      </c>
      <c r="F15" s="110"/>
      <c r="G15" s="110">
        <f>未审现金流量表!H10</f>
        <v>0</v>
      </c>
      <c r="H15" s="110">
        <f t="shared" si="2"/>
        <v>0</v>
      </c>
      <c r="I15" s="110" t="str">
        <f t="shared" si="3"/>
        <v/>
      </c>
      <c r="J15" s="111"/>
      <c r="K15" s="1201"/>
    </row>
    <row r="16" spans="1:11">
      <c r="A16" s="1202" t="s">
        <v>4113</v>
      </c>
      <c r="B16" s="110">
        <f>未审现金流量表!N11</f>
        <v>0</v>
      </c>
      <c r="C16" s="110">
        <f>未审现金流量表!C11</f>
        <v>0</v>
      </c>
      <c r="D16" s="110">
        <f t="shared" si="0"/>
        <v>0</v>
      </c>
      <c r="E16" s="110" t="str">
        <f t="shared" si="1"/>
        <v/>
      </c>
      <c r="F16" s="110"/>
      <c r="G16" s="110">
        <f>未审现金流量表!H11</f>
        <v>0</v>
      </c>
      <c r="H16" s="110">
        <f t="shared" si="2"/>
        <v>0</v>
      </c>
      <c r="I16" s="110" t="str">
        <f t="shared" si="3"/>
        <v/>
      </c>
      <c r="J16" s="111"/>
      <c r="K16" s="1201"/>
    </row>
    <row r="17" spans="1:11">
      <c r="A17" s="1202" t="s">
        <v>4114</v>
      </c>
      <c r="B17" s="110">
        <f>未审现金流量表!N12</f>
        <v>0</v>
      </c>
      <c r="C17" s="110">
        <f>未审现金流量表!C12</f>
        <v>0</v>
      </c>
      <c r="D17" s="110">
        <f t="shared" si="0"/>
        <v>0</v>
      </c>
      <c r="E17" s="110" t="str">
        <f t="shared" si="1"/>
        <v/>
      </c>
      <c r="F17" s="110"/>
      <c r="G17" s="110">
        <f>未审现金流量表!H12</f>
        <v>0</v>
      </c>
      <c r="H17" s="110">
        <f t="shared" si="2"/>
        <v>0</v>
      </c>
      <c r="I17" s="110" t="str">
        <f t="shared" si="3"/>
        <v/>
      </c>
      <c r="J17" s="111"/>
      <c r="K17" s="1201"/>
    </row>
    <row r="18" spans="1:11">
      <c r="A18" s="1202" t="s">
        <v>4292</v>
      </c>
      <c r="B18" s="110">
        <f>未审现金流量表!N13</f>
        <v>0</v>
      </c>
      <c r="C18" s="110">
        <f>未审现金流量表!C13</f>
        <v>0</v>
      </c>
      <c r="D18" s="110">
        <f t="shared" si="0"/>
        <v>0</v>
      </c>
      <c r="E18" s="110" t="str">
        <f t="shared" si="1"/>
        <v/>
      </c>
      <c r="F18" s="110"/>
      <c r="G18" s="110">
        <f>未审现金流量表!H13</f>
        <v>0</v>
      </c>
      <c r="H18" s="110">
        <f t="shared" si="2"/>
        <v>0</v>
      </c>
      <c r="I18" s="110" t="str">
        <f t="shared" si="3"/>
        <v/>
      </c>
      <c r="J18" s="111"/>
      <c r="K18" s="1201"/>
    </row>
    <row r="19" spans="1:11">
      <c r="A19" s="1202" t="s">
        <v>4115</v>
      </c>
      <c r="B19" s="110">
        <f>未审现金流量表!N14</f>
        <v>0</v>
      </c>
      <c r="C19" s="110">
        <f>未审现金流量表!C14</f>
        <v>0</v>
      </c>
      <c r="D19" s="110">
        <f t="shared" si="0"/>
        <v>0</v>
      </c>
      <c r="E19" s="110" t="str">
        <f t="shared" si="1"/>
        <v/>
      </c>
      <c r="F19" s="110"/>
      <c r="G19" s="110">
        <f>未审现金流量表!H14</f>
        <v>0</v>
      </c>
      <c r="H19" s="110">
        <f t="shared" si="2"/>
        <v>0</v>
      </c>
      <c r="I19" s="110" t="str">
        <f t="shared" si="3"/>
        <v/>
      </c>
      <c r="J19" s="111"/>
      <c r="K19" s="1201"/>
    </row>
    <row r="20" spans="1:11">
      <c r="A20" s="1202" t="s">
        <v>4116</v>
      </c>
      <c r="B20" s="110">
        <f>未审现金流量表!N15</f>
        <v>0</v>
      </c>
      <c r="C20" s="110">
        <f>未审现金流量表!C15</f>
        <v>0</v>
      </c>
      <c r="D20" s="110">
        <f t="shared" si="0"/>
        <v>0</v>
      </c>
      <c r="E20" s="110" t="str">
        <f t="shared" si="1"/>
        <v/>
      </c>
      <c r="F20" s="110"/>
      <c r="G20" s="110">
        <f>未审现金流量表!H15</f>
        <v>0</v>
      </c>
      <c r="H20" s="110">
        <f t="shared" si="2"/>
        <v>0</v>
      </c>
      <c r="I20" s="110" t="str">
        <f t="shared" si="3"/>
        <v/>
      </c>
      <c r="J20" s="111"/>
      <c r="K20" s="1201"/>
    </row>
    <row r="21" spans="1:11">
      <c r="A21" s="1202" t="s">
        <v>4117</v>
      </c>
      <c r="B21" s="110">
        <f>未审现金流量表!N16</f>
        <v>0</v>
      </c>
      <c r="C21" s="110">
        <f>未审现金流量表!C16</f>
        <v>0</v>
      </c>
      <c r="D21" s="110">
        <f t="shared" si="0"/>
        <v>0</v>
      </c>
      <c r="E21" s="110" t="str">
        <f t="shared" si="1"/>
        <v/>
      </c>
      <c r="F21" s="110"/>
      <c r="G21" s="110">
        <f>未审现金流量表!H16</f>
        <v>0</v>
      </c>
      <c r="H21" s="110">
        <f t="shared" si="2"/>
        <v>0</v>
      </c>
      <c r="I21" s="110" t="str">
        <f t="shared" si="3"/>
        <v/>
      </c>
      <c r="J21" s="111"/>
      <c r="K21" s="1201"/>
    </row>
    <row r="22" spans="1:11">
      <c r="A22" s="1202" t="s">
        <v>296</v>
      </c>
      <c r="B22" s="110">
        <f>未审现金流量表!N17</f>
        <v>511678</v>
      </c>
      <c r="C22" s="110">
        <f>未审现金流量表!C17</f>
        <v>0</v>
      </c>
      <c r="D22" s="110">
        <f t="shared" si="0"/>
        <v>-511678</v>
      </c>
      <c r="E22" s="110">
        <f t="shared" si="1"/>
        <v>-1</v>
      </c>
      <c r="F22" s="110"/>
      <c r="G22" s="110">
        <f>未审现金流量表!H17</f>
        <v>0</v>
      </c>
      <c r="H22" s="110">
        <f t="shared" si="2"/>
        <v>-511678</v>
      </c>
      <c r="I22" s="110">
        <f t="shared" si="3"/>
        <v>-1</v>
      </c>
      <c r="J22" s="111"/>
      <c r="K22" s="1201"/>
    </row>
    <row r="23" spans="1:11">
      <c r="A23" s="1202" t="s">
        <v>297</v>
      </c>
      <c r="B23" s="110">
        <f>未审现金流量表!N18</f>
        <v>278279.76</v>
      </c>
      <c r="C23" s="110">
        <f>未审现金流量表!C18</f>
        <v>3501.21</v>
      </c>
      <c r="D23" s="110">
        <f t="shared" si="0"/>
        <v>-274778.55</v>
      </c>
      <c r="E23" s="110">
        <f t="shared" si="1"/>
        <v>-0.98741838069718035</v>
      </c>
      <c r="F23" s="110"/>
      <c r="G23" s="110">
        <f>未审现金流量表!H18</f>
        <v>3501.21</v>
      </c>
      <c r="H23" s="110">
        <f t="shared" si="2"/>
        <v>-274778.55</v>
      </c>
      <c r="I23" s="110">
        <f t="shared" si="3"/>
        <v>-0.98741838069718035</v>
      </c>
      <c r="J23" s="111"/>
      <c r="K23" s="1201"/>
    </row>
    <row r="24" spans="1:11">
      <c r="A24" s="1267" t="s">
        <v>4118</v>
      </c>
      <c r="B24" s="110">
        <f>未审现金流量表!N19</f>
        <v>17789957.760000002</v>
      </c>
      <c r="C24" s="110">
        <f>未审现金流量表!C19</f>
        <v>3501.21</v>
      </c>
      <c r="D24" s="110">
        <f>SUM(D11:D23)</f>
        <v>-17786456.550000001</v>
      </c>
      <c r="E24" s="110">
        <f t="shared" si="1"/>
        <v>-0.99980319177553789</v>
      </c>
      <c r="F24" s="110"/>
      <c r="G24" s="110">
        <f>未审现金流量表!H19</f>
        <v>3501.21</v>
      </c>
      <c r="H24" s="110">
        <f t="shared" si="2"/>
        <v>-17786456.550000001</v>
      </c>
      <c r="I24" s="110">
        <f t="shared" si="3"/>
        <v>-0.99980319177553789</v>
      </c>
      <c r="J24" s="111"/>
      <c r="K24" s="1201"/>
    </row>
    <row r="25" spans="1:11">
      <c r="A25" s="1202" t="s">
        <v>4119</v>
      </c>
      <c r="B25" s="110">
        <f>未审现金流量表!N20</f>
        <v>0</v>
      </c>
      <c r="C25" s="110">
        <f>未审现金流量表!C20</f>
        <v>0</v>
      </c>
      <c r="D25" s="110">
        <f t="shared" si="0"/>
        <v>0</v>
      </c>
      <c r="E25" s="110" t="str">
        <f t="shared" si="1"/>
        <v/>
      </c>
      <c r="F25" s="110"/>
      <c r="G25" s="110">
        <f>未审现金流量表!H20</f>
        <v>0</v>
      </c>
      <c r="H25" s="110">
        <f t="shared" si="2"/>
        <v>0</v>
      </c>
      <c r="I25" s="110" t="str">
        <f t="shared" si="3"/>
        <v/>
      </c>
      <c r="J25" s="111"/>
      <c r="K25" s="1201"/>
    </row>
    <row r="26" spans="1:11">
      <c r="A26" s="1202" t="s">
        <v>4120</v>
      </c>
      <c r="B26" s="110">
        <f>未审现金流量表!N21</f>
        <v>0</v>
      </c>
      <c r="C26" s="110">
        <f>未审现金流量表!C21</f>
        <v>0</v>
      </c>
      <c r="D26" s="110">
        <f t="shared" si="0"/>
        <v>0</v>
      </c>
      <c r="E26" s="110" t="str">
        <f t="shared" si="1"/>
        <v/>
      </c>
      <c r="F26" s="110"/>
      <c r="G26" s="110">
        <f>未审现金流量表!H21</f>
        <v>0</v>
      </c>
      <c r="H26" s="110">
        <f t="shared" si="2"/>
        <v>0</v>
      </c>
      <c r="I26" s="110" t="str">
        <f t="shared" si="3"/>
        <v/>
      </c>
      <c r="J26" s="111"/>
      <c r="K26" s="1201"/>
    </row>
    <row r="27" spans="1:11">
      <c r="A27" s="1202" t="s">
        <v>4121</v>
      </c>
      <c r="B27" s="110">
        <f>未审现金流量表!N22</f>
        <v>0</v>
      </c>
      <c r="C27" s="110">
        <f>未审现金流量表!C22</f>
        <v>0</v>
      </c>
      <c r="D27" s="110">
        <f t="shared" si="0"/>
        <v>0</v>
      </c>
      <c r="E27" s="110" t="str">
        <f t="shared" si="1"/>
        <v/>
      </c>
      <c r="F27" s="110"/>
      <c r="G27" s="110">
        <f>未审现金流量表!H22</f>
        <v>0</v>
      </c>
      <c r="H27" s="110">
        <f t="shared" si="2"/>
        <v>0</v>
      </c>
      <c r="I27" s="110" t="str">
        <f t="shared" si="3"/>
        <v/>
      </c>
      <c r="J27" s="111"/>
      <c r="K27" s="1201"/>
    </row>
    <row r="28" spans="1:11">
      <c r="A28" s="1202" t="s">
        <v>4122</v>
      </c>
      <c r="B28" s="110">
        <f>未审现金流量表!N23</f>
        <v>0</v>
      </c>
      <c r="C28" s="110">
        <f>未审现金流量表!C23</f>
        <v>0</v>
      </c>
      <c r="D28" s="110">
        <f t="shared" si="0"/>
        <v>0</v>
      </c>
      <c r="E28" s="110" t="str">
        <f t="shared" si="1"/>
        <v/>
      </c>
      <c r="F28" s="110"/>
      <c r="G28" s="110">
        <f>未审现金流量表!H23</f>
        <v>0</v>
      </c>
      <c r="H28" s="110">
        <f t="shared" si="2"/>
        <v>0</v>
      </c>
      <c r="I28" s="110" t="str">
        <f t="shared" si="3"/>
        <v/>
      </c>
      <c r="J28" s="111"/>
      <c r="K28" s="1201"/>
    </row>
    <row r="29" spans="1:11">
      <c r="A29" s="1202" t="s">
        <v>4123</v>
      </c>
      <c r="B29" s="110">
        <f>未审现金流量表!N24</f>
        <v>0</v>
      </c>
      <c r="C29" s="110">
        <f>未审现金流量表!C24</f>
        <v>0</v>
      </c>
      <c r="D29" s="110">
        <f t="shared" si="0"/>
        <v>0</v>
      </c>
      <c r="E29" s="110" t="str">
        <f t="shared" si="1"/>
        <v/>
      </c>
      <c r="F29" s="110"/>
      <c r="G29" s="110">
        <f>未审现金流量表!H24</f>
        <v>0</v>
      </c>
      <c r="H29" s="110">
        <f t="shared" si="2"/>
        <v>0</v>
      </c>
      <c r="I29" s="110" t="str">
        <f t="shared" si="3"/>
        <v/>
      </c>
      <c r="J29" s="111"/>
      <c r="K29" s="1201"/>
    </row>
    <row r="30" spans="1:11">
      <c r="A30" s="1202" t="s">
        <v>4124</v>
      </c>
      <c r="B30" s="110">
        <f>未审现金流量表!N25</f>
        <v>0</v>
      </c>
      <c r="C30" s="110">
        <f>未审现金流量表!C25</f>
        <v>0</v>
      </c>
      <c r="D30" s="110">
        <f t="shared" si="0"/>
        <v>0</v>
      </c>
      <c r="E30" s="110" t="str">
        <f t="shared" si="1"/>
        <v/>
      </c>
      <c r="F30" s="110"/>
      <c r="G30" s="110">
        <f>未审现金流量表!H25</f>
        <v>0</v>
      </c>
      <c r="H30" s="110">
        <f t="shared" si="2"/>
        <v>0</v>
      </c>
      <c r="I30" s="110" t="str">
        <f t="shared" si="3"/>
        <v/>
      </c>
      <c r="J30" s="111"/>
      <c r="K30" s="1201"/>
    </row>
    <row r="31" spans="1:11">
      <c r="A31" s="1202" t="s">
        <v>300</v>
      </c>
      <c r="B31" s="110">
        <f>未审现金流量表!N26</f>
        <v>7355606.5899999999</v>
      </c>
      <c r="C31" s="110">
        <f>未审现金流量表!C26</f>
        <v>2808839.9300000006</v>
      </c>
      <c r="D31" s="110">
        <f t="shared" si="0"/>
        <v>-4546766.6599999992</v>
      </c>
      <c r="E31" s="110">
        <f t="shared" si="1"/>
        <v>-0.61813619371397066</v>
      </c>
      <c r="F31" s="110"/>
      <c r="G31" s="110">
        <f>未审现金流量表!H26</f>
        <v>2808839.9300000006</v>
      </c>
      <c r="H31" s="110">
        <f t="shared" si="2"/>
        <v>-4546766.6599999992</v>
      </c>
      <c r="I31" s="110">
        <f t="shared" si="3"/>
        <v>-0.61813619371397066</v>
      </c>
      <c r="J31" s="111"/>
      <c r="K31" s="1201"/>
    </row>
    <row r="32" spans="1:11">
      <c r="A32" s="1202" t="s">
        <v>301</v>
      </c>
      <c r="B32" s="110">
        <f>未审现金流量表!N27</f>
        <v>6419475.4900000002</v>
      </c>
      <c r="C32" s="110">
        <f>未审现金流量表!C27</f>
        <v>968652.24999999988</v>
      </c>
      <c r="D32" s="110">
        <f t="shared" si="0"/>
        <v>-5450823.2400000002</v>
      </c>
      <c r="E32" s="110">
        <f t="shared" si="1"/>
        <v>-0.84910725938452025</v>
      </c>
      <c r="F32" s="110"/>
      <c r="G32" s="110">
        <f>未审现金流量表!H27</f>
        <v>968652.24999999988</v>
      </c>
      <c r="H32" s="110">
        <f t="shared" si="2"/>
        <v>-5450823.2400000002</v>
      </c>
      <c r="I32" s="110">
        <f t="shared" si="3"/>
        <v>-0.84910725938452025</v>
      </c>
      <c r="J32" s="111"/>
      <c r="K32" s="1201"/>
    </row>
    <row r="33" spans="1:11">
      <c r="A33" s="1202" t="s">
        <v>302</v>
      </c>
      <c r="B33" s="110">
        <f>未审现金流量表!N28</f>
        <v>4139025.11</v>
      </c>
      <c r="C33" s="110">
        <f>未审现金流量表!C28</f>
        <v>1193214.6399999999</v>
      </c>
      <c r="D33" s="110">
        <f t="shared" si="0"/>
        <v>-2945810.4699999997</v>
      </c>
      <c r="E33" s="110">
        <f t="shared" si="1"/>
        <v>-0.71171601807460405</v>
      </c>
      <c r="F33" s="110"/>
      <c r="G33" s="110">
        <f>未审现金流量表!H28</f>
        <v>1193214.6399999999</v>
      </c>
      <c r="H33" s="110">
        <f t="shared" si="2"/>
        <v>-2945810.4699999997</v>
      </c>
      <c r="I33" s="110">
        <f t="shared" si="3"/>
        <v>-0.71171601807460405</v>
      </c>
      <c r="J33" s="111"/>
      <c r="K33" s="1201"/>
    </row>
    <row r="34" spans="1:11">
      <c r="A34" s="1267" t="s">
        <v>4125</v>
      </c>
      <c r="B34" s="110">
        <f>未审现金流量表!N29</f>
        <v>17914107.190000001</v>
      </c>
      <c r="C34" s="110">
        <f>未审现金流量表!C29</f>
        <v>4970706.82</v>
      </c>
      <c r="D34" s="110">
        <f t="shared" si="0"/>
        <v>-12943400.370000001</v>
      </c>
      <c r="E34" s="110">
        <f t="shared" si="1"/>
        <v>-0.72252556226889475</v>
      </c>
      <c r="F34" s="110"/>
      <c r="G34" s="110">
        <f>未审现金流量表!H29</f>
        <v>4970706.82</v>
      </c>
      <c r="H34" s="110">
        <f t="shared" si="2"/>
        <v>-12943400.370000001</v>
      </c>
      <c r="I34" s="110">
        <f t="shared" si="3"/>
        <v>-0.72252556226889475</v>
      </c>
      <c r="J34" s="111"/>
      <c r="K34" s="1201"/>
    </row>
    <row r="35" spans="1:11">
      <c r="A35" s="1267" t="s">
        <v>4126</v>
      </c>
      <c r="B35" s="110">
        <f>未审现金流量表!N30</f>
        <v>-124149.4299999997</v>
      </c>
      <c r="C35" s="110">
        <f>未审现金流量表!C30</f>
        <v>-4967205.6100000003</v>
      </c>
      <c r="D35" s="110">
        <f t="shared" si="0"/>
        <v>-4843056.1800000006</v>
      </c>
      <c r="E35" s="110">
        <f t="shared" si="1"/>
        <v>39.009894608457017</v>
      </c>
      <c r="F35" s="110"/>
      <c r="G35" s="110">
        <f>未审现金流量表!H30</f>
        <v>-4967205.6100000003</v>
      </c>
      <c r="H35" s="110">
        <f t="shared" si="2"/>
        <v>-4843056.1800000006</v>
      </c>
      <c r="I35" s="110">
        <f t="shared" si="3"/>
        <v>39.009894608457017</v>
      </c>
      <c r="J35" s="111"/>
      <c r="K35" s="1201"/>
    </row>
    <row r="36" spans="1:11">
      <c r="A36" s="1202" t="s">
        <v>4127</v>
      </c>
      <c r="B36" s="110">
        <f>未审现金流量表!N31</f>
        <v>0</v>
      </c>
      <c r="C36" s="110">
        <f>未审现金流量表!C31</f>
        <v>0</v>
      </c>
      <c r="D36" s="110"/>
      <c r="E36" s="110" t="str">
        <f t="shared" si="1"/>
        <v/>
      </c>
      <c r="F36" s="110"/>
      <c r="G36" s="110">
        <f>未审现金流量表!H31</f>
        <v>0</v>
      </c>
      <c r="H36" s="110"/>
      <c r="I36" s="110" t="str">
        <f t="shared" si="3"/>
        <v/>
      </c>
      <c r="J36" s="111"/>
      <c r="K36" s="1201"/>
    </row>
    <row r="37" spans="1:11">
      <c r="A37" s="1202" t="s">
        <v>4293</v>
      </c>
      <c r="B37" s="110">
        <f>未审现金流量表!N32</f>
        <v>0</v>
      </c>
      <c r="C37" s="110">
        <f>未审现金流量表!C32</f>
        <v>0</v>
      </c>
      <c r="D37" s="110">
        <f t="shared" ref="D37:D49" si="4">C37-$B37</f>
        <v>0</v>
      </c>
      <c r="E37" s="110" t="str">
        <f t="shared" si="1"/>
        <v/>
      </c>
      <c r="F37" s="110"/>
      <c r="G37" s="110">
        <f>未审现金流量表!H32</f>
        <v>0</v>
      </c>
      <c r="H37" s="110">
        <f t="shared" ref="H37:H49" si="5">G37-$B37</f>
        <v>0</v>
      </c>
      <c r="I37" s="110" t="str">
        <f t="shared" si="3"/>
        <v/>
      </c>
      <c r="J37" s="111"/>
      <c r="K37" s="1201"/>
    </row>
    <row r="38" spans="1:11">
      <c r="A38" s="1202" t="s">
        <v>4294</v>
      </c>
      <c r="B38" s="110">
        <f>未审现金流量表!N33</f>
        <v>0</v>
      </c>
      <c r="C38" s="110">
        <f>未审现金流量表!C33</f>
        <v>0</v>
      </c>
      <c r="D38" s="110">
        <f t="shared" si="4"/>
        <v>0</v>
      </c>
      <c r="E38" s="110" t="str">
        <f t="shared" si="1"/>
        <v/>
      </c>
      <c r="F38" s="110"/>
      <c r="G38" s="110">
        <f>未审现金流量表!H33</f>
        <v>0</v>
      </c>
      <c r="H38" s="110">
        <f t="shared" si="5"/>
        <v>0</v>
      </c>
      <c r="I38" s="110" t="str">
        <f t="shared" si="3"/>
        <v/>
      </c>
      <c r="J38" s="111"/>
      <c r="K38" s="1201"/>
    </row>
    <row r="39" spans="1:11">
      <c r="A39" s="1202" t="s">
        <v>4295</v>
      </c>
      <c r="B39" s="110">
        <f>未审现金流量表!N34</f>
        <v>0</v>
      </c>
      <c r="C39" s="110">
        <f>未审现金流量表!C34</f>
        <v>0</v>
      </c>
      <c r="D39" s="110">
        <f t="shared" si="4"/>
        <v>0</v>
      </c>
      <c r="E39" s="110" t="str">
        <f t="shared" si="1"/>
        <v/>
      </c>
      <c r="F39" s="110"/>
      <c r="G39" s="110">
        <f>未审现金流量表!H34</f>
        <v>0</v>
      </c>
      <c r="H39" s="110">
        <f t="shared" si="5"/>
        <v>0</v>
      </c>
      <c r="I39" s="110" t="str">
        <f t="shared" si="3"/>
        <v/>
      </c>
      <c r="J39" s="111"/>
      <c r="K39" s="1201"/>
    </row>
    <row r="40" spans="1:11">
      <c r="A40" s="1202" t="s">
        <v>4296</v>
      </c>
      <c r="B40" s="110">
        <f>未审现金流量表!N35</f>
        <v>0</v>
      </c>
      <c r="C40" s="110">
        <f>未审现金流量表!C35</f>
        <v>0</v>
      </c>
      <c r="D40" s="110">
        <f t="shared" si="4"/>
        <v>0</v>
      </c>
      <c r="E40" s="110" t="str">
        <f t="shared" si="1"/>
        <v/>
      </c>
      <c r="F40" s="110"/>
      <c r="G40" s="110">
        <f>未审现金流量表!H35</f>
        <v>0</v>
      </c>
      <c r="H40" s="110">
        <f t="shared" si="5"/>
        <v>0</v>
      </c>
      <c r="I40" s="110" t="str">
        <f t="shared" si="3"/>
        <v/>
      </c>
      <c r="J40" s="111"/>
      <c r="K40" s="1201"/>
    </row>
    <row r="41" spans="1:11">
      <c r="A41" s="1202" t="s">
        <v>4297</v>
      </c>
      <c r="B41" s="110">
        <f>未审现金流量表!N36</f>
        <v>0</v>
      </c>
      <c r="C41" s="110">
        <f>未审现金流量表!C36</f>
        <v>0</v>
      </c>
      <c r="D41" s="110">
        <f t="shared" si="4"/>
        <v>0</v>
      </c>
      <c r="E41" s="110" t="str">
        <f t="shared" si="1"/>
        <v/>
      </c>
      <c r="F41" s="110"/>
      <c r="G41" s="110">
        <f>未审现金流量表!H36</f>
        <v>0</v>
      </c>
      <c r="H41" s="110">
        <f t="shared" si="5"/>
        <v>0</v>
      </c>
      <c r="I41" s="110" t="str">
        <f t="shared" si="3"/>
        <v/>
      </c>
      <c r="J41" s="111"/>
      <c r="K41" s="1201"/>
    </row>
    <row r="42" spans="1:11">
      <c r="A42" s="1267" t="s">
        <v>4128</v>
      </c>
      <c r="B42" s="110">
        <f>未审现金流量表!N37</f>
        <v>0</v>
      </c>
      <c r="C42" s="110">
        <f>未审现金流量表!C37</f>
        <v>0</v>
      </c>
      <c r="D42" s="110">
        <f t="shared" si="4"/>
        <v>0</v>
      </c>
      <c r="E42" s="110" t="str">
        <f t="shared" si="1"/>
        <v/>
      </c>
      <c r="F42" s="110"/>
      <c r="G42" s="110">
        <f>未审现金流量表!H37</f>
        <v>0</v>
      </c>
      <c r="H42" s="110">
        <f t="shared" si="5"/>
        <v>0</v>
      </c>
      <c r="I42" s="110" t="str">
        <f t="shared" si="3"/>
        <v/>
      </c>
      <c r="J42" s="111"/>
      <c r="K42" s="1201"/>
    </row>
    <row r="43" spans="1:11">
      <c r="A43" s="1202" t="s">
        <v>4298</v>
      </c>
      <c r="B43" s="110">
        <f>未审现金流量表!N38</f>
        <v>721377.37</v>
      </c>
      <c r="C43" s="110">
        <f>未审现金流量表!C38</f>
        <v>0</v>
      </c>
      <c r="D43" s="110">
        <f t="shared" si="4"/>
        <v>-721377.37</v>
      </c>
      <c r="E43" s="110">
        <f t="shared" ref="E43:E66" si="6">IF($B43=0,"",D43/$B43)</f>
        <v>-1</v>
      </c>
      <c r="F43" s="110"/>
      <c r="G43" s="110">
        <f>未审现金流量表!H38</f>
        <v>0</v>
      </c>
      <c r="H43" s="110">
        <f t="shared" si="5"/>
        <v>-721377.37</v>
      </c>
      <c r="I43" s="110">
        <f t="shared" ref="I43:I66" si="7">IF($B43=0,"",H43/$B43)</f>
        <v>-1</v>
      </c>
      <c r="J43" s="111"/>
      <c r="K43" s="1201"/>
    </row>
    <row r="44" spans="1:11">
      <c r="A44" s="1202" t="s">
        <v>4299</v>
      </c>
      <c r="B44" s="110">
        <f>未审现金流量表!N39</f>
        <v>330000</v>
      </c>
      <c r="C44" s="110">
        <f>未审现金流量表!C39</f>
        <v>30000</v>
      </c>
      <c r="D44" s="110">
        <f t="shared" si="4"/>
        <v>-300000</v>
      </c>
      <c r="E44" s="110">
        <f t="shared" si="6"/>
        <v>-0.90909090909090906</v>
      </c>
      <c r="F44" s="110"/>
      <c r="G44" s="110">
        <f>未审现金流量表!H39</f>
        <v>30000</v>
      </c>
      <c r="H44" s="110">
        <f t="shared" si="5"/>
        <v>-300000</v>
      </c>
      <c r="I44" s="110">
        <f t="shared" si="7"/>
        <v>-0.90909090909090906</v>
      </c>
      <c r="J44" s="111"/>
      <c r="K44" s="1201"/>
    </row>
    <row r="45" spans="1:11">
      <c r="A45" s="1202" t="s">
        <v>4300</v>
      </c>
      <c r="B45" s="110">
        <f>未审现金流量表!N40</f>
        <v>0</v>
      </c>
      <c r="C45" s="110">
        <f>未审现金流量表!C40</f>
        <v>0</v>
      </c>
      <c r="D45" s="110">
        <f t="shared" si="4"/>
        <v>0</v>
      </c>
      <c r="E45" s="110" t="str">
        <f t="shared" si="6"/>
        <v/>
      </c>
      <c r="F45" s="110"/>
      <c r="G45" s="110">
        <f>未审现金流量表!H40</f>
        <v>0</v>
      </c>
      <c r="H45" s="110">
        <f t="shared" si="5"/>
        <v>0</v>
      </c>
      <c r="I45" s="110" t="str">
        <f t="shared" si="7"/>
        <v/>
      </c>
      <c r="J45" s="111"/>
      <c r="K45" s="1201"/>
    </row>
    <row r="46" spans="1:11">
      <c r="A46" s="1202" t="s">
        <v>4301</v>
      </c>
      <c r="B46" s="110">
        <f>未审现金流量表!N41</f>
        <v>0</v>
      </c>
      <c r="C46" s="110">
        <f>未审现金流量表!C41</f>
        <v>0</v>
      </c>
      <c r="D46" s="110">
        <f t="shared" si="4"/>
        <v>0</v>
      </c>
      <c r="E46" s="110" t="str">
        <f t="shared" si="6"/>
        <v/>
      </c>
      <c r="F46" s="110"/>
      <c r="G46" s="110">
        <f>未审现金流量表!H41</f>
        <v>0</v>
      </c>
      <c r="H46" s="110">
        <f t="shared" si="5"/>
        <v>0</v>
      </c>
      <c r="I46" s="110" t="str">
        <f t="shared" si="7"/>
        <v/>
      </c>
      <c r="J46" s="111"/>
      <c r="K46" s="1201"/>
    </row>
    <row r="47" spans="1:11">
      <c r="A47" s="1202" t="s">
        <v>4302</v>
      </c>
      <c r="B47" s="110">
        <f>未审现金流量表!N42</f>
        <v>0</v>
      </c>
      <c r="C47" s="110">
        <f>未审现金流量表!C42</f>
        <v>0</v>
      </c>
      <c r="D47" s="110">
        <f t="shared" si="4"/>
        <v>0</v>
      </c>
      <c r="E47" s="110" t="str">
        <f t="shared" si="6"/>
        <v/>
      </c>
      <c r="F47" s="110"/>
      <c r="G47" s="110">
        <f>未审现金流量表!H42</f>
        <v>0</v>
      </c>
      <c r="H47" s="110">
        <f t="shared" si="5"/>
        <v>0</v>
      </c>
      <c r="I47" s="110" t="str">
        <f t="shared" si="7"/>
        <v/>
      </c>
      <c r="J47" s="111"/>
      <c r="K47" s="1201"/>
    </row>
    <row r="48" spans="1:11">
      <c r="A48" s="1267" t="s">
        <v>4129</v>
      </c>
      <c r="B48" s="110">
        <f>未审现金流量表!N43</f>
        <v>1051377.3700000001</v>
      </c>
      <c r="C48" s="110">
        <f>未审现金流量表!C43</f>
        <v>30000</v>
      </c>
      <c r="D48" s="110">
        <f t="shared" si="4"/>
        <v>-1021377.3700000001</v>
      </c>
      <c r="E48" s="110">
        <f t="shared" si="6"/>
        <v>-0.9714660017839265</v>
      </c>
      <c r="F48" s="110"/>
      <c r="G48" s="110">
        <f>未审现金流量表!H43</f>
        <v>30000</v>
      </c>
      <c r="H48" s="110">
        <f t="shared" si="5"/>
        <v>-1021377.3700000001</v>
      </c>
      <c r="I48" s="110">
        <f t="shared" si="7"/>
        <v>-0.9714660017839265</v>
      </c>
      <c r="J48" s="111"/>
      <c r="K48" s="1201"/>
    </row>
    <row r="49" spans="1:11">
      <c r="A49" s="1267" t="s">
        <v>4130</v>
      </c>
      <c r="B49" s="110">
        <f>未审现金流量表!N44</f>
        <v>-1051377.3700000001</v>
      </c>
      <c r="C49" s="110">
        <f>未审现金流量表!C44</f>
        <v>-30000</v>
      </c>
      <c r="D49" s="110">
        <f t="shared" si="4"/>
        <v>1021377.3700000001</v>
      </c>
      <c r="E49" s="110">
        <f t="shared" si="6"/>
        <v>-0.9714660017839265</v>
      </c>
      <c r="F49" s="110"/>
      <c r="G49" s="110">
        <f>未审现金流量表!H44</f>
        <v>-30000</v>
      </c>
      <c r="H49" s="110">
        <f t="shared" si="5"/>
        <v>1021377.3700000001</v>
      </c>
      <c r="I49" s="110">
        <f t="shared" si="7"/>
        <v>-0.9714660017839265</v>
      </c>
      <c r="J49" s="111"/>
      <c r="K49" s="1201"/>
    </row>
    <row r="50" spans="1:11">
      <c r="A50" s="1202" t="s">
        <v>4131</v>
      </c>
      <c r="B50" s="110">
        <f>未审现金流量表!N45</f>
        <v>0</v>
      </c>
      <c r="C50" s="110">
        <f>未审现金流量表!C45</f>
        <v>0</v>
      </c>
      <c r="D50" s="110"/>
      <c r="E50" s="110" t="str">
        <f t="shared" si="6"/>
        <v/>
      </c>
      <c r="F50" s="110"/>
      <c r="G50" s="110">
        <f>未审现金流量表!H45</f>
        <v>0</v>
      </c>
      <c r="H50" s="110"/>
      <c r="I50" s="110" t="str">
        <f t="shared" si="7"/>
        <v/>
      </c>
      <c r="J50" s="111"/>
      <c r="K50" s="1201"/>
    </row>
    <row r="51" spans="1:11">
      <c r="A51" s="1202" t="s">
        <v>4303</v>
      </c>
      <c r="B51" s="110">
        <f>未审现金流量表!N46</f>
        <v>0</v>
      </c>
      <c r="C51" s="110">
        <f>未审现金流量表!C46</f>
        <v>0</v>
      </c>
      <c r="D51" s="110">
        <f t="shared" ref="D51:D66" si="8">C51-$B51</f>
        <v>0</v>
      </c>
      <c r="E51" s="110" t="str">
        <f t="shared" si="6"/>
        <v/>
      </c>
      <c r="F51" s="110"/>
      <c r="G51" s="110">
        <f>未审现金流量表!H46</f>
        <v>0</v>
      </c>
      <c r="H51" s="110">
        <f t="shared" ref="H51:H66" si="9">G51-$B51</f>
        <v>0</v>
      </c>
      <c r="I51" s="110" t="str">
        <f t="shared" si="7"/>
        <v/>
      </c>
      <c r="J51" s="111"/>
      <c r="K51" s="1201"/>
    </row>
    <row r="52" spans="1:11">
      <c r="A52" s="1202" t="s">
        <v>4132</v>
      </c>
      <c r="B52" s="110">
        <f>未审现金流量表!N47</f>
        <v>0</v>
      </c>
      <c r="C52" s="110">
        <f>未审现金流量表!C47</f>
        <v>0</v>
      </c>
      <c r="D52" s="110">
        <f t="shared" si="8"/>
        <v>0</v>
      </c>
      <c r="E52" s="110" t="str">
        <f t="shared" si="6"/>
        <v/>
      </c>
      <c r="F52" s="110"/>
      <c r="G52" s="110">
        <f>未审现金流量表!H47</f>
        <v>0</v>
      </c>
      <c r="H52" s="110">
        <f t="shared" si="9"/>
        <v>0</v>
      </c>
      <c r="I52" s="110" t="str">
        <f t="shared" si="7"/>
        <v/>
      </c>
      <c r="J52" s="111"/>
      <c r="K52" s="1201"/>
    </row>
    <row r="53" spans="1:11">
      <c r="A53" s="1202" t="s">
        <v>4304</v>
      </c>
      <c r="B53" s="110">
        <f>未审现金流量表!N48</f>
        <v>0</v>
      </c>
      <c r="C53" s="110">
        <f>未审现金流量表!C48</f>
        <v>0</v>
      </c>
      <c r="D53" s="110">
        <f t="shared" si="8"/>
        <v>0</v>
      </c>
      <c r="E53" s="110" t="str">
        <f t="shared" si="6"/>
        <v/>
      </c>
      <c r="F53" s="110"/>
      <c r="G53" s="110">
        <f>未审现金流量表!H48</f>
        <v>0</v>
      </c>
      <c r="H53" s="110">
        <f t="shared" si="9"/>
        <v>0</v>
      </c>
      <c r="I53" s="110" t="str">
        <f t="shared" si="7"/>
        <v/>
      </c>
      <c r="J53" s="111"/>
      <c r="K53" s="1201"/>
    </row>
    <row r="54" spans="1:11">
      <c r="A54" s="1202" t="s">
        <v>4305</v>
      </c>
      <c r="B54" s="110">
        <f>未审现金流量表!N49</f>
        <v>0</v>
      </c>
      <c r="C54" s="110">
        <f>未审现金流量表!C49</f>
        <v>0</v>
      </c>
      <c r="D54" s="110">
        <f t="shared" si="8"/>
        <v>0</v>
      </c>
      <c r="E54" s="110" t="str">
        <f t="shared" si="6"/>
        <v/>
      </c>
      <c r="F54" s="110"/>
      <c r="G54" s="110">
        <f>未审现金流量表!H49</f>
        <v>0</v>
      </c>
      <c r="H54" s="110">
        <f t="shared" si="9"/>
        <v>0</v>
      </c>
      <c r="I54" s="110" t="str">
        <f t="shared" si="7"/>
        <v/>
      </c>
      <c r="J54" s="111"/>
      <c r="K54" s="1201"/>
    </row>
    <row r="55" spans="1:11">
      <c r="A55" s="1202" t="s">
        <v>4306</v>
      </c>
      <c r="B55" s="110">
        <f>未审现金流量表!N50</f>
        <v>0</v>
      </c>
      <c r="C55" s="110">
        <f>未审现金流量表!C50</f>
        <v>0</v>
      </c>
      <c r="D55" s="110">
        <f t="shared" si="8"/>
        <v>0</v>
      </c>
      <c r="E55" s="110" t="str">
        <f t="shared" si="6"/>
        <v/>
      </c>
      <c r="F55" s="110"/>
      <c r="G55" s="110">
        <f>未审现金流量表!H50</f>
        <v>0</v>
      </c>
      <c r="H55" s="110">
        <f t="shared" si="9"/>
        <v>0</v>
      </c>
      <c r="I55" s="110" t="str">
        <f t="shared" si="7"/>
        <v/>
      </c>
      <c r="J55" s="111"/>
      <c r="K55" s="1201"/>
    </row>
    <row r="56" spans="1:11">
      <c r="A56" s="1267" t="s">
        <v>4133</v>
      </c>
      <c r="B56" s="110">
        <f>未审现金流量表!N51</f>
        <v>0</v>
      </c>
      <c r="C56" s="110">
        <f>未审现金流量表!C51</f>
        <v>0</v>
      </c>
      <c r="D56" s="110">
        <f t="shared" si="8"/>
        <v>0</v>
      </c>
      <c r="E56" s="110" t="str">
        <f t="shared" si="6"/>
        <v/>
      </c>
      <c r="F56" s="110"/>
      <c r="G56" s="110">
        <f>未审现金流量表!H51</f>
        <v>0</v>
      </c>
      <c r="H56" s="110">
        <f t="shared" si="9"/>
        <v>0</v>
      </c>
      <c r="I56" s="110" t="str">
        <f t="shared" si="7"/>
        <v/>
      </c>
      <c r="J56" s="111"/>
      <c r="K56" s="1201"/>
    </row>
    <row r="57" spans="1:11">
      <c r="A57" s="1202" t="s">
        <v>4307</v>
      </c>
      <c r="B57" s="110">
        <f>未审现金流量表!N52</f>
        <v>0</v>
      </c>
      <c r="C57" s="110">
        <f>未审现金流量表!C52</f>
        <v>0</v>
      </c>
      <c r="D57" s="110">
        <f t="shared" si="8"/>
        <v>0</v>
      </c>
      <c r="E57" s="110" t="str">
        <f t="shared" si="6"/>
        <v/>
      </c>
      <c r="F57" s="110"/>
      <c r="G57" s="110">
        <f>未审现金流量表!H52</f>
        <v>0</v>
      </c>
      <c r="H57" s="110">
        <f t="shared" si="9"/>
        <v>0</v>
      </c>
      <c r="I57" s="110" t="str">
        <f t="shared" si="7"/>
        <v/>
      </c>
      <c r="J57" s="111"/>
      <c r="K57" s="1201"/>
    </row>
    <row r="58" spans="1:11">
      <c r="A58" s="1202" t="s">
        <v>4308</v>
      </c>
      <c r="B58" s="110">
        <f>未审现金流量表!N53</f>
        <v>14900000</v>
      </c>
      <c r="C58" s="110">
        <f>未审现金流量表!C53</f>
        <v>0</v>
      </c>
      <c r="D58" s="110">
        <f t="shared" si="8"/>
        <v>-14900000</v>
      </c>
      <c r="E58" s="110">
        <f t="shared" si="6"/>
        <v>-1</v>
      </c>
      <c r="F58" s="110"/>
      <c r="G58" s="110">
        <f>未审现金流量表!H53</f>
        <v>0</v>
      </c>
      <c r="H58" s="110">
        <f t="shared" si="9"/>
        <v>-14900000</v>
      </c>
      <c r="I58" s="110">
        <f t="shared" si="7"/>
        <v>-1</v>
      </c>
      <c r="J58" s="111"/>
      <c r="K58" s="1201"/>
    </row>
    <row r="59" spans="1:11">
      <c r="A59" s="1202" t="s">
        <v>4134</v>
      </c>
      <c r="B59" s="110">
        <f>未审现金流量表!N54</f>
        <v>0</v>
      </c>
      <c r="C59" s="110">
        <f>未审现金流量表!C54</f>
        <v>0</v>
      </c>
      <c r="D59" s="110">
        <f t="shared" si="8"/>
        <v>0</v>
      </c>
      <c r="E59" s="110" t="str">
        <f t="shared" si="6"/>
        <v/>
      </c>
      <c r="F59" s="110"/>
      <c r="G59" s="110">
        <f>未审现金流量表!H54</f>
        <v>0</v>
      </c>
      <c r="H59" s="110">
        <f t="shared" si="9"/>
        <v>0</v>
      </c>
      <c r="I59" s="110" t="str">
        <f t="shared" si="7"/>
        <v/>
      </c>
      <c r="J59" s="111"/>
      <c r="K59" s="1201"/>
    </row>
    <row r="60" spans="1:11">
      <c r="A60" s="1202" t="s">
        <v>4309</v>
      </c>
      <c r="B60" s="110">
        <f>未审现金流量表!N55</f>
        <v>0</v>
      </c>
      <c r="C60" s="110">
        <f>未审现金流量表!C55</f>
        <v>0</v>
      </c>
      <c r="D60" s="110">
        <f t="shared" si="8"/>
        <v>0</v>
      </c>
      <c r="E60" s="110" t="str">
        <f t="shared" si="6"/>
        <v/>
      </c>
      <c r="F60" s="110"/>
      <c r="G60" s="110">
        <f>未审现金流量表!H55</f>
        <v>0</v>
      </c>
      <c r="H60" s="110">
        <f t="shared" si="9"/>
        <v>0</v>
      </c>
      <c r="I60" s="110" t="str">
        <f t="shared" si="7"/>
        <v/>
      </c>
      <c r="J60" s="111"/>
      <c r="K60" s="1201"/>
    </row>
    <row r="61" spans="1:11">
      <c r="A61" s="1267" t="s">
        <v>4135</v>
      </c>
      <c r="B61" s="110">
        <f>未审现金流量表!N56</f>
        <v>14900000</v>
      </c>
      <c r="C61" s="110">
        <f>未审现金流量表!C56</f>
        <v>0</v>
      </c>
      <c r="D61" s="110">
        <f t="shared" si="8"/>
        <v>-14900000</v>
      </c>
      <c r="E61" s="110">
        <f t="shared" si="6"/>
        <v>-1</v>
      </c>
      <c r="F61" s="110"/>
      <c r="G61" s="110">
        <f>未审现金流量表!H56</f>
        <v>0</v>
      </c>
      <c r="H61" s="110">
        <f t="shared" si="9"/>
        <v>-14900000</v>
      </c>
      <c r="I61" s="110">
        <f t="shared" si="7"/>
        <v>-1</v>
      </c>
      <c r="J61" s="111"/>
      <c r="K61" s="1201"/>
    </row>
    <row r="62" spans="1:11">
      <c r="A62" s="1267" t="s">
        <v>4136</v>
      </c>
      <c r="B62" s="110">
        <f>未审现金流量表!N57</f>
        <v>-14900000</v>
      </c>
      <c r="C62" s="110">
        <f>未审现金流量表!C57</f>
        <v>0</v>
      </c>
      <c r="D62" s="110">
        <f t="shared" si="8"/>
        <v>14900000</v>
      </c>
      <c r="E62" s="110">
        <f t="shared" si="6"/>
        <v>-1</v>
      </c>
      <c r="F62" s="110"/>
      <c r="G62" s="110">
        <f>未审现金流量表!H57</f>
        <v>0</v>
      </c>
      <c r="H62" s="110">
        <f t="shared" si="9"/>
        <v>14900000</v>
      </c>
      <c r="I62" s="110">
        <f t="shared" si="7"/>
        <v>-1</v>
      </c>
      <c r="J62" s="111"/>
      <c r="K62" s="1201"/>
    </row>
    <row r="63" spans="1:11">
      <c r="A63" s="1202" t="s">
        <v>4137</v>
      </c>
      <c r="B63" s="110">
        <f>未审现金流量表!N58</f>
        <v>0</v>
      </c>
      <c r="C63" s="110">
        <f>未审现金流量表!C58</f>
        <v>0</v>
      </c>
      <c r="D63" s="110">
        <f t="shared" si="8"/>
        <v>0</v>
      </c>
      <c r="E63" s="110" t="str">
        <f t="shared" si="6"/>
        <v/>
      </c>
      <c r="F63" s="110"/>
      <c r="G63" s="110">
        <f>未审现金流量表!H58</f>
        <v>0</v>
      </c>
      <c r="H63" s="110">
        <f t="shared" si="9"/>
        <v>0</v>
      </c>
      <c r="I63" s="110" t="str">
        <f t="shared" si="7"/>
        <v/>
      </c>
      <c r="J63" s="111"/>
      <c r="K63" s="1201"/>
    </row>
    <row r="64" spans="1:11">
      <c r="A64" s="1202" t="s">
        <v>2132</v>
      </c>
      <c r="B64" s="110">
        <f>未审现金流量表!N59</f>
        <v>-16075526.800000001</v>
      </c>
      <c r="C64" s="110">
        <f>未审现金流量表!C59</f>
        <v>-4997205.6100000003</v>
      </c>
      <c r="D64" s="110">
        <f t="shared" si="8"/>
        <v>11078321.190000001</v>
      </c>
      <c r="E64" s="110">
        <f t="shared" si="6"/>
        <v>-0.68914203110283145</v>
      </c>
      <c r="F64" s="110"/>
      <c r="G64" s="110">
        <f>未审现金流量表!H59</f>
        <v>-4997205.6100000003</v>
      </c>
      <c r="H64" s="110">
        <f t="shared" si="9"/>
        <v>11078321.190000001</v>
      </c>
      <c r="I64" s="110">
        <f t="shared" si="7"/>
        <v>-0.68914203110283145</v>
      </c>
      <c r="J64" s="111"/>
      <c r="K64" s="1201"/>
    </row>
    <row r="65" spans="1:11">
      <c r="A65" s="1202" t="s">
        <v>4310</v>
      </c>
      <c r="B65" s="110">
        <f>未审现金流量表!N60</f>
        <v>22345766.09</v>
      </c>
      <c r="C65" s="110">
        <f>未审现金流量表!C60</f>
        <v>6270239.2899999991</v>
      </c>
      <c r="D65" s="110">
        <f t="shared" si="8"/>
        <v>-16075526.800000001</v>
      </c>
      <c r="E65" s="110">
        <f t="shared" si="6"/>
        <v>-0.71939922467880812</v>
      </c>
      <c r="F65" s="110"/>
      <c r="G65" s="110">
        <f>未审现金流量表!H60</f>
        <v>6270239.2899999991</v>
      </c>
      <c r="H65" s="110">
        <f t="shared" si="9"/>
        <v>-16075526.800000001</v>
      </c>
      <c r="I65" s="110">
        <f t="shared" si="7"/>
        <v>-0.71939922467880812</v>
      </c>
      <c r="J65" s="111"/>
      <c r="K65" s="1201"/>
    </row>
    <row r="66" spans="1:11">
      <c r="A66" s="1202" t="s">
        <v>4311</v>
      </c>
      <c r="B66" s="110">
        <f>未审现金流量表!N61</f>
        <v>6270239.2899999991</v>
      </c>
      <c r="C66" s="110">
        <f>未审现金流量表!C61</f>
        <v>1273033.6799999988</v>
      </c>
      <c r="D66" s="110">
        <f t="shared" si="8"/>
        <v>-4997205.6100000003</v>
      </c>
      <c r="E66" s="110">
        <f t="shared" si="6"/>
        <v>-0.79697207377232349</v>
      </c>
      <c r="F66" s="110"/>
      <c r="G66" s="110">
        <f>未审现金流量表!H61</f>
        <v>1273033.6799999988</v>
      </c>
      <c r="H66" s="110">
        <f t="shared" si="9"/>
        <v>-4997205.6100000003</v>
      </c>
      <c r="I66" s="110">
        <f t="shared" si="7"/>
        <v>-0.79697207377232349</v>
      </c>
      <c r="J66" s="111"/>
      <c r="K66" s="1201"/>
    </row>
    <row r="67" spans="1:11">
      <c r="A67" s="1202"/>
      <c r="B67" s="110"/>
      <c r="C67" s="110"/>
      <c r="D67" s="110"/>
      <c r="E67" s="110"/>
      <c r="F67" s="110"/>
      <c r="G67" s="110"/>
      <c r="H67" s="110"/>
      <c r="I67" s="110"/>
      <c r="J67" s="111"/>
      <c r="K67" s="1201"/>
    </row>
    <row r="68" spans="1:11">
      <c r="A68" s="1202" t="s">
        <v>4312</v>
      </c>
      <c r="B68" s="110"/>
      <c r="C68" s="110"/>
      <c r="D68" s="110"/>
      <c r="E68" s="110"/>
      <c r="F68" s="110"/>
      <c r="G68" s="110"/>
      <c r="H68" s="110"/>
      <c r="I68" s="110"/>
      <c r="J68" s="111"/>
      <c r="K68" s="1201"/>
    </row>
    <row r="69" spans="1:11">
      <c r="A69" s="1202" t="s">
        <v>4313</v>
      </c>
      <c r="B69" s="110"/>
      <c r="C69" s="110">
        <v>0</v>
      </c>
      <c r="D69" s="110">
        <f t="shared" ref="D69:D85" si="10">C69-$B69</f>
        <v>0</v>
      </c>
      <c r="E69" s="110" t="str">
        <f t="shared" ref="E69:E85" si="11">IF($B69=0,"",D69/$B69)</f>
        <v/>
      </c>
      <c r="F69" s="110"/>
      <c r="G69" s="110">
        <v>0</v>
      </c>
      <c r="H69" s="110">
        <f t="shared" ref="H69:H85" si="12">G69-$B69</f>
        <v>0</v>
      </c>
      <c r="I69" s="110" t="str">
        <f t="shared" ref="I69:I85" si="13">IF($B69=0,"",H69/$B69)</f>
        <v/>
      </c>
      <c r="J69" s="111"/>
      <c r="K69" s="1201"/>
    </row>
    <row r="70" spans="1:11">
      <c r="A70" s="1202" t="s">
        <v>4314</v>
      </c>
      <c r="B70" s="110">
        <v>0</v>
      </c>
      <c r="C70" s="110">
        <v>0</v>
      </c>
      <c r="D70" s="110">
        <f t="shared" si="10"/>
        <v>0</v>
      </c>
      <c r="E70" s="110" t="str">
        <f t="shared" si="11"/>
        <v/>
      </c>
      <c r="F70" s="110"/>
      <c r="G70" s="110">
        <v>0</v>
      </c>
      <c r="H70" s="110">
        <f t="shared" si="12"/>
        <v>0</v>
      </c>
      <c r="I70" s="110" t="str">
        <f t="shared" si="13"/>
        <v/>
      </c>
      <c r="J70" s="111"/>
      <c r="K70" s="1201"/>
    </row>
    <row r="71" spans="1:11">
      <c r="A71" s="1202" t="s">
        <v>4315</v>
      </c>
      <c r="B71" s="110">
        <v>0</v>
      </c>
      <c r="C71" s="110">
        <v>0</v>
      </c>
      <c r="D71" s="110">
        <f t="shared" si="10"/>
        <v>0</v>
      </c>
      <c r="E71" s="110" t="str">
        <f t="shared" si="11"/>
        <v/>
      </c>
      <c r="F71" s="110"/>
      <c r="G71" s="110">
        <v>0</v>
      </c>
      <c r="H71" s="110">
        <f t="shared" si="12"/>
        <v>0</v>
      </c>
      <c r="I71" s="110" t="str">
        <f t="shared" si="13"/>
        <v/>
      </c>
      <c r="J71" s="111"/>
      <c r="K71" s="1201"/>
    </row>
    <row r="72" spans="1:11">
      <c r="A72" s="1202" t="s">
        <v>4316</v>
      </c>
      <c r="B72" s="110">
        <v>0</v>
      </c>
      <c r="C72" s="110">
        <v>0</v>
      </c>
      <c r="D72" s="110">
        <f t="shared" si="10"/>
        <v>0</v>
      </c>
      <c r="E72" s="110" t="str">
        <f t="shared" si="11"/>
        <v/>
      </c>
      <c r="F72" s="110"/>
      <c r="G72" s="110">
        <v>0</v>
      </c>
      <c r="H72" s="110">
        <f t="shared" si="12"/>
        <v>0</v>
      </c>
      <c r="I72" s="110" t="str">
        <f t="shared" si="13"/>
        <v/>
      </c>
      <c r="J72" s="111"/>
      <c r="K72" s="1201"/>
    </row>
    <row r="73" spans="1:11">
      <c r="A73" s="1202" t="s">
        <v>4317</v>
      </c>
      <c r="B73" s="110">
        <v>0</v>
      </c>
      <c r="C73" s="110">
        <v>0</v>
      </c>
      <c r="D73" s="110">
        <f t="shared" si="10"/>
        <v>0</v>
      </c>
      <c r="E73" s="110" t="str">
        <f t="shared" si="11"/>
        <v/>
      </c>
      <c r="F73" s="110"/>
      <c r="G73" s="110">
        <v>0</v>
      </c>
      <c r="H73" s="110">
        <f t="shared" si="12"/>
        <v>0</v>
      </c>
      <c r="I73" s="110" t="str">
        <f t="shared" si="13"/>
        <v/>
      </c>
      <c r="J73" s="111"/>
      <c r="K73" s="1201"/>
    </row>
    <row r="74" spans="1:11" ht="25.5">
      <c r="A74" s="1268" t="s">
        <v>4318</v>
      </c>
      <c r="B74" s="110">
        <v>0</v>
      </c>
      <c r="C74" s="110">
        <v>0</v>
      </c>
      <c r="D74" s="110">
        <f t="shared" si="10"/>
        <v>0</v>
      </c>
      <c r="E74" s="110" t="str">
        <f t="shared" si="11"/>
        <v/>
      </c>
      <c r="F74" s="110"/>
      <c r="G74" s="110">
        <v>0</v>
      </c>
      <c r="H74" s="110">
        <f t="shared" si="12"/>
        <v>0</v>
      </c>
      <c r="I74" s="110" t="str">
        <f t="shared" si="13"/>
        <v/>
      </c>
      <c r="J74" s="111"/>
      <c r="K74" s="1201"/>
    </row>
    <row r="75" spans="1:11">
      <c r="A75" s="1202" t="s">
        <v>4319</v>
      </c>
      <c r="B75" s="110"/>
      <c r="C75" s="110">
        <v>0</v>
      </c>
      <c r="D75" s="110">
        <f t="shared" si="10"/>
        <v>0</v>
      </c>
      <c r="E75" s="110" t="str">
        <f t="shared" si="11"/>
        <v/>
      </c>
      <c r="F75" s="110"/>
      <c r="G75" s="110">
        <v>0</v>
      </c>
      <c r="H75" s="110">
        <f t="shared" si="12"/>
        <v>0</v>
      </c>
      <c r="I75" s="110" t="str">
        <f t="shared" si="13"/>
        <v/>
      </c>
      <c r="J75" s="111"/>
      <c r="K75" s="1201"/>
    </row>
    <row r="76" spans="1:11">
      <c r="A76" s="1202" t="s">
        <v>4320</v>
      </c>
      <c r="B76" s="110">
        <v>0</v>
      </c>
      <c r="C76" s="110">
        <v>0</v>
      </c>
      <c r="D76" s="110">
        <f t="shared" si="10"/>
        <v>0</v>
      </c>
      <c r="E76" s="110" t="str">
        <f t="shared" si="11"/>
        <v/>
      </c>
      <c r="F76" s="110"/>
      <c r="G76" s="110">
        <v>0</v>
      </c>
      <c r="H76" s="110">
        <f t="shared" si="12"/>
        <v>0</v>
      </c>
      <c r="I76" s="110" t="str">
        <f t="shared" si="13"/>
        <v/>
      </c>
      <c r="J76" s="111"/>
      <c r="K76" s="1201"/>
    </row>
    <row r="77" spans="1:11">
      <c r="A77" s="1202" t="s">
        <v>4321</v>
      </c>
      <c r="B77" s="110">
        <v>0</v>
      </c>
      <c r="C77" s="110">
        <v>0</v>
      </c>
      <c r="D77" s="110">
        <f t="shared" si="10"/>
        <v>0</v>
      </c>
      <c r="E77" s="110" t="str">
        <f t="shared" si="11"/>
        <v/>
      </c>
      <c r="F77" s="110"/>
      <c r="G77" s="110">
        <v>0</v>
      </c>
      <c r="H77" s="110">
        <f t="shared" si="12"/>
        <v>0</v>
      </c>
      <c r="I77" s="110" t="str">
        <f t="shared" si="13"/>
        <v/>
      </c>
      <c r="J77" s="111"/>
      <c r="K77" s="1201"/>
    </row>
    <row r="78" spans="1:11">
      <c r="A78" s="1202" t="s">
        <v>4322</v>
      </c>
      <c r="B78" s="110"/>
      <c r="C78" s="110">
        <v>0</v>
      </c>
      <c r="D78" s="110">
        <f t="shared" si="10"/>
        <v>0</v>
      </c>
      <c r="E78" s="110" t="str">
        <f t="shared" si="11"/>
        <v/>
      </c>
      <c r="F78" s="110"/>
      <c r="G78" s="110">
        <v>0</v>
      </c>
      <c r="H78" s="110">
        <f t="shared" si="12"/>
        <v>0</v>
      </c>
      <c r="I78" s="110" t="str">
        <f t="shared" si="13"/>
        <v/>
      </c>
      <c r="J78" s="111"/>
      <c r="K78" s="1201"/>
    </row>
    <row r="79" spans="1:11">
      <c r="A79" s="1202" t="s">
        <v>4323</v>
      </c>
      <c r="B79" s="110">
        <v>0</v>
      </c>
      <c r="C79" s="110">
        <v>0</v>
      </c>
      <c r="D79" s="110">
        <f t="shared" si="10"/>
        <v>0</v>
      </c>
      <c r="E79" s="110" t="str">
        <f t="shared" si="11"/>
        <v/>
      </c>
      <c r="F79" s="110"/>
      <c r="G79" s="110">
        <v>0</v>
      </c>
      <c r="H79" s="110">
        <f t="shared" si="12"/>
        <v>0</v>
      </c>
      <c r="I79" s="110" t="str">
        <f t="shared" si="13"/>
        <v/>
      </c>
      <c r="J79" s="111"/>
      <c r="K79" s="1201"/>
    </row>
    <row r="80" spans="1:11">
      <c r="A80" s="1202" t="s">
        <v>4324</v>
      </c>
      <c r="B80" s="110">
        <v>0</v>
      </c>
      <c r="C80" s="110">
        <v>0</v>
      </c>
      <c r="D80" s="110">
        <f t="shared" si="10"/>
        <v>0</v>
      </c>
      <c r="E80" s="110" t="str">
        <f t="shared" si="11"/>
        <v/>
      </c>
      <c r="F80" s="110"/>
      <c r="G80" s="110">
        <v>0</v>
      </c>
      <c r="H80" s="110">
        <f t="shared" si="12"/>
        <v>0</v>
      </c>
      <c r="I80" s="110" t="str">
        <f t="shared" si="13"/>
        <v/>
      </c>
      <c r="J80" s="111"/>
      <c r="K80" s="1201"/>
    </row>
    <row r="81" spans="1:11">
      <c r="A81" s="1202" t="s">
        <v>4325</v>
      </c>
      <c r="B81" s="110">
        <v>0</v>
      </c>
      <c r="C81" s="110">
        <v>0</v>
      </c>
      <c r="D81" s="110">
        <f t="shared" si="10"/>
        <v>0</v>
      </c>
      <c r="E81" s="110" t="str">
        <f t="shared" si="11"/>
        <v/>
      </c>
      <c r="F81" s="110"/>
      <c r="G81" s="110">
        <v>0</v>
      </c>
      <c r="H81" s="110">
        <f t="shared" si="12"/>
        <v>0</v>
      </c>
      <c r="I81" s="110" t="str">
        <f t="shared" si="13"/>
        <v/>
      </c>
      <c r="J81" s="111"/>
      <c r="K81" s="1201"/>
    </row>
    <row r="82" spans="1:11">
      <c r="A82" s="1202" t="s">
        <v>4326</v>
      </c>
      <c r="B82" s="110">
        <v>0</v>
      </c>
      <c r="C82" s="110">
        <v>0</v>
      </c>
      <c r="D82" s="110">
        <f t="shared" si="10"/>
        <v>0</v>
      </c>
      <c r="E82" s="110" t="str">
        <f t="shared" si="11"/>
        <v/>
      </c>
      <c r="F82" s="110"/>
      <c r="G82" s="110">
        <v>0</v>
      </c>
      <c r="H82" s="110">
        <f t="shared" si="12"/>
        <v>0</v>
      </c>
      <c r="I82" s="110" t="str">
        <f t="shared" si="13"/>
        <v/>
      </c>
      <c r="J82" s="111"/>
      <c r="K82" s="1201"/>
    </row>
    <row r="83" spans="1:11">
      <c r="A83" s="1202" t="s">
        <v>4327</v>
      </c>
      <c r="B83" s="110">
        <v>0</v>
      </c>
      <c r="C83" s="110">
        <v>0</v>
      </c>
      <c r="D83" s="110">
        <f t="shared" si="10"/>
        <v>0</v>
      </c>
      <c r="E83" s="110" t="str">
        <f t="shared" si="11"/>
        <v/>
      </c>
      <c r="F83" s="110"/>
      <c r="G83" s="110">
        <v>0</v>
      </c>
      <c r="H83" s="110">
        <f t="shared" si="12"/>
        <v>0</v>
      </c>
      <c r="I83" s="110" t="str">
        <f t="shared" si="13"/>
        <v/>
      </c>
      <c r="J83" s="111"/>
      <c r="K83" s="1201"/>
    </row>
    <row r="84" spans="1:11">
      <c r="A84" s="1202" t="s">
        <v>4328</v>
      </c>
      <c r="B84" s="110"/>
      <c r="C84" s="110">
        <v>0</v>
      </c>
      <c r="D84" s="110">
        <f t="shared" si="10"/>
        <v>0</v>
      </c>
      <c r="E84" s="110" t="str">
        <f t="shared" si="11"/>
        <v/>
      </c>
      <c r="F84" s="110"/>
      <c r="G84" s="110">
        <v>0</v>
      </c>
      <c r="H84" s="110">
        <f t="shared" si="12"/>
        <v>0</v>
      </c>
      <c r="I84" s="110" t="str">
        <f t="shared" si="13"/>
        <v/>
      </c>
      <c r="J84" s="111"/>
      <c r="K84" s="1201"/>
    </row>
    <row r="85" spans="1:11">
      <c r="A85" s="1203" t="s">
        <v>4329</v>
      </c>
      <c r="B85" s="110">
        <f>SUM(B69:B84)</f>
        <v>0</v>
      </c>
      <c r="C85" s="110">
        <v>0</v>
      </c>
      <c r="D85" s="110">
        <f t="shared" si="10"/>
        <v>0</v>
      </c>
      <c r="E85" s="110" t="str">
        <f t="shared" si="11"/>
        <v/>
      </c>
      <c r="F85" s="110"/>
      <c r="G85" s="110">
        <v>0</v>
      </c>
      <c r="H85" s="110">
        <f t="shared" si="12"/>
        <v>0</v>
      </c>
      <c r="I85" s="110" t="str">
        <f t="shared" si="13"/>
        <v/>
      </c>
      <c r="J85" s="111"/>
      <c r="K85" s="1201"/>
    </row>
    <row r="86" spans="1:11">
      <c r="A86" s="1202" t="s">
        <v>4330</v>
      </c>
      <c r="B86" s="110"/>
      <c r="C86" s="110"/>
      <c r="D86" s="110"/>
      <c r="E86" s="110"/>
      <c r="F86" s="110"/>
      <c r="G86" s="110"/>
      <c r="H86" s="110"/>
      <c r="I86" s="110"/>
      <c r="J86" s="111"/>
      <c r="K86" s="1201"/>
    </row>
    <row r="87" spans="1:11">
      <c r="A87" s="1202" t="s">
        <v>4138</v>
      </c>
      <c r="B87" s="110">
        <v>0</v>
      </c>
      <c r="C87" s="110">
        <v>0</v>
      </c>
      <c r="D87" s="110">
        <f>C87-$B87</f>
        <v>0</v>
      </c>
      <c r="E87" s="110" t="str">
        <f>IF($B87=0,"",D87/$B87)</f>
        <v/>
      </c>
      <c r="F87" s="110"/>
      <c r="G87" s="110">
        <v>0</v>
      </c>
      <c r="H87" s="110">
        <f>G87-$B87</f>
        <v>0</v>
      </c>
      <c r="I87" s="110" t="str">
        <f>IF($B87=0,"",H87/$B87)</f>
        <v/>
      </c>
      <c r="J87" s="111"/>
      <c r="K87" s="1201"/>
    </row>
    <row r="88" spans="1:11">
      <c r="A88" s="1202" t="s">
        <v>4139</v>
      </c>
      <c r="B88" s="110">
        <v>0</v>
      </c>
      <c r="C88" s="110">
        <v>0</v>
      </c>
      <c r="D88" s="110">
        <f>C88-$B88</f>
        <v>0</v>
      </c>
      <c r="E88" s="110" t="str">
        <f>IF($B88=0,"",D88/$B88)</f>
        <v/>
      </c>
      <c r="F88" s="110"/>
      <c r="G88" s="110">
        <v>0</v>
      </c>
      <c r="H88" s="110">
        <f>G88-$B88</f>
        <v>0</v>
      </c>
      <c r="I88" s="110" t="str">
        <f>IF($B88=0,"",H88/$B88)</f>
        <v/>
      </c>
      <c r="J88" s="111"/>
      <c r="K88" s="1201"/>
    </row>
    <row r="89" spans="1:11">
      <c r="A89" s="1202" t="s">
        <v>4140</v>
      </c>
      <c r="B89" s="110">
        <v>0</v>
      </c>
      <c r="C89" s="110">
        <v>0</v>
      </c>
      <c r="D89" s="110">
        <f>C89-$B89</f>
        <v>0</v>
      </c>
      <c r="E89" s="110" t="str">
        <f>IF($B89=0,"",D89/$B89)</f>
        <v/>
      </c>
      <c r="F89" s="110"/>
      <c r="G89" s="110">
        <v>0</v>
      </c>
      <c r="H89" s="110">
        <f>G89-$B89</f>
        <v>0</v>
      </c>
      <c r="I89" s="110" t="str">
        <f>IF($B89=0,"",H89/$B89)</f>
        <v/>
      </c>
      <c r="J89" s="111"/>
      <c r="K89" s="1201"/>
    </row>
    <row r="90" spans="1:11">
      <c r="A90" s="1202" t="s">
        <v>4331</v>
      </c>
      <c r="B90" s="110"/>
      <c r="C90" s="110"/>
      <c r="D90" s="110"/>
      <c r="E90" s="110"/>
      <c r="F90" s="110"/>
      <c r="G90" s="110"/>
      <c r="H90" s="110"/>
      <c r="I90" s="110"/>
      <c r="J90" s="111"/>
      <c r="K90" s="1201"/>
    </row>
    <row r="91" spans="1:11">
      <c r="A91" s="1202" t="s">
        <v>4141</v>
      </c>
      <c r="B91" s="110">
        <v>0</v>
      </c>
      <c r="C91" s="110">
        <v>0</v>
      </c>
      <c r="D91" s="110">
        <f>C91-$B91</f>
        <v>0</v>
      </c>
      <c r="E91" s="110" t="str">
        <f>IF($B91=0,"",D91/$B91)</f>
        <v/>
      </c>
      <c r="F91" s="110"/>
      <c r="G91" s="110">
        <v>0</v>
      </c>
      <c r="H91" s="110">
        <f>G91-$B91</f>
        <v>0</v>
      </c>
      <c r="I91" s="110" t="str">
        <f>IF($B91=0,"",H91/$B91)</f>
        <v/>
      </c>
      <c r="J91" s="111"/>
      <c r="K91" s="1201"/>
    </row>
    <row r="92" spans="1:11">
      <c r="A92" s="1202" t="s">
        <v>4142</v>
      </c>
      <c r="B92" s="110">
        <v>0</v>
      </c>
      <c r="C92" s="110">
        <v>0</v>
      </c>
      <c r="D92" s="110">
        <f>C92-$B92</f>
        <v>0</v>
      </c>
      <c r="E92" s="110" t="str">
        <f>IF($B92=0,"",D92/$B92)</f>
        <v/>
      </c>
      <c r="F92" s="110"/>
      <c r="G92" s="110">
        <v>0</v>
      </c>
      <c r="H92" s="110">
        <f>G92-$B92</f>
        <v>0</v>
      </c>
      <c r="I92" s="110" t="str">
        <f>IF($B92=0,"",H92/$B92)</f>
        <v/>
      </c>
      <c r="J92" s="111"/>
      <c r="K92" s="1201"/>
    </row>
    <row r="93" spans="1:11">
      <c r="A93" s="1202" t="s">
        <v>4143</v>
      </c>
      <c r="B93" s="110">
        <v>0</v>
      </c>
      <c r="C93" s="110">
        <v>0</v>
      </c>
      <c r="D93" s="110">
        <f>C93-$B93</f>
        <v>0</v>
      </c>
      <c r="E93" s="110" t="str">
        <f>IF($B93=0,"",D93/$B93)</f>
        <v/>
      </c>
      <c r="F93" s="110"/>
      <c r="G93" s="110">
        <v>0</v>
      </c>
      <c r="H93" s="110">
        <f>G93-$B93</f>
        <v>0</v>
      </c>
      <c r="I93" s="110" t="str">
        <f>IF($B93=0,"",H93/$B93)</f>
        <v/>
      </c>
      <c r="J93" s="111"/>
      <c r="K93" s="1201"/>
    </row>
    <row r="94" spans="1:11">
      <c r="A94" s="1202" t="s">
        <v>4144</v>
      </c>
      <c r="B94" s="110">
        <v>0</v>
      </c>
      <c r="C94" s="110">
        <v>0</v>
      </c>
      <c r="D94" s="110">
        <f>C94-$B94</f>
        <v>0</v>
      </c>
      <c r="E94" s="110" t="str">
        <f>IF($B94=0,"",D94/$B94)</f>
        <v/>
      </c>
      <c r="F94" s="110"/>
      <c r="G94" s="110">
        <v>0</v>
      </c>
      <c r="H94" s="110">
        <f>G94-$B94</f>
        <v>0</v>
      </c>
      <c r="I94" s="110" t="str">
        <f>IF($B94=0,"",H94/$B94)</f>
        <v/>
      </c>
      <c r="J94" s="111"/>
      <c r="K94" s="1201"/>
    </row>
    <row r="95" spans="1:11" ht="13.5" thickBot="1">
      <c r="A95" s="1269" t="s">
        <v>4145</v>
      </c>
      <c r="B95" s="120">
        <f>B91-B92+B93-B94</f>
        <v>0</v>
      </c>
      <c r="C95" s="120">
        <f>C91-C92+C93-C94</f>
        <v>0</v>
      </c>
      <c r="D95" s="120">
        <f>C95-$B95</f>
        <v>0</v>
      </c>
      <c r="E95" s="120" t="str">
        <f>IF($B95=0,"",D95/$B95)</f>
        <v/>
      </c>
      <c r="F95" s="120"/>
      <c r="G95" s="120">
        <f>G91-G92+G93-G94</f>
        <v>0</v>
      </c>
      <c r="H95" s="120">
        <f>G95-$B95</f>
        <v>0</v>
      </c>
      <c r="I95" s="120" t="str">
        <f>IF($B95=0,"",H95/$B95)</f>
        <v/>
      </c>
      <c r="J95" s="1270"/>
      <c r="K95" s="1205"/>
    </row>
    <row r="96" spans="1:11">
      <c r="B96" s="1161">
        <f>IF(B85=B35,"",B35-B85)</f>
        <v>-124149.4299999997</v>
      </c>
      <c r="C96" s="1161">
        <f>IF(C85=C35,"",C35-C85)</f>
        <v>-4967205.6100000003</v>
      </c>
      <c r="D96" s="1161">
        <f>IF(D85=D35,"",D35-D85)</f>
        <v>-4843056.1800000006</v>
      </c>
      <c r="E96" s="1161"/>
      <c r="F96" s="1161"/>
      <c r="G96" s="1161">
        <f>IF(G85=G35,"",G35-G85)</f>
        <v>-4967205.6100000003</v>
      </c>
      <c r="H96" s="1161">
        <f>IF(H85=H35,"",H35-H85)</f>
        <v>-4843056.1800000006</v>
      </c>
      <c r="I96" s="1161"/>
    </row>
    <row r="97" spans="1:9">
      <c r="B97" s="1161">
        <f>IF(B64=B95,"",B64-B95)</f>
        <v>-16075526.800000001</v>
      </c>
      <c r="C97" s="1161">
        <f>IF(C64=C95,"",C64-C95)</f>
        <v>-4997205.6100000003</v>
      </c>
      <c r="D97" s="1161">
        <f>IF(D64=D95,"",D64-D95)</f>
        <v>11078321.190000001</v>
      </c>
      <c r="E97" s="1161"/>
      <c r="F97" s="1161"/>
      <c r="G97" s="1161">
        <f>IF(G64=G95,"",G64-G95)</f>
        <v>-4997205.6100000003</v>
      </c>
      <c r="H97" s="1161">
        <f>IF(H64=H95,"",H64-H95)</f>
        <v>11078321.190000001</v>
      </c>
      <c r="I97" s="1161"/>
    </row>
    <row r="98" spans="1:9">
      <c r="B98" s="1161"/>
      <c r="C98" s="1161"/>
      <c r="D98" s="1161"/>
      <c r="E98" s="1161"/>
      <c r="F98" s="1161"/>
      <c r="G98" s="1161"/>
      <c r="H98" s="1161"/>
      <c r="I98" s="1161"/>
    </row>
    <row r="99" spans="1:9">
      <c r="A99" s="1271" t="s">
        <v>2123</v>
      </c>
      <c r="B99" s="887">
        <f>SUM(B11:B23)-B24</f>
        <v>0</v>
      </c>
      <c r="C99" s="887">
        <f t="shared" ref="C99:I99" si="14">SUM(C11:C23)-C24</f>
        <v>0</v>
      </c>
      <c r="D99" s="887">
        <f t="shared" si="14"/>
        <v>0</v>
      </c>
      <c r="E99" s="887">
        <f t="shared" si="14"/>
        <v>-1.9876151889216425</v>
      </c>
      <c r="F99" s="887">
        <f t="shared" si="14"/>
        <v>0</v>
      </c>
      <c r="G99" s="887">
        <f t="shared" si="14"/>
        <v>0</v>
      </c>
      <c r="H99" s="887">
        <f t="shared" si="14"/>
        <v>0</v>
      </c>
      <c r="I99" s="887">
        <f t="shared" si="14"/>
        <v>-1.9876151889216425</v>
      </c>
    </row>
    <row r="100" spans="1:9">
      <c r="A100" s="1271" t="s">
        <v>2124</v>
      </c>
      <c r="B100" s="887">
        <f>SUM(B25:B33)-B34</f>
        <v>0</v>
      </c>
      <c r="C100" s="887">
        <f t="shared" ref="C100:I100" si="15">SUM(C25:C33)-C34</f>
        <v>0</v>
      </c>
      <c r="D100" s="887">
        <f t="shared" si="15"/>
        <v>0</v>
      </c>
      <c r="E100" s="887">
        <f t="shared" si="15"/>
        <v>-1.4564339089042004</v>
      </c>
      <c r="F100" s="887">
        <f t="shared" si="15"/>
        <v>0</v>
      </c>
      <c r="G100" s="887">
        <f t="shared" si="15"/>
        <v>0</v>
      </c>
      <c r="H100" s="887">
        <f t="shared" si="15"/>
        <v>0</v>
      </c>
      <c r="I100" s="887">
        <f t="shared" si="15"/>
        <v>-1.4564339089042004</v>
      </c>
    </row>
    <row r="101" spans="1:9">
      <c r="A101" s="1271" t="s">
        <v>2125</v>
      </c>
      <c r="B101" s="887">
        <f>B24-B34-B35</f>
        <v>0</v>
      </c>
      <c r="C101" s="887">
        <f t="shared" ref="C101:I101" si="16">C24-C34-C35</f>
        <v>0</v>
      </c>
      <c r="D101" s="887">
        <f t="shared" si="16"/>
        <v>0</v>
      </c>
      <c r="E101" s="887">
        <f t="shared" si="16"/>
        <v>-39.287172237963659</v>
      </c>
      <c r="F101" s="887">
        <f t="shared" si="16"/>
        <v>0</v>
      </c>
      <c r="G101" s="887">
        <f t="shared" si="16"/>
        <v>0</v>
      </c>
      <c r="H101" s="887">
        <f t="shared" si="16"/>
        <v>0</v>
      </c>
      <c r="I101" s="887">
        <f t="shared" si="16"/>
        <v>-39.287172237963659</v>
      </c>
    </row>
    <row r="102" spans="1:9">
      <c r="A102" s="1271" t="s">
        <v>2126</v>
      </c>
      <c r="B102" s="887">
        <f>SUM(B37:B41)-B42</f>
        <v>0</v>
      </c>
      <c r="C102" s="887">
        <f t="shared" ref="C102:I102" si="17">SUM(C37:C41)-C42</f>
        <v>0</v>
      </c>
      <c r="D102" s="887">
        <f t="shared" si="17"/>
        <v>0</v>
      </c>
      <c r="E102" s="887" t="e">
        <f t="shared" si="17"/>
        <v>#VALUE!</v>
      </c>
      <c r="F102" s="887">
        <f t="shared" si="17"/>
        <v>0</v>
      </c>
      <c r="G102" s="887">
        <f t="shared" si="17"/>
        <v>0</v>
      </c>
      <c r="H102" s="887">
        <f t="shared" si="17"/>
        <v>0</v>
      </c>
      <c r="I102" s="887" t="e">
        <f t="shared" si="17"/>
        <v>#VALUE!</v>
      </c>
    </row>
    <row r="103" spans="1:9">
      <c r="A103" s="1271" t="s">
        <v>2127</v>
      </c>
      <c r="B103" s="887">
        <f>SUM(B43:B47)-B48</f>
        <v>0</v>
      </c>
      <c r="C103" s="887">
        <f t="shared" ref="C103:I103" si="18">SUM(C43:C47)-C48</f>
        <v>0</v>
      </c>
      <c r="D103" s="887">
        <f t="shared" si="18"/>
        <v>0</v>
      </c>
      <c r="E103" s="887">
        <f t="shared" si="18"/>
        <v>-0.93762490730698267</v>
      </c>
      <c r="F103" s="887">
        <f t="shared" si="18"/>
        <v>0</v>
      </c>
      <c r="G103" s="887">
        <f t="shared" si="18"/>
        <v>0</v>
      </c>
      <c r="H103" s="887">
        <f t="shared" si="18"/>
        <v>0</v>
      </c>
      <c r="I103" s="887">
        <f t="shared" si="18"/>
        <v>-0.93762490730698267</v>
      </c>
    </row>
    <row r="104" spans="1:9">
      <c r="A104" s="1271" t="s">
        <v>2128</v>
      </c>
      <c r="B104" s="887">
        <f>B42-B48-B49</f>
        <v>0</v>
      </c>
      <c r="C104" s="887">
        <f t="shared" ref="C104:I104" si="19">C42-C48-C49</f>
        <v>0</v>
      </c>
      <c r="D104" s="887">
        <f t="shared" si="19"/>
        <v>0</v>
      </c>
      <c r="E104" s="887" t="e">
        <f t="shared" si="19"/>
        <v>#VALUE!</v>
      </c>
      <c r="F104" s="887">
        <f t="shared" si="19"/>
        <v>0</v>
      </c>
      <c r="G104" s="887">
        <f t="shared" si="19"/>
        <v>0</v>
      </c>
      <c r="H104" s="887">
        <f t="shared" si="19"/>
        <v>0</v>
      </c>
      <c r="I104" s="887" t="e">
        <f t="shared" si="19"/>
        <v>#VALUE!</v>
      </c>
    </row>
    <row r="105" spans="1:9">
      <c r="A105" s="1271" t="s">
        <v>2129</v>
      </c>
      <c r="B105" s="887">
        <f>B56-B55-B54-B53-B51</f>
        <v>0</v>
      </c>
      <c r="C105" s="887">
        <f t="shared" ref="C105:I105" si="20">C56-C55-C54-C53-C51</f>
        <v>0</v>
      </c>
      <c r="D105" s="887">
        <f t="shared" si="20"/>
        <v>0</v>
      </c>
      <c r="E105" s="887" t="e">
        <f t="shared" si="20"/>
        <v>#VALUE!</v>
      </c>
      <c r="F105" s="887">
        <f t="shared" si="20"/>
        <v>0</v>
      </c>
      <c r="G105" s="887">
        <f t="shared" si="20"/>
        <v>0</v>
      </c>
      <c r="H105" s="887">
        <f t="shared" si="20"/>
        <v>0</v>
      </c>
      <c r="I105" s="887" t="e">
        <f t="shared" si="20"/>
        <v>#VALUE!</v>
      </c>
    </row>
    <row r="106" spans="1:9">
      <c r="A106" s="1271" t="s">
        <v>2130</v>
      </c>
      <c r="B106" s="887">
        <f>B61-B60-B58-B57</f>
        <v>0</v>
      </c>
      <c r="C106" s="887">
        <f t="shared" ref="C106:I106" si="21">C61-C60-C58-C57</f>
        <v>0</v>
      </c>
      <c r="D106" s="887">
        <f t="shared" si="21"/>
        <v>0</v>
      </c>
      <c r="E106" s="887" t="e">
        <f t="shared" si="21"/>
        <v>#VALUE!</v>
      </c>
      <c r="F106" s="887">
        <f t="shared" si="21"/>
        <v>0</v>
      </c>
      <c r="G106" s="887">
        <f t="shared" si="21"/>
        <v>0</v>
      </c>
      <c r="H106" s="887">
        <f t="shared" si="21"/>
        <v>0</v>
      </c>
      <c r="I106" s="887" t="e">
        <f t="shared" si="21"/>
        <v>#VALUE!</v>
      </c>
    </row>
    <row r="107" spans="1:9">
      <c r="A107" s="1271" t="s">
        <v>2131</v>
      </c>
      <c r="B107" s="887">
        <f>B56-B61-B62</f>
        <v>0</v>
      </c>
      <c r="C107" s="887">
        <f t="shared" ref="C107:I107" si="22">C56-C61-C62</f>
        <v>0</v>
      </c>
      <c r="D107" s="887">
        <f t="shared" si="22"/>
        <v>0</v>
      </c>
      <c r="E107" s="887" t="e">
        <f t="shared" si="22"/>
        <v>#VALUE!</v>
      </c>
      <c r="F107" s="887">
        <f t="shared" si="22"/>
        <v>0</v>
      </c>
      <c r="G107" s="887">
        <f t="shared" si="22"/>
        <v>0</v>
      </c>
      <c r="H107" s="887">
        <f t="shared" si="22"/>
        <v>0</v>
      </c>
      <c r="I107" s="887" t="e">
        <f t="shared" si="22"/>
        <v>#VALUE!</v>
      </c>
    </row>
    <row r="108" spans="1:9">
      <c r="A108" s="1271" t="s">
        <v>2132</v>
      </c>
      <c r="B108" s="887">
        <f>B35+B49+B62+B63-B64</f>
        <v>0</v>
      </c>
      <c r="C108" s="887">
        <f t="shared" ref="C108:I108" si="23">C35+C49+C62+C63-C64</f>
        <v>0</v>
      </c>
      <c r="D108" s="887">
        <f t="shared" si="23"/>
        <v>0</v>
      </c>
      <c r="E108" s="887" t="e">
        <f t="shared" si="23"/>
        <v>#VALUE!</v>
      </c>
      <c r="F108" s="887">
        <f t="shared" si="23"/>
        <v>0</v>
      </c>
      <c r="G108" s="887">
        <f t="shared" si="23"/>
        <v>0</v>
      </c>
      <c r="H108" s="887">
        <f t="shared" si="23"/>
        <v>0</v>
      </c>
      <c r="I108" s="887" t="e">
        <f t="shared" si="23"/>
        <v>#VALUE!</v>
      </c>
    </row>
    <row r="109" spans="1:9">
      <c r="A109" s="1271" t="s">
        <v>2132</v>
      </c>
      <c r="B109" s="887">
        <f>B66-B65-B64</f>
        <v>0</v>
      </c>
      <c r="C109" s="887">
        <f t="shared" ref="C109:I109" si="24">C66-C65-C64</f>
        <v>0</v>
      </c>
      <c r="D109" s="887">
        <f t="shared" si="24"/>
        <v>0</v>
      </c>
      <c r="E109" s="887">
        <f t="shared" si="24"/>
        <v>0.61156918200931609</v>
      </c>
      <c r="F109" s="887">
        <f t="shared" si="24"/>
        <v>0</v>
      </c>
      <c r="G109" s="887">
        <f t="shared" si="24"/>
        <v>0</v>
      </c>
      <c r="H109" s="887">
        <f t="shared" si="24"/>
        <v>0</v>
      </c>
      <c r="I109" s="887">
        <f t="shared" si="24"/>
        <v>0.61156918200931609</v>
      </c>
    </row>
    <row r="110" spans="1:9">
      <c r="A110" s="1271" t="s">
        <v>2133</v>
      </c>
      <c r="B110" s="887">
        <f>B66-资产分析!B11</f>
        <v>0</v>
      </c>
      <c r="C110" s="887">
        <f>C66-资产分析!C11</f>
        <v>1273032.8993267766</v>
      </c>
      <c r="D110" s="887">
        <f>D66-资产分析!D11</f>
        <v>-6270239.29</v>
      </c>
      <c r="E110" s="887">
        <f>E66-资产分析!E11</f>
        <v>-1.2306773216042797</v>
      </c>
      <c r="F110" s="887">
        <f>F66-资产分析!F11</f>
        <v>4997205.6100000003</v>
      </c>
      <c r="G110" s="887">
        <f>G66-资产分析!G11</f>
        <v>1273034.4769720726</v>
      </c>
      <c r="H110" s="887">
        <f>H66-资产分析!H11</f>
        <v>-4997206.5905007524</v>
      </c>
      <c r="I110" s="887">
        <f>I66-资产分析!I11</f>
        <v>-0.79697207377232349</v>
      </c>
    </row>
    <row r="111" spans="1:9">
      <c r="A111" s="1271" t="s">
        <v>303</v>
      </c>
    </row>
    <row r="112" spans="1:9">
      <c r="A112" s="1271" t="s">
        <v>298</v>
      </c>
    </row>
    <row r="113" spans="1:1">
      <c r="A113" s="1272" t="s">
        <v>299</v>
      </c>
    </row>
  </sheetData>
  <sheetProtection formatCells="0" formatColumns="0" formatRows="0" autoFilter="0"/>
  <mergeCells count="9">
    <mergeCell ref="J7:J8"/>
    <mergeCell ref="K7:K8"/>
    <mergeCell ref="A6:A9"/>
    <mergeCell ref="B6:B7"/>
    <mergeCell ref="G6:I6"/>
    <mergeCell ref="D7:E7"/>
    <mergeCell ref="H7:I7"/>
    <mergeCell ref="C6:F6"/>
    <mergeCell ref="F7:F8"/>
  </mergeCells>
  <phoneticPr fontId="5" type="noConversion"/>
  <hyperlinks>
    <hyperlink ref="A5" location="附注填写封面!B3" display="返回目录" xr:uid="{00000000-0004-0000-7000-000000000000}"/>
  </hyperlinks>
  <printOptions horizontalCentered="1"/>
  <pageMargins left="0.35433070866141736" right="0.35433070866141736" top="0.78740157480314965" bottom="0.59055118110236227" header="0.15748031496062992" footer="0.15748031496062992"/>
  <pageSetup paperSize="9" scale="70" firstPageNumber="4294963191" fitToHeight="3" orientation="landscape" blackAndWhite="1" r:id="rId1"/>
  <headerFooter alignWithMargins="0">
    <oddHeader>&amp;R&amp;F-&amp;A-&amp;P/&amp;N</oddHeader>
    <oddFooter>&amp;C第 &amp;P 页，共 &amp;N 页</oddFooter>
  </headerFooter>
  <extLst>
    <ext xmlns:mx="http://schemas.microsoft.com/office/mac/excel/2008/main" uri="{64002731-A6B0-56B0-2670-7721B7C09600}">
      <mx:PLV Mode="0" OnePage="0" WScale="0"/>
    </ext>
  </extLst>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86"/>
  <dimension ref="A1:L56"/>
  <sheetViews>
    <sheetView view="pageBreakPreview" zoomScaleSheetLayoutView="100" workbookViewId="0">
      <pane xSplit="3" ySplit="7" topLeftCell="D38" activePane="bottomRight" state="frozen"/>
      <selection activeCell="D13" sqref="D13"/>
      <selection pane="topRight" activeCell="D13" sqref="D13"/>
      <selection pane="bottomLeft" activeCell="D13" sqref="D13"/>
      <selection pane="bottomRight" activeCell="D31" sqref="D31"/>
    </sheetView>
  </sheetViews>
  <sheetFormatPr defaultColWidth="9.375" defaultRowHeight="12.75"/>
  <cols>
    <col min="1" max="1" width="12.375" style="1229" customWidth="1"/>
    <col min="2" max="2" width="5" style="1229" customWidth="1"/>
    <col min="3" max="3" width="24" style="1229" bestFit="1" customWidth="1"/>
    <col min="4" max="4" width="6.625" style="1229" bestFit="1" customWidth="1"/>
    <col min="5" max="5" width="8" style="1229" bestFit="1" customWidth="1"/>
    <col min="6" max="6" width="14" style="1229" customWidth="1"/>
    <col min="7" max="7" width="13.625" style="1229" bestFit="1" customWidth="1"/>
    <col min="8" max="8" width="11.125" style="1229" customWidth="1"/>
    <col min="9" max="9" width="9" style="1229" bestFit="1" customWidth="1"/>
    <col min="10" max="10" width="13.625" style="1229" bestFit="1" customWidth="1"/>
    <col min="11" max="11" width="13.875" style="1229" customWidth="1"/>
    <col min="12" max="12" width="47.125" style="1229" customWidth="1"/>
    <col min="13" max="16384" width="9.375" style="1229"/>
  </cols>
  <sheetData>
    <row r="1" spans="1:12" s="1207" customFormat="1" ht="16.5" customHeight="1">
      <c r="A1" s="1162" t="s">
        <v>4195</v>
      </c>
      <c r="B1" s="1206"/>
      <c r="C1" s="1206"/>
      <c r="D1" s="1165"/>
      <c r="E1" s="1165"/>
      <c r="F1" s="1165"/>
      <c r="G1" s="1165"/>
      <c r="H1" s="1165"/>
    </row>
    <row r="2" spans="1:12" s="1207" customFormat="1">
      <c r="A2" s="1208" t="str">
        <f>资产分析!A2</f>
        <v>被审计单位：华鼎资本（北京）有限公司</v>
      </c>
      <c r="B2" s="1209"/>
      <c r="C2" s="1209"/>
      <c r="D2" s="1209"/>
      <c r="E2" s="1209"/>
      <c r="F2" s="1209"/>
      <c r="G2" s="1209" t="s">
        <v>2253</v>
      </c>
      <c r="H2" s="1209"/>
      <c r="I2" s="1210"/>
      <c r="J2" s="1210" t="s">
        <v>363</v>
      </c>
      <c r="K2" s="1210"/>
      <c r="L2" s="1211">
        <v>1</v>
      </c>
    </row>
    <row r="3" spans="1:12" s="1207" customFormat="1">
      <c r="A3" s="1212" t="s">
        <v>4196</v>
      </c>
      <c r="B3" s="1213"/>
      <c r="C3" s="1213"/>
      <c r="D3" s="1213"/>
      <c r="E3" s="1213"/>
      <c r="F3" s="1190" t="s">
        <v>523</v>
      </c>
      <c r="G3" s="1213" t="s">
        <v>2254</v>
      </c>
      <c r="H3" s="1213" t="str">
        <f>资产分析!I3</f>
        <v>王咲晨</v>
      </c>
      <c r="I3" s="1214"/>
      <c r="J3" s="1215" t="s">
        <v>365</v>
      </c>
      <c r="K3" s="1179">
        <f>资产分析!M3</f>
        <v>0</v>
      </c>
      <c r="L3" s="1216"/>
    </row>
    <row r="4" spans="1:12" s="1207" customFormat="1">
      <c r="A4" s="1217" t="s">
        <v>4428</v>
      </c>
      <c r="B4" s="1218"/>
      <c r="C4" s="1218"/>
      <c r="D4" s="1218"/>
      <c r="E4" s="1218"/>
      <c r="F4" s="1218"/>
      <c r="G4" s="1218" t="s">
        <v>2257</v>
      </c>
      <c r="H4" s="1213" t="str">
        <f>资产分析!I4</f>
        <v>逯敏</v>
      </c>
      <c r="I4" s="1219"/>
      <c r="J4" s="1220" t="s">
        <v>365</v>
      </c>
      <c r="K4" s="1221">
        <f>资产分析!M4</f>
        <v>0</v>
      </c>
      <c r="L4" s="1222"/>
    </row>
    <row r="5" spans="1:12" s="1225" customFormat="1">
      <c r="A5" s="1921" t="s">
        <v>4197</v>
      </c>
      <c r="B5" s="1913" t="s">
        <v>367</v>
      </c>
      <c r="C5" s="1915" t="s">
        <v>4198</v>
      </c>
      <c r="D5" s="1223" t="s">
        <v>3523</v>
      </c>
      <c r="E5" s="1919" t="s">
        <v>4199</v>
      </c>
      <c r="F5" s="1910" t="s">
        <v>4200</v>
      </c>
      <c r="G5" s="1911"/>
      <c r="H5" s="1912"/>
      <c r="I5" s="1910" t="s">
        <v>4201</v>
      </c>
      <c r="J5" s="1911"/>
      <c r="K5" s="1912"/>
      <c r="L5" s="1224" t="s">
        <v>2958</v>
      </c>
    </row>
    <row r="6" spans="1:12" s="1225" customFormat="1">
      <c r="A6" s="1922"/>
      <c r="B6" s="1914"/>
      <c r="C6" s="1916"/>
      <c r="D6" s="1226" t="s">
        <v>4202</v>
      </c>
      <c r="E6" s="1920"/>
      <c r="F6" s="1226" t="s">
        <v>4202</v>
      </c>
      <c r="G6" s="1226" t="s">
        <v>4203</v>
      </c>
      <c r="H6" s="1226" t="s">
        <v>4204</v>
      </c>
      <c r="I6" s="1226" t="s">
        <v>4202</v>
      </c>
      <c r="J6" s="1226" t="s">
        <v>4203</v>
      </c>
      <c r="K6" s="1226" t="s">
        <v>4204</v>
      </c>
      <c r="L6" s="1227" t="s">
        <v>4205</v>
      </c>
    </row>
    <row r="7" spans="1:12">
      <c r="A7" s="1228">
        <v>1</v>
      </c>
      <c r="B7" s="1226">
        <v>2</v>
      </c>
      <c r="C7" s="1226">
        <v>3</v>
      </c>
      <c r="D7" s="1226">
        <v>4</v>
      </c>
      <c r="E7" s="1226">
        <v>5</v>
      </c>
      <c r="F7" s="1226">
        <v>6</v>
      </c>
      <c r="G7" s="1226" t="s">
        <v>102</v>
      </c>
      <c r="H7" s="1226">
        <v>8</v>
      </c>
      <c r="I7" s="1226">
        <v>9</v>
      </c>
      <c r="J7" s="1226" t="s">
        <v>103</v>
      </c>
      <c r="K7" s="1226" t="s">
        <v>104</v>
      </c>
      <c r="L7" s="1227">
        <v>12</v>
      </c>
    </row>
    <row r="8" spans="1:12">
      <c r="A8" s="1917" t="s">
        <v>4206</v>
      </c>
      <c r="B8" s="1230">
        <v>1</v>
      </c>
      <c r="C8" s="1231" t="s">
        <v>4207</v>
      </c>
      <c r="D8" s="1281">
        <f>IF(负债分析!B38=0,0,资产分析!B32/负债分析!B38)</f>
        <v>6.4770663491174609</v>
      </c>
      <c r="E8" s="1281"/>
      <c r="F8" s="1281">
        <f>IF(负债分析!D38=0,0,资产分析!D32/负债分析!D38)</f>
        <v>151.03841078231642</v>
      </c>
      <c r="G8" s="1281">
        <f t="shared" ref="G8:G35" si="0">F8-D8</f>
        <v>144.56134443319897</v>
      </c>
      <c r="H8" s="1281">
        <f t="shared" ref="H8:H35" si="1">F8-E8</f>
        <v>151.03841078231642</v>
      </c>
      <c r="I8" s="1281">
        <f>IF(负债分析!J38=0,0,资产分析!J32/负债分析!J38)</f>
        <v>12.665638993576778</v>
      </c>
      <c r="J8" s="1281">
        <f t="shared" ref="J8:J35" si="2">I8-D8</f>
        <v>6.1885726444593168</v>
      </c>
      <c r="K8" s="1281">
        <f t="shared" ref="K8:K35" si="3">I8-E8</f>
        <v>12.665638993576778</v>
      </c>
      <c r="L8" s="1232" t="s">
        <v>4208</v>
      </c>
    </row>
    <row r="9" spans="1:12">
      <c r="A9" s="1917"/>
      <c r="B9" s="1230">
        <v>2</v>
      </c>
      <c r="C9" s="1231" t="s">
        <v>4209</v>
      </c>
      <c r="D9" s="1281">
        <f>IF(负债分析!B38=0,0,(资产分析!B32-资产分析!B26)/负债分析!B38)</f>
        <v>6.4770663491174609</v>
      </c>
      <c r="E9" s="1281"/>
      <c r="F9" s="1281">
        <f>IF(负债分析!D38=0,0,(资产分析!D32-资产分析!D26)/负债分析!D38)</f>
        <v>151.03841078231642</v>
      </c>
      <c r="G9" s="1281">
        <f t="shared" si="0"/>
        <v>144.56134443319897</v>
      </c>
      <c r="H9" s="1281">
        <f t="shared" si="1"/>
        <v>151.03841078231642</v>
      </c>
      <c r="I9" s="1281">
        <f>IF(负债分析!J38=0,0,(资产分析!J32-资产分析!J26)/负债分析!J38)</f>
        <v>12.665638993576778</v>
      </c>
      <c r="J9" s="1281">
        <f t="shared" si="2"/>
        <v>6.1885726444593168</v>
      </c>
      <c r="K9" s="1281">
        <f t="shared" si="3"/>
        <v>12.665638993576778</v>
      </c>
      <c r="L9" s="1232" t="s">
        <v>4210</v>
      </c>
    </row>
    <row r="10" spans="1:12">
      <c r="A10" s="1917" t="s">
        <v>4211</v>
      </c>
      <c r="B10" s="1230">
        <v>3</v>
      </c>
      <c r="C10" s="1231" t="s">
        <v>4212</v>
      </c>
      <c r="D10" s="1281">
        <f>IF(资产分析!B26=0,0,利润表分析!B19/资产分析!B26)</f>
        <v>0</v>
      </c>
      <c r="E10" s="1281"/>
      <c r="F10" s="1281">
        <f>IF(资产分析!D26=0,0,利润表分析!D19/((资产分析!D26+资产分析!B26)/2))</f>
        <v>0</v>
      </c>
      <c r="G10" s="1281">
        <f t="shared" si="0"/>
        <v>0</v>
      </c>
      <c r="H10" s="1281">
        <f t="shared" si="1"/>
        <v>0</v>
      </c>
      <c r="I10" s="1281">
        <f>IF(资产分析!J26=0,0,利润表分析!J19/((资产分析!J26+资产分析!B26)/2))</f>
        <v>0</v>
      </c>
      <c r="J10" s="1281">
        <f t="shared" si="2"/>
        <v>0</v>
      </c>
      <c r="K10" s="1281">
        <f t="shared" si="3"/>
        <v>0</v>
      </c>
      <c r="L10" s="1232" t="s">
        <v>4213</v>
      </c>
    </row>
    <row r="11" spans="1:12">
      <c r="A11" s="1917"/>
      <c r="B11" s="1230">
        <v>4</v>
      </c>
      <c r="C11" s="1231" t="s">
        <v>4214</v>
      </c>
      <c r="D11" s="1281">
        <f>IF(D10=0,0,360/D10)</f>
        <v>0</v>
      </c>
      <c r="E11" s="1281"/>
      <c r="F11" s="1281">
        <f>IF(F10=0,0,360/F10)</f>
        <v>0</v>
      </c>
      <c r="G11" s="1281">
        <f t="shared" si="0"/>
        <v>0</v>
      </c>
      <c r="H11" s="1281">
        <f t="shared" si="1"/>
        <v>0</v>
      </c>
      <c r="I11" s="1281">
        <f>IF(I10=0,0,360/I10)</f>
        <v>0</v>
      </c>
      <c r="J11" s="1281">
        <f t="shared" si="2"/>
        <v>0</v>
      </c>
      <c r="K11" s="1281">
        <f t="shared" si="3"/>
        <v>0</v>
      </c>
      <c r="L11" s="1232" t="s">
        <v>4215</v>
      </c>
    </row>
    <row r="12" spans="1:12">
      <c r="A12" s="1917"/>
      <c r="B12" s="1230">
        <v>5</v>
      </c>
      <c r="C12" s="1231" t="s">
        <v>4216</v>
      </c>
      <c r="D12" s="1281">
        <f>IF(资产分析!B17=0,0,利润表分析!B10/资产分析!B17)</f>
        <v>0</v>
      </c>
      <c r="E12" s="1281"/>
      <c r="F12" s="1281">
        <f>IF(资产分析!D17=0,0,利润表分析!D10/((资产分析!D17+资产分析!B17)/2))</f>
        <v>0</v>
      </c>
      <c r="G12" s="1281">
        <f t="shared" si="0"/>
        <v>0</v>
      </c>
      <c r="H12" s="1281">
        <f t="shared" si="1"/>
        <v>0</v>
      </c>
      <c r="I12" s="1281">
        <f>IF(资产分析!J17=0,0,利润表分析!J10/((资产分析!J17+资产分析!B17)/2))</f>
        <v>1.9860973226544625</v>
      </c>
      <c r="J12" s="1281">
        <f t="shared" si="2"/>
        <v>1.9860973226544625</v>
      </c>
      <c r="K12" s="1281">
        <f t="shared" si="3"/>
        <v>1.9860973226544625</v>
      </c>
      <c r="L12" s="1232" t="s">
        <v>4217</v>
      </c>
    </row>
    <row r="13" spans="1:12">
      <c r="A13" s="1917"/>
      <c r="B13" s="1230">
        <v>6</v>
      </c>
      <c r="C13" s="1231" t="s">
        <v>4218</v>
      </c>
      <c r="D13" s="1281">
        <f>IF(D12=0,0,360/D12)</f>
        <v>0</v>
      </c>
      <c r="E13" s="1281"/>
      <c r="F13" s="1281">
        <f>IF(F12=0,0,360/F12)</f>
        <v>0</v>
      </c>
      <c r="G13" s="1281">
        <f t="shared" si="0"/>
        <v>0</v>
      </c>
      <c r="H13" s="1281">
        <f t="shared" si="1"/>
        <v>0</v>
      </c>
      <c r="I13" s="1281">
        <f>IF(I12=0,0,360/I12)</f>
        <v>181.25999964536084</v>
      </c>
      <c r="J13" s="1281">
        <f t="shared" si="2"/>
        <v>181.25999964536084</v>
      </c>
      <c r="K13" s="1281">
        <f t="shared" si="3"/>
        <v>181.25999964536084</v>
      </c>
      <c r="L13" s="1232" t="s">
        <v>4219</v>
      </c>
    </row>
    <row r="14" spans="1:12">
      <c r="A14" s="1917"/>
      <c r="B14" s="1230">
        <v>7</v>
      </c>
      <c r="C14" s="1231" t="s">
        <v>4220</v>
      </c>
      <c r="D14" s="1281">
        <f>IF(资产分析!B32=0,0,利润表分析!B10/资产分析!B32)</f>
        <v>2.2307004948022198</v>
      </c>
      <c r="E14" s="1281"/>
      <c r="F14" s="1281">
        <f>IF(资产分析!D32=0,0,利润表分析!D10/((资产分析!D32+资产分析!$B$32)/2))</f>
        <v>0</v>
      </c>
      <c r="G14" s="1281">
        <f t="shared" si="0"/>
        <v>-2.2307004948022198</v>
      </c>
      <c r="H14" s="1281">
        <f t="shared" si="1"/>
        <v>0</v>
      </c>
      <c r="I14" s="1281">
        <f>IF(资产分析!J32=0,0,利润表分析!J10/((资产分析!J32+资产分析!$B$32)/2))</f>
        <v>0.62749785201388031</v>
      </c>
      <c r="J14" s="1281">
        <f t="shared" si="2"/>
        <v>-1.6032026427883395</v>
      </c>
      <c r="K14" s="1281">
        <f t="shared" si="3"/>
        <v>0.62749785201388031</v>
      </c>
      <c r="L14" s="1232" t="s">
        <v>4221</v>
      </c>
    </row>
    <row r="15" spans="1:12">
      <c r="A15" s="1917"/>
      <c r="B15" s="1230">
        <v>8</v>
      </c>
      <c r="C15" s="1231" t="s">
        <v>4222</v>
      </c>
      <c r="D15" s="1281">
        <f>IF(资产分析!B58=0,0,利润表分析!B10/资产分析!B58)</f>
        <v>1.9967708391954218</v>
      </c>
      <c r="E15" s="1281"/>
      <c r="F15" s="1281">
        <f>IF(资产分析!D58=0,0,利润表分析!D10/((资产分析!D58+资产分析!$B$58)/2))</f>
        <v>0</v>
      </c>
      <c r="G15" s="1281">
        <f t="shared" si="0"/>
        <v>-1.9967708391954218</v>
      </c>
      <c r="H15" s="1281">
        <f t="shared" si="1"/>
        <v>0</v>
      </c>
      <c r="I15" s="1281">
        <f>IF(资产分析!J58=0,0,利润表分析!J10/((资产分析!J58+资产分析!$B$58)/2))</f>
        <v>0.55803494459310998</v>
      </c>
      <c r="J15" s="1281">
        <f t="shared" si="2"/>
        <v>-1.4387358946023117</v>
      </c>
      <c r="K15" s="1281">
        <f t="shared" si="3"/>
        <v>0.55803494459310998</v>
      </c>
      <c r="L15" s="1232" t="s">
        <v>4223</v>
      </c>
    </row>
    <row r="16" spans="1:12">
      <c r="A16" s="1917"/>
      <c r="B16" s="1230">
        <v>9</v>
      </c>
      <c r="C16" s="1231" t="s">
        <v>4224</v>
      </c>
      <c r="D16" s="1281">
        <f>D11+D13</f>
        <v>0</v>
      </c>
      <c r="E16" s="1281"/>
      <c r="F16" s="1281">
        <f>F11+F13</f>
        <v>0</v>
      </c>
      <c r="G16" s="1281">
        <f t="shared" si="0"/>
        <v>0</v>
      </c>
      <c r="H16" s="1281">
        <f t="shared" si="1"/>
        <v>0</v>
      </c>
      <c r="I16" s="1281">
        <f>I11+I13</f>
        <v>181.25999964536084</v>
      </c>
      <c r="J16" s="1281">
        <f t="shared" si="2"/>
        <v>181.25999964536084</v>
      </c>
      <c r="K16" s="1281">
        <f t="shared" si="3"/>
        <v>181.25999964536084</v>
      </c>
      <c r="L16" s="1232" t="s">
        <v>4225</v>
      </c>
    </row>
    <row r="17" spans="1:12">
      <c r="A17" s="1917"/>
      <c r="B17" s="1230"/>
      <c r="C17" s="1233" t="s">
        <v>4226</v>
      </c>
      <c r="D17" s="1281">
        <f>利润表分析!B12/(资产分析!B32-负债分析!B38)</f>
        <v>2.6379806613391215</v>
      </c>
      <c r="E17" s="1281"/>
      <c r="F17" s="1281">
        <f>利润表分析!D12/(资产分析!D32-负债分析!D38)</f>
        <v>0</v>
      </c>
      <c r="G17" s="1281">
        <f t="shared" si="0"/>
        <v>-2.6379806613391215</v>
      </c>
      <c r="H17" s="1281">
        <f t="shared" si="1"/>
        <v>0</v>
      </c>
      <c r="I17" s="1281">
        <f>利润表分析!J12/(资产分析!J32-负债分析!J38)</f>
        <v>0.70937212389670345</v>
      </c>
      <c r="J17" s="1281">
        <f t="shared" si="2"/>
        <v>-1.928608537442418</v>
      </c>
      <c r="K17" s="1281">
        <f t="shared" si="3"/>
        <v>0.70937212389670345</v>
      </c>
      <c r="L17" s="1232" t="s">
        <v>4227</v>
      </c>
    </row>
    <row r="18" spans="1:12">
      <c r="A18" s="1917" t="s">
        <v>4228</v>
      </c>
      <c r="B18" s="1230">
        <v>10</v>
      </c>
      <c r="C18" s="1231" t="s">
        <v>4229</v>
      </c>
      <c r="D18" s="1281">
        <f>IF(负债分析!B81=0,0,负债分析!B51/负债分析!B81)</f>
        <v>0.1382001823742417</v>
      </c>
      <c r="E18" s="1281"/>
      <c r="F18" s="1281">
        <f>IF(负债分析!D81=0,0,负债分析!D51/负债分析!D81)</f>
        <v>4.7476045156086676E-3</v>
      </c>
      <c r="G18" s="1281">
        <f t="shared" si="0"/>
        <v>-0.13345257785863304</v>
      </c>
      <c r="H18" s="1281">
        <f t="shared" si="1"/>
        <v>4.7476045156086676E-3</v>
      </c>
      <c r="I18" s="1281">
        <f>IF(负债分析!J81=0,0,负债分析!J51/负债分析!J81)</f>
        <v>6.9722192140250383E-2</v>
      </c>
      <c r="J18" s="1281">
        <f t="shared" si="2"/>
        <v>-6.8477990233991315E-2</v>
      </c>
      <c r="K18" s="1281">
        <f t="shared" si="3"/>
        <v>6.9722192140250383E-2</v>
      </c>
      <c r="L18" s="1232" t="s">
        <v>4230</v>
      </c>
    </row>
    <row r="19" spans="1:12">
      <c r="A19" s="1917"/>
      <c r="B19" s="1230">
        <v>11</v>
      </c>
      <c r="C19" s="1231" t="s">
        <v>4231</v>
      </c>
      <c r="D19" s="1281">
        <f>IF(负债分析!B80=0,0,负债分析!B51/负债分析!B80)</f>
        <v>0.16036227851031637</v>
      </c>
      <c r="E19" s="1281"/>
      <c r="F19" s="1281">
        <f>IF(负债分析!D80=0,0,负债分析!D51/负债分析!D80)</f>
        <v>4.7702517845214527E-3</v>
      </c>
      <c r="G19" s="1281">
        <f t="shared" si="0"/>
        <v>-0.15559202672579492</v>
      </c>
      <c r="H19" s="1281">
        <f t="shared" si="1"/>
        <v>4.7702517845214527E-3</v>
      </c>
      <c r="I19" s="1281">
        <f>IF(负债分析!J80=0,0,负债分析!J51/负债分析!J80)</f>
        <v>7.4947710835602158E-2</v>
      </c>
      <c r="J19" s="1281">
        <f t="shared" si="2"/>
        <v>-8.5414567674714212E-2</v>
      </c>
      <c r="K19" s="1281">
        <f t="shared" si="3"/>
        <v>7.4947710835602158E-2</v>
      </c>
      <c r="L19" s="1232" t="s">
        <v>4232</v>
      </c>
    </row>
    <row r="20" spans="1:12">
      <c r="A20" s="1917"/>
      <c r="B20" s="1230">
        <v>12</v>
      </c>
      <c r="C20" s="1231" t="s">
        <v>4233</v>
      </c>
      <c r="D20" s="1281">
        <f>IF(负债分析!B80-资产分析!B50-资产分析!B51-资产分析!B52=0,0,负债分析!B51/(负债分析!B80-资产分析!B50-资产分析!B51-资产分析!B52))</f>
        <v>0.16036227851031637</v>
      </c>
      <c r="E20" s="1281"/>
      <c r="F20" s="1281">
        <f>IF(负债分析!D80-资产分析!D50-资产分析!D51-资产分析!D52=0,0,负债分析!D51/(负债分析!D80-资产分析!D50-资产分析!D51-资产分析!D52))</f>
        <v>4.7702517845214527E-3</v>
      </c>
      <c r="G20" s="1281">
        <f t="shared" si="0"/>
        <v>-0.15559202672579492</v>
      </c>
      <c r="H20" s="1281">
        <f t="shared" si="1"/>
        <v>4.7702517845214527E-3</v>
      </c>
      <c r="I20" s="1281">
        <f>IF(负债分析!J80-资产分析!J50-资产分析!J51-资产分析!J52=0,0,负债分析!J51/(负债分析!J80-资产分析!J50-资产分析!J51-资产分析!J52))</f>
        <v>7.4947710835602158E-2</v>
      </c>
      <c r="J20" s="1281">
        <f t="shared" si="2"/>
        <v>-8.5414567674714212E-2</v>
      </c>
      <c r="K20" s="1281">
        <f t="shared" si="3"/>
        <v>7.4947710835602158E-2</v>
      </c>
      <c r="L20" s="1232" t="s">
        <v>4234</v>
      </c>
    </row>
    <row r="21" spans="1:12">
      <c r="A21" s="1917"/>
      <c r="B21" s="1230"/>
      <c r="C21" s="1231" t="s">
        <v>4235</v>
      </c>
      <c r="D21" s="1281" t="e">
        <f>(利润表分析!B54+财务比率分析!D50)/财务比率分析!D50</f>
        <v>#DIV/0!</v>
      </c>
      <c r="E21" s="1281"/>
      <c r="F21" s="1281" t="e">
        <f>(利润表分析!D54+财务比率分析!F50)/财务比率分析!F50</f>
        <v>#DIV/0!</v>
      </c>
      <c r="G21" s="1281" t="e">
        <f t="shared" si="0"/>
        <v>#DIV/0!</v>
      </c>
      <c r="H21" s="1281" t="e">
        <f t="shared" si="1"/>
        <v>#DIV/0!</v>
      </c>
      <c r="I21" s="1281" t="e">
        <f>(利润表分析!J54+财务比率分析!I50)/财务比率分析!I50</f>
        <v>#DIV/0!</v>
      </c>
      <c r="J21" s="1281" t="e">
        <f t="shared" si="2"/>
        <v>#DIV/0!</v>
      </c>
      <c r="K21" s="1281" t="e">
        <f t="shared" si="3"/>
        <v>#DIV/0!</v>
      </c>
      <c r="L21" s="1232" t="s">
        <v>4236</v>
      </c>
    </row>
    <row r="22" spans="1:12">
      <c r="A22" s="1917"/>
      <c r="B22" s="1230">
        <v>13</v>
      </c>
      <c r="C22" s="1231" t="s">
        <v>4237</v>
      </c>
      <c r="D22" s="1281">
        <f>IF(D49=0,0,(利润表分析!B56+财务比率分析!D49)/财务比率分析!D49)</f>
        <v>0</v>
      </c>
      <c r="E22" s="1281"/>
      <c r="F22" s="1281">
        <f>IF(F49=0,0,(利润表分析!D56+财务比率分析!F49)/财务比率分析!F49)</f>
        <v>0</v>
      </c>
      <c r="G22" s="1281">
        <f t="shared" si="0"/>
        <v>0</v>
      </c>
      <c r="H22" s="1281">
        <f t="shared" si="1"/>
        <v>0</v>
      </c>
      <c r="I22" s="1281">
        <f>IF(I49=0,0,(利润表分析!J56+财务比率分析!I49)/财务比率分析!I49)</f>
        <v>0</v>
      </c>
      <c r="J22" s="1281">
        <f t="shared" si="2"/>
        <v>0</v>
      </c>
      <c r="K22" s="1281">
        <f t="shared" si="3"/>
        <v>0</v>
      </c>
      <c r="L22" s="1232" t="s">
        <v>4238</v>
      </c>
    </row>
    <row r="23" spans="1:12" ht="24">
      <c r="A23" s="1917"/>
      <c r="B23" s="1230"/>
      <c r="C23" s="1234" t="s">
        <v>4239</v>
      </c>
      <c r="D23" s="1281" t="e">
        <f>现金分析!B35/财务比率分析!D50</f>
        <v>#DIV/0!</v>
      </c>
      <c r="E23" s="1281"/>
      <c r="F23" s="1281" t="e">
        <f>现金分析!C35/财务比率分析!F50</f>
        <v>#DIV/0!</v>
      </c>
      <c r="G23" s="1281" t="e">
        <f t="shared" si="0"/>
        <v>#DIV/0!</v>
      </c>
      <c r="H23" s="1281" t="e">
        <f t="shared" si="1"/>
        <v>#DIV/0!</v>
      </c>
      <c r="I23" s="1281" t="e">
        <f>现金分析!G35/财务比率分析!I50</f>
        <v>#DIV/0!</v>
      </c>
      <c r="J23" s="1281" t="e">
        <f t="shared" si="2"/>
        <v>#DIV/0!</v>
      </c>
      <c r="K23" s="1281" t="e">
        <f t="shared" si="3"/>
        <v>#DIV/0!</v>
      </c>
      <c r="L23" s="1232" t="s">
        <v>4240</v>
      </c>
    </row>
    <row r="24" spans="1:12">
      <c r="A24" s="1917" t="s">
        <v>4241</v>
      </c>
      <c r="B24" s="1230">
        <v>14</v>
      </c>
      <c r="C24" s="1231" t="s">
        <v>4242</v>
      </c>
      <c r="D24" s="1281">
        <f>IF(利润表分析!B10=0,0,利润表分析!B56/利润表分析!B10)</f>
        <v>0.23524997114134424</v>
      </c>
      <c r="E24" s="1281"/>
      <c r="F24" s="1281">
        <f>IF(利润表分析!D10=0,0,利润表分析!D56/利润表分析!D10)</f>
        <v>0</v>
      </c>
      <c r="G24" s="1281">
        <f t="shared" si="0"/>
        <v>-0.23524997114134424</v>
      </c>
      <c r="H24" s="1281">
        <f t="shared" si="1"/>
        <v>0</v>
      </c>
      <c r="I24" s="1281">
        <f>IF(利润表分析!J10=0,0,利润表分析!J56/利润表分析!J10)</f>
        <v>1.7317224574814251E-2</v>
      </c>
      <c r="J24" s="1281">
        <f t="shared" si="2"/>
        <v>-0.21793274656653</v>
      </c>
      <c r="K24" s="1281">
        <f t="shared" si="3"/>
        <v>1.7317224574814251E-2</v>
      </c>
      <c r="L24" s="1232" t="s">
        <v>4243</v>
      </c>
    </row>
    <row r="25" spans="1:12">
      <c r="A25" s="1917"/>
      <c r="B25" s="1230">
        <v>15</v>
      </c>
      <c r="C25" s="1231" t="s">
        <v>4244</v>
      </c>
      <c r="D25" s="1281">
        <f>IF(利润表分析!B10=0,0,(利润表分析!B10-SUM(利润表分析!B18:B27)+SUM(利润表分析!B19:B20))/利润表分析!B10)</f>
        <v>1</v>
      </c>
      <c r="E25" s="1281"/>
      <c r="F25" s="1281">
        <f>IF(利润表分析!D10=0,0,(利润表分析!D10-SUM(利润表分析!D18:D27)+SUM(利润表分析!D19:D20))/利润表分析!D10)</f>
        <v>0</v>
      </c>
      <c r="G25" s="1281">
        <f t="shared" si="0"/>
        <v>-1</v>
      </c>
      <c r="H25" s="1281">
        <f t="shared" si="1"/>
        <v>0</v>
      </c>
      <c r="I25" s="1281">
        <f>IF(利润表分析!J10=0,0,(利润表分析!J10-SUM(利润表分析!J18:J27)+SUM(利润表分析!J19:J20))/利润表分析!J10)</f>
        <v>1</v>
      </c>
      <c r="J25" s="1281">
        <f t="shared" si="2"/>
        <v>0</v>
      </c>
      <c r="K25" s="1281">
        <f t="shared" si="3"/>
        <v>1</v>
      </c>
      <c r="L25" s="1232" t="s">
        <v>4245</v>
      </c>
    </row>
    <row r="26" spans="1:12">
      <c r="A26" s="1917"/>
      <c r="B26" s="1230">
        <v>16</v>
      </c>
      <c r="C26" s="1231" t="s">
        <v>4246</v>
      </c>
      <c r="D26" s="1281">
        <f>IF(资产分析!B58=0,0,利润表分析!B56/资产分析!B58)</f>
        <v>0.4697402822966007</v>
      </c>
      <c r="E26" s="1281"/>
      <c r="F26" s="1281">
        <f>IF(资产分析!D58=0,0,利润表分析!D56/((资产分析!D58+资产分析!B58)/2))</f>
        <v>-0.72955005632895131</v>
      </c>
      <c r="G26" s="1281">
        <f t="shared" si="0"/>
        <v>-1.199290338625552</v>
      </c>
      <c r="H26" s="1281">
        <f t="shared" si="1"/>
        <v>-0.72955005632895131</v>
      </c>
      <c r="I26" s="1281">
        <f>IF(资产分析!J58=0,0,利润表分析!J56/((资产分析!J58+资产分析!B58)/2))</f>
        <v>9.6636164561129147E-3</v>
      </c>
      <c r="J26" s="1281">
        <f t="shared" si="2"/>
        <v>-0.46007666584048779</v>
      </c>
      <c r="K26" s="1281">
        <f t="shared" si="3"/>
        <v>9.6636164561129147E-3</v>
      </c>
      <c r="L26" s="1232" t="s">
        <v>4247</v>
      </c>
    </row>
    <row r="27" spans="1:12">
      <c r="A27" s="1917"/>
      <c r="B27" s="1230">
        <v>17</v>
      </c>
      <c r="C27" s="1231" t="s">
        <v>4248</v>
      </c>
      <c r="D27" s="1281">
        <f>IF(负债分析!B80=0,0,利润表分析!B56/负债分析!B80)</f>
        <v>0.54506890427376287</v>
      </c>
      <c r="E27" s="1281"/>
      <c r="F27" s="1281">
        <f>IF(负债分析!D80=0,0,利润表分析!D56/((负债分析!D80+资产分析!$B$57)/2))</f>
        <v>-2.1259004257939229</v>
      </c>
      <c r="G27" s="1281">
        <f t="shared" si="0"/>
        <v>-2.6709693300676856</v>
      </c>
      <c r="H27" s="1281">
        <f t="shared" si="1"/>
        <v>-2.1259004257939229</v>
      </c>
      <c r="I27" s="1281">
        <f>IF(负债分析!J80=0,0,利润表分析!J56/((负债分析!J80+资产分析!$B$57)/2))</f>
        <v>1.9172760686786573E-2</v>
      </c>
      <c r="J27" s="1281">
        <f t="shared" si="2"/>
        <v>-0.52589614358697634</v>
      </c>
      <c r="K27" s="1281">
        <f t="shared" si="3"/>
        <v>1.9172760686786573E-2</v>
      </c>
      <c r="L27" s="1232" t="s">
        <v>4249</v>
      </c>
    </row>
    <row r="28" spans="1:12">
      <c r="A28" s="1917"/>
      <c r="B28" s="1230"/>
      <c r="C28" s="1231" t="s">
        <v>4250</v>
      </c>
      <c r="D28" s="1281">
        <f>(利润表分析!B54+财务比率分析!D49)/资产分析!B58</f>
        <v>0.6291345316313729</v>
      </c>
      <c r="E28" s="1281"/>
      <c r="F28" s="1281">
        <f>(利润表分析!D54+财务比率分析!F49)/资产分析!D58</f>
        <v>-1.3539545194776728</v>
      </c>
      <c r="G28" s="1281">
        <f t="shared" si="0"/>
        <v>-1.9830890511090455</v>
      </c>
      <c r="H28" s="1281">
        <f t="shared" si="1"/>
        <v>-1.3539545194776728</v>
      </c>
      <c r="I28" s="1281">
        <f>(I49+利润表分析!J54)/资产分析!J58</f>
        <v>1.7988427071999498E-2</v>
      </c>
      <c r="J28" s="1281">
        <f t="shared" si="2"/>
        <v>-0.61114610455937335</v>
      </c>
      <c r="K28" s="1281">
        <f t="shared" si="3"/>
        <v>1.7988427071999498E-2</v>
      </c>
      <c r="L28" s="1232" t="s">
        <v>4251</v>
      </c>
    </row>
    <row r="29" spans="1:12">
      <c r="A29" s="1917"/>
      <c r="B29" s="1230"/>
      <c r="C29" s="1231" t="s">
        <v>4252</v>
      </c>
      <c r="D29" s="1281">
        <f>(利润表分析!B54+财务比率分析!D49)/负债分析!B80</f>
        <v>0.73002397861330059</v>
      </c>
      <c r="E29" s="1281"/>
      <c r="F29" s="1281">
        <f>(利润表分析!D54+财务比率分析!F49)/负债分析!D80</f>
        <v>-1.3604132234403721</v>
      </c>
      <c r="G29" s="1281">
        <f t="shared" si="0"/>
        <v>-2.0904372020536726</v>
      </c>
      <c r="H29" s="1281">
        <f t="shared" si="1"/>
        <v>-1.3604132234403721</v>
      </c>
      <c r="I29" s="1281">
        <f>(I49+利润表分析!J54)/负债分析!J80</f>
        <v>1.9336618502579034E-2</v>
      </c>
      <c r="J29" s="1281">
        <f t="shared" si="2"/>
        <v>-0.71068736011072153</v>
      </c>
      <c r="K29" s="1281">
        <f t="shared" si="3"/>
        <v>1.9336618502579034E-2</v>
      </c>
      <c r="L29" s="1232" t="s">
        <v>4253</v>
      </c>
    </row>
    <row r="30" spans="1:12">
      <c r="A30" s="1917"/>
      <c r="B30" s="1230">
        <v>18</v>
      </c>
      <c r="C30" s="1235" t="s">
        <v>4254</v>
      </c>
      <c r="D30" s="1281">
        <f>IF(利润表分析!B12=0,0,(利润表分析!B12-利润表分析!B19)/利润表分析!B12)</f>
        <v>1</v>
      </c>
      <c r="E30" s="1281"/>
      <c r="F30" s="1281">
        <f>IF(利润表分析!D12=0,0,(利润表分析!D12-利润表分析!D19)/利润表分析!D12)</f>
        <v>0</v>
      </c>
      <c r="G30" s="1281">
        <f t="shared" si="0"/>
        <v>-1</v>
      </c>
      <c r="H30" s="1281">
        <f t="shared" si="1"/>
        <v>0</v>
      </c>
      <c r="I30" s="1281">
        <f>IF(利润表分析!J12=0,0,(利润表分析!J12-利润表分析!J19)/利润表分析!J12)</f>
        <v>1</v>
      </c>
      <c r="J30" s="1281">
        <f t="shared" si="2"/>
        <v>0</v>
      </c>
      <c r="K30" s="1281">
        <f t="shared" si="3"/>
        <v>1</v>
      </c>
      <c r="L30" s="1232" t="s">
        <v>4255</v>
      </c>
    </row>
    <row r="31" spans="1:12">
      <c r="A31" s="1917" t="s">
        <v>4256</v>
      </c>
      <c r="B31" s="1230">
        <v>19</v>
      </c>
      <c r="C31" s="1236" t="s">
        <v>4257</v>
      </c>
      <c r="D31" s="1281">
        <f>IF(利润表分析!B$10=0,0,利润表分析!B29/利润表分析!B$10)</f>
        <v>0</v>
      </c>
      <c r="E31" s="1281"/>
      <c r="F31" s="1281">
        <f>IF(利润表分析!$D$10=0,0,利润表分析!D29/利润表分析!$D$10)</f>
        <v>0</v>
      </c>
      <c r="G31" s="1281">
        <f t="shared" si="0"/>
        <v>0</v>
      </c>
      <c r="H31" s="1281">
        <f t="shared" si="1"/>
        <v>0</v>
      </c>
      <c r="I31" s="1281">
        <f>IF(利润表分析!$J$10=0,0,利润表分析!J29/利润表分析!$J$10)</f>
        <v>0</v>
      </c>
      <c r="J31" s="1281">
        <f t="shared" si="2"/>
        <v>0</v>
      </c>
      <c r="K31" s="1281">
        <f t="shared" si="3"/>
        <v>0</v>
      </c>
      <c r="L31" s="1232" t="s">
        <v>4258</v>
      </c>
    </row>
    <row r="32" spans="1:12">
      <c r="A32" s="1917"/>
      <c r="B32" s="1230">
        <v>20</v>
      </c>
      <c r="C32" s="1236" t="s">
        <v>4259</v>
      </c>
      <c r="D32" s="1281">
        <f>IF(利润表分析!B$10=0,0,利润表分析!B30/利润表分析!B$10)</f>
        <v>0.71168355334266131</v>
      </c>
      <c r="E32" s="1281"/>
      <c r="F32" s="1281">
        <f>IF(利润表分析!$D$10=0,0,利润表分析!D30/利润表分析!$D$10)</f>
        <v>0</v>
      </c>
      <c r="G32" s="1281">
        <f t="shared" si="0"/>
        <v>-0.71168355334266131</v>
      </c>
      <c r="H32" s="1281">
        <f t="shared" si="1"/>
        <v>0</v>
      </c>
      <c r="I32" s="1281">
        <f>IF(利润表分析!$J$10=0,0,利润表分析!J30/利润表分析!$J$10)</f>
        <v>0.91602247490343414</v>
      </c>
      <c r="J32" s="1281">
        <f t="shared" si="2"/>
        <v>0.20433892156077282</v>
      </c>
      <c r="K32" s="1281">
        <f t="shared" si="3"/>
        <v>0.91602247490343414</v>
      </c>
      <c r="L32" s="1232" t="s">
        <v>4260</v>
      </c>
    </row>
    <row r="33" spans="1:12">
      <c r="A33" s="1917"/>
      <c r="B33" s="1230">
        <v>21</v>
      </c>
      <c r="C33" s="1237" t="s">
        <v>4261</v>
      </c>
      <c r="D33" s="1281">
        <f>IF(负债分析!B38=0,0,现金分析!B35/负债分析!B38)</f>
        <v>-0.11184621241850884</v>
      </c>
      <c r="E33" s="1281"/>
      <c r="F33" s="1281">
        <f>IF(负债分析!D38=0,0,现金分析!C35/负债分析!D38)</f>
        <v>-356.44488464996726</v>
      </c>
      <c r="G33" s="1281">
        <f t="shared" si="0"/>
        <v>-356.33303843754874</v>
      </c>
      <c r="H33" s="1281">
        <f t="shared" si="1"/>
        <v>-356.44488464996726</v>
      </c>
      <c r="I33" s="1281">
        <f>IF(负债分析!J38=0,0,现金分析!G35/负债分析!J38)</f>
        <v>-9.4720246740701004</v>
      </c>
      <c r="J33" s="1281">
        <f t="shared" si="2"/>
        <v>-9.3601784616515911</v>
      </c>
      <c r="K33" s="1281">
        <f t="shared" si="3"/>
        <v>-9.4720246740701004</v>
      </c>
      <c r="L33" s="1238" t="s">
        <v>4262</v>
      </c>
    </row>
    <row r="34" spans="1:12">
      <c r="A34" s="1917"/>
      <c r="B34" s="1230">
        <v>22</v>
      </c>
      <c r="C34" s="1239" t="s">
        <v>4263</v>
      </c>
      <c r="D34" s="1281">
        <f>IF(负债分析!B53=0,0,现金分析!B35/负债分析!B53)</f>
        <v>-12.414942999999971</v>
      </c>
      <c r="E34" s="1281"/>
      <c r="F34" s="1281">
        <f>IF(负债分析!D53=0,0,现金分析!C35/负债分析!D53)</f>
        <v>-496.72056100000003</v>
      </c>
      <c r="G34" s="1281">
        <f t="shared" si="0"/>
        <v>-484.30561800000004</v>
      </c>
      <c r="H34" s="1281">
        <f t="shared" si="1"/>
        <v>-496.72056100000003</v>
      </c>
      <c r="I34" s="1281">
        <f>IF(负债分析!J53=0,0,现金分析!G35/负债分析!J53)</f>
        <v>-496.72056100000003</v>
      </c>
      <c r="J34" s="1281">
        <f t="shared" si="2"/>
        <v>-484.30561800000004</v>
      </c>
      <c r="K34" s="1281">
        <f t="shared" si="3"/>
        <v>-496.72056100000003</v>
      </c>
      <c r="L34" s="1238" t="s">
        <v>4264</v>
      </c>
    </row>
    <row r="35" spans="1:12">
      <c r="A35" s="1917"/>
      <c r="B35" s="1230">
        <v>23</v>
      </c>
      <c r="C35" s="1239" t="s">
        <v>4265</v>
      </c>
      <c r="D35" s="1281">
        <f>IF(负债分析!B53=0,0,现金分析!B64/负债分析!B53)</f>
        <v>-1607.55268</v>
      </c>
      <c r="E35" s="1281"/>
      <c r="F35" s="1281">
        <f>IF(负债分析!D53=0,0,现金分析!C66/负债分析!D53)</f>
        <v>127.30336799999988</v>
      </c>
      <c r="G35" s="1281">
        <f t="shared" si="0"/>
        <v>1734.8560479999999</v>
      </c>
      <c r="H35" s="1281">
        <f t="shared" si="1"/>
        <v>127.30336799999988</v>
      </c>
      <c r="I35" s="1281" t="e">
        <f>IF(负债分析!J53=0,0,现金分析!G64/现金分析!J44)</f>
        <v>#DIV/0!</v>
      </c>
      <c r="J35" s="1281" t="e">
        <f t="shared" si="2"/>
        <v>#DIV/0!</v>
      </c>
      <c r="K35" s="1281" t="e">
        <f t="shared" si="3"/>
        <v>#DIV/0!</v>
      </c>
      <c r="L35" s="1238" t="s">
        <v>4266</v>
      </c>
    </row>
    <row r="36" spans="1:12">
      <c r="A36" s="1917"/>
      <c r="B36" s="1230"/>
      <c r="C36" s="1236"/>
      <c r="D36" s="1282"/>
      <c r="E36" s="1282"/>
      <c r="F36" s="1282"/>
      <c r="G36" s="1282"/>
      <c r="H36" s="1282"/>
      <c r="I36" s="1282"/>
      <c r="J36" s="1282"/>
      <c r="K36" s="1283"/>
      <c r="L36" s="1232"/>
    </row>
    <row r="37" spans="1:12">
      <c r="A37" s="1907" t="s">
        <v>4267</v>
      </c>
      <c r="B37" s="1240"/>
      <c r="C37" s="1241" t="s">
        <v>4268</v>
      </c>
      <c r="D37" s="1281">
        <f>D51/利润表分析!B$12</f>
        <v>0</v>
      </c>
      <c r="E37" s="1281"/>
      <c r="F37" s="1281" t="e">
        <f>F51/利润表分析!D$12</f>
        <v>#DIV/0!</v>
      </c>
      <c r="G37" s="1281" t="e">
        <f>F37-D37</f>
        <v>#DIV/0!</v>
      </c>
      <c r="H37" s="1281" t="e">
        <f>F37-E37</f>
        <v>#DIV/0!</v>
      </c>
      <c r="I37" s="1281">
        <f>I51/利润表分析!J12</f>
        <v>0</v>
      </c>
      <c r="J37" s="1281">
        <f>I37-D37</f>
        <v>0</v>
      </c>
      <c r="K37" s="1281">
        <f>I37-E37</f>
        <v>0</v>
      </c>
      <c r="L37" s="1242" t="s">
        <v>4269</v>
      </c>
    </row>
    <row r="38" spans="1:12">
      <c r="A38" s="1908"/>
      <c r="B38" s="1240"/>
      <c r="C38" s="1241" t="s">
        <v>4270</v>
      </c>
      <c r="D38" s="1281">
        <f>D52/利润表分析!B$12</f>
        <v>0</v>
      </c>
      <c r="E38" s="1281"/>
      <c r="F38" s="1281" t="e">
        <f>F52/利润表分析!D$12</f>
        <v>#DIV/0!</v>
      </c>
      <c r="G38" s="1281" t="e">
        <f>F38-D38</f>
        <v>#DIV/0!</v>
      </c>
      <c r="H38" s="1281" t="e">
        <f>F38-E38</f>
        <v>#DIV/0!</v>
      </c>
      <c r="I38" s="1281">
        <f>I52/利润表分析!J12</f>
        <v>0</v>
      </c>
      <c r="J38" s="1281">
        <f>I38-D38</f>
        <v>0</v>
      </c>
      <c r="K38" s="1281">
        <f>I38-E38</f>
        <v>0</v>
      </c>
      <c r="L38" s="1242" t="s">
        <v>4271</v>
      </c>
    </row>
    <row r="39" spans="1:12">
      <c r="A39" s="1908"/>
      <c r="B39" s="1240"/>
      <c r="C39" s="1241" t="s">
        <v>4272</v>
      </c>
      <c r="D39" s="1281" t="e">
        <f>利润表分析!B12/财务比率分析!D55</f>
        <v>#DIV/0!</v>
      </c>
      <c r="E39" s="1281"/>
      <c r="F39" s="1281" t="e">
        <f>利润表分析!D12/财务比率分析!F55</f>
        <v>#DIV/0!</v>
      </c>
      <c r="G39" s="1281" t="e">
        <f>F39-D39</f>
        <v>#DIV/0!</v>
      </c>
      <c r="H39" s="1281" t="e">
        <f>F39-E39</f>
        <v>#DIV/0!</v>
      </c>
      <c r="I39" s="1281" t="e">
        <f>利润表分析!J12/财务比率分析!I55</f>
        <v>#DIV/0!</v>
      </c>
      <c r="J39" s="1281" t="e">
        <f>I39-D39</f>
        <v>#DIV/0!</v>
      </c>
      <c r="K39" s="1281" t="e">
        <f>I39-E39</f>
        <v>#DIV/0!</v>
      </c>
      <c r="L39" s="1242" t="s">
        <v>4273</v>
      </c>
    </row>
    <row r="40" spans="1:12">
      <c r="A40" s="1908"/>
      <c r="B40" s="1240"/>
      <c r="C40" s="1241" t="s">
        <v>4274</v>
      </c>
      <c r="D40" s="1281" t="e">
        <f>利润表分析!B19/财务比率分析!D56</f>
        <v>#DIV/0!</v>
      </c>
      <c r="E40" s="1281"/>
      <c r="F40" s="1281" t="e">
        <f>利润表分析!D19/财务比率分析!F56</f>
        <v>#DIV/0!</v>
      </c>
      <c r="G40" s="1281" t="e">
        <f>F40-D40</f>
        <v>#DIV/0!</v>
      </c>
      <c r="H40" s="1281" t="e">
        <f>F40-E40</f>
        <v>#DIV/0!</v>
      </c>
      <c r="I40" s="1281" t="e">
        <f>利润表分析!J19/财务比率分析!I56</f>
        <v>#DIV/0!</v>
      </c>
      <c r="J40" s="1281" t="e">
        <f>I40-D40</f>
        <v>#DIV/0!</v>
      </c>
      <c r="K40" s="1281" t="e">
        <f>I40-E40</f>
        <v>#DIV/0!</v>
      </c>
      <c r="L40" s="1242" t="s">
        <v>4275</v>
      </c>
    </row>
    <row r="41" spans="1:12">
      <c r="A41" s="1909"/>
      <c r="B41" s="1240"/>
      <c r="C41" s="1241" t="s">
        <v>4276</v>
      </c>
      <c r="D41" s="1281" t="e">
        <f>D54/D55</f>
        <v>#DIV/0!</v>
      </c>
      <c r="E41" s="1281"/>
      <c r="F41" s="1281" t="e">
        <f>F54/F55</f>
        <v>#DIV/0!</v>
      </c>
      <c r="G41" s="1281" t="e">
        <f>F41-D41</f>
        <v>#DIV/0!</v>
      </c>
      <c r="H41" s="1281" t="e">
        <f>F41-E41</f>
        <v>#DIV/0!</v>
      </c>
      <c r="I41" s="1281" t="e">
        <f>I54/I55</f>
        <v>#DIV/0!</v>
      </c>
      <c r="J41" s="1281" t="e">
        <f>I41-D41</f>
        <v>#DIV/0!</v>
      </c>
      <c r="K41" s="1281" t="e">
        <f>I41-E41</f>
        <v>#DIV/0!</v>
      </c>
      <c r="L41" s="1242" t="s">
        <v>4277</v>
      </c>
    </row>
    <row r="42" spans="1:12">
      <c r="A42" s="1243"/>
      <c r="B42" s="1240"/>
      <c r="C42" s="1241"/>
      <c r="D42" s="1244"/>
      <c r="E42" s="1244"/>
      <c r="F42" s="1244"/>
      <c r="G42" s="1244"/>
      <c r="H42" s="1244"/>
      <c r="I42" s="1244"/>
      <c r="J42" s="1244"/>
      <c r="K42" s="1245"/>
      <c r="L42" s="1242"/>
    </row>
    <row r="43" spans="1:12">
      <c r="A43" s="1243"/>
      <c r="B43" s="1240"/>
      <c r="C43" s="1241"/>
      <c r="D43" s="1244"/>
      <c r="E43" s="1244"/>
      <c r="F43" s="1244"/>
      <c r="G43" s="1244"/>
      <c r="H43" s="1244"/>
      <c r="I43" s="1244"/>
      <c r="J43" s="1244"/>
      <c r="K43" s="1245"/>
      <c r="L43" s="1242"/>
    </row>
    <row r="44" spans="1:12">
      <c r="A44" s="1246"/>
      <c r="B44" s="1247"/>
      <c r="C44" s="1247"/>
      <c r="D44" s="1247"/>
      <c r="E44" s="1247"/>
      <c r="F44" s="1247"/>
      <c r="G44" s="1247"/>
      <c r="H44" s="1247"/>
      <c r="I44" s="1247"/>
      <c r="J44" s="1247"/>
      <c r="K44" s="1247"/>
      <c r="L44" s="1248"/>
    </row>
    <row r="45" spans="1:12" s="1249" customFormat="1"/>
    <row r="46" spans="1:12" s="1249" customFormat="1">
      <c r="A46" s="1249" t="s">
        <v>4278</v>
      </c>
    </row>
    <row r="47" spans="1:12" s="1225" customFormat="1">
      <c r="A47" s="1250"/>
      <c r="B47" s="1250"/>
      <c r="C47" s="1906" t="s">
        <v>3481</v>
      </c>
      <c r="D47" s="1251" t="s">
        <v>3523</v>
      </c>
      <c r="E47" s="1251"/>
      <c r="F47" s="1906" t="s">
        <v>4200</v>
      </c>
      <c r="G47" s="1906"/>
      <c r="H47" s="1251"/>
      <c r="I47" s="1906" t="s">
        <v>4201</v>
      </c>
      <c r="J47" s="1906"/>
      <c r="K47" s="1252"/>
    </row>
    <row r="48" spans="1:12" s="1225" customFormat="1">
      <c r="A48" s="1250"/>
      <c r="B48" s="1250"/>
      <c r="C48" s="1906"/>
      <c r="D48" s="1251" t="s">
        <v>4202</v>
      </c>
      <c r="E48" s="1251"/>
      <c r="F48" s="1251" t="s">
        <v>4202</v>
      </c>
      <c r="G48" s="1251" t="s">
        <v>4203</v>
      </c>
      <c r="H48" s="1251"/>
      <c r="I48" s="1251" t="s">
        <v>4202</v>
      </c>
      <c r="J48" s="1251" t="s">
        <v>4203</v>
      </c>
      <c r="K48" s="1252"/>
    </row>
    <row r="49" spans="1:10" ht="12.75" customHeight="1">
      <c r="A49" s="1918" t="s">
        <v>4279</v>
      </c>
      <c r="B49" s="1253"/>
      <c r="C49" s="1253" t="s">
        <v>4280</v>
      </c>
      <c r="D49" s="1254"/>
      <c r="E49" s="1254"/>
      <c r="F49" s="1254"/>
      <c r="G49" s="1254"/>
      <c r="H49" s="1254"/>
      <c r="I49" s="1254"/>
      <c r="J49" s="1254"/>
    </row>
    <row r="50" spans="1:10">
      <c r="A50" s="1918"/>
      <c r="B50" s="1253"/>
      <c r="C50" s="1253" t="s">
        <v>4281</v>
      </c>
      <c r="D50" s="1254"/>
      <c r="E50" s="1254"/>
      <c r="F50" s="1254"/>
      <c r="G50" s="1254"/>
      <c r="H50" s="1254"/>
      <c r="I50" s="1254"/>
      <c r="J50" s="1254"/>
    </row>
    <row r="51" spans="1:10">
      <c r="A51" s="1918"/>
      <c r="B51" s="1253"/>
      <c r="C51" s="1253" t="s">
        <v>4282</v>
      </c>
      <c r="D51" s="1254"/>
      <c r="E51" s="1254"/>
      <c r="F51" s="1254"/>
      <c r="G51" s="1254"/>
      <c r="H51" s="1254"/>
      <c r="I51" s="1254"/>
      <c r="J51" s="1254"/>
    </row>
    <row r="52" spans="1:10">
      <c r="A52" s="1918"/>
      <c r="B52" s="1253"/>
      <c r="C52" s="1253" t="s">
        <v>4283</v>
      </c>
      <c r="D52" s="1254"/>
      <c r="E52" s="1254"/>
      <c r="F52" s="1254"/>
      <c r="G52" s="1254"/>
      <c r="H52" s="1254"/>
      <c r="I52" s="1254"/>
      <c r="J52" s="1254"/>
    </row>
    <row r="53" spans="1:10">
      <c r="A53" s="1918"/>
      <c r="B53" s="1253"/>
      <c r="C53" s="1253" t="s">
        <v>4284</v>
      </c>
      <c r="D53" s="1254"/>
      <c r="E53" s="1254"/>
      <c r="F53" s="1254"/>
      <c r="G53" s="1254"/>
      <c r="H53" s="1254"/>
      <c r="I53" s="1254"/>
      <c r="J53" s="1254"/>
    </row>
    <row r="54" spans="1:10">
      <c r="A54" s="1918"/>
      <c r="B54" s="1253"/>
      <c r="C54" s="1253" t="s">
        <v>4285</v>
      </c>
      <c r="D54" s="1254"/>
      <c r="E54" s="1254"/>
      <c r="F54" s="1254"/>
      <c r="G54" s="1254"/>
      <c r="H54" s="1254"/>
      <c r="I54" s="1254"/>
      <c r="J54" s="1254"/>
    </row>
    <row r="55" spans="1:10">
      <c r="A55" s="1918"/>
      <c r="B55" s="1253"/>
      <c r="C55" s="1253" t="s">
        <v>4286</v>
      </c>
      <c r="D55" s="1254"/>
      <c r="E55" s="1254"/>
      <c r="F55" s="1254"/>
      <c r="G55" s="1254"/>
      <c r="H55" s="1254"/>
      <c r="I55" s="1254"/>
      <c r="J55" s="1254"/>
    </row>
    <row r="56" spans="1:10">
      <c r="A56" s="1918"/>
      <c r="B56" s="1253"/>
      <c r="C56" s="1253" t="s">
        <v>4287</v>
      </c>
      <c r="D56" s="1254"/>
      <c r="E56" s="1254"/>
      <c r="F56" s="1254"/>
      <c r="G56" s="1254"/>
      <c r="H56" s="1254"/>
      <c r="I56" s="1254"/>
      <c r="J56" s="1254"/>
    </row>
  </sheetData>
  <sheetProtection formatCells="0" formatColumns="0" formatRows="0" autoFilter="0"/>
  <mergeCells count="16">
    <mergeCell ref="A49:A56"/>
    <mergeCell ref="C47:C48"/>
    <mergeCell ref="A31:A36"/>
    <mergeCell ref="E5:E6"/>
    <mergeCell ref="A5:A6"/>
    <mergeCell ref="A8:A9"/>
    <mergeCell ref="I47:J47"/>
    <mergeCell ref="A37:A41"/>
    <mergeCell ref="F5:H5"/>
    <mergeCell ref="I5:K5"/>
    <mergeCell ref="B5:B6"/>
    <mergeCell ref="C5:C6"/>
    <mergeCell ref="A10:A17"/>
    <mergeCell ref="A18:A23"/>
    <mergeCell ref="A24:A30"/>
    <mergeCell ref="F47:G47"/>
  </mergeCells>
  <phoneticPr fontId="5" type="noConversion"/>
  <hyperlinks>
    <hyperlink ref="F3" location="附注填写封面!B3" display="返回目录" xr:uid="{00000000-0004-0000-7100-000000000000}"/>
  </hyperlinks>
  <pageMargins left="0.74791666666666667" right="0.55069444444444449" top="0.78680555555555554" bottom="0.59027777777777779" header="0.61944444444444446" footer="0.15694444444444444"/>
  <pageSetup paperSize="9" scale="69" firstPageNumber="4294963191" fitToHeight="3" orientation="landscape" blackAndWhite="1" r:id="rId1"/>
  <headerFooter alignWithMargins="0">
    <oddHeader>&amp;R&amp;F-&amp;A-&amp;P/&amp;N</oddHeader>
    <oddFooter>&amp;C第 &amp;P 页，共 &amp;N 页</oddFooter>
  </headerFooter>
  <rowBreaks count="1" manualBreakCount="1">
    <brk id="45" max="16383" man="1"/>
  </rowBreak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114</vt:i4>
      </vt:variant>
      <vt:variant>
        <vt:lpstr>命名范围</vt:lpstr>
      </vt:variant>
      <vt:variant>
        <vt:i4>33</vt:i4>
      </vt:variant>
    </vt:vector>
  </HeadingPairs>
  <TitlesOfParts>
    <vt:vector size="147" baseType="lpstr">
      <vt:lpstr>封面</vt:lpstr>
      <vt:lpstr>使用说明</vt:lpstr>
      <vt:lpstr>附注填写封面</vt:lpstr>
      <vt:lpstr>2013年调整系统核对差异</vt:lpstr>
      <vt:lpstr>2013年调整系统核对</vt:lpstr>
      <vt:lpstr>未审资产负债表</vt:lpstr>
      <vt:lpstr>未审利润表</vt:lpstr>
      <vt:lpstr>未审现金流量表</vt:lpstr>
      <vt:lpstr>调整分录</vt:lpstr>
      <vt:lpstr>调整简表（万元）</vt:lpstr>
      <vt:lpstr>试算平衡表</vt:lpstr>
      <vt:lpstr>审定资产负债表</vt:lpstr>
      <vt:lpstr>审定利润表</vt:lpstr>
      <vt:lpstr>审定现金流量表</vt:lpstr>
      <vt:lpstr>审定所有者权益变动表</vt:lpstr>
      <vt:lpstr>审定资产减值准备情况表</vt:lpstr>
      <vt:lpstr>现金流量表项目测试表</vt:lpstr>
      <vt:lpstr>导引表</vt:lpstr>
      <vt:lpstr>货币资金</vt:lpstr>
      <vt:lpstr>以公允价值计量且其变动计入当期损益的金融资产</vt:lpstr>
      <vt:lpstr>衍生金融资产</vt:lpstr>
      <vt:lpstr>抵消的金融资产和负债</vt:lpstr>
      <vt:lpstr>应收票据</vt:lpstr>
      <vt:lpstr>应收账款</vt:lpstr>
      <vt:lpstr>预付账款</vt:lpstr>
      <vt:lpstr>应收利息</vt:lpstr>
      <vt:lpstr>应收股利</vt:lpstr>
      <vt:lpstr>其他应收款</vt:lpstr>
      <vt:lpstr>存货</vt:lpstr>
      <vt:lpstr>持有待售的非流动资产或持有待售的处置组中的资产</vt:lpstr>
      <vt:lpstr>一年内到期的非流动资产</vt:lpstr>
      <vt:lpstr>其他流动资产</vt:lpstr>
      <vt:lpstr>可供出售金融资产</vt:lpstr>
      <vt:lpstr>可供出售权益附表</vt:lpstr>
      <vt:lpstr>持有至到期投资</vt:lpstr>
      <vt:lpstr>长期应收款</vt:lpstr>
      <vt:lpstr>长期股权投资</vt:lpstr>
      <vt:lpstr>投资性房地产</vt:lpstr>
      <vt:lpstr>固定资产</vt:lpstr>
      <vt:lpstr>固定资产（上市公司）</vt:lpstr>
      <vt:lpstr>在建工程</vt:lpstr>
      <vt:lpstr>工程物资</vt:lpstr>
      <vt:lpstr>固定资产清理</vt:lpstr>
      <vt:lpstr>无形资产</vt:lpstr>
      <vt:lpstr>无形资产（上市公司）</vt:lpstr>
      <vt:lpstr>开发支出</vt:lpstr>
      <vt:lpstr>商誉</vt:lpstr>
      <vt:lpstr>长期待摊费用</vt:lpstr>
      <vt:lpstr>递延所得税资产与递延所得税负债</vt:lpstr>
      <vt:lpstr>其他非流动资产</vt:lpstr>
      <vt:lpstr>所有权和使用权受限制的资产</vt:lpstr>
      <vt:lpstr>短期借款</vt:lpstr>
      <vt:lpstr>以公允价值计量且其变动计入当期损益的金融负债</vt:lpstr>
      <vt:lpstr>应付票据</vt:lpstr>
      <vt:lpstr>应付账款</vt:lpstr>
      <vt:lpstr>预收款项</vt:lpstr>
      <vt:lpstr>应付职工薪酬</vt:lpstr>
      <vt:lpstr>应交税费</vt:lpstr>
      <vt:lpstr>应付利息</vt:lpstr>
      <vt:lpstr>应付股利</vt:lpstr>
      <vt:lpstr>其他应付款</vt:lpstr>
      <vt:lpstr>持有待售的处置组中的负债</vt:lpstr>
      <vt:lpstr>一年内到期的非流动负债</vt:lpstr>
      <vt:lpstr>其他流动负债</vt:lpstr>
      <vt:lpstr>长期借款</vt:lpstr>
      <vt:lpstr>应付债券</vt:lpstr>
      <vt:lpstr>优先股、永续债等金融工具</vt:lpstr>
      <vt:lpstr>长期应付款</vt:lpstr>
      <vt:lpstr>长期应付职工薪酬</vt:lpstr>
      <vt:lpstr>专项应付款</vt:lpstr>
      <vt:lpstr>预计负债</vt:lpstr>
      <vt:lpstr>递延收益</vt:lpstr>
      <vt:lpstr>政府补助</vt:lpstr>
      <vt:lpstr>其他非流动负债</vt:lpstr>
      <vt:lpstr>实收资本</vt:lpstr>
      <vt:lpstr>资本公积</vt:lpstr>
      <vt:lpstr>专项储备</vt:lpstr>
      <vt:lpstr>盈余公积</vt:lpstr>
      <vt:lpstr>未分配利润</vt:lpstr>
      <vt:lpstr>营业收入营业成本</vt:lpstr>
      <vt:lpstr>主营业务税金及附加</vt:lpstr>
      <vt:lpstr>销售费用</vt:lpstr>
      <vt:lpstr>管理费用</vt:lpstr>
      <vt:lpstr>财务费用</vt:lpstr>
      <vt:lpstr>资产减值损失</vt:lpstr>
      <vt:lpstr>公允价值变动收益</vt:lpstr>
      <vt:lpstr>投资收益</vt:lpstr>
      <vt:lpstr>资产处置收益</vt:lpstr>
      <vt:lpstr>其他收益</vt:lpstr>
      <vt:lpstr>营业外收入</vt:lpstr>
      <vt:lpstr>营业外支出</vt:lpstr>
      <vt:lpstr>所得税费用</vt:lpstr>
      <vt:lpstr>其他综合收益</vt:lpstr>
      <vt:lpstr>非货币性资产交换</vt:lpstr>
      <vt:lpstr>债务重组</vt:lpstr>
      <vt:lpstr>借款费用</vt:lpstr>
      <vt:lpstr>外币折算</vt:lpstr>
      <vt:lpstr>租赁</vt:lpstr>
      <vt:lpstr>终止经营</vt:lpstr>
      <vt:lpstr>现金流量表项目注释</vt:lpstr>
      <vt:lpstr>现金流量表补充资料</vt:lpstr>
      <vt:lpstr>外币货币性项目</vt:lpstr>
      <vt:lpstr>关联方关系</vt:lpstr>
      <vt:lpstr>关联方交易</vt:lpstr>
      <vt:lpstr>关联方应收应付款项</vt:lpstr>
      <vt:lpstr>往来科目补充资料</vt:lpstr>
      <vt:lpstr>财务专项说明</vt:lpstr>
      <vt:lpstr>未调整不符事项之分录</vt:lpstr>
      <vt:lpstr>未调整不符事项之报表影响</vt:lpstr>
      <vt:lpstr>资产分析</vt:lpstr>
      <vt:lpstr>负债分析</vt:lpstr>
      <vt:lpstr>利润表分析</vt:lpstr>
      <vt:lpstr>现金分析</vt:lpstr>
      <vt:lpstr>财务比率分析</vt:lpstr>
      <vt:lpstr>存货!Print_Area</vt:lpstr>
      <vt:lpstr>其他应收款!Print_Area</vt:lpstr>
      <vt:lpstr>审定利润表!Print_Area</vt:lpstr>
      <vt:lpstr>审定所有者权益变动表!Print_Area</vt:lpstr>
      <vt:lpstr>审定现金流量表!Print_Area</vt:lpstr>
      <vt:lpstr>审定资产负债表!Print_Area</vt:lpstr>
      <vt:lpstr>审定资产减值准备情况表!Print_Area</vt:lpstr>
      <vt:lpstr>试算平衡表!Print_Area</vt:lpstr>
      <vt:lpstr>未审利润表!Print_Area</vt:lpstr>
      <vt:lpstr>未审现金流量表!Print_Area</vt:lpstr>
      <vt:lpstr>未审资产负债表!Print_Area</vt:lpstr>
      <vt:lpstr>未调整不符事项之报表影响!Print_Area</vt:lpstr>
      <vt:lpstr>现金流量表项目测试表!Print_Area</vt:lpstr>
      <vt:lpstr>应收账款!Print_Area</vt:lpstr>
      <vt:lpstr>预付账款!Print_Area</vt:lpstr>
      <vt:lpstr>存货!Print_Titles</vt:lpstr>
      <vt:lpstr>货币资金!Print_Titles</vt:lpstr>
      <vt:lpstr>其他应收款!Print_Titles</vt:lpstr>
      <vt:lpstr>现金流量表项目测试表!Print_Titles</vt:lpstr>
      <vt:lpstr>应付职工薪酬!Print_Titles</vt:lpstr>
      <vt:lpstr>应交税费!Print_Titles</vt:lpstr>
      <vt:lpstr>未调整不符事项之报表影响!非流动负债</vt:lpstr>
      <vt:lpstr>非流动负债</vt:lpstr>
      <vt:lpstr>未调整不符事项之报表影响!非流动资产</vt:lpstr>
      <vt:lpstr>非流动资产</vt:lpstr>
      <vt:lpstr>未调整不符事项之报表影响!利润表项目</vt:lpstr>
      <vt:lpstr>利润表项目</vt:lpstr>
      <vt:lpstr>未调整不符事项之报表影响!流动负债</vt:lpstr>
      <vt:lpstr>流动负债</vt:lpstr>
      <vt:lpstr>未调整不符事项之报表影响!流动资产</vt:lpstr>
      <vt:lpstr>流动资产</vt:lpstr>
      <vt:lpstr>未调整不符事项之报表影响!所有者权益</vt:lpstr>
      <vt:lpstr>所有者权益</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Administrator</cp:lastModifiedBy>
  <cp:lastPrinted>2015-12-27T10:42:26Z</cp:lastPrinted>
  <dcterms:created xsi:type="dcterms:W3CDTF">2012-01-02T04:56:26Z</dcterms:created>
  <dcterms:modified xsi:type="dcterms:W3CDTF">2021-11-08T15:21:29Z</dcterms:modified>
</cp:coreProperties>
</file>