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\Dropbox\Programming\Project Watchlist\"/>
    </mc:Choice>
  </mc:AlternateContent>
  <bookViews>
    <workbookView xWindow="0" yWindow="465" windowWidth="28800" windowHeight="17460"/>
  </bookViews>
  <sheets>
    <sheet name="Sheet1" sheetId="1" r:id="rId1"/>
    <sheet name="Port" sheetId="2" r:id="rId2"/>
  </sheets>
  <definedNames>
    <definedName name="_xlnm._FilterDatabase" localSheetId="0" hidden="1">Sheet1!$B$1:$B$501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 l="1"/>
  <c r="E105" i="1"/>
  <c r="D168" i="1" l="1"/>
  <c r="E168" i="1"/>
  <c r="D176" i="1" l="1"/>
  <c r="E176" i="1"/>
  <c r="F176" i="1"/>
  <c r="E175" i="1" l="1"/>
  <c r="F175" i="1"/>
  <c r="D175" i="1" s="1"/>
  <c r="N175" i="1" l="1"/>
  <c r="D2" i="1" l="1"/>
  <c r="D3" i="1"/>
  <c r="D4" i="1"/>
  <c r="D5" i="1"/>
  <c r="D6" i="1"/>
  <c r="D7" i="1"/>
  <c r="D8" i="1"/>
  <c r="D9" i="1"/>
  <c r="D10" i="1"/>
  <c r="D11" i="1"/>
  <c r="D14" i="1"/>
  <c r="D15" i="1"/>
  <c r="D18" i="1"/>
  <c r="D21" i="1"/>
  <c r="D28" i="1"/>
  <c r="D29" i="1"/>
  <c r="D40" i="1"/>
  <c r="D42" i="1"/>
  <c r="D45" i="1"/>
  <c r="D46" i="1"/>
  <c r="D52" i="1"/>
  <c r="D56" i="1"/>
  <c r="D61" i="1"/>
  <c r="D65" i="1"/>
  <c r="D69" i="1"/>
  <c r="D70" i="1"/>
  <c r="D71" i="1"/>
  <c r="D76" i="1"/>
  <c r="D77" i="1"/>
  <c r="D78" i="1"/>
  <c r="D87" i="1"/>
  <c r="D92" i="1"/>
  <c r="D93" i="1"/>
  <c r="D99" i="1"/>
  <c r="D104" i="1"/>
  <c r="D110" i="1"/>
  <c r="D114" i="1"/>
  <c r="D116" i="1"/>
  <c r="D117" i="1"/>
  <c r="D122" i="1"/>
  <c r="D131" i="1"/>
  <c r="D144" i="1"/>
  <c r="D147" i="1"/>
  <c r="D148" i="1"/>
  <c r="D158" i="1"/>
  <c r="D160" i="1"/>
  <c r="D161" i="1"/>
  <c r="D164" i="1"/>
  <c r="D167" i="1"/>
  <c r="D171" i="1"/>
  <c r="E114" i="1" l="1"/>
  <c r="F171" i="1"/>
  <c r="E171" i="1"/>
  <c r="E167" i="1"/>
  <c r="E164" i="1"/>
  <c r="E161" i="1"/>
  <c r="E160" i="1"/>
  <c r="E158" i="1"/>
  <c r="E148" i="1"/>
  <c r="E147" i="1"/>
  <c r="E144" i="1"/>
  <c r="E131" i="1"/>
  <c r="E122" i="1"/>
  <c r="E117" i="1"/>
  <c r="E116" i="1"/>
  <c r="F110" i="1"/>
  <c r="E110" i="1"/>
  <c r="F104" i="1"/>
  <c r="E104" i="1"/>
  <c r="E99" i="1"/>
  <c r="E93" i="1"/>
  <c r="F93" i="1"/>
  <c r="E92" i="1"/>
  <c r="E87" i="1"/>
  <c r="E78" i="1"/>
  <c r="E77" i="1"/>
  <c r="E76" i="1"/>
  <c r="E71" i="1"/>
  <c r="E70" i="1"/>
  <c r="E69" i="1"/>
  <c r="F65" i="1"/>
  <c r="E65" i="1"/>
  <c r="E61" i="1"/>
  <c r="F56" i="1"/>
  <c r="E56" i="1"/>
  <c r="E52" i="1"/>
  <c r="F46" i="1"/>
  <c r="E46" i="1"/>
  <c r="E45" i="1"/>
  <c r="E42" i="1"/>
  <c r="E40" i="1"/>
  <c r="F29" i="1"/>
  <c r="E29" i="1"/>
  <c r="E28" i="1"/>
  <c r="E21" i="1"/>
  <c r="F21" i="1"/>
  <c r="E18" i="1"/>
  <c r="E15" i="1"/>
  <c r="F15" i="1"/>
  <c r="E14" i="1"/>
  <c r="E11" i="1"/>
  <c r="F10" i="1"/>
  <c r="E10" i="1"/>
  <c r="E9" i="1"/>
  <c r="E8" i="1"/>
  <c r="F8" i="1"/>
  <c r="E7" i="1"/>
  <c r="E6" i="1"/>
  <c r="F5" i="1"/>
  <c r="E5" i="1"/>
  <c r="E3" i="1"/>
  <c r="E2" i="1"/>
</calcChain>
</file>

<file path=xl/sharedStrings.xml><?xml version="1.0" encoding="utf-8"?>
<sst xmlns="http://schemas.openxmlformats.org/spreadsheetml/2006/main" count="455" uniqueCount="413">
  <si>
    <t>Name</t>
  </si>
  <si>
    <t>Symbol</t>
  </si>
  <si>
    <t>FSLR</t>
  </si>
  <si>
    <t>Visteon Corp</t>
  </si>
  <si>
    <t>VC</t>
  </si>
  <si>
    <t>DAL</t>
  </si>
  <si>
    <t>Spirit Airlines Incorporated</t>
  </si>
  <si>
    <t>SAVE</t>
  </si>
  <si>
    <t>Skechers USA Inc</t>
  </si>
  <si>
    <t>SKX</t>
  </si>
  <si>
    <t>Wells Fargo &amp; Co</t>
  </si>
  <si>
    <t>WFC</t>
  </si>
  <si>
    <t>IBM</t>
  </si>
  <si>
    <t>Gaming and Leisure Properties Inc</t>
  </si>
  <si>
    <t>GLPI</t>
  </si>
  <si>
    <t>FCB Financial Holdings Inc</t>
  </si>
  <si>
    <t>FCB</t>
  </si>
  <si>
    <t>Innoviva Inc</t>
  </si>
  <si>
    <t>INVA</t>
  </si>
  <si>
    <t>Kraft Heinz Co</t>
  </si>
  <si>
    <t>KHC</t>
  </si>
  <si>
    <t>Paypal Holdings Inc</t>
  </si>
  <si>
    <t>PYPL</t>
  </si>
  <si>
    <t>Citigroup Inc</t>
  </si>
  <si>
    <t>C</t>
  </si>
  <si>
    <t>Intuitive Surgical, Inc.</t>
  </si>
  <si>
    <t>ISRG</t>
  </si>
  <si>
    <t>Cintas Corporation</t>
  </si>
  <si>
    <t>CTAS</t>
  </si>
  <si>
    <t>AerCap Holdings N.V.</t>
  </si>
  <si>
    <t>AER</t>
  </si>
  <si>
    <t>YUM</t>
  </si>
  <si>
    <t>General Electric Company</t>
  </si>
  <si>
    <t>GE</t>
  </si>
  <si>
    <t>Intel Corporation</t>
  </si>
  <si>
    <t>INTC</t>
  </si>
  <si>
    <t>Msci Inc</t>
  </si>
  <si>
    <t>MSCI</t>
  </si>
  <si>
    <t>Lendingtree Inc</t>
  </si>
  <si>
    <t>TREE</t>
  </si>
  <si>
    <t>Paychex, Inc.</t>
  </si>
  <si>
    <t>PAYX</t>
  </si>
  <si>
    <t>MCO</t>
  </si>
  <si>
    <t>Atlassian Corporation PLC</t>
  </si>
  <si>
    <t>TEAM</t>
  </si>
  <si>
    <t>Hilton Worldwide Holdings Inc</t>
  </si>
  <si>
    <t>HLT</t>
  </si>
  <si>
    <t>NVIDIA Corporation</t>
  </si>
  <si>
    <t>NVDA</t>
  </si>
  <si>
    <t>TIF</t>
  </si>
  <si>
    <t>SHAK</t>
  </si>
  <si>
    <t>Trupanion</t>
  </si>
  <si>
    <t>TRUP</t>
  </si>
  <si>
    <t>HPE</t>
  </si>
  <si>
    <t>Applied Materials</t>
  </si>
  <si>
    <t>AMAT</t>
  </si>
  <si>
    <t>Turning Point Brands</t>
  </si>
  <si>
    <t>TPB</t>
  </si>
  <si>
    <t>FactSet Research</t>
  </si>
  <si>
    <t>FDS</t>
  </si>
  <si>
    <t>Versum</t>
  </si>
  <si>
    <t>VSM</t>
  </si>
  <si>
    <t>First Data</t>
  </si>
  <si>
    <t>FDC</t>
  </si>
  <si>
    <t>Tableau</t>
  </si>
  <si>
    <t>DATA</t>
  </si>
  <si>
    <t>ESTE</t>
  </si>
  <si>
    <t>Arconic</t>
  </si>
  <si>
    <t>ARNC</t>
  </si>
  <si>
    <t>URI</t>
  </si>
  <si>
    <t>Line</t>
  </si>
  <si>
    <t>LN</t>
  </si>
  <si>
    <t>Lear</t>
  </si>
  <si>
    <t>LEA</t>
  </si>
  <si>
    <t>Macy's</t>
  </si>
  <si>
    <t>M</t>
  </si>
  <si>
    <t>TSM</t>
  </si>
  <si>
    <t>HGV</t>
  </si>
  <si>
    <t>Hilton Grand Vacation</t>
  </si>
  <si>
    <t>NKE</t>
  </si>
  <si>
    <t>Nike</t>
  </si>
  <si>
    <t>PSX</t>
  </si>
  <si>
    <t>Grubhub</t>
  </si>
  <si>
    <t>GRUB</t>
  </si>
  <si>
    <t>2017 Adj EBITDA-Stock Comp: 160m.net cash 320, 12X 2017 EBITDA</t>
  </si>
  <si>
    <t>QSR</t>
  </si>
  <si>
    <t>Restaurant Brands</t>
  </si>
  <si>
    <t>PANW</t>
  </si>
  <si>
    <t>Palo Alto Network</t>
  </si>
  <si>
    <t>Liberty Braves</t>
  </si>
  <si>
    <t>SNAP</t>
  </si>
  <si>
    <t>Nexstar</t>
  </si>
  <si>
    <t>NXST</t>
  </si>
  <si>
    <t>Middleby</t>
  </si>
  <si>
    <t>MIDD</t>
  </si>
  <si>
    <t>12 X Adj. EBITDA</t>
  </si>
  <si>
    <t>Skyworks</t>
  </si>
  <si>
    <t>SWKS</t>
  </si>
  <si>
    <t>ADS</t>
  </si>
  <si>
    <t>Volvoline</t>
  </si>
  <si>
    <t>VVV</t>
  </si>
  <si>
    <t>Gartner</t>
  </si>
  <si>
    <t>IT</t>
  </si>
  <si>
    <t>ANET</t>
  </si>
  <si>
    <t>Trivago</t>
  </si>
  <si>
    <t>TRVG</t>
  </si>
  <si>
    <t>1100 M 2017 Rev</t>
  </si>
  <si>
    <t>CSX</t>
  </si>
  <si>
    <t>Seagate</t>
  </si>
  <si>
    <t>BID</t>
  </si>
  <si>
    <t>Yelp</t>
  </si>
  <si>
    <t>YELP</t>
  </si>
  <si>
    <t>Lowe</t>
  </si>
  <si>
    <t>LOW</t>
  </si>
  <si>
    <t>DXC</t>
  </si>
  <si>
    <t>GOOG</t>
  </si>
  <si>
    <t>Autoliv</t>
  </si>
  <si>
    <t>ALV</t>
  </si>
  <si>
    <t>Honeywell</t>
  </si>
  <si>
    <t>HON</t>
  </si>
  <si>
    <t>16x 2017 P/E</t>
  </si>
  <si>
    <t>Starbucks</t>
  </si>
  <si>
    <t>SBUX</t>
  </si>
  <si>
    <t>ULTA</t>
  </si>
  <si>
    <t>DSW</t>
  </si>
  <si>
    <t>10 times 2017 P/E</t>
  </si>
  <si>
    <t>ORCL</t>
  </si>
  <si>
    <t>Oracle</t>
  </si>
  <si>
    <t>14 times 2018 P/E</t>
  </si>
  <si>
    <t>Delphi</t>
  </si>
  <si>
    <t>Shake Shack</t>
  </si>
  <si>
    <t>FB</t>
  </si>
  <si>
    <t>YNDX</t>
  </si>
  <si>
    <t>MTCH</t>
  </si>
  <si>
    <t>Z</t>
  </si>
  <si>
    <t>SOHU</t>
  </si>
  <si>
    <t>JD</t>
  </si>
  <si>
    <t>YY</t>
  </si>
  <si>
    <t>ADBE</t>
  </si>
  <si>
    <t>INTU</t>
  </si>
  <si>
    <t>MANH</t>
  </si>
  <si>
    <t>SAP</t>
  </si>
  <si>
    <t>SHOP</t>
  </si>
  <si>
    <t>WDAY</t>
  </si>
  <si>
    <t>STM</t>
  </si>
  <si>
    <t>TXN</t>
  </si>
  <si>
    <t>NOW</t>
  </si>
  <si>
    <t>T</t>
  </si>
  <si>
    <t>VZ</t>
  </si>
  <si>
    <t>NTES</t>
  </si>
  <si>
    <t>ANGI</t>
  </si>
  <si>
    <t>MOMO</t>
  </si>
  <si>
    <t>ULTI</t>
  </si>
  <si>
    <t>ATVI</t>
  </si>
  <si>
    <t>MSFT</t>
  </si>
  <si>
    <t>AAPL</t>
  </si>
  <si>
    <t>GPN</t>
  </si>
  <si>
    <t>Moody's</t>
  </si>
  <si>
    <t>SPGI</t>
  </si>
  <si>
    <t>MCD</t>
  </si>
  <si>
    <t>NFLX</t>
  </si>
  <si>
    <t>WBA</t>
  </si>
  <si>
    <t>PZZA</t>
  </si>
  <si>
    <t>CY</t>
  </si>
  <si>
    <t>ANSS</t>
  </si>
  <si>
    <t>ADSK</t>
  </si>
  <si>
    <t>CRM</t>
  </si>
  <si>
    <t>SFIX</t>
  </si>
  <si>
    <t>EW</t>
  </si>
  <si>
    <t>MA</t>
  </si>
  <si>
    <t>ICE</t>
  </si>
  <si>
    <t>V</t>
  </si>
  <si>
    <t>RHT</t>
  </si>
  <si>
    <t>Cypress</t>
  </si>
  <si>
    <t>250 cash flow 2018 estimate(Need to verify)</t>
  </si>
  <si>
    <t>Texas Instrument</t>
  </si>
  <si>
    <t>4.5B 2017 cash flow,5B next year</t>
  </si>
  <si>
    <t>Upside</t>
  </si>
  <si>
    <t>NTGR</t>
  </si>
  <si>
    <t>Netgear</t>
  </si>
  <si>
    <t>Current Price</t>
  </si>
  <si>
    <t>CAVM</t>
  </si>
  <si>
    <t>Cavium</t>
  </si>
  <si>
    <t>Global Payments</t>
  </si>
  <si>
    <t xml:space="preserve">Taiwan Semi </t>
  </si>
  <si>
    <t>Workday</t>
  </si>
  <si>
    <t>Manhattan Associates</t>
  </si>
  <si>
    <t>JD.com</t>
  </si>
  <si>
    <t>Visa</t>
  </si>
  <si>
    <t>Alibaba</t>
  </si>
  <si>
    <t>BABA</t>
  </si>
  <si>
    <t>McDonald's</t>
  </si>
  <si>
    <t>Intuit</t>
  </si>
  <si>
    <t>Redhat Inc</t>
  </si>
  <si>
    <t>S&amp;P Global</t>
  </si>
  <si>
    <t>STMicro</t>
  </si>
  <si>
    <t>Autodesk</t>
  </si>
  <si>
    <t>Ansys</t>
  </si>
  <si>
    <t>ServiceNow</t>
  </si>
  <si>
    <t>Shopify</t>
  </si>
  <si>
    <t>Ultimate Software</t>
  </si>
  <si>
    <t>Netflix</t>
  </si>
  <si>
    <t>Intercontinental Exchange</t>
  </si>
  <si>
    <t>Mastercard</t>
  </si>
  <si>
    <t>Align Technology</t>
  </si>
  <si>
    <t>ALGN</t>
  </si>
  <si>
    <t>Edward Tech</t>
  </si>
  <si>
    <t>Priceline</t>
  </si>
  <si>
    <t>Arista network</t>
  </si>
  <si>
    <t>Microsoft</t>
  </si>
  <si>
    <t>Zillow</t>
  </si>
  <si>
    <t>Momo</t>
  </si>
  <si>
    <t>Activision Blizzard</t>
  </si>
  <si>
    <t>Salesforce</t>
  </si>
  <si>
    <t>Amazon</t>
  </si>
  <si>
    <t>AMZN</t>
  </si>
  <si>
    <t xml:space="preserve">Adobe </t>
  </si>
  <si>
    <t>Apple</t>
  </si>
  <si>
    <t>Verizon</t>
  </si>
  <si>
    <t>Walgreen</t>
  </si>
  <si>
    <t>Wendy's</t>
  </si>
  <si>
    <t>WEN</t>
  </si>
  <si>
    <t>Sterling Bancorp</t>
  </si>
  <si>
    <t>SBT</t>
  </si>
  <si>
    <t>Stitch Fix</t>
  </si>
  <si>
    <t>Sogou</t>
  </si>
  <si>
    <t>SOGO</t>
  </si>
  <si>
    <t>Oaktree OCSL</t>
  </si>
  <si>
    <t>Oaktree OCSI</t>
  </si>
  <si>
    <t>OCSI</t>
  </si>
  <si>
    <t>OCSL</t>
  </si>
  <si>
    <t>Kohl's</t>
  </si>
  <si>
    <t>KSS</t>
  </si>
  <si>
    <t>Angie's List</t>
  </si>
  <si>
    <t>Match Group</t>
  </si>
  <si>
    <t>Dunkin Donuts</t>
  </si>
  <si>
    <t>DNKN</t>
  </si>
  <si>
    <t>LILA</t>
  </si>
  <si>
    <t>Liberty Global LATM</t>
  </si>
  <si>
    <t>Ensco Plc</t>
  </si>
  <si>
    <t>ESV</t>
  </si>
  <si>
    <t>Rowan</t>
  </si>
  <si>
    <t>RDC</t>
  </si>
  <si>
    <t>Domino's</t>
  </si>
  <si>
    <t>DPZ</t>
  </si>
  <si>
    <t>Papa John's</t>
  </si>
  <si>
    <t>Ulta Salon</t>
  </si>
  <si>
    <t>Tapestry</t>
  </si>
  <si>
    <t>Snapchat</t>
  </si>
  <si>
    <t>JPMorgan</t>
  </si>
  <si>
    <t>JPM</t>
  </si>
  <si>
    <t>DiamondBack</t>
  </si>
  <si>
    <t>FANG</t>
  </si>
  <si>
    <t>Morgan Stanley</t>
  </si>
  <si>
    <t>Goldman Sachs</t>
  </si>
  <si>
    <t>MS</t>
  </si>
  <si>
    <t>GS</t>
  </si>
  <si>
    <t>Sohu</t>
  </si>
  <si>
    <t>Alphabet</t>
  </si>
  <si>
    <t>United Rental</t>
  </si>
  <si>
    <t>Pulte Group</t>
  </si>
  <si>
    <t>PHM</t>
  </si>
  <si>
    <t>Netease</t>
  </si>
  <si>
    <t>EOG</t>
  </si>
  <si>
    <t>CUBI</t>
  </si>
  <si>
    <t>Customers' Bank</t>
  </si>
  <si>
    <t>Yandex</t>
  </si>
  <si>
    <t>Franklin Financial</t>
  </si>
  <si>
    <t>FSB</t>
  </si>
  <si>
    <t>Bank of America</t>
  </si>
  <si>
    <t>BAC</t>
  </si>
  <si>
    <t>Tiffany's</t>
  </si>
  <si>
    <t>Schlumberger</t>
  </si>
  <si>
    <t>SLB</t>
  </si>
  <si>
    <t>Philips 66</t>
  </si>
  <si>
    <t>Platform Specialty</t>
  </si>
  <si>
    <t>PAH</t>
  </si>
  <si>
    <t>Delta Airline</t>
  </si>
  <si>
    <t>STX</t>
  </si>
  <si>
    <t>First Solar</t>
  </si>
  <si>
    <t>Western Digital</t>
  </si>
  <si>
    <t>WDC</t>
  </si>
  <si>
    <t>Facebook</t>
  </si>
  <si>
    <t>BATRA</t>
  </si>
  <si>
    <t>TPR</t>
  </si>
  <si>
    <t>CCS</t>
  </si>
  <si>
    <t>COHR</t>
  </si>
  <si>
    <t>PCG</t>
  </si>
  <si>
    <t>FNSR</t>
  </si>
  <si>
    <t>LITE</t>
  </si>
  <si>
    <t>HPQ</t>
  </si>
  <si>
    <t>DWDP</t>
  </si>
  <si>
    <t>PG&amp;E</t>
  </si>
  <si>
    <t>RH</t>
  </si>
  <si>
    <t>SEDG</t>
  </si>
  <si>
    <t>DLPH</t>
  </si>
  <si>
    <t>APTV</t>
  </si>
  <si>
    <t>VIAB</t>
  </si>
  <si>
    <t>ADNT</t>
  </si>
  <si>
    <t>LQ</t>
  </si>
  <si>
    <t>DLR</t>
  </si>
  <si>
    <t>Digital Realty</t>
  </si>
  <si>
    <t>La Quinta</t>
  </si>
  <si>
    <t>Adient</t>
  </si>
  <si>
    <t>Viacom</t>
  </si>
  <si>
    <t>Aptive</t>
  </si>
  <si>
    <t>SolarEdge</t>
  </si>
  <si>
    <t>DowDupont</t>
  </si>
  <si>
    <t>Lumentum</t>
  </si>
  <si>
    <t>PAGS</t>
  </si>
  <si>
    <t>WP</t>
  </si>
  <si>
    <t>FE</t>
  </si>
  <si>
    <t>Pag Seguro</t>
  </si>
  <si>
    <t>Worldpay</t>
  </si>
  <si>
    <t>First Energy</t>
  </si>
  <si>
    <t>HCLP</t>
  </si>
  <si>
    <t>GTES</t>
  </si>
  <si>
    <t>Gates Industrial</t>
  </si>
  <si>
    <t>Hi-Crush Partners</t>
  </si>
  <si>
    <t>140-170 Free cashflow this year</t>
  </si>
  <si>
    <t>Fair Price</t>
  </si>
  <si>
    <t>Cushion</t>
  </si>
  <si>
    <t>730+ EBITDA 2018,2.6B Debt,284M shares</t>
  </si>
  <si>
    <t>Estimated $750M Sales in 2017, 1250M-1500 2018,313M shares</t>
  </si>
  <si>
    <t>E 1000 Operating Income end of this year,more synergy coming,possibly 800m+ net income next year Kate Spade brand yet to be leveraged, Staurt Weitzman growing at 10% annually,CEO view this as a platform to acquire more brands</t>
  </si>
  <si>
    <t>2018 Estimated 2.8EPS</t>
  </si>
  <si>
    <t>Dr.Pepper</t>
  </si>
  <si>
    <t>DPS</t>
  </si>
  <si>
    <t>KDP 1.05 this year estimated earning, without synergy. 103.75/share special dividend</t>
  </si>
  <si>
    <t>30%+ interest income, efficiency rate 34-37%, tax 28-30%,what's non-interest income?53m shares</t>
  </si>
  <si>
    <t>CTL</t>
  </si>
  <si>
    <t>DISCA</t>
  </si>
  <si>
    <t>Discovery Communication</t>
  </si>
  <si>
    <t>AT&amp;T</t>
  </si>
  <si>
    <t>Century Link</t>
  </si>
  <si>
    <t xml:space="preserve">Over 4 dollar FCF/share possible once synergy is implemented, estimcurrently 3.7/share </t>
  </si>
  <si>
    <t>EPS 3.5/share 2018</t>
  </si>
  <si>
    <t>No desire to pare down debt, lowering multiple based on EBITDA growth,legacy business losing customers,payout ratio too high,44B debt+pension,8.5B EBITDA,1B cost synergy offsetting rev loss</t>
  </si>
  <si>
    <t>Varian</t>
  </si>
  <si>
    <t>VAR</t>
  </si>
  <si>
    <t>Varex Imaging</t>
  </si>
  <si>
    <t>VREX</t>
  </si>
  <si>
    <t>E NTM 1.95 EPS</t>
  </si>
  <si>
    <t>NTM 4.2 EPS</t>
  </si>
  <si>
    <t>Estimated NTM $5.2/share,$16/share net cash + $10+ investment</t>
  </si>
  <si>
    <t>Elliott bought preferreds at 27.42, common at 28.22,assuming Elliott aiming for at least 50% upside, and NRG up 60% after Elliott investment</t>
  </si>
  <si>
    <t xml:space="preserve">Over 1B free cashflow, </t>
  </si>
  <si>
    <t>2018 EPS 3.8</t>
  </si>
  <si>
    <t>1.95B Wyndham purchase(8.4 per share + 240m profit distribution), 215m 2017EBITDA,estimated 230m 2018 EBITDA, select hotel reits sell over 12times EV/EBITDA, 40m interest expense going forward,120m 2018 stand alone FCF,60 maintanence capex, needs further verification</t>
  </si>
  <si>
    <t>6.5/share 2018,lowering tax rate from 20% to 12% then to 10-11% in 2019,growing earings/rev 10%+ per year,1.7B cash,185m shares</t>
  </si>
  <si>
    <t>Estimated $6.5/share 2018,55-65 dollar oil. Personally estimating $5.5 per share,profits competing away also likely</t>
  </si>
  <si>
    <t>4.3/share this year,price mix improving</t>
  </si>
  <si>
    <t>1.8/share this year,3D printing growing well</t>
  </si>
  <si>
    <t>875 Estimated 2018 EBITDA,360 net operating losses,286m shares,5000m net debt</t>
  </si>
  <si>
    <t>Invests less than depreciation,300M shares,2.58/share 2017,0.4/share amortization adjustments,4.5/share EPS,ripple stakes</t>
  </si>
  <si>
    <t>12.62/share earning estimates this year</t>
  </si>
  <si>
    <t>1B estimated sales this year,81M shares</t>
  </si>
  <si>
    <t>Dynamics 365,Office 365,Azure growing well,3.6/share earning this year,7710M shares,40B net cash</t>
  </si>
  <si>
    <t>Core earnings at 5.4/share,plus trading.2019 Eps at 6.1</t>
  </si>
  <si>
    <t>Assets worth about 1B,64M shares</t>
  </si>
  <si>
    <t>3+/share this year</t>
  </si>
  <si>
    <t>1.940 B adj. EBITDA,5.914B net debt,325m shares</t>
  </si>
  <si>
    <t>Around 56m operating income,16m interest expenses possible to reduce,23% tax rate,19m shares,growing Ecommerce and acquiring cheap companies</t>
  </si>
  <si>
    <t>2.75-3/share in 2018, depending on when internet bank is spun-off</t>
  </si>
  <si>
    <t>2017 8B adjusted EBITDA,2018 8500M adjusted EBITDA(??),possible 300 interest reduction,30B net debt,1228M shares</t>
  </si>
  <si>
    <t>Home Depot</t>
  </si>
  <si>
    <t>HD</t>
  </si>
  <si>
    <t>5.4+/share 2018</t>
  </si>
  <si>
    <t>Estimated 8.5+/share in 2018,1200M shares</t>
  </si>
  <si>
    <t>5.86 book value, 40%+ non core, half of which are in the selling process</t>
  </si>
  <si>
    <t>11+/share this year,30/share net cash</t>
  </si>
  <si>
    <t>Restoration Restaurant</t>
  </si>
  <si>
    <t>2.4/share this year,projecting mid single digit growth from comp and new stores,simplified menu,new store design to reduce labor,digital order initiatives</t>
  </si>
  <si>
    <t>2.4B shares, 36B net cash 2017 Q4,7.5/share 2018</t>
  </si>
  <si>
    <t>13.8/share 2018. Tax headwind, growth in question</t>
  </si>
  <si>
    <t>6/share this year, 600m shares, 5B net cash</t>
  </si>
  <si>
    <t>5.2/share after normalized tax,growing 20% this year,500M shares,4B cash</t>
  </si>
  <si>
    <t>4.1/share in 2018,3B net cash, 1.07B shares,growing nicely this year</t>
  </si>
  <si>
    <t>1.4/share this year,esay to increase earning with debt paydown</t>
  </si>
  <si>
    <t>Hyatt</t>
  </si>
  <si>
    <t>H</t>
  </si>
  <si>
    <t>2018 Adj EBITDA 780, keep selling assets at 12-16 times EBITDA.</t>
  </si>
  <si>
    <t>should be able to earn over 5/share this year, temporary impact from FED restraining order, growth to resume in 2019(??),could earn 6/share next year</t>
  </si>
  <si>
    <t>OLED</t>
  </si>
  <si>
    <t>should enjoy a big boost in rev in 2019, current concensus 2018 EPS 2.7,about 9/share cash,2019 ESP estimated at 4/share,biggest risk is patent expiration</t>
  </si>
  <si>
    <t>30B+ income 2018 from Google, other bets losing about 4B/year,amortization cost&amp; ventures loss 1B,85B net cash after repatriation,10B equity investments,700m shares</t>
  </si>
  <si>
    <t>MFGP</t>
  </si>
  <si>
    <t>Micro Focus</t>
  </si>
  <si>
    <t>1.4B EBITDA,435m shares,net debt at 4409</t>
  </si>
  <si>
    <t>1.2B EBITDA,210M shares outstanding,5B debt,1B loss carryforwards</t>
  </si>
  <si>
    <t>IAC</t>
  </si>
  <si>
    <t>5.5B cash,132.6M ADR shares, ex ecommerce making about $15/ADS,Valuing Yanxuan,Kaola,Netease music at 1B each</t>
  </si>
  <si>
    <t>Tinder 400M Ebitda 2017,Application 137M,publishing 31.5,owns Vimeo growing fast,ANGI home service,corporate -127M, net cash 719,86M shares</t>
  </si>
  <si>
    <t>36B russian rubles EBITDA from search and ecommerce business, taxi business losing money, 700m USD cash,332M shares</t>
  </si>
  <si>
    <t>1.7-2.4/share in 2018, adjusted for amortization - share based comp + interest payment assuming continued paydown,776 million shares</t>
  </si>
  <si>
    <t>BKNG</t>
  </si>
  <si>
    <t>Thesis</t>
  </si>
  <si>
    <t>SYMBOL</t>
  </si>
  <si>
    <t>Undervalued</t>
  </si>
  <si>
    <t>S.Undervalued</t>
  </si>
  <si>
    <t>Fair</t>
  </si>
  <si>
    <t>Overvalued</t>
  </si>
  <si>
    <t>N/A</t>
  </si>
  <si>
    <t>Business</t>
  </si>
  <si>
    <t>Cash&amp;Investments</t>
  </si>
  <si>
    <t>ETM</t>
  </si>
  <si>
    <t>Entercom Communication</t>
  </si>
  <si>
    <t>1873M Debt,34M Cash, 150M from divestiture, 100 loss carryforwards,140M shares,36c dividend,450M EBITDA after divestiture</t>
  </si>
  <si>
    <t>225M FCF adjusted for stock comp this year, aiming for 300M in 2020,248M shares</t>
  </si>
  <si>
    <t>TakeTwo</t>
  </si>
  <si>
    <t>TTWO</t>
  </si>
  <si>
    <t>1.6 EPS this year. 2.2 next year. 118M shares,1.4B cash</t>
  </si>
  <si>
    <t>330M net income, 300 shares out 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</si>
</sst>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2" borderId="0" xfId="2"/>
    <xf numFmtId="9" fontId="2" fillId="2" borderId="0" xfId="2" applyNumberFormat="1"/>
    <xf numFmtId="0" fontId="0" fillId="4" borderId="0" xfId="3" applyFont="1" applyFill="1"/>
    <xf numFmtId="0" fontId="0" fillId="4" borderId="0" xfId="0" applyFill="1"/>
    <xf numFmtId="9" fontId="1" fillId="4" borderId="0" xfId="1" applyFill="1"/>
    <xf numFmtId="0" fontId="1" fillId="4" borderId="0" xfId="3" applyFill="1"/>
    <xf numFmtId="9" fontId="0" fillId="0" borderId="0" xfId="0" applyNumberFormat="1"/>
  </cellXfs>
  <cellStyles count="4">
    <cellStyle name="40% - Accent1" xfId="3" builtinId="31"/>
    <cellStyle name="Accent2" xfId="2" builtinId="3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01"/>
  <sheetViews>
    <sheetView tabSelected="1" topLeftCell="A75" workbookViewId="0">
      <selection activeCell="I106" sqref="I106"/>
    </sheetView>
  </sheetViews>
  <sheetFormatPr defaultColWidth="8.85546875" defaultRowHeight="15" x14ac:dyDescent="0.25"/>
  <cols>
    <col min="1" max="1" width="28.7109375" customWidth="1"/>
    <col min="2" max="2" width="39.42578125" customWidth="1"/>
    <col min="3" max="6" width="17" customWidth="1"/>
    <col min="7" max="7" width="51.28515625" customWidth="1"/>
    <col min="8" max="9" width="13" style="2" customWidth="1"/>
  </cols>
  <sheetData>
    <row r="1" spans="1:9" x14ac:dyDescent="0.25">
      <c r="A1" t="s">
        <v>0</v>
      </c>
      <c r="B1" t="s">
        <v>1</v>
      </c>
      <c r="C1" t="s">
        <v>180</v>
      </c>
      <c r="D1" t="s">
        <v>320</v>
      </c>
      <c r="E1" t="s">
        <v>403</v>
      </c>
      <c r="F1" t="s">
        <v>404</v>
      </c>
      <c r="G1" t="s">
        <v>396</v>
      </c>
      <c r="H1" s="2" t="s">
        <v>177</v>
      </c>
      <c r="I1" s="2" t="s">
        <v>321</v>
      </c>
    </row>
    <row r="2" spans="1:9" x14ac:dyDescent="0.25">
      <c r="A2" t="s">
        <v>332</v>
      </c>
      <c r="B2" t="s">
        <v>331</v>
      </c>
      <c r="C2">
        <v>22.55</v>
      </c>
      <c r="D2">
        <f>3.76*12*0.9+4.12*20*0.1</f>
        <v>48.847999999999999</v>
      </c>
      <c r="E2">
        <f>3.76*12*0.9+4.12*20*0.1</f>
        <v>48.847999999999999</v>
      </c>
      <c r="F2">
        <v>0</v>
      </c>
      <c r="G2" t="s">
        <v>335</v>
      </c>
      <c r="H2" s="2">
        <v>1.1662084257206207</v>
      </c>
      <c r="I2" s="2">
        <v>0.5</v>
      </c>
    </row>
    <row r="3" spans="1:9" x14ac:dyDescent="0.25">
      <c r="A3" t="s">
        <v>318</v>
      </c>
      <c r="B3" t="s">
        <v>315</v>
      </c>
      <c r="C3">
        <v>11.55</v>
      </c>
      <c r="D3">
        <f>155*12/91</f>
        <v>20.439560439560438</v>
      </c>
      <c r="E3">
        <f>155*12/91</f>
        <v>20.439560439560438</v>
      </c>
      <c r="F3">
        <v>0</v>
      </c>
      <c r="G3" t="s">
        <v>319</v>
      </c>
      <c r="H3" s="2">
        <v>0.76965891251605179</v>
      </c>
      <c r="I3" s="2">
        <v>0.5</v>
      </c>
    </row>
    <row r="4" spans="1:9" x14ac:dyDescent="0.25">
      <c r="A4" t="s">
        <v>265</v>
      </c>
      <c r="B4" t="s">
        <v>264</v>
      </c>
      <c r="C4">
        <v>29.1</v>
      </c>
      <c r="D4">
        <f>3*16+3</f>
        <v>51</v>
      </c>
      <c r="E4">
        <v>48</v>
      </c>
      <c r="F4">
        <v>3</v>
      </c>
      <c r="G4" t="s">
        <v>363</v>
      </c>
      <c r="H4" s="2">
        <v>0.75257731958762875</v>
      </c>
      <c r="I4" s="2">
        <v>0.65</v>
      </c>
    </row>
    <row r="5" spans="1:9" x14ac:dyDescent="0.25">
      <c r="A5" t="s">
        <v>96</v>
      </c>
      <c r="B5" t="s">
        <v>97</v>
      </c>
      <c r="C5">
        <v>98.37</v>
      </c>
      <c r="D5">
        <f>1700/185+6.5*25</f>
        <v>171.68918918918919</v>
      </c>
      <c r="E5">
        <f>6.5*25</f>
        <v>162.5</v>
      </c>
      <c r="F5">
        <f>1700/185</f>
        <v>9.1891891891891895</v>
      </c>
      <c r="G5" t="s">
        <v>349</v>
      </c>
      <c r="H5" s="2">
        <v>0.74534094936656492</v>
      </c>
      <c r="I5" s="2">
        <v>0.6</v>
      </c>
    </row>
    <row r="6" spans="1:9" x14ac:dyDescent="0.25">
      <c r="A6" t="s">
        <v>277</v>
      </c>
      <c r="B6" t="s">
        <v>5</v>
      </c>
      <c r="C6">
        <v>51.47</v>
      </c>
      <c r="D6">
        <f>(5.5*0.8+6.5*0.2)*15</f>
        <v>85.5</v>
      </c>
      <c r="E6">
        <f>(5.5*0.8+6.5*0.2)*15</f>
        <v>85.5</v>
      </c>
      <c r="F6">
        <v>0</v>
      </c>
      <c r="G6" t="s">
        <v>350</v>
      </c>
      <c r="H6" s="2">
        <v>0.66116184184962112</v>
      </c>
      <c r="I6" s="2">
        <v>0.6</v>
      </c>
    </row>
    <row r="7" spans="1:9" x14ac:dyDescent="0.25">
      <c r="A7" t="s">
        <v>62</v>
      </c>
      <c r="B7" t="s">
        <v>63</v>
      </c>
      <c r="C7">
        <v>15.15</v>
      </c>
      <c r="D7">
        <f>((1.45+0.2)*17*0.7+(1.45+0.2)*20*0.2+(1.45+0.2)*25*0.1)/1.15+F7</f>
        <v>27.400000000000002</v>
      </c>
      <c r="E7">
        <f>((1.45+0.2)*17*0.7+(1.45+0.2)*20*0.2+(1.45+0.2)*25*0.1)/1.15</f>
        <v>26.400000000000002</v>
      </c>
      <c r="F7">
        <v>1</v>
      </c>
      <c r="G7" t="s">
        <v>378</v>
      </c>
      <c r="H7" s="2">
        <v>0.63696369636963701</v>
      </c>
      <c r="I7" s="2">
        <v>0.6</v>
      </c>
    </row>
    <row r="8" spans="1:9" s="3" customFormat="1" x14ac:dyDescent="0.25">
      <c r="A8" s="3" t="s">
        <v>262</v>
      </c>
      <c r="B8" s="3" t="s">
        <v>149</v>
      </c>
      <c r="C8" s="3">
        <v>281.74</v>
      </c>
      <c r="D8" s="3">
        <f>15*25+5500/132.6+3000/132.6</f>
        <v>439.10256410256409</v>
      </c>
      <c r="E8" s="3">
        <f>15*25+3000/132.6</f>
        <v>397.62443438914028</v>
      </c>
      <c r="F8" s="3">
        <f>5500/132.6</f>
        <v>41.478129713423833</v>
      </c>
      <c r="G8" s="3" t="s">
        <v>391</v>
      </c>
      <c r="H8" s="4">
        <v>0.55853824129539276</v>
      </c>
      <c r="I8" s="4">
        <v>0.65</v>
      </c>
    </row>
    <row r="9" spans="1:9" ht="16.5" customHeight="1" x14ac:dyDescent="0.25">
      <c r="A9" t="s">
        <v>10</v>
      </c>
      <c r="B9" t="s">
        <v>11</v>
      </c>
      <c r="C9">
        <v>51.93</v>
      </c>
      <c r="D9">
        <f>5*16</f>
        <v>80</v>
      </c>
      <c r="E9">
        <f>5*16</f>
        <v>80</v>
      </c>
      <c r="F9">
        <v>0</v>
      </c>
      <c r="G9" t="s">
        <v>382</v>
      </c>
      <c r="H9" s="2">
        <v>0.54053533602927017</v>
      </c>
      <c r="I9" s="2">
        <v>0.5</v>
      </c>
    </row>
    <row r="10" spans="1:9" x14ac:dyDescent="0.25">
      <c r="A10" t="s">
        <v>238</v>
      </c>
      <c r="B10" t="s">
        <v>237</v>
      </c>
      <c r="C10">
        <v>19.55</v>
      </c>
      <c r="D10">
        <f>(1200*10*0.3+1200*8*0.7-5000+1000)/210</f>
        <v>30.095238095238095</v>
      </c>
      <c r="E10">
        <f>(1200*10*0.3+1200*8*0.7-5000)/210</f>
        <v>25.333333333333332</v>
      </c>
      <c r="F10">
        <f>1000/210</f>
        <v>4.7619047619047619</v>
      </c>
      <c r="G10" t="s">
        <v>389</v>
      </c>
      <c r="H10" s="2">
        <v>0.53939836804286945</v>
      </c>
      <c r="I10" s="2">
        <v>0.5</v>
      </c>
    </row>
    <row r="11" spans="1:9" x14ac:dyDescent="0.25">
      <c r="A11" t="s">
        <v>333</v>
      </c>
      <c r="B11" t="s">
        <v>147</v>
      </c>
      <c r="C11">
        <v>35.25</v>
      </c>
      <c r="D11">
        <f>3.5*15</f>
        <v>52.5</v>
      </c>
      <c r="E11">
        <f>3.5*15</f>
        <v>52.5</v>
      </c>
      <c r="F11">
        <v>0</v>
      </c>
      <c r="G11" t="s">
        <v>336</v>
      </c>
      <c r="H11" s="2">
        <v>0.48936170212765956</v>
      </c>
      <c r="I11" s="2">
        <v>0.45</v>
      </c>
    </row>
    <row r="12" spans="1:9" s="3" customFormat="1" x14ac:dyDescent="0.25">
      <c r="A12" s="3" t="s">
        <v>6</v>
      </c>
      <c r="B12" s="3" t="s">
        <v>7</v>
      </c>
      <c r="C12" s="3">
        <v>35.75</v>
      </c>
      <c r="H12" s="4">
        <v>0.11888111888111888</v>
      </c>
      <c r="I12" s="4"/>
    </row>
    <row r="13" spans="1:9" x14ac:dyDescent="0.25">
      <c r="A13" t="s">
        <v>98</v>
      </c>
      <c r="B13" t="s">
        <v>98</v>
      </c>
      <c r="C13">
        <v>205.87</v>
      </c>
      <c r="H13" s="2">
        <v>6.8635546704230804E-2</v>
      </c>
    </row>
    <row r="14" spans="1:9" x14ac:dyDescent="0.25">
      <c r="A14" t="s">
        <v>217</v>
      </c>
      <c r="B14" t="s">
        <v>155</v>
      </c>
      <c r="C14">
        <v>172.44</v>
      </c>
      <c r="D14">
        <f>11*20+30</f>
        <v>250</v>
      </c>
      <c r="E14">
        <f>11*20</f>
        <v>220</v>
      </c>
      <c r="F14">
        <v>30</v>
      </c>
      <c r="G14" t="s">
        <v>370</v>
      </c>
      <c r="I14" s="2">
        <v>0.5</v>
      </c>
    </row>
    <row r="15" spans="1:9" s="3" customFormat="1" x14ac:dyDescent="0.25">
      <c r="A15" s="3" t="s">
        <v>216</v>
      </c>
      <c r="B15" s="3" t="s">
        <v>138</v>
      </c>
      <c r="C15" s="3">
        <v>223.63</v>
      </c>
      <c r="D15" s="3">
        <f>5.2*25+4000/491</f>
        <v>138.14663951120164</v>
      </c>
      <c r="E15" s="3">
        <f>5.2*25</f>
        <v>130</v>
      </c>
      <c r="F15" s="3">
        <f>4000/491</f>
        <v>8.146639511201629</v>
      </c>
      <c r="G15" s="3" t="s">
        <v>376</v>
      </c>
      <c r="H15" s="4"/>
      <c r="I15" s="4">
        <v>0.5</v>
      </c>
    </row>
    <row r="16" spans="1:9" x14ac:dyDescent="0.25">
      <c r="A16" t="s">
        <v>303</v>
      </c>
      <c r="B16" t="s">
        <v>298</v>
      </c>
      <c r="C16">
        <v>65.67</v>
      </c>
    </row>
    <row r="17" spans="1:9" x14ac:dyDescent="0.25">
      <c r="A17" t="s">
        <v>196</v>
      </c>
      <c r="B17" t="s">
        <v>165</v>
      </c>
      <c r="C17">
        <v>130.94</v>
      </c>
    </row>
    <row r="18" spans="1:9" x14ac:dyDescent="0.25">
      <c r="A18" t="s">
        <v>29</v>
      </c>
      <c r="B18" t="s">
        <v>30</v>
      </c>
      <c r="C18">
        <v>51.66</v>
      </c>
      <c r="D18">
        <f>(5.4+0.5)*14</f>
        <v>82.600000000000009</v>
      </c>
      <c r="E18">
        <f>(5.4+0.5)*14</f>
        <v>82.600000000000009</v>
      </c>
      <c r="F18">
        <v>0</v>
      </c>
      <c r="G18" t="s">
        <v>358</v>
      </c>
      <c r="I18" s="2">
        <v>0.6</v>
      </c>
    </row>
    <row r="19" spans="1:9" s="3" customFormat="1" x14ac:dyDescent="0.25">
      <c r="A19" s="3" t="s">
        <v>204</v>
      </c>
      <c r="B19" s="3" t="s">
        <v>205</v>
      </c>
      <c r="C19" s="3">
        <v>257.02</v>
      </c>
      <c r="H19" s="4"/>
      <c r="I19" s="4"/>
    </row>
    <row r="20" spans="1:9" x14ac:dyDescent="0.25">
      <c r="A20" t="s">
        <v>116</v>
      </c>
      <c r="B20" t="s">
        <v>117</v>
      </c>
      <c r="C20">
        <v>149.55000000000001</v>
      </c>
    </row>
    <row r="21" spans="1:9" s="3" customFormat="1" x14ac:dyDescent="0.25">
      <c r="A21" s="3" t="s">
        <v>54</v>
      </c>
      <c r="B21" s="3" t="s">
        <v>55</v>
      </c>
      <c r="C21" s="3">
        <v>54.95</v>
      </c>
      <c r="D21" s="3">
        <f>4.1*17+3/1.07</f>
        <v>72.503738317756998</v>
      </c>
      <c r="E21" s="3">
        <f>4.1*17</f>
        <v>69.699999999999989</v>
      </c>
      <c r="F21" s="3">
        <f>3/1.07</f>
        <v>2.8037383177570092</v>
      </c>
      <c r="G21" s="3" t="s">
        <v>377</v>
      </c>
      <c r="H21" s="4"/>
      <c r="I21" s="4">
        <v>0.5</v>
      </c>
    </row>
    <row r="22" spans="1:9" s="3" customFormat="1" x14ac:dyDescent="0.25">
      <c r="A22" s="3" t="s">
        <v>214</v>
      </c>
      <c r="B22" s="3" t="s">
        <v>215</v>
      </c>
      <c r="C22" s="3">
        <v>1427.05</v>
      </c>
      <c r="H22" s="4"/>
      <c r="I22" s="4"/>
    </row>
    <row r="23" spans="1:9" s="3" customFormat="1" x14ac:dyDescent="0.25">
      <c r="A23" s="3" t="s">
        <v>208</v>
      </c>
      <c r="B23" s="3" t="s">
        <v>103</v>
      </c>
      <c r="C23" s="3">
        <v>266.58</v>
      </c>
      <c r="H23" s="4"/>
      <c r="I23" s="4"/>
    </row>
    <row r="24" spans="1:9" x14ac:dyDescent="0.25">
      <c r="A24" t="s">
        <v>233</v>
      </c>
      <c r="B24" t="s">
        <v>150</v>
      </c>
      <c r="C24">
        <v>13.33</v>
      </c>
      <c r="H24"/>
      <c r="I24"/>
    </row>
    <row r="25" spans="1:9" x14ac:dyDescent="0.25">
      <c r="A25" t="s">
        <v>197</v>
      </c>
      <c r="B25" t="s">
        <v>164</v>
      </c>
      <c r="C25">
        <v>157.01</v>
      </c>
    </row>
    <row r="26" spans="1:9" x14ac:dyDescent="0.25">
      <c r="A26" t="s">
        <v>305</v>
      </c>
      <c r="B26" t="s">
        <v>296</v>
      </c>
      <c r="C26">
        <v>85.4</v>
      </c>
    </row>
    <row r="27" spans="1:9" x14ac:dyDescent="0.25">
      <c r="A27" t="s">
        <v>67</v>
      </c>
      <c r="B27" t="s">
        <v>68</v>
      </c>
      <c r="C27">
        <v>22.96</v>
      </c>
    </row>
    <row r="28" spans="1:9" x14ac:dyDescent="0.25">
      <c r="A28" t="s">
        <v>212</v>
      </c>
      <c r="B28" t="s">
        <v>153</v>
      </c>
      <c r="C28">
        <v>65.849999999999994</v>
      </c>
      <c r="D28">
        <f>2.1*25</f>
        <v>52.5</v>
      </c>
      <c r="E28">
        <f>2.1*25</f>
        <v>52.5</v>
      </c>
      <c r="F28">
        <v>0</v>
      </c>
      <c r="G28" t="s">
        <v>394</v>
      </c>
      <c r="I28" s="2">
        <v>0.5</v>
      </c>
    </row>
    <row r="29" spans="1:9" s="3" customFormat="1" x14ac:dyDescent="0.25">
      <c r="A29" s="3" t="s">
        <v>189</v>
      </c>
      <c r="B29" s="3" t="s">
        <v>190</v>
      </c>
      <c r="C29" s="3">
        <v>175.36</v>
      </c>
      <c r="D29" s="3">
        <f>5.2*30+16*0.6+10*0.5</f>
        <v>170.6</v>
      </c>
      <c r="E29" s="3">
        <f>5.2*30</f>
        <v>156</v>
      </c>
      <c r="F29" s="3">
        <f>16*0.6+10*0.5</f>
        <v>14.6</v>
      </c>
      <c r="G29" s="3" t="s">
        <v>344</v>
      </c>
      <c r="H29" s="4"/>
      <c r="I29" s="4">
        <v>0.5</v>
      </c>
    </row>
    <row r="30" spans="1:9" x14ac:dyDescent="0.25">
      <c r="A30" t="s">
        <v>269</v>
      </c>
      <c r="B30" t="s">
        <v>270</v>
      </c>
      <c r="C30">
        <v>29.9</v>
      </c>
    </row>
    <row r="31" spans="1:9" x14ac:dyDescent="0.25">
      <c r="A31" t="s">
        <v>89</v>
      </c>
      <c r="B31" t="s">
        <v>283</v>
      </c>
      <c r="C31">
        <v>22.25</v>
      </c>
    </row>
    <row r="32" spans="1:9" s="3" customFormat="1" x14ac:dyDescent="0.25">
      <c r="A32" s="3" t="s">
        <v>109</v>
      </c>
      <c r="B32" s="3" t="s">
        <v>109</v>
      </c>
      <c r="C32" s="3">
        <v>53.07</v>
      </c>
      <c r="H32" s="4"/>
      <c r="I32" s="4"/>
    </row>
    <row r="33" spans="1:9" x14ac:dyDescent="0.25">
      <c r="A33" t="s">
        <v>23</v>
      </c>
      <c r="B33" t="s">
        <v>24</v>
      </c>
      <c r="C33">
        <v>69.89</v>
      </c>
    </row>
    <row r="34" spans="1:9" x14ac:dyDescent="0.25">
      <c r="A34" t="s">
        <v>182</v>
      </c>
      <c r="B34" t="s">
        <v>181</v>
      </c>
      <c r="C34">
        <v>82.26</v>
      </c>
    </row>
    <row r="35" spans="1:9" x14ac:dyDescent="0.25">
      <c r="A35" t="s">
        <v>285</v>
      </c>
      <c r="B35" t="s">
        <v>285</v>
      </c>
      <c r="C35">
        <v>29.7</v>
      </c>
    </row>
    <row r="36" spans="1:9" x14ac:dyDescent="0.25">
      <c r="A36" t="s">
        <v>286</v>
      </c>
      <c r="B36" t="s">
        <v>286</v>
      </c>
      <c r="C36">
        <v>177.21</v>
      </c>
    </row>
    <row r="37" spans="1:9" ht="15.75" customHeight="1" x14ac:dyDescent="0.25">
      <c r="A37" t="s">
        <v>213</v>
      </c>
      <c r="B37" t="s">
        <v>166</v>
      </c>
      <c r="C37">
        <v>119.16</v>
      </c>
    </row>
    <row r="38" spans="1:9" x14ac:dyDescent="0.25">
      <c r="A38" t="s">
        <v>107</v>
      </c>
      <c r="B38" t="s">
        <v>107</v>
      </c>
      <c r="C38">
        <v>55.01</v>
      </c>
    </row>
    <row r="39" spans="1:9" x14ac:dyDescent="0.25">
      <c r="A39" t="s">
        <v>27</v>
      </c>
      <c r="B39" t="s">
        <v>28</v>
      </c>
      <c r="C39">
        <v>170.14</v>
      </c>
    </row>
    <row r="40" spans="1:9" x14ac:dyDescent="0.25">
      <c r="A40" t="s">
        <v>334</v>
      </c>
      <c r="B40" t="s">
        <v>330</v>
      </c>
      <c r="C40">
        <v>17.47</v>
      </c>
      <c r="D40">
        <f>(7*8.5-44)</f>
        <v>15.5</v>
      </c>
      <c r="E40">
        <f>(7*8.5-44)</f>
        <v>15.5</v>
      </c>
      <c r="F40">
        <v>0</v>
      </c>
      <c r="G40" t="s">
        <v>337</v>
      </c>
      <c r="I40" s="2">
        <v>0.65</v>
      </c>
    </row>
    <row r="41" spans="1:9" x14ac:dyDescent="0.25">
      <c r="A41" t="s">
        <v>173</v>
      </c>
      <c r="B41" t="s">
        <v>163</v>
      </c>
      <c r="C41">
        <v>17.059999999999999</v>
      </c>
      <c r="G41" t="s">
        <v>174</v>
      </c>
    </row>
    <row r="42" spans="1:9" s="3" customFormat="1" x14ac:dyDescent="0.25">
      <c r="A42" s="3" t="s">
        <v>64</v>
      </c>
      <c r="B42" s="3" t="s">
        <v>65</v>
      </c>
      <c r="C42" s="3">
        <v>79.64</v>
      </c>
      <c r="D42" s="3">
        <f>1000*10/81</f>
        <v>123.45679012345678</v>
      </c>
      <c r="E42" s="3">
        <f>1000*10/81</f>
        <v>123.45679012345678</v>
      </c>
      <c r="F42" s="3">
        <v>0</v>
      </c>
      <c r="G42" s="3" t="s">
        <v>356</v>
      </c>
      <c r="H42" s="4"/>
      <c r="I42" s="4">
        <v>0.65</v>
      </c>
    </row>
    <row r="43" spans="1:9" x14ac:dyDescent="0.25">
      <c r="A43" t="s">
        <v>129</v>
      </c>
      <c r="B43" t="s">
        <v>295</v>
      </c>
      <c r="C43">
        <v>48.86</v>
      </c>
    </row>
    <row r="44" spans="1:9" x14ac:dyDescent="0.25">
      <c r="A44" t="s">
        <v>301</v>
      </c>
      <c r="B44" t="s">
        <v>300</v>
      </c>
      <c r="C44">
        <v>104.55</v>
      </c>
    </row>
    <row r="45" spans="1:9" x14ac:dyDescent="0.25">
      <c r="A45" t="s">
        <v>235</v>
      </c>
      <c r="B45" t="s">
        <v>236</v>
      </c>
      <c r="C45">
        <v>60.28</v>
      </c>
      <c r="D45">
        <f>2.4*20</f>
        <v>48</v>
      </c>
      <c r="E45">
        <f>2.4*20</f>
        <v>48</v>
      </c>
      <c r="F45">
        <v>0</v>
      </c>
      <c r="G45" t="s">
        <v>372</v>
      </c>
      <c r="I45" s="2">
        <v>0.5</v>
      </c>
    </row>
    <row r="46" spans="1:9" x14ac:dyDescent="0.25">
      <c r="A46" t="s">
        <v>326</v>
      </c>
      <c r="B46" t="s">
        <v>327</v>
      </c>
      <c r="C46">
        <v>120.53</v>
      </c>
      <c r="D46">
        <f>1.05*22+104</f>
        <v>127.1</v>
      </c>
      <c r="E46">
        <f>103.75</f>
        <v>103.75</v>
      </c>
      <c r="F46">
        <f>1.05*22</f>
        <v>23.1</v>
      </c>
      <c r="G46" t="s">
        <v>328</v>
      </c>
      <c r="I46" s="2">
        <v>0.5</v>
      </c>
    </row>
    <row r="47" spans="1:9" x14ac:dyDescent="0.25">
      <c r="A47" t="s">
        <v>243</v>
      </c>
      <c r="B47" t="s">
        <v>244</v>
      </c>
      <c r="C47">
        <v>231</v>
      </c>
    </row>
    <row r="48" spans="1:9" x14ac:dyDescent="0.25">
      <c r="A48" t="s">
        <v>124</v>
      </c>
      <c r="B48" t="s">
        <v>124</v>
      </c>
      <c r="C48">
        <v>22.07</v>
      </c>
      <c r="G48" t="s">
        <v>125</v>
      </c>
    </row>
    <row r="49" spans="1:9" x14ac:dyDescent="0.25">
      <c r="A49" t="s">
        <v>307</v>
      </c>
      <c r="B49" t="s">
        <v>291</v>
      </c>
      <c r="C49">
        <v>64.73</v>
      </c>
    </row>
    <row r="50" spans="1:9" x14ac:dyDescent="0.25">
      <c r="A50" t="s">
        <v>114</v>
      </c>
      <c r="B50" t="s">
        <v>114</v>
      </c>
      <c r="C50">
        <v>102.48</v>
      </c>
    </row>
    <row r="51" spans="1:9" x14ac:dyDescent="0.25">
      <c r="A51" t="s">
        <v>263</v>
      </c>
      <c r="B51" t="s">
        <v>263</v>
      </c>
      <c r="C51">
        <v>109.4</v>
      </c>
    </row>
    <row r="52" spans="1:9" x14ac:dyDescent="0.25">
      <c r="A52" t="s">
        <v>66</v>
      </c>
      <c r="B52" t="s">
        <v>66</v>
      </c>
      <c r="C52">
        <v>9.86</v>
      </c>
      <c r="D52">
        <f>1000/64</f>
        <v>15.625</v>
      </c>
      <c r="E52">
        <f>1000/64</f>
        <v>15.625</v>
      </c>
      <c r="F52">
        <v>0</v>
      </c>
      <c r="G52" t="s">
        <v>359</v>
      </c>
      <c r="I52" s="2">
        <v>0.65</v>
      </c>
    </row>
    <row r="53" spans="1:9" x14ac:dyDescent="0.25">
      <c r="A53" t="s">
        <v>239</v>
      </c>
      <c r="B53" t="s">
        <v>240</v>
      </c>
      <c r="C53">
        <v>5.21</v>
      </c>
    </row>
    <row r="54" spans="1:9" x14ac:dyDescent="0.25">
      <c r="A54" t="s">
        <v>206</v>
      </c>
      <c r="B54" t="s">
        <v>168</v>
      </c>
      <c r="C54">
        <v>137.47</v>
      </c>
    </row>
    <row r="55" spans="1:9" x14ac:dyDescent="0.25">
      <c r="A55" t="s">
        <v>251</v>
      </c>
      <c r="B55" t="s">
        <v>252</v>
      </c>
      <c r="C55">
        <v>116.54</v>
      </c>
    </row>
    <row r="56" spans="1:9" x14ac:dyDescent="0.25">
      <c r="A56" t="s">
        <v>282</v>
      </c>
      <c r="B56" t="s">
        <v>131</v>
      </c>
      <c r="C56">
        <v>166.32</v>
      </c>
      <c r="D56">
        <f>(7.5*35+50/2.4+10/2.4)/1.1/1.1/1.1+36/2.4</f>
        <v>231.00300525920352</v>
      </c>
      <c r="E56">
        <f>(7.5*35+50/2.4+10/2.4)/1.1/1.1/1.1</f>
        <v>216.00300525920352</v>
      </c>
      <c r="F56">
        <f>36/2.4</f>
        <v>15</v>
      </c>
      <c r="G56" t="s">
        <v>373</v>
      </c>
      <c r="I56" s="2">
        <v>0.5</v>
      </c>
    </row>
    <row r="57" spans="1:9" x14ac:dyDescent="0.25">
      <c r="A57" t="s">
        <v>15</v>
      </c>
      <c r="B57" t="s">
        <v>16</v>
      </c>
      <c r="C57">
        <v>52.45</v>
      </c>
    </row>
    <row r="58" spans="1:9" x14ac:dyDescent="0.25">
      <c r="A58" t="s">
        <v>58</v>
      </c>
      <c r="B58" t="s">
        <v>59</v>
      </c>
      <c r="C58">
        <v>196.78</v>
      </c>
    </row>
    <row r="59" spans="1:9" x14ac:dyDescent="0.25">
      <c r="A59" t="s">
        <v>314</v>
      </c>
      <c r="B59" t="s">
        <v>311</v>
      </c>
      <c r="C59">
        <v>34.5</v>
      </c>
      <c r="D59">
        <v>42</v>
      </c>
      <c r="E59">
        <v>42</v>
      </c>
      <c r="F59">
        <v>0</v>
      </c>
      <c r="G59" t="s">
        <v>345</v>
      </c>
      <c r="I59" s="2">
        <v>0.4</v>
      </c>
    </row>
    <row r="60" spans="1:9" x14ac:dyDescent="0.25">
      <c r="A60" t="s">
        <v>288</v>
      </c>
      <c r="B60" t="s">
        <v>288</v>
      </c>
      <c r="C60">
        <v>16</v>
      </c>
    </row>
    <row r="61" spans="1:9" x14ac:dyDescent="0.25">
      <c r="A61" t="s">
        <v>267</v>
      </c>
      <c r="B61" t="s">
        <v>268</v>
      </c>
      <c r="C61">
        <v>32.35</v>
      </c>
      <c r="D61">
        <f>3*17</f>
        <v>51</v>
      </c>
      <c r="E61">
        <f>3*17</f>
        <v>51</v>
      </c>
      <c r="F61">
        <v>0</v>
      </c>
      <c r="G61" t="s">
        <v>360</v>
      </c>
      <c r="I61" s="2">
        <v>0.65</v>
      </c>
    </row>
    <row r="62" spans="1:9" x14ac:dyDescent="0.25">
      <c r="A62" t="s">
        <v>279</v>
      </c>
      <c r="B62" t="s">
        <v>2</v>
      </c>
      <c r="C62">
        <v>71.25</v>
      </c>
    </row>
    <row r="63" spans="1:9" x14ac:dyDescent="0.25">
      <c r="A63" t="s">
        <v>32</v>
      </c>
      <c r="B63" t="s">
        <v>33</v>
      </c>
      <c r="C63">
        <v>12.97</v>
      </c>
    </row>
    <row r="64" spans="1:9" x14ac:dyDescent="0.25">
      <c r="A64" t="s">
        <v>13</v>
      </c>
      <c r="B64" t="s">
        <v>14</v>
      </c>
      <c r="C64">
        <v>33.799999999999997</v>
      </c>
    </row>
    <row r="65" spans="1:9" x14ac:dyDescent="0.25">
      <c r="A65" t="s">
        <v>258</v>
      </c>
      <c r="B65" t="s">
        <v>115</v>
      </c>
      <c r="C65">
        <v>1019.97</v>
      </c>
      <c r="D65">
        <f>((30+1)*27+95+30)*1000/700</f>
        <v>1374.2857142857142</v>
      </c>
      <c r="E65">
        <f>((30+1)*27)*1000/700</f>
        <v>1195.7142857142858</v>
      </c>
      <c r="F65">
        <f>(95+30)*1000/700</f>
        <v>178.57142857142858</v>
      </c>
      <c r="G65" t="s">
        <v>385</v>
      </c>
      <c r="I65" s="2">
        <v>0.5</v>
      </c>
    </row>
    <row r="66" spans="1:9" x14ac:dyDescent="0.25">
      <c r="A66" t="s">
        <v>183</v>
      </c>
      <c r="B66" t="s">
        <v>156</v>
      </c>
      <c r="C66">
        <v>108.7</v>
      </c>
    </row>
    <row r="67" spans="1:9" x14ac:dyDescent="0.25">
      <c r="A67" t="s">
        <v>82</v>
      </c>
      <c r="B67" t="s">
        <v>83</v>
      </c>
      <c r="C67">
        <v>98.32</v>
      </c>
      <c r="G67" t="s">
        <v>84</v>
      </c>
    </row>
    <row r="68" spans="1:9" x14ac:dyDescent="0.25">
      <c r="A68" t="s">
        <v>254</v>
      </c>
      <c r="B68" t="s">
        <v>256</v>
      </c>
      <c r="C68">
        <v>252.94</v>
      </c>
    </row>
    <row r="69" spans="1:9" x14ac:dyDescent="0.25">
      <c r="A69" t="s">
        <v>317</v>
      </c>
      <c r="B69" t="s">
        <v>316</v>
      </c>
      <c r="C69">
        <v>16.11</v>
      </c>
      <c r="D69">
        <f>(730*12-2600)/284</f>
        <v>21.690140845070424</v>
      </c>
      <c r="E69">
        <f>(730*12-2600)/284</f>
        <v>21.690140845070424</v>
      </c>
      <c r="F69">
        <v>0</v>
      </c>
      <c r="G69" t="s">
        <v>322</v>
      </c>
      <c r="I69" s="2">
        <v>0.5</v>
      </c>
    </row>
    <row r="70" spans="1:9" x14ac:dyDescent="0.25">
      <c r="A70" t="s">
        <v>379</v>
      </c>
      <c r="B70" t="s">
        <v>380</v>
      </c>
      <c r="C70">
        <v>75.62</v>
      </c>
      <c r="D70">
        <f>(14*780-1500)/122</f>
        <v>77.213114754098356</v>
      </c>
      <c r="E70">
        <f>(14*780-1500)/122</f>
        <v>77.213114754098356</v>
      </c>
      <c r="F70">
        <v>0</v>
      </c>
      <c r="G70" t="s">
        <v>381</v>
      </c>
      <c r="I70" s="2">
        <v>0.5</v>
      </c>
    </row>
    <row r="71" spans="1:9" x14ac:dyDescent="0.25">
      <c r="A71" t="s">
        <v>365</v>
      </c>
      <c r="B71" t="s">
        <v>366</v>
      </c>
      <c r="C71">
        <v>172.86</v>
      </c>
      <c r="D71">
        <f>8.5*20</f>
        <v>170</v>
      </c>
      <c r="E71">
        <f>8.5*20</f>
        <v>170</v>
      </c>
      <c r="F71">
        <v>0</v>
      </c>
      <c r="G71" t="s">
        <v>368</v>
      </c>
      <c r="I71" s="2">
        <v>0.55000000000000004</v>
      </c>
    </row>
    <row r="72" spans="1:9" x14ac:dyDescent="0.25">
      <c r="A72" t="s">
        <v>78</v>
      </c>
      <c r="B72" t="s">
        <v>77</v>
      </c>
      <c r="C72">
        <v>42.89</v>
      </c>
    </row>
    <row r="73" spans="1:9" x14ac:dyDescent="0.25">
      <c r="A73" t="s">
        <v>45</v>
      </c>
      <c r="B73" t="s">
        <v>46</v>
      </c>
      <c r="C73">
        <v>79.61</v>
      </c>
      <c r="G73" t="s">
        <v>361</v>
      </c>
    </row>
    <row r="74" spans="1:9" x14ac:dyDescent="0.25">
      <c r="A74" t="s">
        <v>118</v>
      </c>
      <c r="B74" t="s">
        <v>119</v>
      </c>
      <c r="C74">
        <v>144.28</v>
      </c>
      <c r="G74" t="s">
        <v>120</v>
      </c>
    </row>
    <row r="75" spans="1:9" s="3" customFormat="1" x14ac:dyDescent="0.25">
      <c r="A75" s="3" t="s">
        <v>53</v>
      </c>
      <c r="B75" s="3" t="s">
        <v>53</v>
      </c>
      <c r="C75" s="3">
        <v>17.239999999999998</v>
      </c>
      <c r="D75" s="3">
        <v>22</v>
      </c>
      <c r="E75" s="3">
        <v>22</v>
      </c>
      <c r="F75" s="3">
        <v>0</v>
      </c>
      <c r="H75" s="4"/>
      <c r="I75" s="4">
        <v>0.65</v>
      </c>
    </row>
    <row r="76" spans="1:9" s="3" customFormat="1" x14ac:dyDescent="0.25">
      <c r="A76" s="3" t="s">
        <v>290</v>
      </c>
      <c r="B76" s="3" t="s">
        <v>290</v>
      </c>
      <c r="C76" s="3">
        <v>21.59</v>
      </c>
      <c r="D76" s="3">
        <f>1.8*12+1</f>
        <v>22.6</v>
      </c>
      <c r="E76" s="3">
        <f>1.8*12</f>
        <v>21.6</v>
      </c>
      <c r="F76" s="3">
        <v>1</v>
      </c>
      <c r="G76" s="3" t="s">
        <v>352</v>
      </c>
      <c r="H76" s="4"/>
      <c r="I76" s="4">
        <v>0.6</v>
      </c>
    </row>
    <row r="77" spans="1:9" x14ac:dyDescent="0.25">
      <c r="A77" t="s">
        <v>390</v>
      </c>
      <c r="B77" t="s">
        <v>390</v>
      </c>
      <c r="C77">
        <v>154.29</v>
      </c>
      <c r="D77">
        <f>14000/86+700/86</f>
        <v>170.93023255813952</v>
      </c>
      <c r="E77">
        <f>14000/86+700/86</f>
        <v>170.93023255813952</v>
      </c>
      <c r="F77">
        <v>0</v>
      </c>
      <c r="G77" t="s">
        <v>392</v>
      </c>
      <c r="I77" s="2">
        <v>0.4</v>
      </c>
    </row>
    <row r="78" spans="1:9" x14ac:dyDescent="0.25">
      <c r="A78" t="s">
        <v>12</v>
      </c>
      <c r="B78" t="s">
        <v>12</v>
      </c>
      <c r="C78">
        <v>155.36000000000001</v>
      </c>
      <c r="D78">
        <f>13.8*15</f>
        <v>207</v>
      </c>
      <c r="E78">
        <f>13.8*15</f>
        <v>207</v>
      </c>
      <c r="F78">
        <v>0</v>
      </c>
      <c r="G78" t="s">
        <v>374</v>
      </c>
      <c r="I78" s="2">
        <v>0.6</v>
      </c>
    </row>
    <row r="79" spans="1:9" x14ac:dyDescent="0.25">
      <c r="A79" t="s">
        <v>202</v>
      </c>
      <c r="B79" t="s">
        <v>170</v>
      </c>
      <c r="C79">
        <v>71.39</v>
      </c>
    </row>
    <row r="80" spans="1:9" x14ac:dyDescent="0.25">
      <c r="A80" t="s">
        <v>34</v>
      </c>
      <c r="B80" t="s">
        <v>35</v>
      </c>
      <c r="C80">
        <v>51.1</v>
      </c>
    </row>
    <row r="81" spans="1:9" x14ac:dyDescent="0.25">
      <c r="A81" t="s">
        <v>192</v>
      </c>
      <c r="B81" t="s">
        <v>139</v>
      </c>
      <c r="C81">
        <v>171.59</v>
      </c>
    </row>
    <row r="82" spans="1:9" x14ac:dyDescent="0.25">
      <c r="A82" t="s">
        <v>17</v>
      </c>
      <c r="B82" t="s">
        <v>18</v>
      </c>
      <c r="C82">
        <v>17.329999999999998</v>
      </c>
    </row>
    <row r="83" spans="1:9" x14ac:dyDescent="0.25">
      <c r="A83" t="s">
        <v>25</v>
      </c>
      <c r="B83" t="s">
        <v>26</v>
      </c>
      <c r="C83">
        <v>412.12</v>
      </c>
    </row>
    <row r="84" spans="1:9" x14ac:dyDescent="0.25">
      <c r="A84" t="s">
        <v>101</v>
      </c>
      <c r="B84" t="s">
        <v>102</v>
      </c>
      <c r="C84">
        <v>116.32</v>
      </c>
    </row>
    <row r="85" spans="1:9" s="3" customFormat="1" x14ac:dyDescent="0.25">
      <c r="A85" s="3" t="s">
        <v>187</v>
      </c>
      <c r="B85" s="3" t="s">
        <v>136</v>
      </c>
      <c r="C85" s="3">
        <v>40.46</v>
      </c>
      <c r="H85" s="4"/>
      <c r="I85" s="4"/>
    </row>
    <row r="86" spans="1:9" x14ac:dyDescent="0.25">
      <c r="A86" t="s">
        <v>249</v>
      </c>
      <c r="B86" t="s">
        <v>250</v>
      </c>
      <c r="C86">
        <v>110.62</v>
      </c>
    </row>
    <row r="87" spans="1:9" x14ac:dyDescent="0.25">
      <c r="A87" t="s">
        <v>19</v>
      </c>
      <c r="B87" t="s">
        <v>20</v>
      </c>
      <c r="C87">
        <v>61.54</v>
      </c>
      <c r="D87">
        <f>(8500*14-30000)/1228</f>
        <v>72.475570032573287</v>
      </c>
      <c r="E87">
        <f>(8500*14-30000)/1228</f>
        <v>72.475570032573287</v>
      </c>
      <c r="F87">
        <v>0</v>
      </c>
      <c r="G87" t="s">
        <v>364</v>
      </c>
      <c r="I87" s="2">
        <v>0.5</v>
      </c>
    </row>
    <row r="88" spans="1:9" x14ac:dyDescent="0.25">
      <c r="A88" t="s">
        <v>231</v>
      </c>
      <c r="B88" t="s">
        <v>232</v>
      </c>
      <c r="C88">
        <v>63.38</v>
      </c>
    </row>
    <row r="89" spans="1:9" x14ac:dyDescent="0.25">
      <c r="A89" t="s">
        <v>72</v>
      </c>
      <c r="B89" t="s">
        <v>73</v>
      </c>
      <c r="C89">
        <v>194.93</v>
      </c>
    </row>
    <row r="90" spans="1:9" x14ac:dyDescent="0.25">
      <c r="A90" t="s">
        <v>308</v>
      </c>
      <c r="B90" t="s">
        <v>289</v>
      </c>
      <c r="C90">
        <v>63.5</v>
      </c>
    </row>
    <row r="91" spans="1:9" x14ac:dyDescent="0.25">
      <c r="A91" t="s">
        <v>70</v>
      </c>
      <c r="B91" t="s">
        <v>71</v>
      </c>
      <c r="C91">
        <v>38.24</v>
      </c>
    </row>
    <row r="92" spans="1:9" s="3" customFormat="1" x14ac:dyDescent="0.25">
      <c r="A92" s="3" t="s">
        <v>112</v>
      </c>
      <c r="B92" s="3" t="s">
        <v>113</v>
      </c>
      <c r="C92" s="3">
        <v>86.65</v>
      </c>
      <c r="D92" s="3">
        <f>5.4*20</f>
        <v>108</v>
      </c>
      <c r="E92" s="3">
        <f>5.4*20</f>
        <v>108</v>
      </c>
      <c r="F92" s="3">
        <v>0</v>
      </c>
      <c r="G92" s="3" t="s">
        <v>367</v>
      </c>
      <c r="H92" s="4"/>
      <c r="I92" s="4">
        <v>0.55000000000000004</v>
      </c>
    </row>
    <row r="93" spans="1:9" x14ac:dyDescent="0.25">
      <c r="A93" t="s">
        <v>302</v>
      </c>
      <c r="B93" t="s">
        <v>299</v>
      </c>
      <c r="C93">
        <v>19.22</v>
      </c>
      <c r="D93">
        <f>(8.4+240/117.5+120/117.45*12.5)</f>
        <v>23.213945273226273</v>
      </c>
      <c r="E93">
        <f>(120/117.45*12.5)</f>
        <v>12.771392081736909</v>
      </c>
      <c r="F93">
        <f>(8.4+240/117.5)</f>
        <v>10.442553191489361</v>
      </c>
      <c r="G93" t="s">
        <v>348</v>
      </c>
      <c r="I93" s="2">
        <v>0.5</v>
      </c>
    </row>
    <row r="94" spans="1:9" x14ac:dyDescent="0.25">
      <c r="A94" t="s">
        <v>74</v>
      </c>
      <c r="B94" t="s">
        <v>75</v>
      </c>
      <c r="C94">
        <v>29.07</v>
      </c>
    </row>
    <row r="95" spans="1:9" s="3" customFormat="1" x14ac:dyDescent="0.25">
      <c r="A95" s="3" t="s">
        <v>203</v>
      </c>
      <c r="B95" s="3" t="s">
        <v>169</v>
      </c>
      <c r="C95" s="3">
        <v>172.36</v>
      </c>
      <c r="H95" s="4"/>
      <c r="I95" s="4"/>
    </row>
    <row r="96" spans="1:9" x14ac:dyDescent="0.25">
      <c r="A96" t="s">
        <v>186</v>
      </c>
      <c r="B96" t="s">
        <v>140</v>
      </c>
      <c r="C96">
        <v>41.6</v>
      </c>
    </row>
    <row r="97" spans="1:9" s="3" customFormat="1" x14ac:dyDescent="0.25">
      <c r="A97" s="3" t="s">
        <v>191</v>
      </c>
      <c r="B97" s="3" t="s">
        <v>159</v>
      </c>
      <c r="C97" s="3">
        <v>163.34</v>
      </c>
      <c r="H97" s="4"/>
      <c r="I97" s="4"/>
    </row>
    <row r="98" spans="1:9" x14ac:dyDescent="0.25">
      <c r="A98" t="s">
        <v>157</v>
      </c>
      <c r="B98" t="s">
        <v>42</v>
      </c>
      <c r="C98">
        <v>162.4</v>
      </c>
    </row>
    <row r="99" spans="1:9" x14ac:dyDescent="0.25">
      <c r="A99" t="s">
        <v>387</v>
      </c>
      <c r="B99" t="s">
        <v>386</v>
      </c>
      <c r="C99">
        <v>16.489999999999998</v>
      </c>
      <c r="D99">
        <f>(1400*10*0.5+1400*12*0.25+1700*12*0.25-4409)/435</f>
        <v>27.335632183908046</v>
      </c>
      <c r="E99">
        <f>(1400*10*0.5+1400*12*0.25+1700*12*0.25-4409)/435</f>
        <v>27.335632183908046</v>
      </c>
      <c r="F99">
        <v>0</v>
      </c>
      <c r="G99" t="s">
        <v>388</v>
      </c>
      <c r="I99" s="2">
        <v>0.65</v>
      </c>
    </row>
    <row r="100" spans="1:9" s="3" customFormat="1" x14ac:dyDescent="0.25">
      <c r="A100" s="3" t="s">
        <v>93</v>
      </c>
      <c r="B100" s="3" t="s">
        <v>94</v>
      </c>
      <c r="C100" s="3">
        <v>123.68</v>
      </c>
      <c r="G100" s="3" t="s">
        <v>95</v>
      </c>
      <c r="H100" s="4"/>
      <c r="I100" s="4"/>
    </row>
    <row r="101" spans="1:9" x14ac:dyDescent="0.25">
      <c r="A101" t="s">
        <v>211</v>
      </c>
      <c r="B101" t="s">
        <v>151</v>
      </c>
      <c r="C101">
        <v>37.4</v>
      </c>
    </row>
    <row r="102" spans="1:9" x14ac:dyDescent="0.25">
      <c r="A102" t="s">
        <v>253</v>
      </c>
      <c r="B102" t="s">
        <v>255</v>
      </c>
      <c r="C102">
        <v>52.74</v>
      </c>
    </row>
    <row r="103" spans="1:9" x14ac:dyDescent="0.25">
      <c r="A103" t="s">
        <v>36</v>
      </c>
      <c r="B103" t="s">
        <v>37</v>
      </c>
      <c r="C103">
        <v>148.25</v>
      </c>
    </row>
    <row r="104" spans="1:9" x14ac:dyDescent="0.25">
      <c r="A104" t="s">
        <v>209</v>
      </c>
      <c r="B104" t="s">
        <v>154</v>
      </c>
      <c r="C104">
        <v>91.86</v>
      </c>
      <c r="D104">
        <f>40000/7710+3.6*25</f>
        <v>95.188067444876779</v>
      </c>
      <c r="E104">
        <f>3.6*25</f>
        <v>90</v>
      </c>
      <c r="F104">
        <f>40000/7710</f>
        <v>5.1880674448767836</v>
      </c>
      <c r="G104" t="s">
        <v>357</v>
      </c>
      <c r="I104" s="2">
        <v>0.5</v>
      </c>
    </row>
    <row r="105" spans="1:9" x14ac:dyDescent="0.25">
      <c r="A105" t="s">
        <v>234</v>
      </c>
      <c r="B105" t="s">
        <v>133</v>
      </c>
      <c r="C105">
        <v>43.9</v>
      </c>
      <c r="D105">
        <f>E105/(I105+1)</f>
        <v>14.235294117647062</v>
      </c>
      <c r="E105">
        <f>330/300*22</f>
        <v>24.200000000000003</v>
      </c>
      <c r="F105">
        <v>0</v>
      </c>
      <c r="G105" t="s">
        <v>412</v>
      </c>
      <c r="H105"/>
      <c r="I105" s="9">
        <v>0.7</v>
      </c>
    </row>
    <row r="106" spans="1:9" x14ac:dyDescent="0.25">
      <c r="A106" t="s">
        <v>201</v>
      </c>
      <c r="B106" t="s">
        <v>160</v>
      </c>
      <c r="C106">
        <v>303.67</v>
      </c>
    </row>
    <row r="107" spans="1:9" x14ac:dyDescent="0.25">
      <c r="A107" t="s">
        <v>80</v>
      </c>
      <c r="B107" t="s">
        <v>79</v>
      </c>
      <c r="C107">
        <v>66.83</v>
      </c>
    </row>
    <row r="108" spans="1:9" x14ac:dyDescent="0.25">
      <c r="A108" t="s">
        <v>198</v>
      </c>
      <c r="B108" t="s">
        <v>146</v>
      </c>
      <c r="C108">
        <v>166.5</v>
      </c>
    </row>
    <row r="109" spans="1:9" x14ac:dyDescent="0.25">
      <c r="A109" t="s">
        <v>179</v>
      </c>
      <c r="B109" t="s">
        <v>178</v>
      </c>
      <c r="C109">
        <v>61.55</v>
      </c>
    </row>
    <row r="110" spans="1:9" s="3" customFormat="1" x14ac:dyDescent="0.25">
      <c r="A110" s="3" t="s">
        <v>47</v>
      </c>
      <c r="B110" s="3" t="s">
        <v>48</v>
      </c>
      <c r="C110" s="3">
        <v>226.24</v>
      </c>
      <c r="D110" s="3">
        <f>5000/600+6*25</f>
        <v>158.33333333333334</v>
      </c>
      <c r="E110" s="3">
        <f>6*25</f>
        <v>150</v>
      </c>
      <c r="F110" s="3">
        <f>5000/600</f>
        <v>8.3333333333333339</v>
      </c>
      <c r="G110" s="3" t="s">
        <v>375</v>
      </c>
      <c r="H110" s="4"/>
      <c r="I110" s="4">
        <v>0.5</v>
      </c>
    </row>
    <row r="111" spans="1:9" x14ac:dyDescent="0.25">
      <c r="A111" t="s">
        <v>91</v>
      </c>
      <c r="B111" t="s">
        <v>92</v>
      </c>
      <c r="C111">
        <v>63.95</v>
      </c>
    </row>
    <row r="112" spans="1:9" x14ac:dyDescent="0.25">
      <c r="A112" t="s">
        <v>228</v>
      </c>
      <c r="B112" t="s">
        <v>229</v>
      </c>
      <c r="C112">
        <v>7.94</v>
      </c>
    </row>
    <row r="113" spans="1:9" ht="15.75" customHeight="1" x14ac:dyDescent="0.25">
      <c r="A113" t="s">
        <v>227</v>
      </c>
      <c r="B113" t="s">
        <v>230</v>
      </c>
      <c r="C113">
        <v>4.34</v>
      </c>
      <c r="D113">
        <v>5</v>
      </c>
      <c r="E113">
        <v>5</v>
      </c>
      <c r="F113">
        <v>0</v>
      </c>
      <c r="G113" t="s">
        <v>369</v>
      </c>
      <c r="I113" s="2">
        <v>0.6</v>
      </c>
    </row>
    <row r="114" spans="1:9" ht="22.5" customHeight="1" x14ac:dyDescent="0.25">
      <c r="A114" t="s">
        <v>383</v>
      </c>
      <c r="B114" t="s">
        <v>383</v>
      </c>
      <c r="C114">
        <v>100.15</v>
      </c>
      <c r="D114">
        <f>4*20+9</f>
        <v>89</v>
      </c>
      <c r="E114">
        <f>4*20</f>
        <v>80</v>
      </c>
      <c r="F114">
        <v>9</v>
      </c>
      <c r="G114" t="s">
        <v>384</v>
      </c>
      <c r="I114" s="2">
        <v>0.65</v>
      </c>
    </row>
    <row r="115" spans="1:9" ht="14.1" customHeight="1" x14ac:dyDescent="0.25">
      <c r="A115" t="s">
        <v>127</v>
      </c>
      <c r="B115" t="s">
        <v>126</v>
      </c>
      <c r="C115">
        <v>45.61</v>
      </c>
      <c r="G115" t="s">
        <v>128</v>
      </c>
    </row>
    <row r="116" spans="1:9" ht="14.1" customHeight="1" x14ac:dyDescent="0.25">
      <c r="A116" t="s">
        <v>312</v>
      </c>
      <c r="B116" t="s">
        <v>309</v>
      </c>
      <c r="C116">
        <v>35.119999999999997</v>
      </c>
      <c r="D116">
        <f>10*1375/313</f>
        <v>43.929712460063897</v>
      </c>
      <c r="E116">
        <f>10*1375/313</f>
        <v>43.929712460063897</v>
      </c>
      <c r="F116">
        <v>0</v>
      </c>
      <c r="G116" t="s">
        <v>323</v>
      </c>
      <c r="I116" s="2">
        <v>0.4</v>
      </c>
    </row>
    <row r="117" spans="1:9" ht="14.1" customHeight="1" x14ac:dyDescent="0.25">
      <c r="A117" t="s">
        <v>275</v>
      </c>
      <c r="B117" t="s">
        <v>276</v>
      </c>
      <c r="C117">
        <v>9.43</v>
      </c>
      <c r="D117">
        <f>(875*10-5000+360*0.5)/286</f>
        <v>13.741258741258742</v>
      </c>
      <c r="E117">
        <f>(875*10-5000+360*0.5)/286</f>
        <v>13.741258741258742</v>
      </c>
      <c r="F117">
        <v>0</v>
      </c>
      <c r="G117" t="s">
        <v>353</v>
      </c>
      <c r="I117" s="2">
        <v>0.6</v>
      </c>
    </row>
    <row r="118" spans="1:9" ht="14.1" customHeight="1" x14ac:dyDescent="0.25">
      <c r="A118" t="s">
        <v>88</v>
      </c>
      <c r="B118" t="s">
        <v>87</v>
      </c>
      <c r="C118">
        <v>186.99</v>
      </c>
    </row>
    <row r="119" spans="1:9" ht="14.1" customHeight="1" x14ac:dyDescent="0.25">
      <c r="A119" t="s">
        <v>40</v>
      </c>
      <c r="B119" t="s">
        <v>41</v>
      </c>
      <c r="C119">
        <v>61.67</v>
      </c>
    </row>
    <row r="120" spans="1:9" ht="14.1" customHeight="1" x14ac:dyDescent="0.25">
      <c r="A120" t="s">
        <v>292</v>
      </c>
      <c r="B120" t="s">
        <v>287</v>
      </c>
      <c r="C120">
        <v>44.8</v>
      </c>
    </row>
    <row r="121" spans="1:9" s="3" customFormat="1" x14ac:dyDescent="0.25">
      <c r="A121" s="3" t="s">
        <v>207</v>
      </c>
      <c r="B121" s="3" t="s">
        <v>395</v>
      </c>
      <c r="C121" s="3">
        <v>1905.64</v>
      </c>
      <c r="H121" s="4"/>
      <c r="I121" s="4"/>
    </row>
    <row r="122" spans="1:9" ht="14.1" customHeight="1" x14ac:dyDescent="0.25">
      <c r="A122" t="s">
        <v>260</v>
      </c>
      <c r="B122" t="s">
        <v>261</v>
      </c>
      <c r="C122">
        <v>29.55</v>
      </c>
      <c r="D122">
        <f>2.8*15</f>
        <v>42</v>
      </c>
      <c r="E122">
        <f>2.8*15</f>
        <v>42</v>
      </c>
      <c r="F122">
        <v>0</v>
      </c>
      <c r="G122" t="s">
        <v>325</v>
      </c>
      <c r="I122" s="2">
        <v>0.6</v>
      </c>
    </row>
    <row r="123" spans="1:9" ht="14.1" customHeight="1" x14ac:dyDescent="0.25">
      <c r="A123" t="s">
        <v>274</v>
      </c>
      <c r="B123" t="s">
        <v>81</v>
      </c>
      <c r="C123">
        <v>102.55</v>
      </c>
    </row>
    <row r="124" spans="1:9" x14ac:dyDescent="0.25">
      <c r="A124" t="s">
        <v>21</v>
      </c>
      <c r="B124" t="s">
        <v>22</v>
      </c>
      <c r="C124">
        <v>76.5</v>
      </c>
    </row>
    <row r="125" spans="1:9" s="3" customFormat="1" ht="14.1" customHeight="1" x14ac:dyDescent="0.25">
      <c r="A125" s="3" t="s">
        <v>245</v>
      </c>
      <c r="B125" s="3" t="s">
        <v>162</v>
      </c>
      <c r="C125" s="3">
        <v>62.16</v>
      </c>
      <c r="H125" s="4"/>
      <c r="I125" s="4"/>
    </row>
    <row r="126" spans="1:9" s="3" customFormat="1" x14ac:dyDescent="0.25">
      <c r="A126" s="3" t="s">
        <v>86</v>
      </c>
      <c r="B126" s="3" t="s">
        <v>85</v>
      </c>
      <c r="C126" s="3">
        <v>55.89</v>
      </c>
      <c r="H126" s="4"/>
      <c r="I126" s="4"/>
    </row>
    <row r="127" spans="1:9" ht="14.1" customHeight="1" x14ac:dyDescent="0.25">
      <c r="A127" t="s">
        <v>241</v>
      </c>
      <c r="B127" t="s">
        <v>242</v>
      </c>
      <c r="C127">
        <v>14.64</v>
      </c>
    </row>
    <row r="128" spans="1:9" ht="14.1" customHeight="1" x14ac:dyDescent="0.25">
      <c r="A128" t="s">
        <v>371</v>
      </c>
      <c r="B128" t="s">
        <v>293</v>
      </c>
      <c r="C128">
        <v>86.63</v>
      </c>
    </row>
    <row r="129" spans="1:9" s="3" customFormat="1" ht="14.1" customHeight="1" x14ac:dyDescent="0.25">
      <c r="A129" s="3" t="s">
        <v>193</v>
      </c>
      <c r="B129" s="3" t="s">
        <v>172</v>
      </c>
      <c r="C129" s="3">
        <v>156.4</v>
      </c>
      <c r="H129" s="4"/>
      <c r="I129" s="4"/>
    </row>
    <row r="130" spans="1:9" x14ac:dyDescent="0.25">
      <c r="A130" t="s">
        <v>141</v>
      </c>
      <c r="B130" t="s">
        <v>141</v>
      </c>
      <c r="C130">
        <v>106.97</v>
      </c>
    </row>
    <row r="131" spans="1:9" x14ac:dyDescent="0.25">
      <c r="A131" t="s">
        <v>222</v>
      </c>
      <c r="B131" t="s">
        <v>223</v>
      </c>
      <c r="C131">
        <v>13.37</v>
      </c>
      <c r="D131">
        <f>16*(97*1.3+18)*(1-35%)*(1-29%)/53</f>
        <v>20.076120754716985</v>
      </c>
      <c r="E131">
        <f>16*(97*1.3+18)*(1-35%)*(1-29%)/53</f>
        <v>20.076120754716985</v>
      </c>
      <c r="F131">
        <v>0</v>
      </c>
      <c r="G131" t="s">
        <v>329</v>
      </c>
      <c r="I131" s="2">
        <v>0.6</v>
      </c>
    </row>
    <row r="132" spans="1:9" x14ac:dyDescent="0.25">
      <c r="A132" t="s">
        <v>121</v>
      </c>
      <c r="B132" t="s">
        <v>122</v>
      </c>
      <c r="C132">
        <v>59.42</v>
      </c>
    </row>
    <row r="133" spans="1:9" x14ac:dyDescent="0.25">
      <c r="A133" t="s">
        <v>306</v>
      </c>
      <c r="B133" t="s">
        <v>294</v>
      </c>
      <c r="C133">
        <v>55</v>
      </c>
    </row>
    <row r="134" spans="1:9" x14ac:dyDescent="0.25">
      <c r="A134" t="s">
        <v>224</v>
      </c>
      <c r="B134" t="s">
        <v>167</v>
      </c>
      <c r="C134">
        <v>23.18</v>
      </c>
    </row>
    <row r="135" spans="1:9" x14ac:dyDescent="0.25">
      <c r="A135" t="s">
        <v>130</v>
      </c>
      <c r="B135" t="s">
        <v>50</v>
      </c>
      <c r="C135">
        <v>43.36</v>
      </c>
    </row>
    <row r="136" spans="1:9" x14ac:dyDescent="0.25">
      <c r="A136" t="s">
        <v>199</v>
      </c>
      <c r="B136" t="s">
        <v>142</v>
      </c>
      <c r="C136">
        <v>119.53</v>
      </c>
    </row>
    <row r="137" spans="1:9" x14ac:dyDescent="0.25">
      <c r="A137" t="s">
        <v>8</v>
      </c>
      <c r="B137" t="s">
        <v>9</v>
      </c>
      <c r="C137">
        <v>42.19</v>
      </c>
    </row>
    <row r="138" spans="1:9" x14ac:dyDescent="0.25">
      <c r="A138" t="s">
        <v>272</v>
      </c>
      <c r="B138" t="s">
        <v>273</v>
      </c>
      <c r="C138">
        <v>67.55</v>
      </c>
    </row>
    <row r="139" spans="1:9" x14ac:dyDescent="0.25">
      <c r="A139" t="s">
        <v>248</v>
      </c>
      <c r="B139" t="s">
        <v>90</v>
      </c>
      <c r="C139">
        <v>14.8</v>
      </c>
    </row>
    <row r="140" spans="1:9" x14ac:dyDescent="0.25">
      <c r="A140" t="s">
        <v>225</v>
      </c>
      <c r="B140" t="s">
        <v>226</v>
      </c>
      <c r="C140">
        <v>8.52</v>
      </c>
      <c r="H140"/>
      <c r="I140"/>
    </row>
    <row r="141" spans="1:9" x14ac:dyDescent="0.25">
      <c r="A141" t="s">
        <v>257</v>
      </c>
      <c r="B141" t="s">
        <v>135</v>
      </c>
      <c r="C141">
        <v>34.75</v>
      </c>
    </row>
    <row r="142" spans="1:9" x14ac:dyDescent="0.25">
      <c r="A142" t="s">
        <v>194</v>
      </c>
      <c r="B142" t="s">
        <v>158</v>
      </c>
      <c r="C142">
        <v>189.45</v>
      </c>
    </row>
    <row r="143" spans="1:9" x14ac:dyDescent="0.25">
      <c r="A143" t="s">
        <v>195</v>
      </c>
      <c r="B143" t="s">
        <v>144</v>
      </c>
      <c r="C143">
        <v>21.75</v>
      </c>
    </row>
    <row r="144" spans="1:9" x14ac:dyDescent="0.25">
      <c r="A144" t="s">
        <v>108</v>
      </c>
      <c r="B144" t="s">
        <v>278</v>
      </c>
      <c r="C144">
        <v>58.56</v>
      </c>
      <c r="D144">
        <f>4.5*10+2</f>
        <v>47</v>
      </c>
      <c r="E144">
        <f>4.5*10</f>
        <v>45</v>
      </c>
      <c r="F144">
        <v>2</v>
      </c>
      <c r="G144" t="s">
        <v>354</v>
      </c>
      <c r="I144" s="2">
        <v>0.65</v>
      </c>
    </row>
    <row r="145" spans="1:9" x14ac:dyDescent="0.25">
      <c r="A145" t="s">
        <v>43</v>
      </c>
      <c r="B145" t="s">
        <v>44</v>
      </c>
      <c r="C145">
        <v>58.66</v>
      </c>
    </row>
    <row r="146" spans="1:9" x14ac:dyDescent="0.25">
      <c r="A146" t="s">
        <v>271</v>
      </c>
      <c r="B146" t="s">
        <v>49</v>
      </c>
      <c r="C146">
        <v>97.7</v>
      </c>
    </row>
    <row r="147" spans="1:9" x14ac:dyDescent="0.25">
      <c r="A147" t="s">
        <v>56</v>
      </c>
      <c r="B147" t="s">
        <v>57</v>
      </c>
      <c r="C147">
        <v>21.08</v>
      </c>
      <c r="D147">
        <f>(56-14)*(1-23%)/19*17</f>
        <v>28.935789473684217</v>
      </c>
      <c r="E147">
        <f>(56-14)*(1-23%)/19*17</f>
        <v>28.935789473684217</v>
      </c>
      <c r="F147">
        <v>0</v>
      </c>
      <c r="G147" t="s">
        <v>362</v>
      </c>
      <c r="I147" s="2">
        <v>0.6</v>
      </c>
    </row>
    <row r="148" spans="1:9" x14ac:dyDescent="0.25">
      <c r="A148" t="s">
        <v>247</v>
      </c>
      <c r="B148" t="s">
        <v>284</v>
      </c>
      <c r="C148">
        <v>52.46</v>
      </c>
      <c r="D148">
        <f>2.9*20</f>
        <v>58</v>
      </c>
      <c r="E148">
        <f>2.9*20</f>
        <v>58</v>
      </c>
      <c r="F148">
        <v>0</v>
      </c>
      <c r="G148" t="s">
        <v>324</v>
      </c>
      <c r="I148" s="2">
        <v>0.65</v>
      </c>
    </row>
    <row r="149" spans="1:9" x14ac:dyDescent="0.25">
      <c r="A149" t="s">
        <v>38</v>
      </c>
      <c r="B149" t="s">
        <v>39</v>
      </c>
      <c r="C149">
        <v>318.2</v>
      </c>
    </row>
    <row r="150" spans="1:9" x14ac:dyDescent="0.25">
      <c r="A150" t="s">
        <v>51</v>
      </c>
      <c r="B150" t="s">
        <v>52</v>
      </c>
      <c r="C150">
        <v>26.79</v>
      </c>
    </row>
    <row r="151" spans="1:9" x14ac:dyDescent="0.25">
      <c r="A151" t="s">
        <v>104</v>
      </c>
      <c r="B151" t="s">
        <v>105</v>
      </c>
      <c r="C151">
        <v>6.74</v>
      </c>
      <c r="G151" t="s">
        <v>106</v>
      </c>
    </row>
    <row r="152" spans="1:9" x14ac:dyDescent="0.25">
      <c r="A152" t="s">
        <v>184</v>
      </c>
      <c r="B152" t="s">
        <v>76</v>
      </c>
      <c r="C152">
        <v>43.38</v>
      </c>
    </row>
    <row r="153" spans="1:9" x14ac:dyDescent="0.25">
      <c r="A153" t="s">
        <v>175</v>
      </c>
      <c r="B153" t="s">
        <v>145</v>
      </c>
      <c r="C153">
        <v>102.34</v>
      </c>
      <c r="G153" t="s">
        <v>176</v>
      </c>
    </row>
    <row r="154" spans="1:9" x14ac:dyDescent="0.25">
      <c r="A154" t="s">
        <v>246</v>
      </c>
      <c r="B154" t="s">
        <v>123</v>
      </c>
      <c r="C154">
        <v>213.3</v>
      </c>
    </row>
    <row r="155" spans="1:9" x14ac:dyDescent="0.25">
      <c r="A155" t="s">
        <v>200</v>
      </c>
      <c r="B155" t="s">
        <v>152</v>
      </c>
      <c r="C155">
        <v>246.07</v>
      </c>
    </row>
    <row r="156" spans="1:9" x14ac:dyDescent="0.25">
      <c r="A156" t="s">
        <v>259</v>
      </c>
      <c r="B156" t="s">
        <v>69</v>
      </c>
      <c r="C156">
        <v>173.97</v>
      </c>
    </row>
    <row r="157" spans="1:9" x14ac:dyDescent="0.25">
      <c r="A157" t="s">
        <v>188</v>
      </c>
      <c r="B157" t="s">
        <v>171</v>
      </c>
      <c r="C157">
        <v>119.78</v>
      </c>
    </row>
    <row r="158" spans="1:9" x14ac:dyDescent="0.25">
      <c r="A158" t="s">
        <v>338</v>
      </c>
      <c r="B158" t="s">
        <v>339</v>
      </c>
      <c r="C158">
        <v>119.14</v>
      </c>
      <c r="D158">
        <f>4.2*23</f>
        <v>96.600000000000009</v>
      </c>
      <c r="E158">
        <f>4.2*23</f>
        <v>96.600000000000009</v>
      </c>
      <c r="F158">
        <v>0</v>
      </c>
      <c r="G158" t="s">
        <v>343</v>
      </c>
      <c r="I158" s="2">
        <v>0.5</v>
      </c>
    </row>
    <row r="159" spans="1:9" x14ac:dyDescent="0.25">
      <c r="A159" t="s">
        <v>3</v>
      </c>
      <c r="B159" t="s">
        <v>4</v>
      </c>
      <c r="C159">
        <v>115.37</v>
      </c>
    </row>
    <row r="160" spans="1:9" x14ac:dyDescent="0.25">
      <c r="A160" t="s">
        <v>304</v>
      </c>
      <c r="B160" t="s">
        <v>297</v>
      </c>
      <c r="C160">
        <v>30.51</v>
      </c>
      <c r="D160">
        <f>3.8*12</f>
        <v>45.599999999999994</v>
      </c>
      <c r="E160">
        <f>3.8*12</f>
        <v>45.599999999999994</v>
      </c>
      <c r="F160">
        <v>0</v>
      </c>
      <c r="G160" t="s">
        <v>347</v>
      </c>
      <c r="I160" s="2">
        <v>0.6</v>
      </c>
    </row>
    <row r="161" spans="1:14" s="3" customFormat="1" x14ac:dyDescent="0.25">
      <c r="A161" s="3" t="s">
        <v>340</v>
      </c>
      <c r="B161" s="3" t="s">
        <v>341</v>
      </c>
      <c r="C161" s="3">
        <v>37.25</v>
      </c>
      <c r="D161" s="3">
        <f>1.95*20</f>
        <v>39</v>
      </c>
      <c r="E161" s="3">
        <f>1.95*20</f>
        <v>39</v>
      </c>
      <c r="F161" s="3">
        <v>0</v>
      </c>
      <c r="G161" s="3" t="s">
        <v>342</v>
      </c>
      <c r="H161" s="4"/>
      <c r="I161" s="4">
        <v>0.5</v>
      </c>
    </row>
    <row r="162" spans="1:14" s="3" customFormat="1" x14ac:dyDescent="0.25">
      <c r="A162" s="3" t="s">
        <v>60</v>
      </c>
      <c r="B162" s="3" t="s">
        <v>61</v>
      </c>
      <c r="C162" s="3">
        <v>37.25</v>
      </c>
      <c r="H162" s="4"/>
      <c r="I162" s="4"/>
    </row>
    <row r="163" spans="1:14" x14ac:dyDescent="0.25">
      <c r="A163" t="s">
        <v>99</v>
      </c>
      <c r="B163" t="s">
        <v>100</v>
      </c>
      <c r="C163">
        <v>21.9</v>
      </c>
    </row>
    <row r="164" spans="1:14" ht="19.5" customHeight="1" x14ac:dyDescent="0.25">
      <c r="A164" t="s">
        <v>218</v>
      </c>
      <c r="B164" t="s">
        <v>148</v>
      </c>
      <c r="C164">
        <v>47.58</v>
      </c>
      <c r="D164">
        <f>4.3*(15+1)</f>
        <v>68.8</v>
      </c>
      <c r="E164">
        <f>4.3*(15+1)</f>
        <v>68.8</v>
      </c>
      <c r="F164">
        <v>0</v>
      </c>
      <c r="G164" t="s">
        <v>351</v>
      </c>
      <c r="I164" s="2">
        <v>0.45</v>
      </c>
    </row>
    <row r="165" spans="1:14" x14ac:dyDescent="0.25">
      <c r="A165" t="s">
        <v>219</v>
      </c>
      <c r="B165" t="s">
        <v>161</v>
      </c>
      <c r="C165">
        <v>64.11</v>
      </c>
    </row>
    <row r="166" spans="1:14" ht="14.1" customHeight="1" x14ac:dyDescent="0.25">
      <c r="A166" t="s">
        <v>185</v>
      </c>
      <c r="B166" t="s">
        <v>143</v>
      </c>
      <c r="C166">
        <v>126.63</v>
      </c>
    </row>
    <row r="167" spans="1:14" s="3" customFormat="1" ht="14.1" customHeight="1" x14ac:dyDescent="0.25">
      <c r="A167" s="3" t="s">
        <v>280</v>
      </c>
      <c r="B167" s="3" t="s">
        <v>281</v>
      </c>
      <c r="C167" s="3">
        <v>89.63</v>
      </c>
      <c r="D167" s="3">
        <f>12.62*10</f>
        <v>126.19999999999999</v>
      </c>
      <c r="E167" s="3">
        <f>12.62*10</f>
        <v>126.19999999999999</v>
      </c>
      <c r="F167" s="3">
        <v>0</v>
      </c>
      <c r="G167" s="3" t="s">
        <v>355</v>
      </c>
      <c r="H167" s="4"/>
      <c r="I167" s="4">
        <v>0.65</v>
      </c>
    </row>
    <row r="168" spans="1:14" ht="14.1" customHeight="1" x14ac:dyDescent="0.25">
      <c r="A168" t="s">
        <v>220</v>
      </c>
      <c r="B168" t="s">
        <v>221</v>
      </c>
      <c r="C168">
        <v>16.88</v>
      </c>
      <c r="D168">
        <f>E168/(1+I168)</f>
        <v>12.096774193548386</v>
      </c>
      <c r="E168">
        <f>225*20/248</f>
        <v>18.14516129032258</v>
      </c>
      <c r="F168">
        <v>0</v>
      </c>
      <c r="G168" t="s">
        <v>408</v>
      </c>
      <c r="I168" s="2">
        <v>0.5</v>
      </c>
    </row>
    <row r="169" spans="1:14" ht="14.1" customHeight="1" x14ac:dyDescent="0.25">
      <c r="A169" t="s">
        <v>313</v>
      </c>
      <c r="B169" t="s">
        <v>310</v>
      </c>
      <c r="C169">
        <v>80.12</v>
      </c>
      <c r="G169" t="s">
        <v>346</v>
      </c>
    </row>
    <row r="170" spans="1:14" ht="15" customHeight="1" x14ac:dyDescent="0.25">
      <c r="A170" t="s">
        <v>110</v>
      </c>
      <c r="B170" t="s">
        <v>111</v>
      </c>
      <c r="C170">
        <v>43.7</v>
      </c>
    </row>
    <row r="171" spans="1:14" s="3" customFormat="1" ht="15" customHeight="1" x14ac:dyDescent="0.25">
      <c r="A171" s="3" t="s">
        <v>266</v>
      </c>
      <c r="B171" s="3" t="s">
        <v>132</v>
      </c>
      <c r="C171" s="3">
        <v>35.01</v>
      </c>
      <c r="D171" s="3">
        <f>700/332+600*20/332+1000/332</f>
        <v>41.265060240963855</v>
      </c>
      <c r="E171" s="3">
        <f>700/332+600*20/332+1000/332</f>
        <v>41.265060240963855</v>
      </c>
      <c r="F171" s="3">
        <f>700/332</f>
        <v>2.1084337349397591</v>
      </c>
      <c r="G171" s="3" t="s">
        <v>393</v>
      </c>
      <c r="H171" s="4"/>
      <c r="I171" s="4">
        <v>0.65</v>
      </c>
    </row>
    <row r="172" spans="1:14" ht="14.1" customHeight="1" x14ac:dyDescent="0.25">
      <c r="A172" t="s">
        <v>31</v>
      </c>
      <c r="B172" t="s">
        <v>31</v>
      </c>
      <c r="C172">
        <v>85.44</v>
      </c>
    </row>
    <row r="173" spans="1:14" ht="14.1" customHeight="1" x14ac:dyDescent="0.25">
      <c r="A173" t="s">
        <v>137</v>
      </c>
      <c r="B173" t="s">
        <v>137</v>
      </c>
      <c r="C173">
        <v>98.37</v>
      </c>
    </row>
    <row r="174" spans="1:14" x14ac:dyDescent="0.25">
      <c r="A174" t="s">
        <v>210</v>
      </c>
      <c r="B174" t="s">
        <v>134</v>
      </c>
      <c r="C174">
        <v>53.21</v>
      </c>
    </row>
    <row r="175" spans="1:14" s="6" customFormat="1" x14ac:dyDescent="0.25">
      <c r="A175" s="5" t="s">
        <v>406</v>
      </c>
      <c r="B175" s="5" t="s">
        <v>405</v>
      </c>
      <c r="C175" s="6">
        <v>9.6</v>
      </c>
      <c r="D175" s="6">
        <f>E175/(1+I175)+F175</f>
        <v>6.428571428571427</v>
      </c>
      <c r="E175" s="6">
        <f>(450*8)/140</f>
        <v>25.714285714285715</v>
      </c>
      <c r="F175" s="6">
        <f>(-450*3)/140</f>
        <v>-9.6428571428571423</v>
      </c>
      <c r="G175" s="5" t="s">
        <v>407</v>
      </c>
      <c r="I175" s="7">
        <v>0.6</v>
      </c>
      <c r="J175" s="8"/>
      <c r="K175" s="8"/>
      <c r="L175" s="6" t="s">
        <v>405</v>
      </c>
      <c r="M175" s="6">
        <v>9.6</v>
      </c>
      <c r="N175" s="8" t="str">
        <f t="shared" ref="N175" si="0">IF(B175=L175,"true","false")</f>
        <v>true</v>
      </c>
    </row>
    <row r="176" spans="1:14" x14ac:dyDescent="0.25">
      <c r="A176" t="s">
        <v>409</v>
      </c>
      <c r="B176" t="s">
        <v>410</v>
      </c>
      <c r="D176">
        <f>E176/(1+I176)+F176</f>
        <v>53.114406779661017</v>
      </c>
      <c r="E176">
        <f>2.2*30</f>
        <v>66</v>
      </c>
      <c r="F176">
        <f>1400/118</f>
        <v>11.864406779661017</v>
      </c>
      <c r="G176" t="s">
        <v>411</v>
      </c>
      <c r="I176" s="2">
        <v>0.6</v>
      </c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</sheetData>
  <sortState ref="A3:P183">
    <sortCondition descending="1" ref="H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397</v>
      </c>
      <c r="F1" t="s">
        <v>398</v>
      </c>
    </row>
    <row r="2" spans="1:6" x14ac:dyDescent="0.25">
      <c r="A2" t="s">
        <v>30</v>
      </c>
      <c r="F2" t="s">
        <v>399</v>
      </c>
    </row>
    <row r="3" spans="1:6" x14ac:dyDescent="0.25">
      <c r="A3" t="s">
        <v>155</v>
      </c>
      <c r="F3" t="s">
        <v>400</v>
      </c>
    </row>
    <row r="4" spans="1:6" x14ac:dyDescent="0.25">
      <c r="A4" t="s">
        <v>270</v>
      </c>
      <c r="F4" t="s">
        <v>401</v>
      </c>
    </row>
    <row r="5" spans="1:6" x14ac:dyDescent="0.25">
      <c r="A5" t="s">
        <v>24</v>
      </c>
      <c r="F5" t="s">
        <v>402</v>
      </c>
    </row>
    <row r="6" spans="1:6" x14ac:dyDescent="0.25">
      <c r="A6" t="s">
        <v>264</v>
      </c>
    </row>
    <row r="7" spans="1:6" x14ac:dyDescent="0.25">
      <c r="A7" t="s">
        <v>5</v>
      </c>
    </row>
    <row r="8" spans="1:6" x14ac:dyDescent="0.25">
      <c r="A8" t="s">
        <v>331</v>
      </c>
    </row>
    <row r="9" spans="1:6" x14ac:dyDescent="0.25">
      <c r="A9" t="s">
        <v>240</v>
      </c>
    </row>
    <row r="10" spans="1:6" x14ac:dyDescent="0.25">
      <c r="A10" t="s">
        <v>131</v>
      </c>
    </row>
    <row r="11" spans="1:6" x14ac:dyDescent="0.25">
      <c r="A11" t="s">
        <v>63</v>
      </c>
    </row>
    <row r="12" spans="1:6" x14ac:dyDescent="0.25">
      <c r="A12" t="s">
        <v>315</v>
      </c>
    </row>
    <row r="13" spans="1:6" x14ac:dyDescent="0.25">
      <c r="A13" t="s">
        <v>250</v>
      </c>
    </row>
    <row r="14" spans="1:6" x14ac:dyDescent="0.25">
      <c r="A14" t="s">
        <v>237</v>
      </c>
    </row>
    <row r="15" spans="1:6" x14ac:dyDescent="0.25">
      <c r="A15" t="s">
        <v>386</v>
      </c>
    </row>
    <row r="16" spans="1:6" x14ac:dyDescent="0.25">
      <c r="A16" t="s">
        <v>149</v>
      </c>
    </row>
    <row r="17" spans="1:1" x14ac:dyDescent="0.25">
      <c r="A17" t="s">
        <v>242</v>
      </c>
    </row>
    <row r="18" spans="1:1" x14ac:dyDescent="0.25">
      <c r="A18" t="s">
        <v>97</v>
      </c>
    </row>
    <row r="19" spans="1:1" x14ac:dyDescent="0.25">
      <c r="A19" t="s">
        <v>223</v>
      </c>
    </row>
    <row r="20" spans="1:1" x14ac:dyDescent="0.25">
      <c r="A20" t="s">
        <v>167</v>
      </c>
    </row>
    <row r="21" spans="1:1" x14ac:dyDescent="0.25">
      <c r="A21" t="s">
        <v>65</v>
      </c>
    </row>
    <row r="22" spans="1:1" x14ac:dyDescent="0.25">
      <c r="A22" t="s">
        <v>57</v>
      </c>
    </row>
    <row r="23" spans="1:1" x14ac:dyDescent="0.25">
      <c r="A23" t="s">
        <v>148</v>
      </c>
    </row>
    <row r="24" spans="1:1" x14ac:dyDescent="0.25">
      <c r="A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Ding</dc:creator>
  <cp:lastModifiedBy>Yi Ding</cp:lastModifiedBy>
  <dcterms:created xsi:type="dcterms:W3CDTF">2016-03-28T05:31:10Z</dcterms:created>
  <dcterms:modified xsi:type="dcterms:W3CDTF">2018-05-18T14:53:02Z</dcterms:modified>
</cp:coreProperties>
</file>