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ro\Desktop\"/>
    </mc:Choice>
  </mc:AlternateContent>
  <xr:revisionPtr revIDLastSave="0" documentId="13_ncr:1_{E1767349-D7B5-4860-BB94-E05F5084E5A8}" xr6:coauthVersionLast="45" xr6:coauthVersionMax="45" xr10:uidLastSave="{00000000-0000-0000-0000-000000000000}"/>
  <bookViews>
    <workbookView xWindow="-120" yWindow="-120" windowWidth="38640" windowHeight="21240" activeTab="1" xr2:uid="{1783B3B7-4FFB-4D02-A45D-A3DF129CB69E}"/>
  </bookViews>
  <sheets>
    <sheet name="LT3757-D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B13" i="2"/>
  <c r="B11" i="2"/>
  <c r="L2" i="2" s="1"/>
  <c r="B10" i="2"/>
  <c r="H4" i="2"/>
  <c r="E4" i="2"/>
  <c r="H6" i="2" s="1"/>
  <c r="O4" i="2" s="1"/>
  <c r="O3" i="2"/>
  <c r="L3" i="2"/>
  <c r="H3" i="2"/>
  <c r="H5" i="2" s="1"/>
  <c r="E3" i="2"/>
  <c r="O2" i="2"/>
  <c r="H2" i="2"/>
  <c r="E2" i="2"/>
  <c r="B13" i="1"/>
  <c r="L3" i="1"/>
  <c r="H15" i="1"/>
  <c r="B10" i="1"/>
  <c r="H4" i="1"/>
  <c r="O3" i="1"/>
  <c r="O2" i="1"/>
  <c r="E4" i="1"/>
  <c r="H3" i="1" s="1"/>
  <c r="H5" i="1" s="1"/>
  <c r="H7" i="1" s="1"/>
  <c r="R2" i="1" s="1"/>
  <c r="E2" i="1"/>
  <c r="E3" i="1" s="1"/>
  <c r="H2" i="1"/>
  <c r="B11" i="1"/>
  <c r="L2" i="1" s="1"/>
  <c r="H7" i="2" l="1"/>
  <c r="U2" i="2"/>
  <c r="H14" i="2"/>
  <c r="R3" i="1"/>
  <c r="H9" i="1"/>
  <c r="H13" i="1" s="1"/>
  <c r="H6" i="1"/>
  <c r="O4" i="1" s="1"/>
  <c r="H14" i="1"/>
  <c r="H8" i="1"/>
  <c r="H10" i="1" s="1"/>
  <c r="U2" i="1"/>
  <c r="R3" i="2" l="1"/>
  <c r="H9" i="2"/>
  <c r="H8" i="2"/>
  <c r="R2" i="2"/>
  <c r="H11" i="1"/>
  <c r="H12" i="1"/>
  <c r="H11" i="2" l="1"/>
  <c r="H13" i="2"/>
  <c r="H10" i="2"/>
  <c r="H12" i="2"/>
</calcChain>
</file>

<file path=xl/sharedStrings.xml><?xml version="1.0" encoding="utf-8"?>
<sst xmlns="http://schemas.openxmlformats.org/spreadsheetml/2006/main" count="96" uniqueCount="47">
  <si>
    <t>Selections</t>
  </si>
  <si>
    <t>Vin(min)</t>
  </si>
  <si>
    <t>Vin(max)</t>
  </si>
  <si>
    <t>Io(max)</t>
  </si>
  <si>
    <t>X</t>
  </si>
  <si>
    <t>f</t>
  </si>
  <si>
    <t>Duty</t>
  </si>
  <si>
    <t>Min Duty</t>
  </si>
  <si>
    <t>Max Duty</t>
  </si>
  <si>
    <t>Vout(max)</t>
  </si>
  <si>
    <t>R2</t>
  </si>
  <si>
    <t>R1</t>
  </si>
  <si>
    <t>Check</t>
  </si>
  <si>
    <t>Tss</t>
  </si>
  <si>
    <t>Caps</t>
  </si>
  <si>
    <t>Resistors</t>
  </si>
  <si>
    <t>Css</t>
  </si>
  <si>
    <t>Currents</t>
  </si>
  <si>
    <t>Idrive(MAX)</t>
  </si>
  <si>
    <t>Dmax</t>
  </si>
  <si>
    <t>VD</t>
  </si>
  <si>
    <t>Isw(max)</t>
  </si>
  <si>
    <t>Isw(peak)</t>
  </si>
  <si>
    <t>dIsw</t>
  </si>
  <si>
    <t>dIL1</t>
  </si>
  <si>
    <t>dIL2</t>
  </si>
  <si>
    <t>Inductors</t>
  </si>
  <si>
    <t>L1</t>
  </si>
  <si>
    <t>L2</t>
  </si>
  <si>
    <t>L1(RMS)</t>
  </si>
  <si>
    <t>L2(RMS)</t>
  </si>
  <si>
    <t>L1(PEAK)</t>
  </si>
  <si>
    <t>L2(PEAK)</t>
  </si>
  <si>
    <t>IL1(max)</t>
  </si>
  <si>
    <t>IL2(max)</t>
  </si>
  <si>
    <t>Rsense</t>
  </si>
  <si>
    <t>Mosfet</t>
  </si>
  <si>
    <t>Pfet</t>
  </si>
  <si>
    <t>RDS(on)</t>
  </si>
  <si>
    <t>CRSS</t>
  </si>
  <si>
    <t>ID(PEAK)</t>
  </si>
  <si>
    <t>VRRM</t>
  </si>
  <si>
    <t>IRMSE(CDC)</t>
  </si>
  <si>
    <t>PSMN102-200Y</t>
  </si>
  <si>
    <t>https://www.digikey.ca/en/products/detail/pulse-electronics-power/PA4320-334NLT/6555168</t>
  </si>
  <si>
    <t>Fet</t>
  </si>
  <si>
    <t>https://www.digikey.ca/en/products/detail/murata-power-solutions-inc/45334C/1924470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</si>
</sst>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2A5F-E57E-4003-92CD-8B90C8A35BDA}">
  <dimension ref="A1:AA15"/>
  <sheetViews>
    <sheetView workbookViewId="0">
      <selection sqref="A1:U15"/>
    </sheetView>
  </sheetViews>
  <sheetFormatPr defaultRowHeight="15" x14ac:dyDescent="0.25"/>
  <cols>
    <col min="1" max="1" width="13.28515625" customWidth="1"/>
    <col min="2" max="2" width="10.85546875" customWidth="1"/>
    <col min="7" max="7" width="12" customWidth="1"/>
    <col min="18" max="18" width="13.85546875" customWidth="1"/>
  </cols>
  <sheetData>
    <row r="1" spans="1:27" x14ac:dyDescent="0.25">
      <c r="A1" t="s">
        <v>0</v>
      </c>
      <c r="D1" t="s">
        <v>6</v>
      </c>
      <c r="G1" t="s">
        <v>17</v>
      </c>
      <c r="K1" t="s">
        <v>14</v>
      </c>
      <c r="N1" t="s">
        <v>15</v>
      </c>
      <c r="Q1" t="s">
        <v>26</v>
      </c>
      <c r="T1" t="s">
        <v>36</v>
      </c>
      <c r="Z1" t="s">
        <v>27</v>
      </c>
      <c r="AA1" t="s">
        <v>44</v>
      </c>
    </row>
    <row r="2" spans="1:27" x14ac:dyDescent="0.25">
      <c r="A2" t="s">
        <v>1</v>
      </c>
      <c r="B2">
        <v>12</v>
      </c>
      <c r="D2" t="s">
        <v>7</v>
      </c>
      <c r="E2">
        <f>220*10^-9*B6</f>
        <v>4.4000000000000004E-2</v>
      </c>
      <c r="G2" t="s">
        <v>18</v>
      </c>
      <c r="H2">
        <f>1.28/B3-0.0016</f>
        <v>0.10506666666666667</v>
      </c>
      <c r="K2" t="s">
        <v>16</v>
      </c>
      <c r="L2">
        <f>B11*10*10^(-6)/1.25</f>
        <v>2.0000000000000001E-9</v>
      </c>
      <c r="N2" t="s">
        <v>10</v>
      </c>
      <c r="O2">
        <f>B8</f>
        <v>22100</v>
      </c>
      <c r="Q2" t="s">
        <v>27</v>
      </c>
      <c r="R2">
        <f>B2/(0.5*H7*B6)*E4</f>
        <v>3.3417633530953268E-4</v>
      </c>
      <c r="T2" t="s">
        <v>37</v>
      </c>
      <c r="U2">
        <f>H5^2*E4*U3+2*(B2+B7)^2*H3*B6*L3</f>
        <v>1.6574314397222203</v>
      </c>
      <c r="Z2" t="s">
        <v>45</v>
      </c>
      <c r="AA2" t="s">
        <v>43</v>
      </c>
    </row>
    <row r="3" spans="1:27" x14ac:dyDescent="0.25">
      <c r="A3" t="s">
        <v>2</v>
      </c>
      <c r="B3">
        <v>12</v>
      </c>
      <c r="D3" t="s">
        <v>8</v>
      </c>
      <c r="E3">
        <f>1-E2</f>
        <v>0.95599999999999996</v>
      </c>
      <c r="G3" t="s">
        <v>33</v>
      </c>
      <c r="H3">
        <f>B4*E4/(1-E4)</f>
        <v>1.5891666666666651</v>
      </c>
      <c r="K3" t="s">
        <v>39</v>
      </c>
      <c r="L3">
        <f>55*10^-12</f>
        <v>5.4999999999999997E-11</v>
      </c>
      <c r="N3" t="s">
        <v>11</v>
      </c>
      <c r="O3">
        <f>B9</f>
        <v>200</v>
      </c>
      <c r="Q3" t="s">
        <v>28</v>
      </c>
      <c r="R3">
        <f>B2/(0.5*H7*B6)*E4</f>
        <v>3.3417633530953268E-4</v>
      </c>
      <c r="T3" t="s">
        <v>38</v>
      </c>
      <c r="U3">
        <v>8.5999999999999993E-2</v>
      </c>
      <c r="Z3" t="s">
        <v>28</v>
      </c>
      <c r="AA3" t="s">
        <v>46</v>
      </c>
    </row>
    <row r="4" spans="1:27" x14ac:dyDescent="0.25">
      <c r="A4" t="s">
        <v>3</v>
      </c>
      <c r="B4">
        <v>0.1</v>
      </c>
      <c r="D4" t="s">
        <v>19</v>
      </c>
      <c r="E4">
        <f>(B7+B12)/(B2+B7+B12)</f>
        <v>0.94079921065614203</v>
      </c>
      <c r="G4" t="s">
        <v>34</v>
      </c>
      <c r="H4">
        <f>B4</f>
        <v>0.1</v>
      </c>
      <c r="N4" t="s">
        <v>35</v>
      </c>
      <c r="O4">
        <f>0.08/H6</f>
        <v>4.3055119522805795E-2</v>
      </c>
    </row>
    <row r="5" spans="1:27" x14ac:dyDescent="0.25">
      <c r="A5" t="s">
        <v>4</v>
      </c>
      <c r="B5">
        <v>0.2</v>
      </c>
      <c r="G5" t="s">
        <v>21</v>
      </c>
      <c r="H5">
        <f>H3+H4</f>
        <v>1.6891666666666652</v>
      </c>
    </row>
    <row r="6" spans="1:27" x14ac:dyDescent="0.25">
      <c r="A6" t="s">
        <v>5</v>
      </c>
      <c r="B6">
        <v>200000</v>
      </c>
      <c r="G6" t="s">
        <v>22</v>
      </c>
      <c r="H6">
        <f>(1+B5/2)*B4*1/(1-E4)</f>
        <v>1.8580833333333318</v>
      </c>
    </row>
    <row r="7" spans="1:27" x14ac:dyDescent="0.25">
      <c r="A7" t="s">
        <v>9</v>
      </c>
      <c r="B7">
        <v>190</v>
      </c>
      <c r="G7" t="s">
        <v>23</v>
      </c>
      <c r="H7">
        <f>B5*H5</f>
        <v>0.33783333333333304</v>
      </c>
    </row>
    <row r="8" spans="1:27" x14ac:dyDescent="0.25">
      <c r="A8" t="s">
        <v>10</v>
      </c>
      <c r="B8">
        <v>22100</v>
      </c>
      <c r="G8" t="s">
        <v>24</v>
      </c>
      <c r="H8">
        <f>H7*0.5</f>
        <v>0.16891666666666652</v>
      </c>
    </row>
    <row r="9" spans="1:27" x14ac:dyDescent="0.25">
      <c r="A9" t="s">
        <v>11</v>
      </c>
      <c r="B9">
        <v>200</v>
      </c>
      <c r="G9" t="s">
        <v>25</v>
      </c>
      <c r="H9">
        <f>H7*0.5</f>
        <v>0.16891666666666652</v>
      </c>
    </row>
    <row r="10" spans="1:27" x14ac:dyDescent="0.25">
      <c r="A10" t="s">
        <v>12</v>
      </c>
      <c r="B10" t="b">
        <f>6*(1+B8/B9)+3.5*B8/8000&gt;B7</f>
        <v>1</v>
      </c>
      <c r="G10" t="s">
        <v>29</v>
      </c>
      <c r="H10">
        <f>H3*SQRT(1+(H8/H3)^2/12)</f>
        <v>1.5899145986920977</v>
      </c>
    </row>
    <row r="11" spans="1:27" x14ac:dyDescent="0.25">
      <c r="A11" t="s">
        <v>13</v>
      </c>
      <c r="B11">
        <f>250*10^-6</f>
        <v>2.5000000000000001E-4</v>
      </c>
      <c r="G11" t="s">
        <v>30</v>
      </c>
      <c r="H11">
        <f>H4*SQRT(1+(H9/H4)^2/12)</f>
        <v>0.11125527713243454</v>
      </c>
    </row>
    <row r="12" spans="1:27" x14ac:dyDescent="0.25">
      <c r="A12" t="s">
        <v>20</v>
      </c>
      <c r="B12">
        <v>0.7</v>
      </c>
      <c r="G12" t="s">
        <v>31</v>
      </c>
      <c r="H12">
        <f>H3+0.5*H8</f>
        <v>1.6736249999999984</v>
      </c>
    </row>
    <row r="13" spans="1:27" x14ac:dyDescent="0.25">
      <c r="A13" t="s">
        <v>41</v>
      </c>
      <c r="B13">
        <f>B7+B3+10</f>
        <v>212</v>
      </c>
      <c r="G13" t="s">
        <v>32</v>
      </c>
      <c r="H13">
        <f>H4+0.5*H9</f>
        <v>0.18445833333333328</v>
      </c>
    </row>
    <row r="14" spans="1:27" x14ac:dyDescent="0.25">
      <c r="G14" t="s">
        <v>40</v>
      </c>
      <c r="H14">
        <f>(1+B5/2)*B4*(1/(1-E4))</f>
        <v>1.858083333333332</v>
      </c>
    </row>
    <row r="15" spans="1:27" x14ac:dyDescent="0.25">
      <c r="G15" t="s">
        <v>42</v>
      </c>
      <c r="H15">
        <f>B4*SQRT((B7+B12)/B2)</f>
        <v>0.3986435333310534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F827-8E69-4EB5-B81A-4890B87C25CE}">
  <dimension ref="A1:U15"/>
  <sheetViews>
    <sheetView tabSelected="1" workbookViewId="0">
      <selection activeCell="R10" sqref="R10"/>
    </sheetView>
  </sheetViews>
  <sheetFormatPr defaultRowHeight="15" x14ac:dyDescent="0.25"/>
  <sheetData>
    <row r="1" spans="1:21" x14ac:dyDescent="0.25">
      <c r="A1" t="s">
        <v>0</v>
      </c>
      <c r="D1" t="s">
        <v>6</v>
      </c>
      <c r="G1" t="s">
        <v>17</v>
      </c>
      <c r="K1" t="s">
        <v>14</v>
      </c>
      <c r="N1" t="s">
        <v>15</v>
      </c>
      <c r="Q1" t="s">
        <v>26</v>
      </c>
      <c r="T1" t="s">
        <v>36</v>
      </c>
    </row>
    <row r="2" spans="1:21" x14ac:dyDescent="0.25">
      <c r="A2" t="s">
        <v>1</v>
      </c>
      <c r="B2">
        <v>12</v>
      </c>
      <c r="D2" t="s">
        <v>7</v>
      </c>
      <c r="E2">
        <f>220*10^-9*B6</f>
        <v>2.2000000000000002E-2</v>
      </c>
      <c r="G2" t="s">
        <v>18</v>
      </c>
      <c r="H2">
        <f>1.28/B3-0.0016</f>
        <v>0.10506666666666667</v>
      </c>
      <c r="K2" t="s">
        <v>16</v>
      </c>
      <c r="L2">
        <f>B11*10*10^(-6)/1.25</f>
        <v>2.0000000000000001E-9</v>
      </c>
      <c r="N2" t="s">
        <v>10</v>
      </c>
      <c r="O2">
        <f>B8</f>
        <v>22100</v>
      </c>
      <c r="Q2" t="s">
        <v>27</v>
      </c>
      <c r="R2">
        <f>B2/(0.5*H7*B6)*E4</f>
        <v>1.0665769717263475E-3</v>
      </c>
      <c r="T2" t="s">
        <v>37</v>
      </c>
      <c r="U2">
        <f>H5^2*E4*U3+2*(B2+B7)^2*H3*B6*L3</f>
        <v>0.58655150949999979</v>
      </c>
    </row>
    <row r="3" spans="1:21" x14ac:dyDescent="0.25">
      <c r="A3" t="s">
        <v>2</v>
      </c>
      <c r="B3">
        <v>12</v>
      </c>
      <c r="D3" t="s">
        <v>8</v>
      </c>
      <c r="E3">
        <f>1-E2</f>
        <v>0.97799999999999998</v>
      </c>
      <c r="G3" t="s">
        <v>33</v>
      </c>
      <c r="H3">
        <f>B4*E4/(1-E4)</f>
        <v>1.0014999999999998</v>
      </c>
      <c r="K3" t="s">
        <v>39</v>
      </c>
      <c r="L3">
        <f>55*10^-12</f>
        <v>5.4999999999999997E-11</v>
      </c>
      <c r="N3" t="s">
        <v>11</v>
      </c>
      <c r="O3">
        <f>B9</f>
        <v>200</v>
      </c>
      <c r="Q3" t="s">
        <v>28</v>
      </c>
      <c r="R3">
        <f>B2/(0.5*H7*B6)*E4</f>
        <v>1.0665769717263475E-3</v>
      </c>
      <c r="T3" t="s">
        <v>38</v>
      </c>
      <c r="U3">
        <v>8.5999999999999993E-2</v>
      </c>
    </row>
    <row r="4" spans="1:21" x14ac:dyDescent="0.25">
      <c r="A4" t="s">
        <v>3</v>
      </c>
      <c r="B4">
        <v>0.06</v>
      </c>
      <c r="D4" t="s">
        <v>19</v>
      </c>
      <c r="E4">
        <f>(B7+B12)/(B2+B7+B12)</f>
        <v>0.94347621290626471</v>
      </c>
      <c r="G4" t="s">
        <v>34</v>
      </c>
      <c r="H4">
        <f>B4</f>
        <v>0.06</v>
      </c>
      <c r="N4" t="s">
        <v>35</v>
      </c>
      <c r="O4">
        <f>0.08/H6</f>
        <v>6.8513681325739748E-2</v>
      </c>
    </row>
    <row r="5" spans="1:21" x14ac:dyDescent="0.25">
      <c r="A5" t="s">
        <v>4</v>
      </c>
      <c r="B5">
        <v>0.2</v>
      </c>
      <c r="G5" t="s">
        <v>21</v>
      </c>
      <c r="H5">
        <f>H3+H4</f>
        <v>1.0614999999999999</v>
      </c>
    </row>
    <row r="6" spans="1:21" x14ac:dyDescent="0.25">
      <c r="A6" t="s">
        <v>5</v>
      </c>
      <c r="B6">
        <v>100000</v>
      </c>
      <c r="G6" t="s">
        <v>22</v>
      </c>
      <c r="H6">
        <f>(1+B5/2)*B4*1/(1-E4)</f>
        <v>1.1676499999999999</v>
      </c>
    </row>
    <row r="7" spans="1:21" x14ac:dyDescent="0.25">
      <c r="A7" t="s">
        <v>9</v>
      </c>
      <c r="B7">
        <v>200</v>
      </c>
      <c r="G7" t="s">
        <v>23</v>
      </c>
      <c r="H7">
        <f>B5*H5</f>
        <v>0.21229999999999999</v>
      </c>
    </row>
    <row r="8" spans="1:21" x14ac:dyDescent="0.25">
      <c r="A8" t="s">
        <v>10</v>
      </c>
      <c r="B8">
        <v>22100</v>
      </c>
      <c r="G8" t="s">
        <v>24</v>
      </c>
      <c r="H8">
        <f>H7*0.5</f>
        <v>0.10614999999999999</v>
      </c>
    </row>
    <row r="9" spans="1:21" x14ac:dyDescent="0.25">
      <c r="A9" t="s">
        <v>11</v>
      </c>
      <c r="B9">
        <v>200</v>
      </c>
      <c r="G9" t="s">
        <v>25</v>
      </c>
      <c r="H9">
        <f>H7*0.5</f>
        <v>0.10614999999999999</v>
      </c>
    </row>
    <row r="10" spans="1:21" x14ac:dyDescent="0.25">
      <c r="A10" t="s">
        <v>12</v>
      </c>
      <c r="B10" t="b">
        <f>6*(1+B8/B9)+3.5*B8/8000&gt;B7</f>
        <v>1</v>
      </c>
      <c r="G10" t="s">
        <v>29</v>
      </c>
      <c r="H10">
        <f>H3*SQRT(1+(H8/H3)^2/12)</f>
        <v>1.0019686797541791</v>
      </c>
    </row>
    <row r="11" spans="1:21" x14ac:dyDescent="0.25">
      <c r="A11" t="s">
        <v>13</v>
      </c>
      <c r="B11">
        <f>250*10^-6</f>
        <v>2.5000000000000001E-4</v>
      </c>
      <c r="G11" t="s">
        <v>30</v>
      </c>
      <c r="H11">
        <f>H4*SQRT(1+(H9/H4)^2/12)</f>
        <v>6.7371991274811915E-2</v>
      </c>
    </row>
    <row r="12" spans="1:21" x14ac:dyDescent="0.25">
      <c r="A12" t="s">
        <v>20</v>
      </c>
      <c r="B12">
        <v>0.3</v>
      </c>
      <c r="G12" t="s">
        <v>31</v>
      </c>
      <c r="H12">
        <f>H3+0.5*H8</f>
        <v>1.0545749999999998</v>
      </c>
    </row>
    <row r="13" spans="1:21" x14ac:dyDescent="0.25">
      <c r="A13" t="s">
        <v>41</v>
      </c>
      <c r="B13">
        <f>B7+B3+10</f>
        <v>222</v>
      </c>
      <c r="G13" t="s">
        <v>32</v>
      </c>
      <c r="H13">
        <f>H4+0.5*H9</f>
        <v>0.11307499999999999</v>
      </c>
    </row>
    <row r="14" spans="1:21" x14ac:dyDescent="0.25">
      <c r="G14" t="s">
        <v>40</v>
      </c>
      <c r="H14">
        <f>(1+B5/2)*B4*(1/(1-E4))</f>
        <v>1.1676499999999999</v>
      </c>
    </row>
    <row r="15" spans="1:21" x14ac:dyDescent="0.25">
      <c r="G15" t="s">
        <v>42</v>
      </c>
      <c r="H15">
        <f>B4*SQRT((B7+B12)/B2)</f>
        <v>0.24513261716874804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LT3757-D1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Dyer</dc:creator>
  <cp:lastModifiedBy>Benjamin Dyer</cp:lastModifiedBy>
  <dcterms:created xsi:type="dcterms:W3CDTF">2021-01-15T15:21:39Z</dcterms:created>
  <dcterms:modified xsi:type="dcterms:W3CDTF">2021-01-24T15:35:13Z</dcterms:modified>
</cp:coreProperties>
</file>