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fileSharing readOnlyRecommended="1" userName="Dong Young Kim" algorithmName="SHA-512" hashValue="Bmz+GyBBJGDpDBVZNN6dVeF+VXByyPbdTtXt85fHviGBLa5Nxd8WznbTKLcEKKxrfvb+vJCb/6X+3GNk29qgHw==" saltValue="AjrschpxwZkMULznU7DuSg==" spinCount="100000"/>
  <workbookPr codeName="ThisWorkbook" defaultThemeVersion="166925"/>
  <mc:AlternateContent xmlns:mc="http://schemas.openxmlformats.org/markup-compatibility/2006">
    <mc:Choice Requires="x15">
      <x15ac:absPath xmlns:x15ac="http://schemas.microsoft.com/office/spreadsheetml/2010/11/ac" url="/Users/dyk010518/Desktop/"/>
    </mc:Choice>
  </mc:AlternateContent>
  <xr:revisionPtr revIDLastSave="0" documentId="8_{86EC0169-B1BB-E248-8014-86AA486CC9EE}" xr6:coauthVersionLast="47" xr6:coauthVersionMax="47" xr10:uidLastSave="{00000000-0000-0000-0000-000000000000}"/>
  <workbookProtection lockStructure="1"/>
  <bookViews>
    <workbookView xWindow="0" yWindow="460" windowWidth="35840" windowHeight="20280" xr2:uid="{9A36D7B6-6A07-C04B-BC5C-CB17E7EAD285}"/>
  </bookViews>
  <sheets>
    <sheet name="RPM" sheetId="4" r:id="rId1"/>
    <sheet name="FSM and DCF Model" sheetId="5" r:id="rId2"/>
    <sheet name="Sensitivity Analysis" sheetId="6" r:id="rId3"/>
  </sheets>
  <externalReferences>
    <externalReference r:id="rId4"/>
    <externalReference r:id="rId5"/>
  </externalReferences>
  <definedNames>
    <definedName name="basic_shares_out">'[1]FSM w. BS+SCF'!$E$11</definedName>
    <definedName name="circ_breaker">'[1]FSM w. BS+SCF'!$E$13</definedName>
    <definedName name="circref">[2]RPM!$Z$6</definedName>
    <definedName name="Company_Name">'[1]FSM w. BS+SCF'!$E$6</definedName>
    <definedName name="Cost_of_Debt">[2]Model!$D$60</definedName>
    <definedName name="Current_Share_Price">[2]RPM!$D$7</definedName>
    <definedName name="days_per_year">'[1]FSM w. BS+SCF'!$E$9</definedName>
    <definedName name="DBX_Net_Debt">'Sensitivity Analysis'!$E$25</definedName>
    <definedName name="Debt_Weight">[2]Model!$J$62</definedName>
    <definedName name="Diluted_Shares_Outstanding">'[1]FSM and DCF Model'!$S$185</definedName>
    <definedName name="end_EBITDA">'Sensitivity Analysis'!$M$18</definedName>
    <definedName name="EquityWeight">[2]Model!$J$63</definedName>
    <definedName name="Free_cash_flow__t_1">'Sensitivity Analysis'!$E$17</definedName>
    <definedName name="Last_Fiscal_Date" localSheetId="0">RPM!$D$3</definedName>
    <definedName name="Last_Fiscal_Date">[1]Sheet1!$D$3</definedName>
    <definedName name="Last_Fiscal_Year">'[1]FSM w. BS+SCF'!$E$8</definedName>
    <definedName name="LT_Growth_Rate">'[1]FSM and DCF Model'!$H$168</definedName>
    <definedName name="Market_Equity">[2]Model!$G$63</definedName>
    <definedName name="Market_Risk_Premium">[2]Model!$D$66</definedName>
    <definedName name="Net_Debt">[2]Model!$G$62</definedName>
    <definedName name="Present_value_of_FCFs">'Sensitivity Analysis'!$E$22</definedName>
    <definedName name="relev_beta">[2]Model!$D$67</definedName>
    <definedName name="Risk_Free_Rate">[2]Model!$D$65</definedName>
    <definedName name="Shares_Outstanding">'[1]FSM and DCF Model'!$S$168</definedName>
    <definedName name="STOCK_PRICE">'FSM and DCF Model'!$D$6</definedName>
    <definedName name="Stub_Year_Fraction">[2]Model!$D$8</definedName>
    <definedName name="Ticker">'[1]FSM w. BS+SCF'!$E$7</definedName>
    <definedName name="Total_Shares_Outstanding">'[1]FSM and DCF Model'!#REF!</definedName>
    <definedName name="TotalSharesOutstanding">'[1]FSM and DCF Model'!#REF!</definedName>
    <definedName name="WACC">'[1]FSM and DCF Model'!#REF!</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8" i="5" l="1"/>
  <c r="E98" i="5"/>
  <c r="F98" i="5"/>
  <c r="G98" i="5"/>
  <c r="N98" i="5"/>
  <c r="M98" i="5"/>
  <c r="L98" i="5"/>
  <c r="K98" i="5"/>
  <c r="J98" i="5"/>
  <c r="I98" i="5"/>
  <c r="H98" i="5"/>
  <c r="J114" i="5"/>
  <c r="J115" i="5"/>
  <c r="K113" i="5"/>
  <c r="K114" i="5"/>
  <c r="K120" i="5"/>
  <c r="H77" i="6"/>
  <c r="I77" i="6"/>
  <c r="J77" i="6"/>
  <c r="G77" i="6"/>
  <c r="F77" i="6"/>
  <c r="H64" i="6"/>
  <c r="I64" i="6"/>
  <c r="J64" i="6"/>
  <c r="H102" i="5"/>
  <c r="H10" i="5"/>
  <c r="H9" i="5"/>
  <c r="G9" i="5"/>
  <c r="H105" i="5"/>
  <c r="H106" i="5"/>
  <c r="I102" i="5"/>
  <c r="I10" i="5"/>
  <c r="I9" i="5"/>
  <c r="I105" i="5"/>
  <c r="I106" i="5"/>
  <c r="J102" i="5"/>
  <c r="J10" i="5"/>
  <c r="J9" i="5"/>
  <c r="J105" i="5"/>
  <c r="J106" i="5"/>
  <c r="K102" i="5"/>
  <c r="K10" i="5"/>
  <c r="K9" i="5"/>
  <c r="K105" i="5"/>
  <c r="K106" i="5"/>
  <c r="L102" i="5"/>
  <c r="L10" i="5"/>
  <c r="L9" i="5"/>
  <c r="L105" i="5"/>
  <c r="L106" i="5"/>
  <c r="M102" i="5"/>
  <c r="M10" i="5"/>
  <c r="M9" i="5"/>
  <c r="M105" i="5"/>
  <c r="M106" i="5"/>
  <c r="N102" i="5"/>
  <c r="N10" i="5"/>
  <c r="N9" i="5"/>
  <c r="N105" i="5"/>
  <c r="N106" i="5"/>
  <c r="E22" i="6"/>
  <c r="J71" i="6"/>
  <c r="I71" i="6"/>
  <c r="H71" i="6"/>
  <c r="G64" i="6"/>
  <c r="G71" i="6"/>
  <c r="F64" i="6"/>
  <c r="F71" i="6"/>
  <c r="J70" i="6"/>
  <c r="I70" i="6"/>
  <c r="H70" i="6"/>
  <c r="G70" i="6"/>
  <c r="F70" i="6"/>
  <c r="J69" i="6"/>
  <c r="I69" i="6"/>
  <c r="G69" i="6"/>
  <c r="H69" i="6"/>
  <c r="F69" i="6"/>
  <c r="J68" i="6"/>
  <c r="I68" i="6"/>
  <c r="H68" i="6"/>
  <c r="G68" i="6"/>
  <c r="F68" i="6"/>
  <c r="J67" i="6"/>
  <c r="I67" i="6"/>
  <c r="H67" i="6"/>
  <c r="G67" i="6"/>
  <c r="F67" i="6"/>
  <c r="J66" i="6"/>
  <c r="I66" i="6"/>
  <c r="H66" i="6"/>
  <c r="G66" i="6"/>
  <c r="F66" i="6"/>
  <c r="F65" i="6"/>
  <c r="J65" i="6"/>
  <c r="I65" i="6"/>
  <c r="H65" i="6"/>
  <c r="G65" i="6"/>
  <c r="H38" i="6"/>
  <c r="I38" i="6"/>
  <c r="J38" i="6"/>
  <c r="H51" i="6"/>
  <c r="I51" i="6"/>
  <c r="J51" i="6"/>
  <c r="G51" i="6"/>
  <c r="G38" i="6"/>
  <c r="F38" i="6"/>
  <c r="N42" i="5"/>
  <c r="M42" i="5"/>
  <c r="L42" i="5"/>
  <c r="K42" i="5"/>
  <c r="J42" i="5"/>
  <c r="I42" i="5"/>
  <c r="H42" i="5"/>
  <c r="H41" i="5"/>
  <c r="I41" i="5"/>
  <c r="J41" i="5"/>
  <c r="K41" i="5"/>
  <c r="L41" i="5"/>
  <c r="M41" i="5"/>
  <c r="N41" i="5"/>
  <c r="N17" i="5"/>
  <c r="N18" i="5"/>
  <c r="N21" i="5"/>
  <c r="N25" i="5"/>
  <c r="N27" i="5"/>
  <c r="N97" i="5"/>
  <c r="N31" i="5"/>
  <c r="N33" i="5"/>
  <c r="E17" i="6"/>
  <c r="H17" i="5"/>
  <c r="H18" i="5"/>
  <c r="H21" i="5"/>
  <c r="H25" i="5"/>
  <c r="H27" i="5"/>
  <c r="H97" i="5"/>
  <c r="H31" i="5"/>
  <c r="H33" i="5"/>
  <c r="I17" i="5"/>
  <c r="I18" i="5"/>
  <c r="I21" i="5"/>
  <c r="I25" i="5"/>
  <c r="I27" i="5"/>
  <c r="I97" i="5"/>
  <c r="I31" i="5"/>
  <c r="I33" i="5"/>
  <c r="J17" i="5"/>
  <c r="J18" i="5"/>
  <c r="J21" i="5"/>
  <c r="J25" i="5"/>
  <c r="J27" i="5"/>
  <c r="J97" i="5"/>
  <c r="J31" i="5"/>
  <c r="J33" i="5"/>
  <c r="K17" i="5"/>
  <c r="K18" i="5"/>
  <c r="K21" i="5"/>
  <c r="K25" i="5"/>
  <c r="K27" i="5"/>
  <c r="K97" i="5"/>
  <c r="K31" i="5"/>
  <c r="K33" i="5"/>
  <c r="L17" i="5"/>
  <c r="L18" i="5"/>
  <c r="L21" i="5"/>
  <c r="L25" i="5"/>
  <c r="L27" i="5"/>
  <c r="L97" i="5"/>
  <c r="L31" i="5"/>
  <c r="L33" i="5"/>
  <c r="M17" i="5"/>
  <c r="M18" i="5"/>
  <c r="M21" i="5"/>
  <c r="M25" i="5"/>
  <c r="M27" i="5"/>
  <c r="M97" i="5"/>
  <c r="M31" i="5"/>
  <c r="M33" i="5"/>
  <c r="J84" i="6"/>
  <c r="I84" i="6"/>
  <c r="H84" i="6"/>
  <c r="G84" i="6"/>
  <c r="F84" i="6"/>
  <c r="J83" i="6"/>
  <c r="I83" i="6"/>
  <c r="H83" i="6"/>
  <c r="G83" i="6"/>
  <c r="F83" i="6"/>
  <c r="J82" i="6"/>
  <c r="I82" i="6"/>
  <c r="H82" i="6"/>
  <c r="G82" i="6"/>
  <c r="F82" i="6"/>
  <c r="J81" i="6"/>
  <c r="I81" i="6"/>
  <c r="H81" i="6"/>
  <c r="G81" i="6"/>
  <c r="F81" i="6"/>
  <c r="J80" i="6"/>
  <c r="I80" i="6"/>
  <c r="H80" i="6"/>
  <c r="G80" i="6"/>
  <c r="F80" i="6"/>
  <c r="J79" i="6"/>
  <c r="I79" i="6"/>
  <c r="H79" i="6"/>
  <c r="G79" i="6"/>
  <c r="F79" i="6"/>
  <c r="J78" i="6"/>
  <c r="I78" i="6"/>
  <c r="H78" i="6"/>
  <c r="G78" i="6"/>
  <c r="F78" i="6"/>
  <c r="E70" i="6"/>
  <c r="E69" i="6"/>
  <c r="E68" i="6"/>
  <c r="E67" i="6"/>
  <c r="E66" i="6"/>
  <c r="E65" i="6"/>
  <c r="E44" i="6"/>
  <c r="E43" i="6"/>
  <c r="E42" i="6"/>
  <c r="E41" i="6"/>
  <c r="E40" i="6"/>
  <c r="E25" i="6"/>
  <c r="J40" i="6"/>
  <c r="J53" i="6"/>
  <c r="J41" i="6"/>
  <c r="J54" i="6"/>
  <c r="J42" i="6"/>
  <c r="J55" i="6"/>
  <c r="J43" i="6"/>
  <c r="J56" i="6"/>
  <c r="J44" i="6"/>
  <c r="J57" i="6"/>
  <c r="J45" i="6"/>
  <c r="J58" i="6"/>
  <c r="I40" i="6"/>
  <c r="I53" i="6"/>
  <c r="I41" i="6"/>
  <c r="I54" i="6"/>
  <c r="I42" i="6"/>
  <c r="I55" i="6"/>
  <c r="I43" i="6"/>
  <c r="I56" i="6"/>
  <c r="I44" i="6"/>
  <c r="I57" i="6"/>
  <c r="I45" i="6"/>
  <c r="I58" i="6"/>
  <c r="H40" i="6"/>
  <c r="H53" i="6"/>
  <c r="H41" i="6"/>
  <c r="H54" i="6"/>
  <c r="H42" i="6"/>
  <c r="H55" i="6"/>
  <c r="H43" i="6"/>
  <c r="H56" i="6"/>
  <c r="H44" i="6"/>
  <c r="H57" i="6"/>
  <c r="H45" i="6"/>
  <c r="H58" i="6"/>
  <c r="G40" i="6"/>
  <c r="G53" i="6"/>
  <c r="G41" i="6"/>
  <c r="G54" i="6"/>
  <c r="G42" i="6"/>
  <c r="G55" i="6"/>
  <c r="G43" i="6"/>
  <c r="G56" i="6"/>
  <c r="G44" i="6"/>
  <c r="G57" i="6"/>
  <c r="G45" i="6"/>
  <c r="G58" i="6"/>
  <c r="F40" i="6"/>
  <c r="F53" i="6"/>
  <c r="F41" i="6"/>
  <c r="F54" i="6"/>
  <c r="F42" i="6"/>
  <c r="F55" i="6"/>
  <c r="F43" i="6"/>
  <c r="F56" i="6"/>
  <c r="F44" i="6"/>
  <c r="F57" i="6"/>
  <c r="F45" i="6"/>
  <c r="F58" i="6"/>
  <c r="E39" i="6"/>
  <c r="G39" i="6"/>
  <c r="G52" i="6"/>
  <c r="H39" i="6"/>
  <c r="H52" i="6"/>
  <c r="I39" i="6"/>
  <c r="I52" i="6"/>
  <c r="J39" i="6"/>
  <c r="J52" i="6"/>
  <c r="F39" i="6"/>
  <c r="F52" i="6"/>
  <c r="E57" i="6"/>
  <c r="E56" i="6"/>
  <c r="E55" i="6"/>
  <c r="E54" i="6"/>
  <c r="E53" i="6"/>
  <c r="E52" i="6"/>
  <c r="M16" i="6"/>
  <c r="K130" i="5"/>
  <c r="M18" i="6"/>
  <c r="M19" i="6"/>
  <c r="M17" i="6"/>
  <c r="M21" i="6"/>
  <c r="M22" i="6"/>
  <c r="M23" i="6"/>
  <c r="M25" i="6"/>
  <c r="M26" i="6"/>
  <c r="M28" i="6"/>
  <c r="M29" i="6"/>
  <c r="D129" i="5"/>
  <c r="K131" i="5"/>
  <c r="K129" i="5"/>
  <c r="E16" i="6"/>
  <c r="E18" i="6"/>
  <c r="E19" i="6"/>
  <c r="E21" i="6"/>
  <c r="E23" i="6"/>
  <c r="E26" i="6"/>
  <c r="E28" i="6"/>
  <c r="E29" i="6"/>
  <c r="K133" i="5"/>
  <c r="K134" i="5"/>
  <c r="K137" i="5"/>
  <c r="K139" i="5"/>
  <c r="K140" i="5"/>
  <c r="K136" i="5"/>
  <c r="E102" i="5"/>
  <c r="D102" i="5"/>
  <c r="E103" i="5"/>
  <c r="F102" i="5"/>
  <c r="F103" i="5"/>
  <c r="G102" i="5"/>
  <c r="G103" i="5"/>
  <c r="H103" i="5"/>
  <c r="I103" i="5"/>
  <c r="J103" i="5"/>
  <c r="K103" i="5"/>
  <c r="L103" i="5"/>
  <c r="M103" i="5"/>
  <c r="N103" i="5"/>
  <c r="N79" i="5"/>
  <c r="M79" i="5"/>
  <c r="L79" i="5"/>
  <c r="K79" i="5"/>
  <c r="J79" i="5"/>
  <c r="I79" i="5"/>
  <c r="H79" i="5"/>
  <c r="N78" i="5"/>
  <c r="M78" i="5"/>
  <c r="L78" i="5"/>
  <c r="K78" i="5"/>
  <c r="J78" i="5"/>
  <c r="I78" i="5"/>
  <c r="J77" i="5"/>
  <c r="K77" i="5"/>
  <c r="L77" i="5"/>
  <c r="M77" i="5"/>
  <c r="N77" i="5"/>
  <c r="I77" i="5"/>
  <c r="J76" i="5"/>
  <c r="K76" i="5"/>
  <c r="L76" i="5"/>
  <c r="M76" i="5"/>
  <c r="N76" i="5"/>
  <c r="I76" i="5"/>
  <c r="J75" i="5"/>
  <c r="K75" i="5"/>
  <c r="L75" i="5"/>
  <c r="M75" i="5"/>
  <c r="N75" i="5"/>
  <c r="I75" i="5"/>
  <c r="J63" i="5"/>
  <c r="K63" i="5"/>
  <c r="L63" i="5"/>
  <c r="M63" i="5"/>
  <c r="N63" i="5"/>
  <c r="I63" i="5"/>
  <c r="H63" i="5"/>
  <c r="H62" i="5"/>
  <c r="J61" i="5"/>
  <c r="K61" i="5"/>
  <c r="L61" i="5"/>
  <c r="M61" i="5"/>
  <c r="N61" i="5"/>
  <c r="I61" i="5"/>
  <c r="H61" i="5"/>
  <c r="J46" i="5"/>
  <c r="K46" i="5"/>
  <c r="L46" i="5"/>
  <c r="M46" i="5"/>
  <c r="N46" i="5"/>
  <c r="I46" i="5"/>
  <c r="J45" i="5"/>
  <c r="K45" i="5"/>
  <c r="L45" i="5"/>
  <c r="M45" i="5"/>
  <c r="N45" i="5"/>
  <c r="I45" i="5"/>
  <c r="E43" i="5"/>
  <c r="F43" i="5"/>
  <c r="G43" i="5"/>
  <c r="H22" i="5"/>
  <c r="H23" i="5"/>
  <c r="I22" i="5"/>
  <c r="J22" i="5"/>
  <c r="K22" i="5"/>
  <c r="L22" i="5"/>
  <c r="M22" i="5"/>
  <c r="N22" i="5"/>
  <c r="I14" i="4"/>
  <c r="J14" i="4"/>
  <c r="K14" i="4"/>
  <c r="L14" i="4"/>
  <c r="M14" i="4"/>
  <c r="N14" i="4"/>
  <c r="H14" i="4"/>
  <c r="D114" i="5"/>
  <c r="D115" i="5"/>
  <c r="E42" i="5"/>
  <c r="F42" i="5"/>
  <c r="G42" i="5"/>
  <c r="D42" i="5"/>
  <c r="H13" i="4"/>
  <c r="H16" i="4"/>
  <c r="H18" i="4"/>
  <c r="H20" i="4"/>
  <c r="H23" i="4"/>
  <c r="H24" i="4"/>
  <c r="H40" i="5"/>
  <c r="H16" i="5"/>
  <c r="I13" i="4"/>
  <c r="I16" i="4"/>
  <c r="I18" i="4"/>
  <c r="I20" i="4"/>
  <c r="I23" i="4"/>
  <c r="I24" i="4"/>
  <c r="I40" i="5"/>
  <c r="I16" i="5"/>
  <c r="J13" i="4"/>
  <c r="J16" i="4"/>
  <c r="J18" i="4"/>
  <c r="J20" i="4"/>
  <c r="J23" i="4"/>
  <c r="J24" i="4"/>
  <c r="J40" i="5"/>
  <c r="J16" i="5"/>
  <c r="K13" i="4"/>
  <c r="K16" i="4"/>
  <c r="K18" i="4"/>
  <c r="K20" i="4"/>
  <c r="K23" i="4"/>
  <c r="K24" i="4"/>
  <c r="K40" i="5"/>
  <c r="K16" i="5"/>
  <c r="L13" i="4"/>
  <c r="L16" i="4"/>
  <c r="L18" i="4"/>
  <c r="L20" i="4"/>
  <c r="L23" i="4"/>
  <c r="L24" i="4"/>
  <c r="L40" i="5"/>
  <c r="L16" i="5"/>
  <c r="M13" i="4"/>
  <c r="M16" i="4"/>
  <c r="M18" i="4"/>
  <c r="M20" i="4"/>
  <c r="M23" i="4"/>
  <c r="M24" i="4"/>
  <c r="M40" i="5"/>
  <c r="M16" i="5"/>
  <c r="N13" i="4"/>
  <c r="N16" i="4"/>
  <c r="N18" i="4"/>
  <c r="N20" i="4"/>
  <c r="N23" i="4"/>
  <c r="N24" i="4"/>
  <c r="N40" i="5"/>
  <c r="N16" i="5"/>
  <c r="D18" i="5"/>
  <c r="E18" i="5"/>
  <c r="F18" i="5"/>
  <c r="G18" i="5"/>
  <c r="D41" i="5"/>
  <c r="E41" i="5"/>
  <c r="F41" i="5"/>
  <c r="G41" i="5"/>
  <c r="D121" i="5"/>
  <c r="E16" i="4"/>
  <c r="E18" i="4"/>
  <c r="F16" i="4"/>
  <c r="F18" i="4"/>
  <c r="G16" i="4"/>
  <c r="G18" i="4"/>
  <c r="G11" i="4"/>
  <c r="H11" i="4"/>
  <c r="H10" i="4"/>
  <c r="I11" i="4"/>
  <c r="I10" i="4"/>
  <c r="J11" i="4"/>
  <c r="J10" i="4"/>
  <c r="K11" i="4"/>
  <c r="K10" i="4"/>
  <c r="L11" i="4"/>
  <c r="L10" i="4"/>
  <c r="M11" i="4"/>
  <c r="M10" i="4"/>
  <c r="N11" i="4"/>
  <c r="N10" i="4"/>
  <c r="G20" i="4"/>
  <c r="I23" i="5"/>
  <c r="J23" i="5"/>
  <c r="K23" i="5"/>
  <c r="L23" i="5"/>
  <c r="M23" i="5"/>
  <c r="N23" i="5"/>
  <c r="F45" i="5"/>
  <c r="G45" i="5"/>
  <c r="D45" i="5"/>
  <c r="E45" i="5"/>
  <c r="H45" i="5"/>
  <c r="N29" i="5"/>
  <c r="F46" i="5"/>
  <c r="G46" i="5"/>
  <c r="D46" i="5"/>
  <c r="E46" i="5"/>
  <c r="H46" i="5"/>
  <c r="N30" i="5"/>
  <c r="E90" i="5"/>
  <c r="F90" i="5"/>
  <c r="G90" i="5"/>
  <c r="H90" i="5"/>
  <c r="H86" i="5"/>
  <c r="E91" i="5"/>
  <c r="F91" i="5"/>
  <c r="G91" i="5"/>
  <c r="H91" i="5"/>
  <c r="H87" i="5"/>
  <c r="H88" i="5"/>
  <c r="I85" i="5"/>
  <c r="I90" i="5"/>
  <c r="I86" i="5"/>
  <c r="I91" i="5"/>
  <c r="I87" i="5"/>
  <c r="I88" i="5"/>
  <c r="J85" i="5"/>
  <c r="J90" i="5"/>
  <c r="J86" i="5"/>
  <c r="J91" i="5"/>
  <c r="J87" i="5"/>
  <c r="J88" i="5"/>
  <c r="K85" i="5"/>
  <c r="K90" i="5"/>
  <c r="K86" i="5"/>
  <c r="K91" i="5"/>
  <c r="K87" i="5"/>
  <c r="K88" i="5"/>
  <c r="L85" i="5"/>
  <c r="L90" i="5"/>
  <c r="L86" i="5"/>
  <c r="L91" i="5"/>
  <c r="L87" i="5"/>
  <c r="L88" i="5"/>
  <c r="M85" i="5"/>
  <c r="M90" i="5"/>
  <c r="M86" i="5"/>
  <c r="M91" i="5"/>
  <c r="M87" i="5"/>
  <c r="M88" i="5"/>
  <c r="N85" i="5"/>
  <c r="N90" i="5"/>
  <c r="N86" i="5"/>
  <c r="N99" i="5"/>
  <c r="N91" i="5"/>
  <c r="N87" i="5"/>
  <c r="N100" i="5"/>
  <c r="G62" i="5"/>
  <c r="I62" i="5"/>
  <c r="J62" i="5"/>
  <c r="K62" i="5"/>
  <c r="L62" i="5"/>
  <c r="M62" i="5"/>
  <c r="N62" i="5"/>
  <c r="N55" i="5"/>
  <c r="F63" i="5"/>
  <c r="G63" i="5"/>
  <c r="D63" i="5"/>
  <c r="E63" i="5"/>
  <c r="N56" i="5"/>
  <c r="E64" i="5"/>
  <c r="F64" i="5"/>
  <c r="G64" i="5"/>
  <c r="H64" i="5"/>
  <c r="H57" i="5"/>
  <c r="I64" i="5"/>
  <c r="I57" i="5"/>
  <c r="J64" i="5"/>
  <c r="J57" i="5"/>
  <c r="K64" i="5"/>
  <c r="K57" i="5"/>
  <c r="L64" i="5"/>
  <c r="L57" i="5"/>
  <c r="M64" i="5"/>
  <c r="M57" i="5"/>
  <c r="N64" i="5"/>
  <c r="N57" i="5"/>
  <c r="F75" i="5"/>
  <c r="G75" i="5"/>
  <c r="D75" i="5"/>
  <c r="E75" i="5"/>
  <c r="H75" i="5"/>
  <c r="N67" i="5"/>
  <c r="F76" i="5"/>
  <c r="G76" i="5"/>
  <c r="D76" i="5"/>
  <c r="E76" i="5"/>
  <c r="H76" i="5"/>
  <c r="N68" i="5"/>
  <c r="F77" i="5"/>
  <c r="G77" i="5"/>
  <c r="D77" i="5"/>
  <c r="E77" i="5"/>
  <c r="H77" i="5"/>
  <c r="N69" i="5"/>
  <c r="F78" i="5"/>
  <c r="G78" i="5"/>
  <c r="D78" i="5"/>
  <c r="E78" i="5"/>
  <c r="H78" i="5"/>
  <c r="N70" i="5"/>
  <c r="F79" i="5"/>
  <c r="G79" i="5"/>
  <c r="D79" i="5"/>
  <c r="E79" i="5"/>
  <c r="N71" i="5"/>
  <c r="N72" i="5"/>
  <c r="N81" i="5"/>
  <c r="M55" i="5"/>
  <c r="M56" i="5"/>
  <c r="M67" i="5"/>
  <c r="M68" i="5"/>
  <c r="M69" i="5"/>
  <c r="M70" i="5"/>
  <c r="M71" i="5"/>
  <c r="M72" i="5"/>
  <c r="M81" i="5"/>
  <c r="N82" i="5"/>
  <c r="N101" i="5"/>
  <c r="H29" i="5"/>
  <c r="H30" i="5"/>
  <c r="H99" i="5"/>
  <c r="H100" i="5"/>
  <c r="H55" i="5"/>
  <c r="H56" i="5"/>
  <c r="H67" i="5"/>
  <c r="H68" i="5"/>
  <c r="H69" i="5"/>
  <c r="H70" i="5"/>
  <c r="H71" i="5"/>
  <c r="H72" i="5"/>
  <c r="H81" i="5"/>
  <c r="G72" i="5"/>
  <c r="G81" i="5"/>
  <c r="H82" i="5"/>
  <c r="H101" i="5"/>
  <c r="I29" i="5"/>
  <c r="I30" i="5"/>
  <c r="I99" i="5"/>
  <c r="I100" i="5"/>
  <c r="I55" i="5"/>
  <c r="I56" i="5"/>
  <c r="I67" i="5"/>
  <c r="I68" i="5"/>
  <c r="I69" i="5"/>
  <c r="I70" i="5"/>
  <c r="I71" i="5"/>
  <c r="I72" i="5"/>
  <c r="I81" i="5"/>
  <c r="I82" i="5"/>
  <c r="I101" i="5"/>
  <c r="J29" i="5"/>
  <c r="J30" i="5"/>
  <c r="J99" i="5"/>
  <c r="J100" i="5"/>
  <c r="J55" i="5"/>
  <c r="J56" i="5"/>
  <c r="J67" i="5"/>
  <c r="J68" i="5"/>
  <c r="J69" i="5"/>
  <c r="J70" i="5"/>
  <c r="J71" i="5"/>
  <c r="J72" i="5"/>
  <c r="J81" i="5"/>
  <c r="J82" i="5"/>
  <c r="J101" i="5"/>
  <c r="K29" i="5"/>
  <c r="K30" i="5"/>
  <c r="K99" i="5"/>
  <c r="K100" i="5"/>
  <c r="K55" i="5"/>
  <c r="K56" i="5"/>
  <c r="K67" i="5"/>
  <c r="K68" i="5"/>
  <c r="K69" i="5"/>
  <c r="K70" i="5"/>
  <c r="K71" i="5"/>
  <c r="K72" i="5"/>
  <c r="K81" i="5"/>
  <c r="K82" i="5"/>
  <c r="K101" i="5"/>
  <c r="L29" i="5"/>
  <c r="L30" i="5"/>
  <c r="L99" i="5"/>
  <c r="L100" i="5"/>
  <c r="L55" i="5"/>
  <c r="L56" i="5"/>
  <c r="L67" i="5"/>
  <c r="L68" i="5"/>
  <c r="L69" i="5"/>
  <c r="L70" i="5"/>
  <c r="L71" i="5"/>
  <c r="L72" i="5"/>
  <c r="L81" i="5"/>
  <c r="L82" i="5"/>
  <c r="L101" i="5"/>
  <c r="M29" i="5"/>
  <c r="M30" i="5"/>
  <c r="M99" i="5"/>
  <c r="M100" i="5"/>
  <c r="M82" i="5"/>
  <c r="M101" i="5"/>
  <c r="D136" i="5"/>
  <c r="H36" i="5"/>
  <c r="K115" i="5"/>
  <c r="F25" i="5"/>
  <c r="F27" i="5"/>
  <c r="F97" i="5"/>
  <c r="F99" i="5"/>
  <c r="F100" i="5"/>
  <c r="F72" i="5"/>
  <c r="F81" i="5"/>
  <c r="E72" i="5"/>
  <c r="E81" i="5"/>
  <c r="F82" i="5"/>
  <c r="F101" i="5"/>
  <c r="E25" i="5"/>
  <c r="E27" i="5"/>
  <c r="E97" i="5"/>
  <c r="E99" i="5"/>
  <c r="E100" i="5"/>
  <c r="D72" i="5"/>
  <c r="D81" i="5"/>
  <c r="E82" i="5"/>
  <c r="E101" i="5"/>
  <c r="G25" i="5"/>
  <c r="G27" i="5"/>
  <c r="G97" i="5"/>
  <c r="G99" i="5"/>
  <c r="G100" i="5"/>
  <c r="G82" i="5"/>
  <c r="G101" i="5"/>
  <c r="D25" i="5"/>
  <c r="D27" i="5"/>
  <c r="D97" i="5"/>
  <c r="D99" i="5"/>
  <c r="D100" i="5"/>
  <c r="D101" i="5"/>
  <c r="D103" i="5"/>
  <c r="N88" i="5"/>
  <c r="D90" i="5"/>
  <c r="D91" i="5"/>
  <c r="G88" i="5"/>
  <c r="F88" i="5"/>
  <c r="E88" i="5"/>
  <c r="D88" i="5"/>
  <c r="F61" i="5"/>
  <c r="G61" i="5"/>
  <c r="D61" i="5"/>
  <c r="E61" i="5"/>
  <c r="N54" i="5"/>
  <c r="N58" i="5"/>
  <c r="M54" i="5"/>
  <c r="M58" i="5"/>
  <c r="L54" i="5"/>
  <c r="L58" i="5"/>
  <c r="K54" i="5"/>
  <c r="K58" i="5"/>
  <c r="J54" i="5"/>
  <c r="J58" i="5"/>
  <c r="I54" i="5"/>
  <c r="I58" i="5"/>
  <c r="H54" i="5"/>
  <c r="H58" i="5"/>
  <c r="D64" i="5"/>
  <c r="E62" i="5"/>
  <c r="F62" i="5"/>
  <c r="E58" i="5"/>
  <c r="F58" i="5"/>
  <c r="G58" i="5"/>
  <c r="D58" i="5"/>
  <c r="G44" i="5"/>
  <c r="F44" i="5"/>
  <c r="E44" i="5"/>
  <c r="I36" i="5"/>
  <c r="J36" i="5"/>
  <c r="K36" i="5"/>
  <c r="L36" i="5"/>
  <c r="M36" i="5"/>
  <c r="N36" i="5"/>
  <c r="E31" i="5"/>
  <c r="E34" i="5"/>
  <c r="E37" i="5"/>
  <c r="F31" i="5"/>
  <c r="F34" i="5"/>
  <c r="F37" i="5"/>
  <c r="G31" i="5"/>
  <c r="G34" i="5"/>
  <c r="G37" i="5"/>
  <c r="D31" i="5"/>
  <c r="D34" i="5"/>
  <c r="D37" i="5"/>
  <c r="F20" i="4"/>
  <c r="E20" i="4"/>
  <c r="F24" i="4"/>
  <c r="F40" i="5"/>
  <c r="G24" i="4"/>
  <c r="G40" i="5"/>
  <c r="D16" i="4"/>
  <c r="D5" i="5"/>
  <c r="F10" i="5"/>
  <c r="E10" i="5"/>
  <c r="D10" i="5"/>
  <c r="D9" i="5"/>
  <c r="E9" i="5"/>
  <c r="F9" i="5"/>
  <c r="G8" i="4"/>
  <c r="F8" i="4"/>
  <c r="E8" i="4"/>
  <c r="D8" i="4"/>
  <c r="D7" i="4"/>
  <c r="E7" i="4"/>
  <c r="F7" i="4"/>
  <c r="G7" i="4"/>
  <c r="H8" i="4"/>
  <c r="H7" i="4"/>
  <c r="I8" i="4"/>
  <c r="I7" i="4"/>
  <c r="J8" i="4"/>
  <c r="J7" i="4"/>
  <c r="K8" i="4"/>
  <c r="K7" i="4"/>
  <c r="L8" i="4"/>
  <c r="L7" i="4"/>
  <c r="M8" i="4"/>
  <c r="M7" i="4"/>
  <c r="N8" i="4"/>
  <c r="N7" i="4"/>
  <c r="E11" i="4"/>
  <c r="F11" i="4"/>
  <c r="E14" i="4"/>
  <c r="F14" i="4"/>
  <c r="G14" i="4"/>
  <c r="E17" i="4"/>
  <c r="F17" i="4"/>
  <c r="G17" i="4"/>
  <c r="H17" i="4"/>
  <c r="I17" i="4"/>
  <c r="J17" i="4"/>
  <c r="K17" i="4"/>
  <c r="L17" i="4"/>
  <c r="M17" i="4"/>
  <c r="N17" i="4"/>
  <c r="D18" i="4"/>
  <c r="D20" i="4"/>
  <c r="E24" i="4"/>
  <c r="E40" i="5"/>
  <c r="N34" i="5"/>
  <c r="N37" i="5"/>
  <c r="M34" i="5"/>
  <c r="M37" i="5"/>
  <c r="L34" i="5"/>
  <c r="L37" i="5"/>
  <c r="K34" i="5"/>
  <c r="K37" i="5"/>
  <c r="J34" i="5"/>
  <c r="J37" i="5"/>
  <c r="I34" i="5"/>
  <c r="I37" i="5"/>
  <c r="H34" i="5"/>
  <c r="H37" i="5"/>
  <c r="D130" i="5"/>
  <c r="D131" i="5"/>
  <c r="D133" i="5"/>
  <c r="D134" i="5"/>
  <c r="D137" i="5"/>
  <c r="D139" i="5"/>
  <c r="D14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Dong Young Kim</author>
  </authors>
  <commentList>
    <comment ref="H11" authorId="0" shapeId="0" xr:uid="{2746AFBF-685A-9143-A5BC-A371CC48D3D0}">
      <text>
        <r>
          <rPr>
            <b/>
            <sz val="10"/>
            <color rgb="FF000000"/>
            <rFont val="Tahoma"/>
            <family val="2"/>
          </rPr>
          <t>Dong Young Kim:</t>
        </r>
        <r>
          <rPr>
            <sz val="10"/>
            <color rgb="FF000000"/>
            <rFont val="Tahoma"/>
            <family val="2"/>
          </rPr>
          <t xml:space="preserve">
</t>
        </r>
        <r>
          <rPr>
            <sz val="10"/>
            <color rgb="FF000000"/>
            <rFont val="Tahoma"/>
            <family val="2"/>
          </rPr>
          <t xml:space="preserve">With new features that DBX adds to its service every year, Average revenue per paying customer will increase over year. However, a high rate of increase can't be sustained, so the ARPU's rate of growth will slow down over time. Use 95% of the previous year's growth rate, which seems to align with the past 3 years' data.
</t>
        </r>
      </text>
    </comment>
    <comment ref="H14" authorId="0" shapeId="0" xr:uid="{02348BCB-C96A-9C4D-8084-857572B034B6}">
      <text>
        <r>
          <rPr>
            <b/>
            <sz val="10"/>
            <color rgb="FF000000"/>
            <rFont val="Tahoma"/>
            <family val="2"/>
          </rPr>
          <t>Dong Young Kim:</t>
        </r>
        <r>
          <rPr>
            <sz val="10"/>
            <color rgb="FF000000"/>
            <rFont val="Tahoma"/>
            <family val="2"/>
          </rPr>
          <t xml:space="preserve">
</t>
        </r>
        <r>
          <rPr>
            <sz val="10"/>
            <color rgb="FF000000"/>
            <rFont val="Tahoma"/>
            <family val="2"/>
          </rPr>
          <t>With increasing ARPU and increasingly condensed market, DBX's paying users growth will increasing at a decreasing rate. Hence, I decreased the growth rate by a percentage point every year. Although some analysts may even argue for a slower growth rate,  I hink the numbers here are reasonable as the company matures, DBX will concentrate on transitioning its free users to paying users with more lucrative features, etc.</t>
        </r>
      </text>
    </comment>
    <comment ref="H18" authorId="0" shapeId="0" xr:uid="{C890468B-8D2B-7E47-9D3D-2CC827F69B9D}">
      <text>
        <r>
          <rPr>
            <b/>
            <sz val="10"/>
            <color rgb="FF000000"/>
            <rFont val="Tahoma"/>
            <family val="2"/>
          </rPr>
          <t>Dong Young Kim:</t>
        </r>
        <r>
          <rPr>
            <sz val="10"/>
            <color rgb="FF000000"/>
            <rFont val="Tahoma"/>
            <family val="2"/>
          </rPr>
          <t xml:space="preserve">
</t>
        </r>
        <r>
          <rPr>
            <sz val="10"/>
            <color rgb="FF000000"/>
            <rFont val="Tahoma"/>
            <family val="2"/>
          </rPr>
          <t xml:space="preserve">As described in the footnote, the primary reason why the calculated revenue by multiplying ARPU*paying users is because as a growing business, DBX adds more users in the later half of the fiscal year. Hence, given a certain users growth rate, we can estimate around half more of the users (relative to the ones added in the first half) would be added to the later half, so I used 50% of users growth rate as the % difference between this revenue and the actual revenue. Historical data from the past few years very closely align with this estimate.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Dong Young Kim</author>
  </authors>
  <commentList>
    <comment ref="H47" authorId="0" shapeId="0" xr:uid="{34BD5B81-8425-6746-A64C-45D71C133B9A}">
      <text>
        <r>
          <rPr>
            <b/>
            <sz val="10"/>
            <color rgb="FF000000"/>
            <rFont val="Tahoma"/>
            <family val="2"/>
          </rPr>
          <t>Dong Young Kim:</t>
        </r>
        <r>
          <rPr>
            <sz val="10"/>
            <color rgb="FF000000"/>
            <rFont val="Tahoma"/>
            <family val="2"/>
          </rPr>
          <t xml:space="preserve">
</t>
        </r>
        <r>
          <rPr>
            <sz val="10"/>
            <color rgb="FF000000"/>
            <rFont val="Tahoma"/>
            <family val="2"/>
          </rPr>
          <t>This tax rate is vulernable to actual effects under Biden's administration.</t>
        </r>
      </text>
    </comment>
    <comment ref="D118" authorId="0" shapeId="0" xr:uid="{F45BF3F1-EACD-BB4B-9099-7849553DEEAA}">
      <text>
        <r>
          <rPr>
            <b/>
            <sz val="10"/>
            <color rgb="FF000000"/>
            <rFont val="Tahoma"/>
            <family val="2"/>
          </rPr>
          <t>Dong Young Kim:</t>
        </r>
        <r>
          <rPr>
            <sz val="10"/>
            <color rgb="FF000000"/>
            <rFont val="Tahoma"/>
            <family val="2"/>
          </rPr>
          <t xml:space="preserve">
</t>
        </r>
        <r>
          <rPr>
            <sz val="10"/>
            <color rgb="FF000000"/>
            <rFont val="Tahoma"/>
            <family val="2"/>
          </rPr>
          <t xml:space="preserve">7-yr US Treasury Yield
</t>
        </r>
      </text>
    </comment>
    <comment ref="D119" authorId="0" shapeId="0" xr:uid="{734CD0DD-7298-DF4A-82E4-82DC86059712}">
      <text>
        <r>
          <rPr>
            <b/>
            <sz val="10"/>
            <color rgb="FF000000"/>
            <rFont val="Tahoma"/>
            <family val="2"/>
          </rPr>
          <t>Dong Young Kim:</t>
        </r>
        <r>
          <rPr>
            <sz val="10"/>
            <color rgb="FF000000"/>
            <rFont val="Tahoma"/>
            <family val="2"/>
          </rPr>
          <t xml:space="preserve">
</t>
        </r>
        <r>
          <rPr>
            <sz val="10"/>
            <color rgb="FF000000"/>
            <rFont val="Tahoma"/>
            <family val="2"/>
          </rPr>
          <t xml:space="preserve">From pages.stern.nyu.edu/~adamodar/
</t>
        </r>
      </text>
    </comment>
    <comment ref="D120" authorId="0" shapeId="0" xr:uid="{BF2AECE6-C345-F648-B225-BE89570434EE}">
      <text>
        <r>
          <rPr>
            <b/>
            <sz val="10"/>
            <color rgb="FF000000"/>
            <rFont val="Tahoma"/>
            <family val="2"/>
          </rPr>
          <t>Dong Young Kim:</t>
        </r>
        <r>
          <rPr>
            <sz val="10"/>
            <color rgb="FF000000"/>
            <rFont val="Tahoma"/>
            <family val="2"/>
          </rPr>
          <t xml:space="preserve">
</t>
        </r>
        <r>
          <rPr>
            <sz val="10"/>
            <color rgb="FF000000"/>
            <rFont val="Tahoma"/>
            <family val="2"/>
          </rPr>
          <t>From Yahoo Fiance</t>
        </r>
      </text>
    </comment>
    <comment ref="K120" authorId="0" shapeId="0" xr:uid="{639AD168-20AB-C648-9268-0C6C4E145675}">
      <text>
        <r>
          <rPr>
            <b/>
            <sz val="10"/>
            <color rgb="FF000000"/>
            <rFont val="Tahoma"/>
            <family val="2"/>
          </rPr>
          <t>Dong Young Kim:</t>
        </r>
        <r>
          <rPr>
            <sz val="10"/>
            <color rgb="FF000000"/>
            <rFont val="Tahoma"/>
            <family val="2"/>
          </rPr>
          <t xml:space="preserve">
</t>
        </r>
        <r>
          <rPr>
            <sz val="10"/>
            <color rgb="FF000000"/>
            <rFont val="Tahoma"/>
            <family val="2"/>
          </rPr>
          <t xml:space="preserve">Although this is the calculated WACC, it's way too low and unrealistic due to the very low risk free rate in the market environment right now. Hence, for my price projections, I used the standard WACC of 10%.
</t>
        </r>
        <r>
          <rPr>
            <sz val="10"/>
            <color rgb="FF000000"/>
            <rFont val="Tahoma"/>
            <family val="2"/>
          </rPr>
          <t xml:space="preserve">
</t>
        </r>
      </text>
    </comment>
  </commentList>
</comments>
</file>

<file path=xl/sharedStrings.xml><?xml version="1.0" encoding="utf-8"?>
<sst xmlns="http://schemas.openxmlformats.org/spreadsheetml/2006/main" count="194" uniqueCount="149">
  <si>
    <r>
      <t>2</t>
    </r>
    <r>
      <rPr>
        <sz val="14"/>
        <color theme="1"/>
        <rFont val="Arial"/>
        <family val="2"/>
      </rPr>
      <t>Revenue estimated by ARPU*users is higher than the actual revenue because as growing business, Dropbox adds more number of users in the later half of the period while we use the mid-year # users to calculate the revenue</t>
    </r>
  </si>
  <si>
    <r>
      <rPr>
        <vertAlign val="superscript"/>
        <sz val="14"/>
        <color theme="1"/>
        <rFont val="Arial"/>
        <family val="2"/>
      </rPr>
      <t>1</t>
    </r>
    <r>
      <rPr>
        <sz val="14"/>
        <color theme="1"/>
        <rFont val="Arial"/>
        <family val="2"/>
      </rPr>
      <t>ARPU is calculated by dividing the revenue in a given period with the average paying users (where average paying users = (# in the beginning + # at the end)/2)</t>
    </r>
  </si>
  <si>
    <t>Total Revenue</t>
  </si>
  <si>
    <t>Revenue based on ARPU Analysis</t>
  </si>
  <si>
    <r>
      <t xml:space="preserve">     </t>
    </r>
    <r>
      <rPr>
        <sz val="14"/>
        <color theme="1"/>
        <rFont val="Arial"/>
        <family val="2"/>
      </rPr>
      <t>% higher than the actual revenue</t>
    </r>
    <r>
      <rPr>
        <vertAlign val="superscript"/>
        <sz val="14"/>
        <color theme="1"/>
        <rFont val="Arial"/>
        <family val="2"/>
      </rPr>
      <t>2</t>
    </r>
  </si>
  <si>
    <t>ARPU Analysis Projected Revenue</t>
  </si>
  <si>
    <t>Paying users (in millions)</t>
  </si>
  <si>
    <r>
      <t>ARPU</t>
    </r>
    <r>
      <rPr>
        <b/>
        <vertAlign val="superscript"/>
        <sz val="14"/>
        <color theme="1"/>
        <rFont val="Arial"/>
        <family val="2"/>
      </rPr>
      <t>1</t>
    </r>
  </si>
  <si>
    <t>ARPU Analysis</t>
  </si>
  <si>
    <t>Figures in millions, except per-share data</t>
  </si>
  <si>
    <t>Profected Period</t>
  </si>
  <si>
    <t>Historical</t>
  </si>
  <si>
    <t>Revenue Analysis</t>
  </si>
  <si>
    <t>Last Fiscal Date</t>
  </si>
  <si>
    <t>Revenue Projection Model for Dropbox</t>
  </si>
  <si>
    <t>EBIT</t>
  </si>
  <si>
    <t>Tax</t>
  </si>
  <si>
    <t>Revenue growth (%)</t>
  </si>
  <si>
    <t>Income Statement Assumption</t>
  </si>
  <si>
    <t>Revenue</t>
  </si>
  <si>
    <t>Income Statement Analysis</t>
  </si>
  <si>
    <t>Stock Price</t>
  </si>
  <si>
    <t xml:space="preserve"> - CapEx</t>
  </si>
  <si>
    <t xml:space="preserve"> + D&amp;A</t>
  </si>
  <si>
    <t xml:space="preserve"> - Taxes</t>
  </si>
  <si>
    <t xml:space="preserve">Free Cash Flow = </t>
  </si>
  <si>
    <t>Today</t>
  </si>
  <si>
    <t>Enterprise value</t>
  </si>
  <si>
    <t>Present value of terminal value</t>
  </si>
  <si>
    <t>Terminal value</t>
  </si>
  <si>
    <t>Free cash flow (t+1)</t>
  </si>
  <si>
    <t>Cost of equity</t>
  </si>
  <si>
    <t>Net debt</t>
  </si>
  <si>
    <t>Cost of debt</t>
  </si>
  <si>
    <t>% Weight</t>
  </si>
  <si>
    <t>Mkt. Value</t>
  </si>
  <si>
    <t>Depreciation (% of prior PPE)</t>
  </si>
  <si>
    <t>Diluted EPS</t>
  </si>
  <si>
    <r>
      <t xml:space="preserve">     </t>
    </r>
    <r>
      <rPr>
        <sz val="14"/>
        <color theme="1"/>
        <rFont val="Arial"/>
        <family val="2"/>
      </rPr>
      <t>Cost of revenue</t>
    </r>
  </si>
  <si>
    <t xml:space="preserve">     Research and development</t>
  </si>
  <si>
    <t>Gross profit</t>
  </si>
  <si>
    <t>Operating expenses</t>
  </si>
  <si>
    <r>
      <t xml:space="preserve">     </t>
    </r>
    <r>
      <rPr>
        <sz val="14"/>
        <color theme="1"/>
        <rFont val="Arial"/>
        <family val="2"/>
      </rPr>
      <t>Sales and marketing</t>
    </r>
  </si>
  <si>
    <r>
      <t xml:space="preserve">     </t>
    </r>
    <r>
      <rPr>
        <sz val="14"/>
        <color theme="1"/>
        <rFont val="Arial"/>
        <family val="2"/>
      </rPr>
      <t>Impairment related to real estate assets</t>
    </r>
  </si>
  <si>
    <r>
      <t xml:space="preserve">     </t>
    </r>
    <r>
      <rPr>
        <sz val="14"/>
        <color theme="1"/>
        <rFont val="Arial"/>
        <family val="2"/>
      </rPr>
      <t>General and administrative</t>
    </r>
  </si>
  <si>
    <t>Total operating expenses</t>
  </si>
  <si>
    <t>Other income, net</t>
  </si>
  <si>
    <t>Interest income (expense), net</t>
  </si>
  <si>
    <t>Net income (loss)</t>
  </si>
  <si>
    <t>Gain (loss) before income taxes</t>
  </si>
  <si>
    <t>Gain (loss) from operation — EBIT</t>
  </si>
  <si>
    <t>Diluted shares outstanding</t>
  </si>
  <si>
    <t>Change in sales and marketing (%)</t>
  </si>
  <si>
    <t>Change in general and administrative (%)</t>
  </si>
  <si>
    <t>Interest income/expense</t>
  </si>
  <si>
    <t>Projected Period</t>
  </si>
  <si>
    <t>Corporate tax rate (%)</t>
  </si>
  <si>
    <t>Key Balance Sheet Items</t>
  </si>
  <si>
    <t>Current assets</t>
  </si>
  <si>
    <r>
      <t xml:space="preserve">     </t>
    </r>
    <r>
      <rPr>
        <sz val="14"/>
        <color theme="1"/>
        <rFont val="Arial"/>
        <family val="2"/>
      </rPr>
      <t>Cash and cash equivalents</t>
    </r>
  </si>
  <si>
    <r>
      <t xml:space="preserve">     </t>
    </r>
    <r>
      <rPr>
        <sz val="14"/>
        <color theme="1"/>
        <rFont val="Arial"/>
        <family val="2"/>
      </rPr>
      <t>Short-term investments</t>
    </r>
  </si>
  <si>
    <r>
      <t xml:space="preserve">     </t>
    </r>
    <r>
      <rPr>
        <sz val="14"/>
        <color theme="1"/>
        <rFont val="Arial"/>
        <family val="2"/>
      </rPr>
      <t>Trade and other receivables, net</t>
    </r>
  </si>
  <si>
    <r>
      <t xml:space="preserve">     </t>
    </r>
    <r>
      <rPr>
        <sz val="14"/>
        <color theme="1"/>
        <rFont val="Arial"/>
        <family val="2"/>
      </rPr>
      <t>Prepaid expenses and other current assets</t>
    </r>
  </si>
  <si>
    <t>Total current assets</t>
  </si>
  <si>
    <t>Current assets drivers</t>
  </si>
  <si>
    <t>Cash and cash equivalents (% of sales)</t>
  </si>
  <si>
    <t>Short-term investments (% of sales)</t>
  </si>
  <si>
    <t>Trade and other receivables (4-yr. avg.)</t>
  </si>
  <si>
    <t>Prepaid expenses and other current assets (% of sales)</t>
  </si>
  <si>
    <t>Current liabilities</t>
  </si>
  <si>
    <t xml:space="preserve">     Accounts payable</t>
  </si>
  <si>
    <t xml:space="preserve">     Accrued and other current liabilites</t>
  </si>
  <si>
    <t xml:space="preserve">     Accrued compensation and benefits</t>
  </si>
  <si>
    <t xml:space="preserve">     Deferred revenue</t>
  </si>
  <si>
    <t xml:space="preserve">     Lease liability</t>
  </si>
  <si>
    <t>Total current liabilities</t>
  </si>
  <si>
    <t>Current liabilities driver</t>
  </si>
  <si>
    <t>Accounts payable (% of sales)</t>
  </si>
  <si>
    <t>Accrued and other current liabilities (% of sales)</t>
  </si>
  <si>
    <t>Accrued compensation and benefits (% of sales)</t>
  </si>
  <si>
    <t>Lease liability (% of sales)</t>
  </si>
  <si>
    <t>Deferred revenue (% of sales)</t>
  </si>
  <si>
    <t>Net working capital (non-cash)</t>
  </si>
  <si>
    <t>Change in Net working capital</t>
  </si>
  <si>
    <t>Non-current assets</t>
  </si>
  <si>
    <t>PPE ending</t>
  </si>
  <si>
    <t>PPE beginning</t>
  </si>
  <si>
    <t>Capital expenditure (% of sales)</t>
  </si>
  <si>
    <t>FCF Calculation</t>
  </si>
  <si>
    <t>(-) Taxes</t>
  </si>
  <si>
    <t xml:space="preserve">     (-) Depreciation and amortization</t>
  </si>
  <si>
    <t xml:space="preserve">     (+) Capital expenditure</t>
  </si>
  <si>
    <t>(+) Depreciation and amortization</t>
  </si>
  <si>
    <t>(-) Capital expenditure</t>
  </si>
  <si>
    <t xml:space="preserve"> - Change in NWC</t>
  </si>
  <si>
    <t>(-) Change in net working capital</t>
  </si>
  <si>
    <t>Unlevered free cash flow</t>
  </si>
  <si>
    <t xml:space="preserve">     yoy % changes</t>
  </si>
  <si>
    <t xml:space="preserve">     yoy % change</t>
  </si>
  <si>
    <t>WACC Analysis</t>
  </si>
  <si>
    <t xml:space="preserve">     Weighted average discount rate</t>
  </si>
  <si>
    <t xml:space="preserve">     Tax rate</t>
  </si>
  <si>
    <t xml:space="preserve">     Cost of debt after tax shield</t>
  </si>
  <si>
    <t xml:space="preserve">     Risk free rate</t>
  </si>
  <si>
    <t xml:space="preserve">     Maket risk premium</t>
  </si>
  <si>
    <t xml:space="preserve">     Levered beta</t>
  </si>
  <si>
    <t xml:space="preserve">     Cost of equity using CAPM</t>
  </si>
  <si>
    <t xml:space="preserve">     Net debt</t>
  </si>
  <si>
    <t xml:space="preserve">     Equity</t>
  </si>
  <si>
    <t xml:space="preserve">     Asset</t>
  </si>
  <si>
    <t>Capital structure</t>
  </si>
  <si>
    <t>Weighted avg. cost of capital (WACC)</t>
  </si>
  <si>
    <t>Mid-year adjusted discount factor</t>
  </si>
  <si>
    <t>Present value of FCF</t>
  </si>
  <si>
    <t>Valuation Analysis</t>
  </si>
  <si>
    <t>Terminal value: perpetuity method</t>
  </si>
  <si>
    <t>Mid-year adjusted terminal value</t>
  </si>
  <si>
    <t>Equity value per share</t>
  </si>
  <si>
    <t>Implied ROI (%)</t>
  </si>
  <si>
    <t>Equity value</t>
  </si>
  <si>
    <t>Long-term growth rate (2-5%)</t>
  </si>
  <si>
    <t>Cost of revenue (% of sales)</t>
  </si>
  <si>
    <t>Research and development (% of sales)</t>
  </si>
  <si>
    <t>Exit EV/EBITDA multiple</t>
  </si>
  <si>
    <t>Implied Perpetuity Growth Rate</t>
  </si>
  <si>
    <t>EBITDA at end of projection</t>
  </si>
  <si>
    <t>Net Debt</t>
  </si>
  <si>
    <t>Equity Value</t>
  </si>
  <si>
    <t>Calculated WACC</t>
  </si>
  <si>
    <t>DCF Sensitivity Analysis</t>
  </si>
  <si>
    <t>Baseline Numbers</t>
  </si>
  <si>
    <t>WACC</t>
  </si>
  <si>
    <t>Growth rate</t>
  </si>
  <si>
    <t>Exit EV/EBITDA Multiple</t>
  </si>
  <si>
    <t>10% (baseline)</t>
  </si>
  <si>
    <t>4.68% (calculated)</t>
  </si>
  <si>
    <r>
      <rPr>
        <b/>
        <sz val="14"/>
        <color rgb="FF0000FF"/>
        <rFont val="Arial"/>
        <family val="2"/>
      </rPr>
      <t>Estimated Value Per Share</t>
    </r>
    <r>
      <rPr>
        <b/>
        <sz val="14"/>
        <color theme="1"/>
        <rFont val="Arial"/>
        <family val="2"/>
      </rPr>
      <t xml:space="preserve"> based on </t>
    </r>
    <r>
      <rPr>
        <b/>
        <sz val="14"/>
        <color theme="5" tint="-0.499984740745262"/>
        <rFont val="Arial"/>
        <family val="2"/>
      </rPr>
      <t>Perpetuity Growth Assumptions</t>
    </r>
    <r>
      <rPr>
        <b/>
        <sz val="14"/>
        <color theme="1"/>
        <rFont val="Arial"/>
        <family val="2"/>
      </rPr>
      <t xml:space="preserve"> (Rows) and </t>
    </r>
    <r>
      <rPr>
        <b/>
        <sz val="14"/>
        <color theme="7" tint="-0.499984740745262"/>
        <rFont val="Arial"/>
        <family val="2"/>
      </rPr>
      <t>WACC</t>
    </r>
    <r>
      <rPr>
        <b/>
        <sz val="14"/>
        <color theme="1"/>
        <rFont val="Arial"/>
        <family val="2"/>
      </rPr>
      <t xml:space="preserve"> </t>
    </r>
    <r>
      <rPr>
        <b/>
        <sz val="14"/>
        <color theme="7" tint="-0.499984740745262"/>
        <rFont val="Arial"/>
        <family val="2"/>
      </rPr>
      <t>Assumptions</t>
    </r>
    <r>
      <rPr>
        <b/>
        <sz val="14"/>
        <color theme="1"/>
        <rFont val="Arial"/>
        <family val="2"/>
      </rPr>
      <t xml:space="preserve"> (Columns)</t>
    </r>
  </si>
  <si>
    <r>
      <rPr>
        <b/>
        <sz val="14"/>
        <color rgb="FF0000FF"/>
        <rFont val="Arial"/>
        <family val="2"/>
      </rPr>
      <t>Implied ROI</t>
    </r>
    <r>
      <rPr>
        <b/>
        <sz val="14"/>
        <color theme="1"/>
        <rFont val="Arial"/>
        <family val="2"/>
      </rPr>
      <t xml:space="preserve"> based on </t>
    </r>
    <r>
      <rPr>
        <b/>
        <sz val="14"/>
        <color theme="5" tint="-0.499984740745262"/>
        <rFont val="Arial"/>
        <family val="2"/>
      </rPr>
      <t>Perpetuity Growth Assumptions</t>
    </r>
    <r>
      <rPr>
        <b/>
        <sz val="14"/>
        <color theme="1"/>
        <rFont val="Arial"/>
        <family val="2"/>
      </rPr>
      <t xml:space="preserve"> (Rows) and </t>
    </r>
    <r>
      <rPr>
        <b/>
        <sz val="14"/>
        <color theme="7" tint="-0.499984740745262"/>
        <rFont val="Arial"/>
        <family val="2"/>
      </rPr>
      <t>WACC</t>
    </r>
    <r>
      <rPr>
        <b/>
        <sz val="14"/>
        <color theme="1"/>
        <rFont val="Arial"/>
        <family val="2"/>
      </rPr>
      <t xml:space="preserve"> </t>
    </r>
    <r>
      <rPr>
        <b/>
        <sz val="14"/>
        <color theme="7" tint="-0.499984740745262"/>
        <rFont val="Arial"/>
        <family val="2"/>
      </rPr>
      <t>Assumptions</t>
    </r>
    <r>
      <rPr>
        <b/>
        <sz val="14"/>
        <color theme="1"/>
        <rFont val="Arial"/>
        <family val="2"/>
      </rPr>
      <t xml:space="preserve"> (Columns)</t>
    </r>
  </si>
  <si>
    <r>
      <rPr>
        <b/>
        <sz val="14"/>
        <color rgb="FF0000FF"/>
        <rFont val="Arial"/>
        <family val="2"/>
      </rPr>
      <t>Estimated Value Per Share</t>
    </r>
    <r>
      <rPr>
        <b/>
        <sz val="14"/>
        <color theme="1"/>
        <rFont val="Arial"/>
        <family val="2"/>
      </rPr>
      <t xml:space="preserve"> based on </t>
    </r>
    <r>
      <rPr>
        <b/>
        <sz val="14"/>
        <color theme="5" tint="-0.499984740745262"/>
        <rFont val="Arial"/>
        <family val="2"/>
      </rPr>
      <t>Exit EV/EBITDA Assumptions</t>
    </r>
    <r>
      <rPr>
        <b/>
        <sz val="14"/>
        <color theme="1"/>
        <rFont val="Arial"/>
        <family val="2"/>
      </rPr>
      <t xml:space="preserve"> (Rows) and </t>
    </r>
    <r>
      <rPr>
        <b/>
        <sz val="14"/>
        <color theme="7" tint="-0.499984740745262"/>
        <rFont val="Arial"/>
        <family val="2"/>
      </rPr>
      <t>WACC</t>
    </r>
    <r>
      <rPr>
        <b/>
        <sz val="14"/>
        <color theme="1"/>
        <rFont val="Arial"/>
        <family val="2"/>
      </rPr>
      <t xml:space="preserve"> </t>
    </r>
    <r>
      <rPr>
        <b/>
        <sz val="14"/>
        <color theme="7" tint="-0.499984740745262"/>
        <rFont val="Arial"/>
        <family val="2"/>
      </rPr>
      <t>Assumptions</t>
    </r>
    <r>
      <rPr>
        <b/>
        <sz val="14"/>
        <color theme="1"/>
        <rFont val="Arial"/>
        <family val="2"/>
      </rPr>
      <t xml:space="preserve"> (Columns)</t>
    </r>
  </si>
  <si>
    <r>
      <rPr>
        <b/>
        <sz val="14"/>
        <color rgb="FF0000FF"/>
        <rFont val="Arial"/>
        <family val="2"/>
      </rPr>
      <t>Implied ROI</t>
    </r>
    <r>
      <rPr>
        <b/>
        <sz val="14"/>
        <color theme="1"/>
        <rFont val="Arial"/>
        <family val="2"/>
      </rPr>
      <t xml:space="preserve"> based on </t>
    </r>
    <r>
      <rPr>
        <b/>
        <sz val="14"/>
        <color theme="5" tint="-0.499984740745262"/>
        <rFont val="Arial"/>
        <family val="2"/>
      </rPr>
      <t>Exit EV/EBITDA Assumptions</t>
    </r>
    <r>
      <rPr>
        <b/>
        <sz val="14"/>
        <color theme="1"/>
        <rFont val="Arial"/>
        <family val="2"/>
      </rPr>
      <t xml:space="preserve"> (Rows) and </t>
    </r>
    <r>
      <rPr>
        <b/>
        <sz val="14"/>
        <color theme="7" tint="-0.499984740745262"/>
        <rFont val="Arial"/>
        <family val="2"/>
      </rPr>
      <t>WACC</t>
    </r>
    <r>
      <rPr>
        <b/>
        <sz val="14"/>
        <color theme="1"/>
        <rFont val="Arial"/>
        <family val="2"/>
      </rPr>
      <t xml:space="preserve"> </t>
    </r>
    <r>
      <rPr>
        <b/>
        <sz val="14"/>
        <color theme="7" tint="-0.499984740745262"/>
        <rFont val="Arial"/>
        <family val="2"/>
      </rPr>
      <t>Assumptions</t>
    </r>
    <r>
      <rPr>
        <b/>
        <sz val="14"/>
        <color theme="1"/>
        <rFont val="Arial"/>
        <family val="2"/>
      </rPr>
      <t xml:space="preserve"> (Columns)</t>
    </r>
  </si>
  <si>
    <t>Sensitivity Tables</t>
  </si>
  <si>
    <t>Present value of FCFs</t>
  </si>
  <si>
    <t>Equity/share at perpetual growth rate sensitivities</t>
  </si>
  <si>
    <t>Key Variables</t>
  </si>
  <si>
    <t>Return on investment at perpetual growth rate sensitivities</t>
  </si>
  <si>
    <t>Return on Investment</t>
  </si>
  <si>
    <t>Equity/share at various exit EBITDA multiples</t>
  </si>
  <si>
    <t>Equity value / share</t>
  </si>
  <si>
    <t>Return on investment at various exit EBITDA multiples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</si>
</sst>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0_);\(0.00\)"/>
    <numFmt numFmtId="166" formatCode="&quot;$&quot;#,##0.00"/>
    <numFmt numFmtId="167" formatCode="_(* #,##0.0_);_(* \(#,##0.0\);_(* &quot;-&quot;??_);_(@_)"/>
    <numFmt numFmtId="168" formatCode="0.0000000000000000%"/>
    <numFmt numFmtId="169" formatCode="_(* #,##0.0_);_(* \(#,##0.0\);_(* &quot;-&quot;?_);_(@_)"/>
    <numFmt numFmtId="170" formatCode="#,##0.0\x_);\(#,##0.0\x\);&quot;-&quot;??_);General_)"/>
  </numFmts>
  <fonts count="22" x14ac:knownFonts="1">
    <font>
      <sz val="12"/>
      <color theme="1"/>
      <name val="Calibri"/>
      <family val="2"/>
      <scheme val="minor"/>
    </font>
    <font>
      <sz val="12"/>
      <color theme="1"/>
      <name val="Calibri"/>
      <family val="2"/>
      <scheme val="minor"/>
    </font>
    <font>
      <sz val="11"/>
      <color theme="1"/>
      <name val="Calibri"/>
      <family val="2"/>
      <scheme val="minor"/>
    </font>
    <font>
      <sz val="14"/>
      <color theme="0"/>
      <name val="Arial"/>
      <family val="2"/>
    </font>
    <font>
      <sz val="14"/>
      <color theme="1"/>
      <name val="Arial"/>
      <family val="2"/>
    </font>
    <font>
      <sz val="14"/>
      <color rgb="FF0000FF"/>
      <name val="Arial"/>
      <family val="2"/>
    </font>
    <font>
      <vertAlign val="superscript"/>
      <sz val="14"/>
      <color theme="1"/>
      <name val="Arial"/>
      <family val="2"/>
    </font>
    <font>
      <b/>
      <sz val="14"/>
      <color theme="1"/>
      <name val="Arial"/>
      <family val="2"/>
    </font>
    <font>
      <b/>
      <vertAlign val="superscript"/>
      <sz val="14"/>
      <color theme="1"/>
      <name val="Arial"/>
      <family val="2"/>
    </font>
    <font>
      <b/>
      <sz val="14"/>
      <color theme="0"/>
      <name val="Arial"/>
      <family val="2"/>
    </font>
    <font>
      <i/>
      <sz val="14"/>
      <color theme="1" tint="0.34998626667073579"/>
      <name val="Arial"/>
      <family val="2"/>
    </font>
    <font>
      <b/>
      <sz val="20"/>
      <color theme="0"/>
      <name val="Arial"/>
      <family val="2"/>
    </font>
    <font>
      <b/>
      <sz val="10"/>
      <color rgb="FF000000"/>
      <name val="Tahoma"/>
      <family val="2"/>
    </font>
    <font>
      <sz val="10"/>
      <color rgb="FF000000"/>
      <name val="Tahoma"/>
      <family val="2"/>
    </font>
    <font>
      <sz val="9"/>
      <color theme="1"/>
      <name val="Arial"/>
      <family val="2"/>
    </font>
    <font>
      <b/>
      <sz val="14"/>
      <color rgb="FF0000FF"/>
      <name val="Arial"/>
      <family val="2"/>
    </font>
    <font>
      <b/>
      <sz val="14"/>
      <color theme="5" tint="-0.499984740745262"/>
      <name val="Arial"/>
      <family val="2"/>
    </font>
    <font>
      <b/>
      <sz val="14"/>
      <color theme="7" tint="-0.499984740745262"/>
      <name val="Arial"/>
      <family val="2"/>
    </font>
    <font>
      <b/>
      <sz val="18"/>
      <color theme="0"/>
      <name val="Arial"/>
      <family val="2"/>
    </font>
    <font>
      <sz val="14"/>
      <color rgb="FF000000"/>
      <name val="Arial"/>
      <family val="2"/>
    </font>
    <font>
      <b/>
      <sz val="14"/>
      <color rgb="FF000000"/>
      <name val="Arial"/>
      <family val="2"/>
    </font>
    <font>
      <i/>
      <u val="singleAccounting"/>
      <sz val="14"/>
      <color theme="1"/>
      <name val="Arial"/>
      <family val="2"/>
    </font>
  </fonts>
  <fills count="11">
    <fill>
      <patternFill patternType="none"/>
    </fill>
    <fill>
      <patternFill patternType="gray125"/>
    </fill>
    <fill>
      <patternFill patternType="solid">
        <fgColor rgb="FFFFFF99"/>
        <bgColor indexed="64"/>
      </patternFill>
    </fill>
    <fill>
      <patternFill patternType="solid">
        <fgColor theme="3" tint="-0.249977111117893"/>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13">
    <border>
      <left/>
      <right/>
      <top/>
      <bottom/>
      <diagonal/>
    </border>
    <border>
      <left/>
      <right/>
      <top/>
      <bottom style="double">
        <color auto="1"/>
      </bottom>
      <diagonal/>
    </border>
    <border>
      <left/>
      <right/>
      <top/>
      <bottom style="thin">
        <color auto="1"/>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double">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indexed="64"/>
      </bottom>
      <diagonal/>
    </border>
  </borders>
  <cellStyleXfs count="8">
    <xf numFmtId="0" fontId="0" fillId="0" borderId="0"/>
    <xf numFmtId="9" fontId="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14" fillId="0" borderId="0"/>
    <xf numFmtId="44" fontId="1" fillId="0" borderId="0" applyFont="0" applyFill="0" applyBorder="0" applyAlignment="0" applyProtection="0"/>
  </cellStyleXfs>
  <cellXfs count="147">
    <xf numFmtId="0" fontId="0" fillId="0" borderId="0" xfId="0"/>
    <xf numFmtId="0" fontId="3" fillId="0" borderId="0" xfId="4" applyFont="1"/>
    <xf numFmtId="0" fontId="4" fillId="0" borderId="0" xfId="4" applyFont="1"/>
    <xf numFmtId="0" fontId="5" fillId="0" borderId="0" xfId="4" applyFont="1"/>
    <xf numFmtId="164" fontId="4" fillId="0" borderId="1" xfId="5" applyNumberFormat="1" applyFont="1" applyBorder="1"/>
    <xf numFmtId="43" fontId="4" fillId="0" borderId="1" xfId="4" applyNumberFormat="1" applyFont="1" applyBorder="1"/>
    <xf numFmtId="165" fontId="4" fillId="0" borderId="1" xfId="4" applyNumberFormat="1" applyFont="1" applyBorder="1" applyAlignment="1">
      <alignment horizontal="left" vertical="center"/>
    </xf>
    <xf numFmtId="0" fontId="7" fillId="0" borderId="0" xfId="4" applyFont="1"/>
    <xf numFmtId="0" fontId="4" fillId="0" borderId="2" xfId="4" applyFont="1" applyBorder="1"/>
    <xf numFmtId="0" fontId="3" fillId="0" borderId="2" xfId="4" applyFont="1" applyBorder="1"/>
    <xf numFmtId="43" fontId="4" fillId="0" borderId="0" xfId="4" applyNumberFormat="1" applyFont="1"/>
    <xf numFmtId="164" fontId="4" fillId="0" borderId="0" xfId="4" applyNumberFormat="1" applyFont="1"/>
    <xf numFmtId="164" fontId="4" fillId="0" borderId="0" xfId="5" applyNumberFormat="1" applyFont="1"/>
    <xf numFmtId="43" fontId="4" fillId="0" borderId="0" xfId="4" quotePrefix="1" applyNumberFormat="1" applyFont="1"/>
    <xf numFmtId="44" fontId="4" fillId="0" borderId="2" xfId="4" applyNumberFormat="1" applyFont="1" applyBorder="1"/>
    <xf numFmtId="2" fontId="4" fillId="0" borderId="0" xfId="4" applyNumberFormat="1" applyFont="1"/>
    <xf numFmtId="2" fontId="5" fillId="0" borderId="0" xfId="4" applyNumberFormat="1" applyFont="1"/>
    <xf numFmtId="44" fontId="4" fillId="0" borderId="0" xfId="4" applyNumberFormat="1" applyFont="1"/>
    <xf numFmtId="10" fontId="4" fillId="0" borderId="0" xfId="4" applyNumberFormat="1" applyFont="1"/>
    <xf numFmtId="44" fontId="5" fillId="0" borderId="0" xfId="4" applyNumberFormat="1" applyFont="1"/>
    <xf numFmtId="0" fontId="9" fillId="3" borderId="0" xfId="4" applyFont="1" applyFill="1"/>
    <xf numFmtId="43" fontId="4" fillId="0" borderId="3" xfId="4" applyNumberFormat="1" applyFont="1" applyBorder="1"/>
    <xf numFmtId="43" fontId="5" fillId="0" borderId="0" xfId="4" applyNumberFormat="1" applyFont="1"/>
    <xf numFmtId="165" fontId="4" fillId="0" borderId="0" xfId="4" applyNumberFormat="1" applyFont="1" applyAlignment="1">
      <alignment vertical="center"/>
    </xf>
    <xf numFmtId="165" fontId="9" fillId="3" borderId="0" xfId="4" applyNumberFormat="1" applyFont="1" applyFill="1"/>
    <xf numFmtId="14" fontId="4" fillId="0" borderId="0" xfId="4" applyNumberFormat="1" applyFont="1"/>
    <xf numFmtId="14" fontId="4" fillId="0" borderId="4" xfId="4" applyNumberFormat="1" applyFont="1" applyBorder="1"/>
    <xf numFmtId="165" fontId="3" fillId="0" borderId="0" xfId="4" applyNumberFormat="1" applyFont="1"/>
    <xf numFmtId="0" fontId="7" fillId="0" borderId="5" xfId="4" applyFont="1" applyBorder="1"/>
    <xf numFmtId="165" fontId="10" fillId="0" borderId="0" xfId="4" applyNumberFormat="1" applyFont="1"/>
    <xf numFmtId="165" fontId="3" fillId="3" borderId="0" xfId="4" applyNumberFormat="1" applyFont="1" applyFill="1"/>
    <xf numFmtId="0" fontId="3" fillId="3" borderId="0" xfId="4" applyFont="1" applyFill="1"/>
    <xf numFmtId="0" fontId="11" fillId="3" borderId="0" xfId="4" applyFont="1" applyFill="1"/>
    <xf numFmtId="0" fontId="2" fillId="0" borderId="0" xfId="4"/>
    <xf numFmtId="1" fontId="2" fillId="0" borderId="0" xfId="4" applyNumberFormat="1"/>
    <xf numFmtId="14" fontId="4" fillId="0" borderId="2" xfId="4" applyNumberFormat="1" applyFont="1" applyBorder="1"/>
    <xf numFmtId="14" fontId="4" fillId="0" borderId="7" xfId="4" applyNumberFormat="1" applyFont="1" applyBorder="1"/>
    <xf numFmtId="166" fontId="4" fillId="0" borderId="0" xfId="4" applyNumberFormat="1" applyFont="1"/>
    <xf numFmtId="0" fontId="4" fillId="4" borderId="0" xfId="4" applyFont="1" applyFill="1"/>
    <xf numFmtId="0" fontId="4" fillId="5" borderId="0" xfId="4" applyFont="1" applyFill="1"/>
    <xf numFmtId="0" fontId="4" fillId="6" borderId="0" xfId="4" applyFont="1" applyFill="1"/>
    <xf numFmtId="0" fontId="4" fillId="7" borderId="0" xfId="4" applyFont="1" applyFill="1"/>
    <xf numFmtId="0" fontId="4" fillId="8" borderId="0" xfId="4" applyFont="1" applyFill="1"/>
    <xf numFmtId="164" fontId="4" fillId="0" borderId="0" xfId="1" applyNumberFormat="1" applyFont="1"/>
    <xf numFmtId="167" fontId="5" fillId="0" borderId="0" xfId="4" applyNumberFormat="1" applyFont="1"/>
    <xf numFmtId="167" fontId="4" fillId="0" borderId="0" xfId="4" applyNumberFormat="1" applyFont="1"/>
    <xf numFmtId="167" fontId="4" fillId="0" borderId="3" xfId="4" applyNumberFormat="1" applyFont="1" applyBorder="1"/>
    <xf numFmtId="164" fontId="4" fillId="2" borderId="0" xfId="4" applyNumberFormat="1" applyFont="1" applyFill="1"/>
    <xf numFmtId="164" fontId="5" fillId="2" borderId="0" xfId="4" applyNumberFormat="1" applyFont="1" applyFill="1"/>
    <xf numFmtId="167" fontId="4" fillId="0" borderId="0" xfId="5" applyNumberFormat="1" applyFont="1"/>
    <xf numFmtId="167" fontId="7" fillId="0" borderId="0" xfId="4" applyNumberFormat="1" applyFont="1"/>
    <xf numFmtId="0" fontId="7" fillId="0" borderId="0" xfId="4" applyFont="1" applyBorder="1"/>
    <xf numFmtId="43" fontId="4" fillId="0" borderId="0" xfId="4" applyNumberFormat="1" applyFont="1" applyBorder="1"/>
    <xf numFmtId="167" fontId="4" fillId="0" borderId="0" xfId="4" applyNumberFormat="1" applyFont="1" applyBorder="1"/>
    <xf numFmtId="167" fontId="4" fillId="0" borderId="2" xfId="4" applyNumberFormat="1" applyFont="1" applyBorder="1"/>
    <xf numFmtId="43" fontId="4" fillId="0" borderId="8" xfId="4" applyNumberFormat="1" applyFont="1" applyBorder="1"/>
    <xf numFmtId="167" fontId="4" fillId="0" borderId="8" xfId="4" applyNumberFormat="1" applyFont="1" applyBorder="1"/>
    <xf numFmtId="167" fontId="5" fillId="0" borderId="2" xfId="4" applyNumberFormat="1" applyFont="1" applyBorder="1"/>
    <xf numFmtId="167" fontId="4" fillId="2" borderId="0" xfId="4" applyNumberFormat="1" applyFont="1" applyFill="1"/>
    <xf numFmtId="164" fontId="4" fillId="2" borderId="0" xfId="1" applyNumberFormat="1" applyFont="1" applyFill="1"/>
    <xf numFmtId="167" fontId="4" fillId="0" borderId="0" xfId="4" applyNumberFormat="1" applyFont="1" applyFill="1"/>
    <xf numFmtId="43" fontId="5" fillId="2" borderId="0" xfId="4" applyNumberFormat="1" applyFont="1" applyFill="1"/>
    <xf numFmtId="9" fontId="4" fillId="0" borderId="0" xfId="4" applyNumberFormat="1" applyFont="1"/>
    <xf numFmtId="9" fontId="5" fillId="0" borderId="0" xfId="4" applyNumberFormat="1" applyFont="1"/>
    <xf numFmtId="9" fontId="5" fillId="2" borderId="0" xfId="4" applyNumberFormat="1" applyFont="1" applyFill="1"/>
    <xf numFmtId="0" fontId="7" fillId="8" borderId="0" xfId="4" applyFont="1" applyFill="1" applyBorder="1"/>
    <xf numFmtId="14" fontId="4" fillId="0" borderId="0" xfId="4" applyNumberFormat="1" applyFont="1" applyBorder="1"/>
    <xf numFmtId="14" fontId="4" fillId="3" borderId="0" xfId="4" applyNumberFormat="1" applyFont="1" applyFill="1"/>
    <xf numFmtId="0" fontId="7" fillId="0" borderId="2" xfId="4" applyFont="1" applyBorder="1"/>
    <xf numFmtId="43" fontId="4" fillId="0" borderId="2" xfId="4" applyNumberFormat="1" applyFont="1" applyBorder="1"/>
    <xf numFmtId="0" fontId="7" fillId="4" borderId="0" xfId="4" applyFont="1" applyFill="1"/>
    <xf numFmtId="0" fontId="7" fillId="9" borderId="0" xfId="4" applyFont="1" applyFill="1"/>
    <xf numFmtId="0" fontId="7" fillId="8" borderId="0" xfId="4" applyFont="1" applyFill="1"/>
    <xf numFmtId="0" fontId="7" fillId="7" borderId="0" xfId="4" applyFont="1" applyFill="1"/>
    <xf numFmtId="0" fontId="7" fillId="6" borderId="0" xfId="4" applyFont="1" applyFill="1"/>
    <xf numFmtId="0" fontId="7" fillId="5" borderId="0" xfId="4" applyFont="1" applyFill="1"/>
    <xf numFmtId="0" fontId="7" fillId="0" borderId="0" xfId="4" applyFont="1" applyFill="1"/>
    <xf numFmtId="0" fontId="4" fillId="0" borderId="0" xfId="4" applyFont="1" applyFill="1"/>
    <xf numFmtId="167" fontId="5" fillId="0" borderId="0" xfId="4" applyNumberFormat="1" applyFont="1" applyBorder="1"/>
    <xf numFmtId="10" fontId="4" fillId="0" borderId="0" xfId="4" applyNumberFormat="1" applyFont="1" applyBorder="1"/>
    <xf numFmtId="164" fontId="4" fillId="0" borderId="0" xfId="4" applyNumberFormat="1" applyFont="1" applyBorder="1"/>
    <xf numFmtId="164" fontId="4" fillId="0" borderId="0" xfId="4" applyNumberFormat="1" applyFont="1" applyFill="1"/>
    <xf numFmtId="10" fontId="4" fillId="0" borderId="1" xfId="4" applyNumberFormat="1" applyFont="1" applyBorder="1"/>
    <xf numFmtId="10" fontId="5" fillId="0" borderId="0" xfId="4" applyNumberFormat="1" applyFont="1"/>
    <xf numFmtId="164" fontId="4" fillId="0" borderId="2" xfId="4" applyNumberFormat="1" applyFont="1" applyBorder="1"/>
    <xf numFmtId="168" fontId="4" fillId="0" borderId="0" xfId="4" applyNumberFormat="1" applyFont="1"/>
    <xf numFmtId="0" fontId="7" fillId="0" borderId="9" xfId="4" applyFont="1" applyBorder="1"/>
    <xf numFmtId="0" fontId="4" fillId="0" borderId="10" xfId="4" applyFont="1" applyBorder="1"/>
    <xf numFmtId="10" fontId="4" fillId="0" borderId="11" xfId="4" applyNumberFormat="1" applyFont="1" applyBorder="1"/>
    <xf numFmtId="2" fontId="4" fillId="0" borderId="0" xfId="4" applyNumberFormat="1" applyFont="1" applyBorder="1"/>
    <xf numFmtId="165" fontId="7" fillId="0" borderId="0" xfId="4" applyNumberFormat="1" applyFont="1" applyAlignment="1">
      <alignment horizontal="center"/>
    </xf>
    <xf numFmtId="167" fontId="4" fillId="0" borderId="0" xfId="4" applyNumberFormat="1" applyFont="1" applyAlignment="1">
      <alignment horizontal="right"/>
    </xf>
    <xf numFmtId="0" fontId="4" fillId="0" borderId="0" xfId="4" applyFont="1" applyAlignment="1">
      <alignment horizontal="left"/>
    </xf>
    <xf numFmtId="165" fontId="7" fillId="0" borderId="0" xfId="4" applyNumberFormat="1" applyFont="1" applyAlignment="1">
      <alignment horizontal="center"/>
    </xf>
    <xf numFmtId="167" fontId="15" fillId="0" borderId="0" xfId="4" applyNumberFormat="1" applyFont="1"/>
    <xf numFmtId="0" fontId="7" fillId="0" borderId="0" xfId="4" applyFont="1" applyAlignment="1">
      <alignment horizontal="left"/>
    </xf>
    <xf numFmtId="14" fontId="4" fillId="0" borderId="0" xfId="4" applyNumberFormat="1" applyFont="1" applyAlignment="1">
      <alignment horizontal="left"/>
    </xf>
    <xf numFmtId="165" fontId="4" fillId="0" borderId="0" xfId="4" applyNumberFormat="1" applyFont="1" applyAlignment="1">
      <alignment horizontal="left"/>
    </xf>
    <xf numFmtId="165" fontId="7" fillId="0" borderId="0" xfId="4" applyNumberFormat="1" applyFont="1" applyAlignment="1"/>
    <xf numFmtId="0" fontId="4" fillId="0" borderId="0" xfId="4" applyFont="1" applyAlignment="1">
      <alignment horizontal="right"/>
    </xf>
    <xf numFmtId="2" fontId="4" fillId="0" borderId="0" xfId="4" applyNumberFormat="1" applyFont="1" applyAlignment="1">
      <alignment horizontal="right"/>
    </xf>
    <xf numFmtId="164" fontId="4" fillId="0" borderId="0" xfId="4" applyNumberFormat="1" applyFont="1" applyAlignment="1">
      <alignment horizontal="right"/>
    </xf>
    <xf numFmtId="169" fontId="4" fillId="0" borderId="0" xfId="4" applyNumberFormat="1" applyFont="1" applyAlignment="1">
      <alignment horizontal="right"/>
    </xf>
    <xf numFmtId="170" fontId="5" fillId="0" borderId="0" xfId="4" applyNumberFormat="1" applyFont="1" applyAlignment="1">
      <alignment horizontal="right"/>
    </xf>
    <xf numFmtId="10" fontId="5" fillId="0" borderId="11" xfId="4" applyNumberFormat="1" applyFont="1" applyBorder="1"/>
    <xf numFmtId="0" fontId="9" fillId="3" borderId="0" xfId="0" applyFont="1" applyFill="1"/>
    <xf numFmtId="0" fontId="4" fillId="3" borderId="0" xfId="0" applyFont="1" applyFill="1"/>
    <xf numFmtId="0" fontId="4" fillId="0" borderId="0" xfId="0" applyFont="1"/>
    <xf numFmtId="0" fontId="7" fillId="0" borderId="0" xfId="0" applyFont="1"/>
    <xf numFmtId="0" fontId="7" fillId="0" borderId="0" xfId="0" applyFont="1" applyFill="1"/>
    <xf numFmtId="0" fontId="4" fillId="0" borderId="0" xfId="0" applyFont="1" applyFill="1"/>
    <xf numFmtId="0" fontId="18" fillId="3" borderId="0" xfId="0" applyFont="1" applyFill="1"/>
    <xf numFmtId="164" fontId="4" fillId="0" borderId="0" xfId="0" applyNumberFormat="1" applyFont="1" applyFill="1" applyAlignment="1">
      <alignment horizontal="left"/>
    </xf>
    <xf numFmtId="170" fontId="4" fillId="0" borderId="0" xfId="4" applyNumberFormat="1" applyFont="1" applyAlignment="1">
      <alignment horizontal="left"/>
    </xf>
    <xf numFmtId="0" fontId="7" fillId="0" borderId="2" xfId="0" applyFont="1" applyBorder="1"/>
    <xf numFmtId="0" fontId="7" fillId="0" borderId="2" xfId="0" applyFont="1" applyFill="1" applyBorder="1"/>
    <xf numFmtId="0" fontId="4" fillId="0" borderId="2" xfId="0" applyFont="1" applyFill="1" applyBorder="1"/>
    <xf numFmtId="0" fontId="4" fillId="0" borderId="2" xfId="0" applyFont="1" applyBorder="1"/>
    <xf numFmtId="0" fontId="4" fillId="10" borderId="0" xfId="0" applyFont="1" applyFill="1"/>
    <xf numFmtId="0" fontId="4" fillId="5" borderId="0" xfId="0" applyFont="1" applyFill="1"/>
    <xf numFmtId="0" fontId="3" fillId="0" borderId="0" xfId="0" applyFont="1"/>
    <xf numFmtId="0" fontId="9" fillId="0" borderId="0" xfId="0" applyFont="1" applyFill="1"/>
    <xf numFmtId="164" fontId="5" fillId="0" borderId="0" xfId="4" applyNumberFormat="1" applyFont="1" applyAlignment="1"/>
    <xf numFmtId="167" fontId="4" fillId="0" borderId="0" xfId="4" applyNumberFormat="1" applyFont="1" applyAlignment="1"/>
    <xf numFmtId="167" fontId="4" fillId="0" borderId="0" xfId="4" applyNumberFormat="1" applyFont="1" applyAlignment="1">
      <alignment wrapText="1"/>
    </xf>
    <xf numFmtId="43" fontId="4" fillId="0" borderId="0" xfId="4" applyNumberFormat="1" applyFont="1" applyAlignment="1"/>
    <xf numFmtId="164" fontId="4" fillId="0" borderId="0" xfId="1" applyNumberFormat="1" applyFont="1" applyAlignment="1"/>
    <xf numFmtId="164" fontId="4" fillId="0" borderId="0" xfId="4" applyNumberFormat="1" applyFont="1" applyAlignment="1"/>
    <xf numFmtId="43" fontId="4" fillId="0" borderId="0" xfId="0" applyNumberFormat="1" applyFont="1"/>
    <xf numFmtId="0" fontId="7" fillId="0" borderId="0" xfId="0" applyFont="1" applyAlignment="1">
      <alignment horizontal="right" vertical="center" textRotation="90"/>
    </xf>
    <xf numFmtId="10" fontId="5" fillId="0" borderId="4" xfId="0" applyNumberFormat="1" applyFont="1" applyBorder="1"/>
    <xf numFmtId="10" fontId="5" fillId="0" borderId="12" xfId="0" applyNumberFormat="1" applyFont="1" applyBorder="1"/>
    <xf numFmtId="164" fontId="4" fillId="0" borderId="0" xfId="0" applyNumberFormat="1" applyFont="1"/>
    <xf numFmtId="0" fontId="19" fillId="0" borderId="0" xfId="0" applyFont="1"/>
    <xf numFmtId="0" fontId="20" fillId="0" borderId="2" xfId="0" applyFont="1" applyBorder="1"/>
    <xf numFmtId="44" fontId="21" fillId="0" borderId="0" xfId="7" applyNumberFormat="1" applyFont="1" applyAlignment="1">
      <alignment horizontal="right"/>
    </xf>
    <xf numFmtId="164" fontId="21" fillId="0" borderId="0" xfId="1" applyNumberFormat="1" applyFont="1" applyAlignment="1">
      <alignment horizontal="right"/>
    </xf>
    <xf numFmtId="165" fontId="7" fillId="0" borderId="2" xfId="4" applyNumberFormat="1" applyFont="1" applyBorder="1" applyAlignment="1">
      <alignment horizontal="center"/>
    </xf>
    <xf numFmtId="165" fontId="7" fillId="0" borderId="7" xfId="4" applyNumberFormat="1" applyFont="1" applyBorder="1" applyAlignment="1">
      <alignment horizontal="center"/>
    </xf>
    <xf numFmtId="165" fontId="7" fillId="0" borderId="6" xfId="4" applyNumberFormat="1" applyFont="1" applyBorder="1" applyAlignment="1">
      <alignment horizontal="center"/>
    </xf>
    <xf numFmtId="0" fontId="4" fillId="0" borderId="0" xfId="4" applyFont="1" applyAlignment="1">
      <alignment horizontal="left"/>
    </xf>
    <xf numFmtId="0" fontId="6" fillId="0" borderId="0" xfId="4" applyFont="1" applyAlignment="1">
      <alignment horizontal="left" wrapText="1"/>
    </xf>
    <xf numFmtId="0" fontId="11" fillId="3" borderId="0" xfId="4" applyFont="1" applyFill="1" applyAlignment="1">
      <alignment horizontal="left"/>
    </xf>
    <xf numFmtId="0" fontId="20" fillId="0" borderId="0" xfId="0" applyFont="1" applyAlignment="1">
      <alignment horizontal="right" vertical="center" textRotation="90"/>
    </xf>
    <xf numFmtId="0" fontId="4" fillId="0" borderId="12" xfId="0" applyFont="1" applyBorder="1" applyAlignment="1">
      <alignment horizontal="center"/>
    </xf>
    <xf numFmtId="0" fontId="19" fillId="0" borderId="12" xfId="0" applyFont="1" applyBorder="1" applyAlignment="1">
      <alignment horizontal="center"/>
    </xf>
    <xf numFmtId="0" fontId="7" fillId="0" borderId="0" xfId="0" applyFont="1" applyAlignment="1">
      <alignment horizontal="right" vertical="center" textRotation="90"/>
    </xf>
  </cellXfs>
  <cellStyles count="8">
    <cellStyle name="Currency" xfId="7" builtinId="4"/>
    <cellStyle name="Normal" xfId="0" builtinId="0"/>
    <cellStyle name="Normal 2" xfId="2" xr:uid="{2175735F-90C4-224C-A78E-4CBE0B878C9F}"/>
    <cellStyle name="Normal 2 7" xfId="4" xr:uid="{B2BA7A73-A3B3-5342-B303-2519DB761E8A}"/>
    <cellStyle name="Normal 7" xfId="6" xr:uid="{3D2A744A-DD7C-C743-96CE-B8732AF46F20}"/>
    <cellStyle name="Percent" xfId="1" builtinId="5"/>
    <cellStyle name="Percent 2" xfId="3" xr:uid="{6FD51CFF-5422-7749-9968-8D457ECDB742}"/>
    <cellStyle name="Percent 2 2" xfId="5" xr:uid="{91E25CB2-A171-4D43-8275-7BE792DE7B47}"/>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PS/Analyst%20Program/Unit%206.%20DCFs/DBX%20RPM%20PW=%22gpseducation%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es/Desktop/GPS/Stock%20Pitch%20Details/Model%20Exhibi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RPM"/>
      <sheetName val="FSM and DCF Model"/>
      <sheetName val="Sensitivity Analysis"/>
      <sheetName val="Appendices--&gt;"/>
      <sheetName val="FSM w. BS+SCF"/>
      <sheetName val="Waterfall Depreciation Schedule"/>
      <sheetName val="RL COMPS"/>
    </sheetNames>
    <sheetDataSet>
      <sheetData sheetId="0">
        <row r="3">
          <cell r="D3">
            <v>44196</v>
          </cell>
        </row>
      </sheetData>
      <sheetData sheetId="1"/>
      <sheetData sheetId="2"/>
      <sheetData sheetId="3">
        <row r="168">
          <cell r="H168">
            <v>0.04</v>
          </cell>
          <cell r="S168">
            <v>98.9</v>
          </cell>
        </row>
        <row r="185">
          <cell r="S185">
            <v>100.58818444444445</v>
          </cell>
        </row>
      </sheetData>
      <sheetData sheetId="4"/>
      <sheetData sheetId="5"/>
      <sheetData sheetId="6">
        <row r="6">
          <cell r="E6" t="str">
            <v>Dropbox</v>
          </cell>
        </row>
        <row r="7">
          <cell r="E7" t="str">
            <v>DBX</v>
          </cell>
        </row>
        <row r="8">
          <cell r="E8">
            <v>44196</v>
          </cell>
        </row>
        <row r="9">
          <cell r="E9">
            <v>365</v>
          </cell>
        </row>
        <row r="11">
          <cell r="E11">
            <v>414300</v>
          </cell>
        </row>
        <row r="13">
          <cell r="E13">
            <v>0</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RPM"/>
      <sheetName val="Ratios Page"/>
      <sheetName val="Comps"/>
      <sheetName val="FSM"/>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8369-2386-AA4D-B1FD-F3F331C22858}">
  <sheetPr codeName="Sheet2"/>
  <dimension ref="C1:P48"/>
  <sheetViews>
    <sheetView showGridLines="0" tabSelected="1" zoomScaleNormal="100" workbookViewId="0">
      <selection activeCell="J2" sqref="J2"/>
    </sheetView>
  </sheetViews>
  <sheetFormatPr baseColWidth="10" defaultRowHeight="18" x14ac:dyDescent="0.2"/>
  <cols>
    <col min="1" max="1" width="4.1640625" style="1" customWidth="1"/>
    <col min="2" max="2" width="4.5" style="1" customWidth="1"/>
    <col min="3" max="3" width="54.33203125" style="1" customWidth="1"/>
    <col min="4" max="14" width="12.83203125" style="1" customWidth="1"/>
    <col min="15" max="16384" width="10.83203125" style="1"/>
  </cols>
  <sheetData>
    <row r="1" spans="3:16" ht="30" customHeight="1" x14ac:dyDescent="0.2"/>
    <row r="2" spans="3:16" ht="40" customHeight="1" x14ac:dyDescent="0.25">
      <c r="C2" s="32" t="s">
        <v>14</v>
      </c>
      <c r="D2" s="31"/>
      <c r="E2" s="31"/>
      <c r="F2" s="31"/>
      <c r="G2" s="31"/>
      <c r="H2" s="31"/>
      <c r="I2" s="31"/>
      <c r="J2" s="31"/>
      <c r="K2" s="31"/>
      <c r="L2" s="31"/>
      <c r="M2" s="31"/>
      <c r="N2" s="31"/>
    </row>
    <row r="3" spans="3:16" ht="20" customHeight="1" x14ac:dyDescent="0.2">
      <c r="C3" s="2" t="s">
        <v>13</v>
      </c>
      <c r="D3" s="25">
        <v>44196</v>
      </c>
    </row>
    <row r="4" spans="3:16" ht="20" customHeight="1" x14ac:dyDescent="0.2"/>
    <row r="5" spans="3:16" ht="20" customHeight="1" x14ac:dyDescent="0.2">
      <c r="C5" s="24" t="s">
        <v>12</v>
      </c>
      <c r="D5" s="30"/>
      <c r="E5" s="30"/>
      <c r="F5" s="30"/>
      <c r="G5" s="30"/>
      <c r="H5" s="30"/>
      <c r="I5" s="30"/>
      <c r="J5" s="30"/>
      <c r="K5" s="30"/>
      <c r="L5" s="30"/>
      <c r="M5" s="30"/>
      <c r="N5" s="30"/>
    </row>
    <row r="6" spans="3:16" ht="20" customHeight="1" x14ac:dyDescent="0.2">
      <c r="C6" s="27"/>
      <c r="D6" s="137" t="s">
        <v>11</v>
      </c>
      <c r="E6" s="137"/>
      <c r="F6" s="137"/>
      <c r="G6" s="138"/>
      <c r="H6" s="139" t="s">
        <v>10</v>
      </c>
      <c r="I6" s="137"/>
      <c r="J6" s="137"/>
      <c r="K6" s="137"/>
      <c r="L6" s="137"/>
      <c r="M6" s="137"/>
      <c r="N6" s="137"/>
    </row>
    <row r="7" spans="3:16" ht="20" customHeight="1" x14ac:dyDescent="0.2">
      <c r="C7" s="29" t="s">
        <v>9</v>
      </c>
      <c r="D7" s="7">
        <f t="shared" ref="D7:N7" si="0">YEAR(D8)</f>
        <v>2017</v>
      </c>
      <c r="E7" s="7">
        <f t="shared" si="0"/>
        <v>2018</v>
      </c>
      <c r="F7" s="7">
        <f t="shared" si="0"/>
        <v>2019</v>
      </c>
      <c r="G7" s="28">
        <f t="shared" si="0"/>
        <v>2020</v>
      </c>
      <c r="H7" s="7">
        <f t="shared" si="0"/>
        <v>2021</v>
      </c>
      <c r="I7" s="7">
        <f t="shared" si="0"/>
        <v>2022</v>
      </c>
      <c r="J7" s="7">
        <f t="shared" si="0"/>
        <v>2023</v>
      </c>
      <c r="K7" s="7">
        <f t="shared" si="0"/>
        <v>2024</v>
      </c>
      <c r="L7" s="7">
        <f t="shared" si="0"/>
        <v>2025</v>
      </c>
      <c r="M7" s="7">
        <f t="shared" si="0"/>
        <v>2026</v>
      </c>
      <c r="N7" s="7">
        <f t="shared" si="0"/>
        <v>2027</v>
      </c>
    </row>
    <row r="8" spans="3:16" ht="20" customHeight="1" x14ac:dyDescent="0.2">
      <c r="C8" s="27"/>
      <c r="D8" s="25">
        <f>+EOMONTH(E8,-12)</f>
        <v>43100</v>
      </c>
      <c r="E8" s="25">
        <f>+EOMONTH(F8,-12)</f>
        <v>43465</v>
      </c>
      <c r="F8" s="25">
        <f>+EOMONTH(G8,-12)</f>
        <v>43830</v>
      </c>
      <c r="G8" s="26">
        <f>Last_Fiscal_Date</f>
        <v>44196</v>
      </c>
      <c r="H8" s="25">
        <f t="shared" ref="H8:N8" si="1">+EOMONTH(G8,12)</f>
        <v>44561</v>
      </c>
      <c r="I8" s="25">
        <f t="shared" si="1"/>
        <v>44926</v>
      </c>
      <c r="J8" s="25">
        <f t="shared" si="1"/>
        <v>45291</v>
      </c>
      <c r="K8" s="25">
        <f t="shared" si="1"/>
        <v>45657</v>
      </c>
      <c r="L8" s="25">
        <f t="shared" si="1"/>
        <v>46022</v>
      </c>
      <c r="M8" s="25">
        <f t="shared" si="1"/>
        <v>46387</v>
      </c>
      <c r="N8" s="25">
        <f t="shared" si="1"/>
        <v>46752</v>
      </c>
      <c r="O8" s="2"/>
      <c r="P8" s="2"/>
    </row>
    <row r="9" spans="3:16" ht="20" customHeight="1" x14ac:dyDescent="0.2">
      <c r="C9" s="20" t="s">
        <v>8</v>
      </c>
      <c r="D9" s="2"/>
      <c r="E9" s="2"/>
      <c r="F9" s="2"/>
      <c r="G9" s="2"/>
      <c r="H9" s="2"/>
      <c r="I9" s="2"/>
      <c r="J9" s="2"/>
      <c r="K9" s="2"/>
      <c r="L9" s="2"/>
      <c r="M9" s="2"/>
      <c r="N9" s="2"/>
      <c r="O9" s="2"/>
      <c r="P9" s="2"/>
    </row>
    <row r="10" spans="3:16" ht="20" customHeight="1" x14ac:dyDescent="0.2">
      <c r="C10" s="7" t="s">
        <v>7</v>
      </c>
      <c r="D10" s="19">
        <v>111.91</v>
      </c>
      <c r="E10" s="19">
        <v>117.64</v>
      </c>
      <c r="F10" s="19">
        <v>123.07</v>
      </c>
      <c r="G10" s="19">
        <v>128.5</v>
      </c>
      <c r="H10" s="17">
        <f t="shared" ref="H10:N10" si="2">PRODUCT(G10*(1+H11))</f>
        <v>133.88609937433981</v>
      </c>
      <c r="I10" s="17">
        <f t="shared" si="2"/>
        <v>139.21736508849764</v>
      </c>
      <c r="J10" s="17">
        <f t="shared" si="2"/>
        <v>144.48374098816967</v>
      </c>
      <c r="K10" s="17">
        <f t="shared" si="2"/>
        <v>149.67605594401817</v>
      </c>
      <c r="L10" s="17">
        <f t="shared" si="2"/>
        <v>154.78602165760296</v>
      </c>
      <c r="M10" s="17">
        <f t="shared" si="2"/>
        <v>159.80622141963406</v>
      </c>
      <c r="N10" s="17">
        <f t="shared" si="2"/>
        <v>164.73009108721143</v>
      </c>
      <c r="O10" s="2"/>
      <c r="P10" s="2"/>
    </row>
    <row r="11" spans="3:16" ht="20" customHeight="1" x14ac:dyDescent="0.2">
      <c r="C11" s="23" t="s">
        <v>97</v>
      </c>
      <c r="D11" s="13">
        <v>0</v>
      </c>
      <c r="E11" s="12">
        <f>+E10/D10-1</f>
        <v>5.1201858636404252E-2</v>
      </c>
      <c r="F11" s="12">
        <f>+F10/E10-1</f>
        <v>4.6157769466167897E-2</v>
      </c>
      <c r="G11" s="12">
        <f>+G10/F10-1</f>
        <v>4.4121231819289841E-2</v>
      </c>
      <c r="H11" s="47">
        <f t="shared" ref="H11:N11" si="3">0.95*G11</f>
        <v>4.1915170228325346E-2</v>
      </c>
      <c r="I11" s="47">
        <f t="shared" si="3"/>
        <v>3.981941171690908E-2</v>
      </c>
      <c r="J11" s="47">
        <f t="shared" si="3"/>
        <v>3.7828441131063623E-2</v>
      </c>
      <c r="K11" s="47">
        <f t="shared" si="3"/>
        <v>3.593701907451044E-2</v>
      </c>
      <c r="L11" s="47">
        <f t="shared" si="3"/>
        <v>3.4140168120784915E-2</v>
      </c>
      <c r="M11" s="47">
        <f t="shared" si="3"/>
        <v>3.2433159714745669E-2</v>
      </c>
      <c r="N11" s="47">
        <f t="shared" si="3"/>
        <v>3.0811501729008383E-2</v>
      </c>
      <c r="O11" s="2"/>
      <c r="P11" s="2"/>
    </row>
    <row r="12" spans="3:16" ht="20" customHeight="1" x14ac:dyDescent="0.2">
      <c r="D12" s="17"/>
      <c r="E12" s="17"/>
      <c r="F12" s="17"/>
      <c r="G12" s="18"/>
      <c r="H12" s="17"/>
      <c r="I12" s="17"/>
      <c r="J12" s="17"/>
      <c r="K12" s="17"/>
      <c r="L12" s="17"/>
      <c r="M12" s="17"/>
      <c r="N12" s="17"/>
      <c r="O12" s="2"/>
      <c r="P12" s="2"/>
    </row>
    <row r="13" spans="3:16" ht="20" customHeight="1" x14ac:dyDescent="0.2">
      <c r="C13" s="7" t="s">
        <v>6</v>
      </c>
      <c r="D13" s="16">
        <v>11</v>
      </c>
      <c r="E13" s="16">
        <v>12.7</v>
      </c>
      <c r="F13" s="16">
        <v>14.31</v>
      </c>
      <c r="G13" s="16">
        <v>15.48</v>
      </c>
      <c r="H13" s="15">
        <f t="shared" ref="H13:N13" si="4">PRODUCT(G13,(1+H14))</f>
        <v>16.682377358490566</v>
      </c>
      <c r="I13" s="15">
        <f t="shared" si="4"/>
        <v>17.91335844250623</v>
      </c>
      <c r="J13" s="15">
        <f t="shared" si="4"/>
        <v>19.169082052760125</v>
      </c>
      <c r="K13" s="15">
        <f t="shared" si="4"/>
        <v>20.445644208757404</v>
      </c>
      <c r="L13" s="15">
        <f t="shared" si="4"/>
        <v>21.739140099747143</v>
      </c>
      <c r="M13" s="15">
        <f t="shared" si="4"/>
        <v>23.045702695686156</v>
      </c>
      <c r="N13" s="15">
        <f t="shared" si="4"/>
        <v>24.361537652869281</v>
      </c>
      <c r="O13" s="2"/>
      <c r="P13" s="2"/>
    </row>
    <row r="14" spans="3:16" ht="20" customHeight="1" x14ac:dyDescent="0.2">
      <c r="C14" s="23" t="s">
        <v>97</v>
      </c>
      <c r="D14" s="13">
        <v>0</v>
      </c>
      <c r="E14" s="12">
        <f>+E13/D13-1</f>
        <v>0.15454545454545454</v>
      </c>
      <c r="F14" s="12">
        <f>+F13/E13-1</f>
        <v>0.12677165354330722</v>
      </c>
      <c r="G14" s="12">
        <f>+G13/F13-1</f>
        <v>8.1761006289308158E-2</v>
      </c>
      <c r="H14" s="47">
        <f>0.95*G14</f>
        <v>7.767295597484275E-2</v>
      </c>
      <c r="I14" s="47">
        <f t="shared" ref="I14:N14" si="5">0.95*H14</f>
        <v>7.3789308176100604E-2</v>
      </c>
      <c r="J14" s="47">
        <f t="shared" si="5"/>
        <v>7.009984276729557E-2</v>
      </c>
      <c r="K14" s="47">
        <f t="shared" si="5"/>
        <v>6.6594850628930793E-2</v>
      </c>
      <c r="L14" s="47">
        <f t="shared" si="5"/>
        <v>6.3265108097484257E-2</v>
      </c>
      <c r="M14" s="47">
        <f t="shared" si="5"/>
        <v>6.0101852692610043E-2</v>
      </c>
      <c r="N14" s="47">
        <f t="shared" si="5"/>
        <v>5.7096760057979541E-2</v>
      </c>
      <c r="O14" s="2"/>
      <c r="P14" s="2"/>
    </row>
    <row r="15" spans="3:16" ht="20" customHeight="1" x14ac:dyDescent="0.2">
      <c r="C15" s="9"/>
      <c r="D15" s="14"/>
      <c r="E15" s="14"/>
      <c r="F15" s="14"/>
      <c r="G15" s="14"/>
      <c r="H15" s="14"/>
      <c r="I15" s="14"/>
      <c r="J15" s="14"/>
      <c r="K15" s="14"/>
      <c r="L15" s="14"/>
      <c r="M15" s="14"/>
      <c r="N15" s="14"/>
      <c r="O15" s="2"/>
      <c r="P15" s="2"/>
    </row>
    <row r="16" spans="3:16" ht="20" customHeight="1" x14ac:dyDescent="0.2">
      <c r="C16" s="7" t="s">
        <v>5</v>
      </c>
      <c r="D16" s="49">
        <f t="shared" ref="D16:N16" si="6">PRODUCT(D10*D13)</f>
        <v>1231.01</v>
      </c>
      <c r="E16" s="49">
        <f t="shared" si="6"/>
        <v>1494.028</v>
      </c>
      <c r="F16" s="49">
        <f t="shared" si="6"/>
        <v>1761.1316999999999</v>
      </c>
      <c r="G16" s="49">
        <f t="shared" si="6"/>
        <v>1989.18</v>
      </c>
      <c r="H16" s="49">
        <f t="shared" si="6"/>
        <v>2233.5384328191044</v>
      </c>
      <c r="I16" s="49">
        <f t="shared" si="6"/>
        <v>2493.8505622515113</v>
      </c>
      <c r="J16" s="49">
        <f t="shared" si="6"/>
        <v>2769.6206862919657</v>
      </c>
      <c r="K16" s="49">
        <f t="shared" si="6"/>
        <v>3060.2233864014643</v>
      </c>
      <c r="L16" s="49">
        <f t="shared" si="6"/>
        <v>3364.9150102971262</v>
      </c>
      <c r="M16" s="49">
        <f t="shared" si="6"/>
        <v>3682.8466677578795</v>
      </c>
      <c r="N16" s="49">
        <f t="shared" si="6"/>
        <v>4013.0783165816874</v>
      </c>
      <c r="O16" s="2"/>
      <c r="P16" s="2"/>
    </row>
    <row r="17" spans="3:16" ht="20" customHeight="1" x14ac:dyDescent="0.2">
      <c r="C17" s="23" t="s">
        <v>97</v>
      </c>
      <c r="D17" s="13">
        <v>0</v>
      </c>
      <c r="E17" s="12">
        <f t="shared" ref="E17:N17" si="7">+E16/D16-1</f>
        <v>0.21366032769839394</v>
      </c>
      <c r="F17" s="12">
        <f t="shared" si="7"/>
        <v>0.17878091976857191</v>
      </c>
      <c r="G17" s="12">
        <f t="shared" si="7"/>
        <v>0.12948963442086714</v>
      </c>
      <c r="H17" s="12">
        <f t="shared" si="7"/>
        <v>0.12284380137499085</v>
      </c>
      <c r="I17" s="12">
        <f t="shared" si="7"/>
        <v>0.11654696673557963</v>
      </c>
      <c r="J17" s="12">
        <f t="shared" si="7"/>
        <v>0.11058005167377871</v>
      </c>
      <c r="K17" s="12">
        <f t="shared" si="7"/>
        <v>0.10492509012075746</v>
      </c>
      <c r="L17" s="12">
        <f t="shared" si="7"/>
        <v>9.9565157644896818E-2</v>
      </c>
      <c r="M17" s="12">
        <f t="shared" si="7"/>
        <v>9.4484305394887169E-2</v>
      </c>
      <c r="N17" s="12">
        <f t="shared" si="7"/>
        <v>8.9667498708235094E-2</v>
      </c>
      <c r="O17" s="2"/>
      <c r="P17" s="2"/>
    </row>
    <row r="18" spans="3:16" ht="20" customHeight="1" x14ac:dyDescent="0.2">
      <c r="C18" s="1" t="s">
        <v>4</v>
      </c>
      <c r="D18" s="11">
        <f>D16/D23-1</f>
        <v>0.11222443079147104</v>
      </c>
      <c r="E18" s="11">
        <f t="shared" ref="E18:G18" si="8">E16/E23-1</f>
        <v>7.3527340662498997E-2</v>
      </c>
      <c r="F18" s="11">
        <f t="shared" si="8"/>
        <v>6.0092517907662568E-2</v>
      </c>
      <c r="G18" s="11">
        <f t="shared" si="8"/>
        <v>3.9333298500444203E-2</v>
      </c>
      <c r="H18" s="47">
        <f t="shared" ref="H18:N18" si="9">H14/2</f>
        <v>3.8836477987421375E-2</v>
      </c>
      <c r="I18" s="47">
        <f t="shared" si="9"/>
        <v>3.6894654088050302E-2</v>
      </c>
      <c r="J18" s="47">
        <f t="shared" si="9"/>
        <v>3.5049921383647785E-2</v>
      </c>
      <c r="K18" s="47">
        <f t="shared" si="9"/>
        <v>3.3297425314465397E-2</v>
      </c>
      <c r="L18" s="47">
        <f t="shared" si="9"/>
        <v>3.1632554048742129E-2</v>
      </c>
      <c r="M18" s="47">
        <f t="shared" si="9"/>
        <v>3.0050926346305021E-2</v>
      </c>
      <c r="N18" s="47">
        <f t="shared" si="9"/>
        <v>2.8548380028989771E-2</v>
      </c>
      <c r="O18" s="2"/>
      <c r="P18" s="2"/>
    </row>
    <row r="19" spans="3:16" ht="20" customHeight="1" x14ac:dyDescent="0.2">
      <c r="C19" s="9"/>
      <c r="D19" s="8"/>
      <c r="E19" s="8"/>
      <c r="F19" s="8"/>
      <c r="G19" s="8"/>
      <c r="H19" s="8"/>
      <c r="I19" s="8"/>
      <c r="J19" s="8"/>
      <c r="K19" s="8"/>
      <c r="L19" s="8"/>
      <c r="M19" s="8"/>
      <c r="N19" s="8"/>
      <c r="O19" s="2"/>
      <c r="P19" s="2"/>
    </row>
    <row r="20" spans="3:16" ht="20" customHeight="1" x14ac:dyDescent="0.2">
      <c r="C20" s="7" t="s">
        <v>3</v>
      </c>
      <c r="D20" s="45">
        <f t="shared" ref="D20:N20" si="10">D16/(1+D18)</f>
        <v>1106.8</v>
      </c>
      <c r="E20" s="45">
        <f t="shared" si="10"/>
        <v>1391.7</v>
      </c>
      <c r="F20" s="45">
        <f t="shared" si="10"/>
        <v>1661.3000000000002</v>
      </c>
      <c r="G20" s="45">
        <f t="shared" si="10"/>
        <v>1913.8999999999999</v>
      </c>
      <c r="H20" s="45">
        <f t="shared" si="10"/>
        <v>2150.0385095700781</v>
      </c>
      <c r="I20" s="45">
        <f t="shared" si="10"/>
        <v>2405.1146878029326</v>
      </c>
      <c r="J20" s="45">
        <f t="shared" si="10"/>
        <v>2675.8329516991371</v>
      </c>
      <c r="K20" s="45">
        <f t="shared" si="10"/>
        <v>2961.6094179951533</v>
      </c>
      <c r="L20" s="45">
        <f t="shared" si="10"/>
        <v>3261.7379095795209</v>
      </c>
      <c r="M20" s="45">
        <f t="shared" si="10"/>
        <v>3575.4025102635551</v>
      </c>
      <c r="N20" s="45">
        <f t="shared" si="10"/>
        <v>3901.6913491892115</v>
      </c>
      <c r="O20" s="2"/>
      <c r="P20" s="2"/>
    </row>
    <row r="21" spans="3:16" ht="20" customHeight="1" x14ac:dyDescent="0.2">
      <c r="D21" s="2"/>
      <c r="E21" s="2"/>
      <c r="F21" s="2"/>
      <c r="G21" s="2"/>
      <c r="H21" s="2"/>
      <c r="I21" s="2"/>
      <c r="J21" s="2"/>
      <c r="K21" s="2"/>
      <c r="L21" s="2"/>
      <c r="M21" s="2"/>
      <c r="N21" s="2"/>
      <c r="O21" s="2"/>
      <c r="P21" s="2"/>
    </row>
    <row r="22" spans="3:16" ht="20" customHeight="1" x14ac:dyDescent="0.2">
      <c r="C22" s="9"/>
      <c r="D22" s="8"/>
      <c r="E22" s="8"/>
      <c r="F22" s="8"/>
      <c r="G22" s="8"/>
      <c r="H22" s="8"/>
      <c r="I22" s="8"/>
      <c r="J22" s="8"/>
      <c r="K22" s="8"/>
      <c r="L22" s="8"/>
      <c r="M22" s="8"/>
      <c r="N22" s="8"/>
      <c r="O22" s="2"/>
      <c r="P22" s="2"/>
    </row>
    <row r="23" spans="3:16" ht="20" customHeight="1" x14ac:dyDescent="0.2">
      <c r="C23" s="7" t="s">
        <v>2</v>
      </c>
      <c r="D23" s="94">
        <v>1106.8</v>
      </c>
      <c r="E23" s="94">
        <v>1391.7</v>
      </c>
      <c r="F23" s="94">
        <v>1661.3</v>
      </c>
      <c r="G23" s="94">
        <v>1913.9</v>
      </c>
      <c r="H23" s="50">
        <f>H20</f>
        <v>2150.0385095700781</v>
      </c>
      <c r="I23" s="50">
        <f t="shared" ref="I23:N23" si="11">I20</f>
        <v>2405.1146878029326</v>
      </c>
      <c r="J23" s="50">
        <f t="shared" si="11"/>
        <v>2675.8329516991371</v>
      </c>
      <c r="K23" s="50">
        <f t="shared" si="11"/>
        <v>2961.6094179951533</v>
      </c>
      <c r="L23" s="50">
        <f t="shared" si="11"/>
        <v>3261.7379095795209</v>
      </c>
      <c r="M23" s="50">
        <f t="shared" si="11"/>
        <v>3575.4025102635551</v>
      </c>
      <c r="N23" s="50">
        <f t="shared" si="11"/>
        <v>3901.6913491892115</v>
      </c>
      <c r="O23" s="2"/>
      <c r="P23" s="2"/>
    </row>
    <row r="24" spans="3:16" ht="20" customHeight="1" thickBot="1" x14ac:dyDescent="0.25">
      <c r="C24" s="6" t="s">
        <v>97</v>
      </c>
      <c r="D24" s="5">
        <v>0</v>
      </c>
      <c r="E24" s="4">
        <f t="shared" ref="E24:N24" si="12">(E23/D23)-1</f>
        <v>0.25740874593422491</v>
      </c>
      <c r="F24" s="4">
        <f t="shared" si="12"/>
        <v>0.19371991090033758</v>
      </c>
      <c r="G24" s="4">
        <f t="shared" si="12"/>
        <v>0.15204959971106979</v>
      </c>
      <c r="H24" s="4">
        <f t="shared" si="12"/>
        <v>0.12338079814518932</v>
      </c>
      <c r="I24" s="4">
        <f t="shared" si="12"/>
        <v>0.11863795792376752</v>
      </c>
      <c r="J24" s="4">
        <f t="shared" si="12"/>
        <v>0.11255939904616574</v>
      </c>
      <c r="K24" s="4">
        <f t="shared" si="12"/>
        <v>0.10679906834787656</v>
      </c>
      <c r="L24" s="4">
        <f t="shared" si="12"/>
        <v>0.10133966003779737</v>
      </c>
      <c r="M24" s="4">
        <f t="shared" si="12"/>
        <v>9.616486958158732E-2</v>
      </c>
      <c r="N24" s="4">
        <f t="shared" si="12"/>
        <v>9.1259330380009329E-2</v>
      </c>
      <c r="O24" s="2"/>
      <c r="P24" s="2"/>
    </row>
    <row r="25" spans="3:16" ht="20" customHeight="1" thickTop="1" x14ac:dyDescent="0.2">
      <c r="D25" s="2"/>
      <c r="E25" s="2"/>
      <c r="F25" s="2"/>
      <c r="G25" s="2"/>
      <c r="H25" s="2"/>
      <c r="I25" s="2"/>
      <c r="J25" s="2"/>
      <c r="K25" s="2"/>
      <c r="L25" s="2"/>
      <c r="M25" s="2"/>
      <c r="N25" s="2"/>
      <c r="O25" s="2"/>
      <c r="P25" s="2"/>
    </row>
    <row r="26" spans="3:16" ht="20" customHeight="1" x14ac:dyDescent="0.2">
      <c r="C26" s="140" t="s">
        <v>1</v>
      </c>
      <c r="D26" s="140"/>
      <c r="E26" s="140"/>
      <c r="F26" s="140"/>
      <c r="G26" s="140"/>
      <c r="H26" s="140"/>
      <c r="I26" s="140"/>
      <c r="J26" s="140"/>
      <c r="K26" s="140"/>
      <c r="L26" s="140"/>
      <c r="M26" s="140"/>
      <c r="N26" s="140"/>
      <c r="O26" s="2"/>
      <c r="P26" s="2"/>
    </row>
    <row r="27" spans="3:16" ht="20" customHeight="1" x14ac:dyDescent="0.2">
      <c r="C27" s="141" t="s">
        <v>0</v>
      </c>
      <c r="D27" s="141"/>
      <c r="E27" s="141"/>
      <c r="F27" s="141"/>
      <c r="G27" s="141"/>
      <c r="H27" s="141"/>
      <c r="I27" s="141"/>
      <c r="J27" s="141"/>
      <c r="K27" s="141"/>
      <c r="L27" s="141"/>
      <c r="M27" s="141"/>
      <c r="N27" s="141"/>
      <c r="O27" s="2"/>
      <c r="P27" s="2"/>
    </row>
    <row r="28" spans="3:16" ht="20" customHeight="1" x14ac:dyDescent="0.2">
      <c r="C28" s="141"/>
      <c r="D28" s="141"/>
      <c r="E28" s="141"/>
      <c r="F28" s="141"/>
      <c r="G28" s="141"/>
      <c r="H28" s="141"/>
      <c r="I28" s="141"/>
      <c r="J28" s="141"/>
      <c r="K28" s="141"/>
      <c r="L28" s="141"/>
      <c r="M28" s="141"/>
      <c r="N28" s="141"/>
      <c r="O28" s="2"/>
      <c r="P28" s="2"/>
    </row>
    <row r="29" spans="3:16" ht="20" customHeight="1" x14ac:dyDescent="0.2">
      <c r="D29" s="2"/>
      <c r="E29" s="2"/>
      <c r="F29" s="2"/>
      <c r="G29" s="2"/>
      <c r="H29" s="2"/>
      <c r="I29" s="2"/>
      <c r="J29" s="2"/>
      <c r="K29" s="2"/>
      <c r="L29" s="2"/>
      <c r="M29" s="2"/>
      <c r="N29" s="2"/>
      <c r="O29" s="2"/>
      <c r="P29" s="2"/>
    </row>
    <row r="30" spans="3:16" ht="20" customHeight="1" x14ac:dyDescent="0.2">
      <c r="D30" s="2"/>
      <c r="E30" s="2"/>
      <c r="F30" s="2"/>
      <c r="G30" s="2"/>
      <c r="H30" s="2"/>
      <c r="I30" s="2"/>
      <c r="J30" s="2"/>
      <c r="K30" s="2"/>
      <c r="L30" s="2"/>
      <c r="M30" s="2"/>
      <c r="N30" s="2"/>
      <c r="O30" s="2"/>
      <c r="P30" s="2"/>
    </row>
    <row r="31" spans="3:16" ht="20" customHeight="1" x14ac:dyDescent="0.2">
      <c r="D31" s="2"/>
      <c r="E31" s="2"/>
      <c r="F31" s="2"/>
      <c r="G31" s="2"/>
      <c r="H31" s="2"/>
      <c r="I31" s="2"/>
      <c r="J31" s="2"/>
      <c r="K31" s="2"/>
      <c r="L31" s="2"/>
      <c r="M31" s="2"/>
      <c r="N31" s="2"/>
      <c r="O31" s="2"/>
      <c r="P31" s="2"/>
    </row>
    <row r="32" spans="3:16" ht="20" customHeight="1" x14ac:dyDescent="0.2">
      <c r="D32" s="2"/>
      <c r="E32" s="2"/>
      <c r="F32" s="2"/>
      <c r="G32" s="2"/>
      <c r="H32" s="2"/>
      <c r="I32" s="2"/>
      <c r="J32" s="2"/>
      <c r="K32" s="2"/>
      <c r="L32" s="2"/>
      <c r="M32" s="2"/>
      <c r="N32" s="2"/>
      <c r="O32" s="2"/>
      <c r="P32" s="2"/>
    </row>
    <row r="33" spans="3:16" ht="20" customHeight="1" x14ac:dyDescent="0.2">
      <c r="C33" s="3"/>
      <c r="D33" s="2"/>
      <c r="E33" s="2"/>
      <c r="F33" s="2"/>
      <c r="G33" s="2"/>
      <c r="H33" s="2"/>
      <c r="I33" s="2"/>
      <c r="J33" s="2"/>
      <c r="K33" s="2"/>
      <c r="L33" s="2"/>
      <c r="M33" s="2"/>
      <c r="N33" s="2"/>
      <c r="O33" s="2"/>
      <c r="P33" s="2"/>
    </row>
    <row r="34" spans="3:16" ht="20" customHeight="1" x14ac:dyDescent="0.2">
      <c r="D34" s="2"/>
      <c r="E34" s="2"/>
      <c r="F34" s="2"/>
      <c r="G34" s="2"/>
      <c r="H34" s="2"/>
      <c r="I34" s="2"/>
      <c r="J34" s="2"/>
      <c r="K34" s="2"/>
      <c r="L34" s="2"/>
      <c r="M34" s="2"/>
      <c r="N34" s="2"/>
      <c r="O34" s="2"/>
      <c r="P34" s="2"/>
    </row>
    <row r="35" spans="3:16" ht="20" customHeight="1" x14ac:dyDescent="0.2">
      <c r="D35" s="2"/>
      <c r="E35" s="2"/>
      <c r="F35" s="2"/>
      <c r="G35" s="2"/>
      <c r="H35" s="2"/>
      <c r="I35" s="2"/>
      <c r="J35" s="2"/>
      <c r="K35" s="2"/>
      <c r="L35" s="2"/>
      <c r="M35" s="2"/>
      <c r="N35" s="2"/>
      <c r="O35" s="2"/>
      <c r="P35" s="2"/>
    </row>
    <row r="36" spans="3:16" ht="20" customHeight="1" x14ac:dyDescent="0.2">
      <c r="D36" s="2"/>
      <c r="E36" s="2"/>
      <c r="F36" s="2"/>
      <c r="G36" s="2"/>
      <c r="H36" s="2"/>
      <c r="I36" s="2"/>
      <c r="J36" s="2"/>
      <c r="K36" s="2"/>
      <c r="L36" s="2"/>
      <c r="M36" s="2"/>
      <c r="N36" s="2"/>
      <c r="O36" s="2"/>
      <c r="P36" s="2"/>
    </row>
    <row r="37" spans="3:16" ht="20" customHeight="1" x14ac:dyDescent="0.2">
      <c r="D37" s="2"/>
      <c r="E37" s="2"/>
      <c r="F37" s="2"/>
      <c r="G37" s="2"/>
      <c r="H37" s="2"/>
      <c r="I37" s="2"/>
      <c r="J37" s="2"/>
      <c r="K37" s="2"/>
      <c r="L37" s="2"/>
      <c r="M37" s="2"/>
      <c r="N37" s="2"/>
      <c r="O37" s="2"/>
      <c r="P37" s="2"/>
    </row>
    <row r="38" spans="3:16" ht="20" customHeight="1" x14ac:dyDescent="0.2">
      <c r="D38" s="2"/>
      <c r="E38" s="2"/>
      <c r="F38" s="2"/>
      <c r="G38" s="2"/>
      <c r="H38" s="2"/>
      <c r="I38" s="2"/>
      <c r="J38" s="2"/>
      <c r="K38" s="2"/>
      <c r="L38" s="2"/>
      <c r="M38" s="2"/>
      <c r="N38" s="2"/>
      <c r="O38" s="2"/>
      <c r="P38" s="2"/>
    </row>
    <row r="39" spans="3:16" ht="20" customHeight="1" x14ac:dyDescent="0.2">
      <c r="D39" s="2"/>
      <c r="E39" s="2"/>
      <c r="F39" s="2"/>
      <c r="G39" s="2"/>
      <c r="H39" s="2"/>
      <c r="I39" s="2"/>
      <c r="J39" s="2"/>
      <c r="K39" s="2"/>
      <c r="L39" s="2"/>
      <c r="M39" s="2"/>
      <c r="N39" s="2"/>
      <c r="O39" s="2"/>
      <c r="P39" s="2"/>
    </row>
    <row r="40" spans="3:16" ht="20" customHeight="1" x14ac:dyDescent="0.2">
      <c r="D40" s="2"/>
      <c r="E40" s="2"/>
      <c r="F40" s="2"/>
      <c r="G40" s="2"/>
      <c r="H40" s="2"/>
      <c r="I40" s="2"/>
      <c r="J40" s="2"/>
      <c r="K40" s="2"/>
      <c r="L40" s="2"/>
      <c r="M40" s="2"/>
      <c r="N40" s="2"/>
      <c r="O40" s="2"/>
      <c r="P40" s="2"/>
    </row>
    <row r="41" spans="3:16" ht="20" customHeight="1" x14ac:dyDescent="0.2">
      <c r="D41" s="2"/>
      <c r="E41" s="2"/>
      <c r="F41" s="2"/>
      <c r="G41" s="2"/>
      <c r="H41" s="2"/>
      <c r="I41" s="2"/>
      <c r="J41" s="2"/>
      <c r="K41" s="2"/>
      <c r="L41" s="2"/>
      <c r="M41" s="2"/>
      <c r="N41" s="2"/>
      <c r="O41" s="2"/>
      <c r="P41" s="2"/>
    </row>
    <row r="42" spans="3:16" ht="20" customHeight="1" x14ac:dyDescent="0.2">
      <c r="D42" s="2"/>
      <c r="E42" s="2"/>
      <c r="F42" s="2"/>
      <c r="G42" s="2"/>
      <c r="H42" s="2"/>
      <c r="I42" s="2"/>
      <c r="J42" s="2"/>
      <c r="K42" s="2"/>
      <c r="L42" s="2"/>
      <c r="M42" s="2"/>
      <c r="N42" s="2"/>
      <c r="O42" s="2"/>
      <c r="P42" s="2"/>
    </row>
    <row r="43" spans="3:16" ht="30" customHeight="1" x14ac:dyDescent="0.2"/>
    <row r="44" spans="3:16" ht="30" customHeight="1" x14ac:dyDescent="0.2"/>
    <row r="45" spans="3:16" ht="30" customHeight="1" x14ac:dyDescent="0.2"/>
    <row r="46" spans="3:16" ht="30" customHeight="1" x14ac:dyDescent="0.2"/>
    <row r="47" spans="3:16" ht="30" customHeight="1" x14ac:dyDescent="0.2"/>
    <row r="48" spans="3:16" ht="30" customHeight="1" x14ac:dyDescent="0.2"/>
  </sheetData>
  <mergeCells count="4">
    <mergeCell ref="D6:G6"/>
    <mergeCell ref="H6:N6"/>
    <mergeCell ref="C26:N26"/>
    <mergeCell ref="C27:N28"/>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F60B-723C-914E-AFAF-EE017CBAFE9F}">
  <sheetPr codeName="Sheet10"/>
  <dimension ref="C3:W140"/>
  <sheetViews>
    <sheetView showGridLines="0" topLeftCell="A15" zoomScaleNormal="100" workbookViewId="0">
      <selection activeCell="H42" sqref="H42"/>
    </sheetView>
  </sheetViews>
  <sheetFormatPr baseColWidth="10" defaultRowHeight="18" x14ac:dyDescent="0.2"/>
  <cols>
    <col min="1" max="2" width="4.83203125" style="2" customWidth="1"/>
    <col min="3" max="3" width="69.33203125" style="2" customWidth="1"/>
    <col min="4" max="14" width="12.83203125" style="2" customWidth="1"/>
    <col min="15" max="17" width="10.83203125" style="2"/>
    <col min="18" max="21" width="14.6640625" style="2" bestFit="1" customWidth="1"/>
    <col min="22" max="23" width="14.1640625" style="2" bestFit="1" customWidth="1"/>
    <col min="24" max="16384" width="10.83203125" style="2"/>
  </cols>
  <sheetData>
    <row r="3" spans="3:23" ht="34" customHeight="1" x14ac:dyDescent="0.25">
      <c r="C3" s="142" t="s">
        <v>14</v>
      </c>
      <c r="D3" s="142"/>
      <c r="E3" s="142"/>
      <c r="F3" s="142"/>
      <c r="G3" s="142"/>
      <c r="H3" s="142"/>
      <c r="I3" s="142"/>
      <c r="J3" s="142"/>
      <c r="K3" s="142"/>
      <c r="L3" s="142"/>
      <c r="M3" s="142"/>
      <c r="N3" s="142"/>
    </row>
    <row r="4" spans="3:23" x14ac:dyDescent="0.2">
      <c r="C4" s="2" t="s">
        <v>13</v>
      </c>
      <c r="D4" s="25">
        <v>44196</v>
      </c>
    </row>
    <row r="5" spans="3:23" x14ac:dyDescent="0.2">
      <c r="C5" s="2" t="s">
        <v>26</v>
      </c>
      <c r="D5" s="25">
        <f ca="1">NOW()</f>
        <v>44426.581405671299</v>
      </c>
      <c r="F5" s="71" t="s">
        <v>25</v>
      </c>
      <c r="G5" s="71"/>
      <c r="H5" s="72" t="s">
        <v>15</v>
      </c>
      <c r="I5" s="73" t="s">
        <v>24</v>
      </c>
      <c r="J5" s="74" t="s">
        <v>23</v>
      </c>
      <c r="K5" s="75" t="s">
        <v>22</v>
      </c>
      <c r="L5" s="70" t="s">
        <v>94</v>
      </c>
      <c r="M5" s="70"/>
    </row>
    <row r="6" spans="3:23" x14ac:dyDescent="0.2">
      <c r="C6" s="2" t="s">
        <v>21</v>
      </c>
      <c r="D6" s="37">
        <v>29.72</v>
      </c>
      <c r="P6" s="33"/>
      <c r="Q6" s="33"/>
      <c r="R6" s="34"/>
      <c r="S6" s="34"/>
      <c r="T6" s="34"/>
      <c r="U6" s="34"/>
      <c r="V6" s="34"/>
      <c r="W6" s="34"/>
    </row>
    <row r="7" spans="3:23" x14ac:dyDescent="0.2">
      <c r="D7" s="37"/>
      <c r="P7" s="33"/>
      <c r="Q7" s="33"/>
      <c r="R7" s="34"/>
      <c r="S7" s="34"/>
      <c r="T7" s="34"/>
      <c r="U7" s="34"/>
      <c r="V7" s="34"/>
      <c r="W7" s="34"/>
    </row>
    <row r="8" spans="3:23" x14ac:dyDescent="0.2">
      <c r="D8" s="137" t="s">
        <v>11</v>
      </c>
      <c r="E8" s="137"/>
      <c r="F8" s="137"/>
      <c r="G8" s="138"/>
      <c r="H8" s="139" t="s">
        <v>55</v>
      </c>
      <c r="I8" s="137"/>
      <c r="J8" s="137"/>
      <c r="K8" s="137"/>
      <c r="L8" s="137"/>
      <c r="M8" s="137"/>
      <c r="N8" s="137"/>
      <c r="P8" s="33"/>
      <c r="Q8" s="33"/>
      <c r="R8" s="34"/>
      <c r="S8" s="34"/>
      <c r="T8" s="34"/>
      <c r="U8" s="34"/>
      <c r="V8" s="34"/>
      <c r="W8" s="34"/>
    </row>
    <row r="9" spans="3:23" x14ac:dyDescent="0.2">
      <c r="D9" s="7">
        <f t="shared" ref="D9:N9" si="0">YEAR(D10)</f>
        <v>2017</v>
      </c>
      <c r="E9" s="7">
        <f t="shared" si="0"/>
        <v>2018</v>
      </c>
      <c r="F9" s="7">
        <f t="shared" si="0"/>
        <v>2019</v>
      </c>
      <c r="G9" s="28">
        <f t="shared" si="0"/>
        <v>2020</v>
      </c>
      <c r="H9" s="7">
        <f t="shared" si="0"/>
        <v>2021</v>
      </c>
      <c r="I9" s="7">
        <f t="shared" si="0"/>
        <v>2022</v>
      </c>
      <c r="J9" s="7">
        <f t="shared" si="0"/>
        <v>2023</v>
      </c>
      <c r="K9" s="7">
        <f t="shared" si="0"/>
        <v>2024</v>
      </c>
      <c r="L9" s="7">
        <f t="shared" si="0"/>
        <v>2025</v>
      </c>
      <c r="M9" s="7">
        <f t="shared" si="0"/>
        <v>2026</v>
      </c>
      <c r="N9" s="7">
        <f t="shared" si="0"/>
        <v>2027</v>
      </c>
      <c r="P9" s="33"/>
      <c r="Q9" s="33"/>
      <c r="R9" s="34"/>
      <c r="S9" s="34"/>
      <c r="T9" s="34"/>
      <c r="U9" s="34"/>
      <c r="V9" s="34"/>
      <c r="W9" s="34"/>
    </row>
    <row r="10" spans="3:23" x14ac:dyDescent="0.2">
      <c r="D10" s="35">
        <f>+EOMONTH(E10,-12)</f>
        <v>43100</v>
      </c>
      <c r="E10" s="35">
        <f>+EOMONTH(F10,-12)</f>
        <v>43465</v>
      </c>
      <c r="F10" s="35">
        <f>+EOMONTH(G10,-12)</f>
        <v>43830</v>
      </c>
      <c r="G10" s="36">
        <v>44196</v>
      </c>
      <c r="H10" s="35">
        <f t="shared" ref="H10:N10" si="1">+EOMONTH(G10,12)</f>
        <v>44561</v>
      </c>
      <c r="I10" s="35">
        <f t="shared" si="1"/>
        <v>44926</v>
      </c>
      <c r="J10" s="35">
        <f t="shared" si="1"/>
        <v>45291</v>
      </c>
      <c r="K10" s="35">
        <f t="shared" si="1"/>
        <v>45657</v>
      </c>
      <c r="L10" s="35">
        <f t="shared" si="1"/>
        <v>46022</v>
      </c>
      <c r="M10" s="35">
        <f t="shared" si="1"/>
        <v>46387</v>
      </c>
      <c r="N10" s="35">
        <f t="shared" si="1"/>
        <v>46752</v>
      </c>
      <c r="P10" s="33"/>
      <c r="Q10" s="33"/>
      <c r="R10" s="34"/>
      <c r="S10" s="34"/>
      <c r="T10" s="34"/>
      <c r="U10" s="34"/>
      <c r="V10" s="34"/>
      <c r="W10" s="34"/>
    </row>
    <row r="11" spans="3:23" x14ac:dyDescent="0.2">
      <c r="D11" s="66"/>
      <c r="E11" s="66"/>
      <c r="F11" s="66"/>
      <c r="G11" s="66"/>
      <c r="H11" s="66"/>
      <c r="I11" s="66"/>
      <c r="J11" s="66"/>
      <c r="K11" s="66"/>
      <c r="L11" s="66"/>
      <c r="M11" s="66"/>
      <c r="N11" s="66"/>
      <c r="P11" s="33"/>
      <c r="Q11" s="33"/>
      <c r="R11" s="34"/>
      <c r="S11" s="34"/>
      <c r="T11" s="34"/>
      <c r="U11" s="34"/>
      <c r="V11" s="34"/>
      <c r="W11" s="34"/>
    </row>
    <row r="12" spans="3:23" x14ac:dyDescent="0.2">
      <c r="D12" s="66"/>
      <c r="E12" s="66"/>
      <c r="F12" s="66"/>
      <c r="G12" s="66"/>
      <c r="H12" s="66"/>
      <c r="I12" s="66"/>
      <c r="J12" s="66"/>
      <c r="K12" s="66"/>
      <c r="L12" s="66"/>
      <c r="M12" s="66"/>
      <c r="N12" s="66"/>
      <c r="P12" s="33"/>
      <c r="Q12" s="33"/>
      <c r="R12" s="34"/>
      <c r="S12" s="34"/>
      <c r="T12" s="34"/>
      <c r="U12" s="34"/>
      <c r="V12" s="34"/>
      <c r="W12" s="34"/>
    </row>
    <row r="13" spans="3:23" x14ac:dyDescent="0.2">
      <c r="D13" s="25"/>
      <c r="E13" s="25"/>
      <c r="F13" s="25"/>
      <c r="G13" s="25"/>
      <c r="H13" s="25"/>
      <c r="I13" s="25"/>
      <c r="J13" s="25"/>
      <c r="K13" s="25"/>
      <c r="L13" s="25"/>
      <c r="M13" s="25"/>
      <c r="N13" s="25"/>
      <c r="P13" s="33"/>
      <c r="Q13" s="33"/>
      <c r="R13" s="34"/>
      <c r="S13" s="34"/>
      <c r="T13" s="34"/>
      <c r="U13" s="34"/>
      <c r="V13" s="34"/>
      <c r="W13" s="34"/>
    </row>
    <row r="14" spans="3:23" x14ac:dyDescent="0.2">
      <c r="C14" s="20" t="s">
        <v>20</v>
      </c>
      <c r="D14" s="31"/>
      <c r="E14" s="31"/>
      <c r="F14" s="31"/>
      <c r="G14" s="31"/>
      <c r="H14" s="31"/>
      <c r="I14" s="31"/>
      <c r="J14" s="31"/>
      <c r="K14" s="31"/>
      <c r="L14" s="31"/>
      <c r="M14" s="31"/>
      <c r="N14" s="31"/>
      <c r="P14" s="33"/>
      <c r="Q14" s="33"/>
      <c r="R14" s="34"/>
      <c r="S14" s="34"/>
      <c r="T14" s="34"/>
      <c r="U14" s="34"/>
      <c r="V14" s="34"/>
      <c r="W14" s="34"/>
    </row>
    <row r="15" spans="3:23" x14ac:dyDescent="0.2">
      <c r="D15" s="25"/>
      <c r="E15" s="25"/>
      <c r="F15" s="25"/>
      <c r="G15" s="25"/>
      <c r="H15" s="25"/>
      <c r="I15" s="25"/>
      <c r="J15" s="25"/>
      <c r="K15" s="25"/>
      <c r="L15" s="25"/>
      <c r="M15" s="25"/>
      <c r="N15" s="25"/>
      <c r="P15" s="33"/>
      <c r="Q15" s="33"/>
      <c r="R15" s="33"/>
      <c r="S15" s="33"/>
      <c r="T15" s="33"/>
      <c r="U15" s="33"/>
      <c r="V15" s="33"/>
      <c r="W15" s="33"/>
    </row>
    <row r="16" spans="3:23" x14ac:dyDescent="0.2">
      <c r="C16" s="7" t="s">
        <v>19</v>
      </c>
      <c r="D16" s="44">
        <v>1106.8</v>
      </c>
      <c r="E16" s="44">
        <v>1391.7</v>
      </c>
      <c r="F16" s="44">
        <v>1661.3</v>
      </c>
      <c r="G16" s="44">
        <v>1913.9</v>
      </c>
      <c r="H16" s="45">
        <f>PRODUCT(G16*(1+H40))</f>
        <v>2150.0385095700781</v>
      </c>
      <c r="I16" s="45">
        <f t="shared" ref="I16:N16" si="2">PRODUCT(H16*(1+I40))</f>
        <v>2405.1146878029326</v>
      </c>
      <c r="J16" s="45">
        <f t="shared" si="2"/>
        <v>2675.8329516991371</v>
      </c>
      <c r="K16" s="45">
        <f t="shared" si="2"/>
        <v>2961.6094179951533</v>
      </c>
      <c r="L16" s="45">
        <f t="shared" si="2"/>
        <v>3261.7379095795209</v>
      </c>
      <c r="M16" s="45">
        <f t="shared" si="2"/>
        <v>3575.4025102635546</v>
      </c>
      <c r="N16" s="45">
        <f t="shared" si="2"/>
        <v>3901.691349189211</v>
      </c>
      <c r="P16" s="33"/>
      <c r="Q16" s="33"/>
      <c r="R16" s="33"/>
      <c r="S16" s="33"/>
      <c r="T16" s="33"/>
      <c r="U16" s="33"/>
      <c r="V16" s="33"/>
      <c r="W16" s="33"/>
    </row>
    <row r="17" spans="3:23" x14ac:dyDescent="0.2">
      <c r="C17" s="7" t="s">
        <v>38</v>
      </c>
      <c r="D17" s="44">
        <v>368.9</v>
      </c>
      <c r="E17" s="44">
        <v>394.7</v>
      </c>
      <c r="F17" s="44">
        <v>411</v>
      </c>
      <c r="G17" s="44">
        <v>414.6</v>
      </c>
      <c r="H17" s="45">
        <f>H16*H41</f>
        <v>442.46599496544576</v>
      </c>
      <c r="I17" s="45">
        <f t="shared" ref="I17:N17" si="3">I16*I41</f>
        <v>470.21129420591149</v>
      </c>
      <c r="J17" s="45">
        <f t="shared" si="3"/>
        <v>496.98109516112623</v>
      </c>
      <c r="K17" s="45">
        <f t="shared" si="3"/>
        <v>522.55530245529974</v>
      </c>
      <c r="L17" s="45">
        <f t="shared" si="3"/>
        <v>546.73533519921466</v>
      </c>
      <c r="M17" s="45">
        <f t="shared" si="3"/>
        <v>569.34646403407794</v>
      </c>
      <c r="N17" s="45">
        <f t="shared" si="3"/>
        <v>590.23940904125118</v>
      </c>
      <c r="P17" s="33"/>
      <c r="Q17" s="33"/>
      <c r="R17" s="33"/>
      <c r="S17" s="33"/>
      <c r="T17" s="33"/>
      <c r="U17" s="33"/>
      <c r="V17" s="33"/>
      <c r="W17" s="33"/>
    </row>
    <row r="18" spans="3:23" x14ac:dyDescent="0.2">
      <c r="C18" s="7" t="s">
        <v>40</v>
      </c>
      <c r="D18" s="45">
        <f>D16-D17</f>
        <v>737.9</v>
      </c>
      <c r="E18" s="45">
        <f>E16-E17</f>
        <v>997</v>
      </c>
      <c r="F18" s="45">
        <f>F16-F17</f>
        <v>1250.3</v>
      </c>
      <c r="G18" s="45">
        <f>G16-G17</f>
        <v>1499.3000000000002</v>
      </c>
      <c r="H18" s="45">
        <f t="shared" ref="H18:N18" si="4">H16-H17</f>
        <v>1707.5725146046323</v>
      </c>
      <c r="I18" s="45">
        <f t="shared" si="4"/>
        <v>1934.903393597021</v>
      </c>
      <c r="J18" s="45">
        <f t="shared" si="4"/>
        <v>2178.8518565380109</v>
      </c>
      <c r="K18" s="45">
        <f t="shared" si="4"/>
        <v>2439.0541155398537</v>
      </c>
      <c r="L18" s="45">
        <f t="shared" si="4"/>
        <v>2715.0025743803062</v>
      </c>
      <c r="M18" s="45">
        <f t="shared" si="4"/>
        <v>3006.0560462294766</v>
      </c>
      <c r="N18" s="45">
        <f t="shared" si="4"/>
        <v>3311.4519401479597</v>
      </c>
      <c r="P18" s="33"/>
      <c r="Q18" s="33"/>
      <c r="R18" s="33"/>
      <c r="S18" s="33"/>
      <c r="T18" s="33"/>
      <c r="U18" s="33"/>
      <c r="V18" s="33"/>
      <c r="W18" s="33"/>
    </row>
    <row r="19" spans="3:23" x14ac:dyDescent="0.2">
      <c r="C19" s="7"/>
      <c r="D19" s="45"/>
      <c r="E19" s="45"/>
      <c r="F19" s="45"/>
      <c r="G19" s="45"/>
      <c r="H19" s="45"/>
      <c r="I19" s="45"/>
      <c r="J19" s="45"/>
      <c r="K19" s="45"/>
      <c r="L19" s="45"/>
      <c r="M19" s="45"/>
      <c r="N19" s="45"/>
      <c r="P19" s="33"/>
      <c r="Q19" s="33"/>
      <c r="R19" s="33"/>
      <c r="S19" s="33"/>
      <c r="T19" s="33"/>
      <c r="U19" s="33"/>
      <c r="V19" s="33"/>
      <c r="W19" s="33"/>
    </row>
    <row r="20" spans="3:23" x14ac:dyDescent="0.2">
      <c r="C20" s="7" t="s">
        <v>41</v>
      </c>
      <c r="D20" s="45"/>
      <c r="E20" s="45"/>
      <c r="F20" s="45"/>
      <c r="G20" s="45"/>
      <c r="H20" s="45"/>
      <c r="I20" s="45"/>
      <c r="J20" s="45"/>
      <c r="K20" s="45"/>
      <c r="L20" s="45"/>
      <c r="M20" s="45"/>
      <c r="N20" s="45"/>
      <c r="P20" s="33"/>
      <c r="Q20" s="33"/>
      <c r="R20" s="33"/>
      <c r="S20" s="33"/>
      <c r="T20" s="33"/>
      <c r="U20" s="33"/>
      <c r="V20" s="33"/>
      <c r="W20" s="33"/>
    </row>
    <row r="21" spans="3:23" x14ac:dyDescent="0.2">
      <c r="C21" s="2" t="s">
        <v>39</v>
      </c>
      <c r="D21" s="44">
        <v>380.3</v>
      </c>
      <c r="E21" s="44">
        <v>768.2</v>
      </c>
      <c r="F21" s="44">
        <v>662.1</v>
      </c>
      <c r="G21" s="44">
        <v>727.5</v>
      </c>
      <c r="H21" s="45">
        <f>H16*(H42)</f>
        <v>776.39655411809395</v>
      </c>
      <c r="I21" s="45">
        <f t="shared" ref="I21:N21" si="5">I16*(I42)</f>
        <v>825.08132304582875</v>
      </c>
      <c r="J21" s="45">
        <f t="shared" si="5"/>
        <v>872.05438188547839</v>
      </c>
      <c r="K21" s="45">
        <f t="shared" si="5"/>
        <v>916.92952854855412</v>
      </c>
      <c r="L21" s="45">
        <f t="shared" si="5"/>
        <v>959.35831248776822</v>
      </c>
      <c r="M21" s="45">
        <f t="shared" si="5"/>
        <v>999.03413551565791</v>
      </c>
      <c r="N21" s="45">
        <f t="shared" si="5"/>
        <v>1035.6950556621089</v>
      </c>
      <c r="P21" s="33"/>
      <c r="Q21" s="33"/>
      <c r="R21" s="33"/>
      <c r="S21" s="33"/>
      <c r="T21" s="33"/>
      <c r="U21" s="33"/>
      <c r="V21" s="33"/>
      <c r="W21" s="33"/>
    </row>
    <row r="22" spans="3:23" x14ac:dyDescent="0.2">
      <c r="C22" s="7" t="s">
        <v>42</v>
      </c>
      <c r="D22" s="44">
        <v>314</v>
      </c>
      <c r="E22" s="44">
        <v>439.6</v>
      </c>
      <c r="F22" s="44">
        <v>423.3</v>
      </c>
      <c r="G22" s="44">
        <v>422.8</v>
      </c>
      <c r="H22" s="45">
        <f>G22*(1+H43)</f>
        <v>424.91399999999999</v>
      </c>
      <c r="I22" s="45">
        <f>H22*(1+I43)</f>
        <v>427.03856999999994</v>
      </c>
      <c r="J22" s="45">
        <f t="shared" ref="H22:N23" si="6">I22*(1+J43)</f>
        <v>429.17376284999989</v>
      </c>
      <c r="K22" s="45">
        <f t="shared" si="6"/>
        <v>431.31963166424987</v>
      </c>
      <c r="L22" s="45">
        <f t="shared" si="6"/>
        <v>433.4762298225711</v>
      </c>
      <c r="M22" s="45">
        <f t="shared" si="6"/>
        <v>435.64361097168393</v>
      </c>
      <c r="N22" s="45">
        <f t="shared" si="6"/>
        <v>437.82182902654228</v>
      </c>
      <c r="P22" s="33"/>
      <c r="Q22" s="33"/>
      <c r="R22" s="33"/>
      <c r="S22" s="33"/>
      <c r="T22" s="33"/>
      <c r="U22" s="33"/>
      <c r="V22" s="33"/>
      <c r="W22" s="33"/>
    </row>
    <row r="23" spans="3:23" x14ac:dyDescent="0.2">
      <c r="C23" s="7" t="s">
        <v>44</v>
      </c>
      <c r="D23" s="44">
        <v>157.30000000000001</v>
      </c>
      <c r="E23" s="44">
        <v>283.2</v>
      </c>
      <c r="F23" s="44">
        <v>245.4</v>
      </c>
      <c r="G23" s="44">
        <v>227.8</v>
      </c>
      <c r="H23" s="45">
        <f t="shared" si="6"/>
        <v>230.078</v>
      </c>
      <c r="I23" s="45">
        <f t="shared" si="6"/>
        <v>232.37878000000001</v>
      </c>
      <c r="J23" s="45">
        <f t="shared" si="6"/>
        <v>234.7025678</v>
      </c>
      <c r="K23" s="45">
        <f t="shared" si="6"/>
        <v>237.04959347799999</v>
      </c>
      <c r="L23" s="45">
        <f t="shared" si="6"/>
        <v>239.42008941277999</v>
      </c>
      <c r="M23" s="45">
        <f t="shared" si="6"/>
        <v>241.81429030690779</v>
      </c>
      <c r="N23" s="45">
        <f t="shared" si="6"/>
        <v>244.23243320997688</v>
      </c>
      <c r="P23" s="33"/>
      <c r="Q23" s="33"/>
      <c r="R23" s="33"/>
      <c r="S23" s="33"/>
      <c r="T23" s="33"/>
      <c r="U23" s="33"/>
      <c r="V23" s="33"/>
      <c r="W23" s="33"/>
    </row>
    <row r="24" spans="3:23" x14ac:dyDescent="0.2">
      <c r="C24" s="7" t="s">
        <v>43</v>
      </c>
      <c r="D24" s="22">
        <v>0</v>
      </c>
      <c r="E24" s="22">
        <v>0</v>
      </c>
      <c r="F24" s="22">
        <v>0</v>
      </c>
      <c r="G24" s="44">
        <v>398.2</v>
      </c>
      <c r="H24" s="61">
        <v>50</v>
      </c>
      <c r="I24" s="22">
        <v>0</v>
      </c>
      <c r="J24" s="22">
        <v>0</v>
      </c>
      <c r="K24" s="22">
        <v>0</v>
      </c>
      <c r="L24" s="22">
        <v>0</v>
      </c>
      <c r="M24" s="22">
        <v>0</v>
      </c>
      <c r="N24" s="22">
        <v>0</v>
      </c>
      <c r="P24" s="33"/>
      <c r="Q24" s="33"/>
      <c r="R24" s="33"/>
      <c r="S24" s="33"/>
      <c r="T24" s="33"/>
      <c r="U24" s="33"/>
      <c r="V24" s="33"/>
      <c r="W24" s="33"/>
    </row>
    <row r="25" spans="3:23" x14ac:dyDescent="0.2">
      <c r="C25" s="51" t="s">
        <v>45</v>
      </c>
      <c r="D25" s="21">
        <f>SUM(D21:D24)</f>
        <v>851.59999999999991</v>
      </c>
      <c r="E25" s="21">
        <f t="shared" ref="E25:N25" si="7">SUM(E21:E24)</f>
        <v>1491.0000000000002</v>
      </c>
      <c r="F25" s="21">
        <f t="shared" si="7"/>
        <v>1330.8000000000002</v>
      </c>
      <c r="G25" s="21">
        <f t="shared" si="7"/>
        <v>1776.3</v>
      </c>
      <c r="H25" s="21">
        <f>SUM(H21:H24)</f>
        <v>1481.3885541180939</v>
      </c>
      <c r="I25" s="21">
        <f t="shared" si="7"/>
        <v>1484.4986730458286</v>
      </c>
      <c r="J25" s="21">
        <f t="shared" si="7"/>
        <v>1535.9307125354783</v>
      </c>
      <c r="K25" s="21">
        <f t="shared" si="7"/>
        <v>1585.2987536908038</v>
      </c>
      <c r="L25" s="21">
        <f t="shared" si="7"/>
        <v>1632.2546317231192</v>
      </c>
      <c r="M25" s="21">
        <f t="shared" si="7"/>
        <v>1676.4920367942498</v>
      </c>
      <c r="N25" s="21">
        <f t="shared" si="7"/>
        <v>1717.7493178986279</v>
      </c>
      <c r="P25" s="33"/>
      <c r="Q25" s="33"/>
      <c r="R25" s="33"/>
      <c r="S25" s="33"/>
      <c r="T25" s="33"/>
      <c r="U25" s="33"/>
      <c r="V25" s="33"/>
      <c r="W25" s="33"/>
    </row>
    <row r="26" spans="3:23" x14ac:dyDescent="0.2">
      <c r="C26" s="51"/>
      <c r="D26" s="52"/>
      <c r="E26" s="52"/>
      <c r="F26" s="52"/>
      <c r="G26" s="52"/>
      <c r="H26" s="52"/>
      <c r="I26" s="52"/>
      <c r="J26" s="52"/>
      <c r="K26" s="52"/>
      <c r="L26" s="52"/>
      <c r="M26" s="52"/>
      <c r="N26" s="52"/>
      <c r="P26" s="33"/>
      <c r="Q26" s="33"/>
      <c r="R26" s="33"/>
      <c r="S26" s="33"/>
      <c r="T26" s="33"/>
      <c r="U26" s="33"/>
      <c r="V26" s="33"/>
      <c r="W26" s="33"/>
    </row>
    <row r="27" spans="3:23" x14ac:dyDescent="0.2">
      <c r="C27" s="65" t="s">
        <v>50</v>
      </c>
      <c r="D27" s="53">
        <f>D18-D25</f>
        <v>-113.69999999999993</v>
      </c>
      <c r="E27" s="53">
        <f t="shared" ref="E27:N27" si="8">E18-E25</f>
        <v>-494.00000000000023</v>
      </c>
      <c r="F27" s="53">
        <f t="shared" si="8"/>
        <v>-80.500000000000227</v>
      </c>
      <c r="G27" s="53">
        <f t="shared" si="8"/>
        <v>-276.99999999999977</v>
      </c>
      <c r="H27" s="53">
        <f t="shared" si="8"/>
        <v>226.18396048653835</v>
      </c>
      <c r="I27" s="53">
        <f t="shared" si="8"/>
        <v>450.40472055119244</v>
      </c>
      <c r="J27" s="53">
        <f t="shared" si="8"/>
        <v>642.92114400253263</v>
      </c>
      <c r="K27" s="53">
        <f t="shared" si="8"/>
        <v>853.7553618490499</v>
      </c>
      <c r="L27" s="53">
        <f t="shared" si="8"/>
        <v>1082.747942657187</v>
      </c>
      <c r="M27" s="53">
        <f t="shared" si="8"/>
        <v>1329.5640094352268</v>
      </c>
      <c r="N27" s="53">
        <f t="shared" si="8"/>
        <v>1593.7026222493319</v>
      </c>
    </row>
    <row r="28" spans="3:23" x14ac:dyDescent="0.2">
      <c r="C28" s="51"/>
      <c r="D28" s="52"/>
      <c r="E28" s="52"/>
      <c r="F28" s="52"/>
      <c r="G28" s="52"/>
      <c r="H28" s="52"/>
      <c r="I28" s="52"/>
      <c r="J28" s="52"/>
      <c r="K28" s="52"/>
      <c r="L28" s="52"/>
      <c r="M28" s="52"/>
      <c r="N28" s="52"/>
    </row>
    <row r="29" spans="3:23" x14ac:dyDescent="0.2">
      <c r="C29" s="2" t="s">
        <v>47</v>
      </c>
      <c r="D29" s="44">
        <v>-11</v>
      </c>
      <c r="E29" s="44">
        <v>7.1</v>
      </c>
      <c r="F29" s="44">
        <v>12.5</v>
      </c>
      <c r="G29" s="44">
        <v>1.7</v>
      </c>
      <c r="H29" s="45">
        <f>H45</f>
        <v>2.5749999999999997</v>
      </c>
      <c r="I29" s="45">
        <f t="shared" ref="I29:N29" si="9">I45</f>
        <v>2.5749999999999997</v>
      </c>
      <c r="J29" s="45">
        <f t="shared" si="9"/>
        <v>2.5749999999999997</v>
      </c>
      <c r="K29" s="45">
        <f t="shared" si="9"/>
        <v>2.5749999999999997</v>
      </c>
      <c r="L29" s="45">
        <f t="shared" si="9"/>
        <v>2.5749999999999997</v>
      </c>
      <c r="M29" s="45">
        <f t="shared" si="9"/>
        <v>2.5749999999999997</v>
      </c>
      <c r="N29" s="45">
        <f t="shared" si="9"/>
        <v>2.5749999999999997</v>
      </c>
    </row>
    <row r="30" spans="3:23" x14ac:dyDescent="0.2">
      <c r="C30" s="2" t="s">
        <v>46</v>
      </c>
      <c r="D30" s="44">
        <v>13.2</v>
      </c>
      <c r="E30" s="44">
        <v>6.8</v>
      </c>
      <c r="F30" s="44">
        <v>16</v>
      </c>
      <c r="G30" s="44">
        <v>25.1</v>
      </c>
      <c r="H30" s="45">
        <f>H46</f>
        <v>15.275</v>
      </c>
      <c r="I30" s="45">
        <f t="shared" ref="I30:N30" si="10">I46</f>
        <v>15.275</v>
      </c>
      <c r="J30" s="45">
        <f t="shared" si="10"/>
        <v>15.275</v>
      </c>
      <c r="K30" s="45">
        <f t="shared" si="10"/>
        <v>15.275</v>
      </c>
      <c r="L30" s="45">
        <f t="shared" si="10"/>
        <v>15.275</v>
      </c>
      <c r="M30" s="45">
        <f t="shared" si="10"/>
        <v>15.275</v>
      </c>
      <c r="N30" s="45">
        <f t="shared" si="10"/>
        <v>15.275</v>
      </c>
    </row>
    <row r="31" spans="3:23" x14ac:dyDescent="0.2">
      <c r="C31" s="7" t="s">
        <v>49</v>
      </c>
      <c r="D31" s="46">
        <f>SUM(D27,D29,D30)</f>
        <v>-111.49999999999993</v>
      </c>
      <c r="E31" s="46">
        <f t="shared" ref="E31:G31" si="11">SUM(E27,E29,E30)</f>
        <v>-480.10000000000019</v>
      </c>
      <c r="F31" s="46">
        <f t="shared" si="11"/>
        <v>-52.000000000000227</v>
      </c>
      <c r="G31" s="46">
        <f t="shared" si="11"/>
        <v>-250.19999999999979</v>
      </c>
      <c r="H31" s="46">
        <f t="shared" ref="H31" si="12">SUM(H27,H29,H30)</f>
        <v>244.03396048653835</v>
      </c>
      <c r="I31" s="46">
        <f t="shared" ref="I31" si="13">SUM(I27,I29,I30)</f>
        <v>468.25472055119241</v>
      </c>
      <c r="J31" s="46">
        <f t="shared" ref="J31" si="14">SUM(J27,J29,J30)</f>
        <v>660.77114400253265</v>
      </c>
      <c r="K31" s="46">
        <f t="shared" ref="K31" si="15">SUM(K27,K29,K30)</f>
        <v>871.60536184904993</v>
      </c>
      <c r="L31" s="46">
        <f t="shared" ref="L31" si="16">SUM(L27,L29,L30)</f>
        <v>1100.5979426571871</v>
      </c>
      <c r="M31" s="46">
        <f t="shared" ref="M31" si="17">SUM(M27,M29,M30)</f>
        <v>1347.4140094352269</v>
      </c>
      <c r="N31" s="46">
        <f t="shared" ref="N31" si="18">SUM(N27,N29,N30)</f>
        <v>1611.552622249332</v>
      </c>
    </row>
    <row r="32" spans="3:23" x14ac:dyDescent="0.2">
      <c r="C32" s="7"/>
      <c r="D32" s="25"/>
      <c r="E32" s="25"/>
      <c r="F32" s="25"/>
      <c r="G32" s="25"/>
      <c r="H32" s="25"/>
      <c r="I32" s="25"/>
      <c r="J32" s="25"/>
      <c r="K32" s="25"/>
      <c r="L32" s="25"/>
      <c r="M32" s="25"/>
      <c r="N32" s="25"/>
    </row>
    <row r="33" spans="3:23" x14ac:dyDescent="0.2">
      <c r="C33" s="41" t="s">
        <v>16</v>
      </c>
      <c r="D33" s="57">
        <v>0.2</v>
      </c>
      <c r="E33" s="57">
        <v>4.8</v>
      </c>
      <c r="F33" s="57">
        <v>0.7</v>
      </c>
      <c r="G33" s="57">
        <v>6.1</v>
      </c>
      <c r="H33" s="54">
        <f>H31*H47</f>
        <v>61.008490121634587</v>
      </c>
      <c r="I33" s="54">
        <f t="shared" ref="I33:N33" si="19">I31*I47</f>
        <v>117.0636801377981</v>
      </c>
      <c r="J33" s="54">
        <f t="shared" si="19"/>
        <v>165.19278600063316</v>
      </c>
      <c r="K33" s="54">
        <f t="shared" si="19"/>
        <v>217.90134046226248</v>
      </c>
      <c r="L33" s="54">
        <f t="shared" si="19"/>
        <v>275.14948566429678</v>
      </c>
      <c r="M33" s="54">
        <f t="shared" si="19"/>
        <v>336.85350235880674</v>
      </c>
      <c r="N33" s="54">
        <f t="shared" si="19"/>
        <v>402.888155562333</v>
      </c>
    </row>
    <row r="34" spans="3:23" ht="19" thickBot="1" x14ac:dyDescent="0.25">
      <c r="C34" s="7" t="s">
        <v>48</v>
      </c>
      <c r="D34" s="56">
        <f>D31-D33</f>
        <v>-111.69999999999993</v>
      </c>
      <c r="E34" s="56">
        <f t="shared" ref="E34:N34" si="20">E31-E33</f>
        <v>-484.9000000000002</v>
      </c>
      <c r="F34" s="56">
        <f t="shared" si="20"/>
        <v>-52.70000000000023</v>
      </c>
      <c r="G34" s="56">
        <f t="shared" si="20"/>
        <v>-256.29999999999978</v>
      </c>
      <c r="H34" s="56">
        <f>H31-H33</f>
        <v>183.02547036490375</v>
      </c>
      <c r="I34" s="56">
        <f t="shared" si="20"/>
        <v>351.19104041339432</v>
      </c>
      <c r="J34" s="56">
        <f t="shared" si="20"/>
        <v>495.57835800189946</v>
      </c>
      <c r="K34" s="56">
        <f t="shared" si="20"/>
        <v>653.70402138678742</v>
      </c>
      <c r="L34" s="56">
        <f>L31-L33</f>
        <v>825.44845699289033</v>
      </c>
      <c r="M34" s="56">
        <f t="shared" si="20"/>
        <v>1010.5605070764202</v>
      </c>
      <c r="N34" s="56">
        <f t="shared" si="20"/>
        <v>1208.664466686999</v>
      </c>
    </row>
    <row r="35" spans="3:23" ht="19" thickTop="1" x14ac:dyDescent="0.2">
      <c r="C35" s="7"/>
      <c r="D35" s="25"/>
      <c r="E35" s="25"/>
      <c r="F35" s="25"/>
      <c r="G35" s="25"/>
      <c r="H35" s="25"/>
      <c r="I35" s="25"/>
      <c r="J35" s="25"/>
      <c r="K35" s="25"/>
      <c r="L35" s="25"/>
      <c r="M35" s="25"/>
      <c r="N35" s="25"/>
    </row>
    <row r="36" spans="3:23" x14ac:dyDescent="0.2">
      <c r="C36" s="2" t="s">
        <v>51</v>
      </c>
      <c r="D36" s="44">
        <v>195.9</v>
      </c>
      <c r="E36" s="44">
        <v>358.6</v>
      </c>
      <c r="F36" s="44">
        <v>411.6</v>
      </c>
      <c r="G36" s="44">
        <v>414.3</v>
      </c>
      <c r="H36" s="60">
        <f>G36</f>
        <v>414.3</v>
      </c>
      <c r="I36" s="60">
        <f t="shared" ref="I36:N36" si="21">H36</f>
        <v>414.3</v>
      </c>
      <c r="J36" s="60">
        <f t="shared" si="21"/>
        <v>414.3</v>
      </c>
      <c r="K36" s="60">
        <f t="shared" si="21"/>
        <v>414.3</v>
      </c>
      <c r="L36" s="60">
        <f t="shared" si="21"/>
        <v>414.3</v>
      </c>
      <c r="M36" s="60">
        <f t="shared" si="21"/>
        <v>414.3</v>
      </c>
      <c r="N36" s="60">
        <f t="shared" si="21"/>
        <v>414.3</v>
      </c>
    </row>
    <row r="37" spans="3:23" x14ac:dyDescent="0.2">
      <c r="C37" s="2" t="s">
        <v>37</v>
      </c>
      <c r="D37" s="10">
        <f>D34/D36</f>
        <v>-0.57018887187340439</v>
      </c>
      <c r="E37" s="10">
        <f t="shared" ref="E37:F37" si="22">E34/E36</f>
        <v>-1.3522030117122146</v>
      </c>
      <c r="F37" s="10">
        <f t="shared" si="22"/>
        <v>-0.12803692905733777</v>
      </c>
      <c r="G37" s="10">
        <f>G34/G36</f>
        <v>-0.61863384021240597</v>
      </c>
      <c r="H37" s="10">
        <f t="shared" ref="H37" si="23">H34/H36</f>
        <v>0.44177038466064145</v>
      </c>
      <c r="I37" s="10">
        <f t="shared" ref="I37" si="24">I34/I36</f>
        <v>0.84767328122953012</v>
      </c>
      <c r="J37" s="10">
        <f t="shared" ref="J37" si="25">J34/J36</f>
        <v>1.1961823750950988</v>
      </c>
      <c r="K37" s="10">
        <f t="shared" ref="K37" si="26">K34/K36</f>
        <v>1.5778518498353546</v>
      </c>
      <c r="L37" s="10">
        <f t="shared" ref="L37" si="27">L34/L36</f>
        <v>1.9923930895314754</v>
      </c>
      <c r="M37" s="10">
        <f t="shared" ref="M37" si="28">M34/M36</f>
        <v>2.439199872257833</v>
      </c>
      <c r="N37" s="10">
        <f>N34/N36</f>
        <v>2.9173653552667127</v>
      </c>
    </row>
    <row r="38" spans="3:23" x14ac:dyDescent="0.2">
      <c r="C38" s="7"/>
      <c r="D38" s="10"/>
      <c r="E38" s="10"/>
      <c r="F38" s="10"/>
      <c r="G38" s="10"/>
      <c r="H38" s="10"/>
      <c r="I38" s="10"/>
      <c r="J38" s="10"/>
      <c r="K38" s="10"/>
      <c r="L38" s="10"/>
      <c r="M38" s="10"/>
      <c r="N38" s="10"/>
    </row>
    <row r="39" spans="3:23" x14ac:dyDescent="0.2">
      <c r="C39" s="7" t="s">
        <v>18</v>
      </c>
      <c r="D39" s="25"/>
      <c r="E39" s="25"/>
      <c r="F39" s="25"/>
      <c r="G39" s="25"/>
      <c r="H39" s="25"/>
      <c r="I39" s="25"/>
      <c r="J39" s="25"/>
      <c r="K39" s="25"/>
      <c r="L39" s="25"/>
      <c r="M39" s="25"/>
      <c r="N39" s="25"/>
      <c r="P39" s="33"/>
      <c r="Q39" s="33"/>
      <c r="R39" s="34"/>
      <c r="S39" s="34"/>
      <c r="T39" s="34"/>
      <c r="U39" s="34"/>
      <c r="V39" s="34"/>
      <c r="W39" s="34"/>
    </row>
    <row r="40" spans="3:23" x14ac:dyDescent="0.2">
      <c r="C40" s="2" t="s">
        <v>17</v>
      </c>
      <c r="D40" s="10">
        <v>0</v>
      </c>
      <c r="E40" s="43">
        <f>RPM!E24</f>
        <v>0.25740874593422491</v>
      </c>
      <c r="F40" s="43">
        <f>RPM!F24</f>
        <v>0.19371991090033758</v>
      </c>
      <c r="G40" s="43">
        <f>RPM!G24</f>
        <v>0.15204959971106979</v>
      </c>
      <c r="H40" s="59">
        <f>RPM!H24</f>
        <v>0.12338079814518932</v>
      </c>
      <c r="I40" s="59">
        <f>RPM!I24</f>
        <v>0.11863795792376752</v>
      </c>
      <c r="J40" s="59">
        <f>RPM!J24</f>
        <v>0.11255939904616574</v>
      </c>
      <c r="K40" s="59">
        <f>RPM!K24</f>
        <v>0.10679906834787656</v>
      </c>
      <c r="L40" s="59">
        <f>RPM!L24</f>
        <v>0.10133966003779737</v>
      </c>
      <c r="M40" s="59">
        <f>RPM!M24</f>
        <v>9.616486958158732E-2</v>
      </c>
      <c r="N40" s="59">
        <f>RPM!N24</f>
        <v>9.1259330380009329E-2</v>
      </c>
      <c r="P40" s="33"/>
      <c r="Q40" s="33"/>
      <c r="R40" s="34"/>
      <c r="S40" s="34"/>
      <c r="T40" s="34"/>
      <c r="U40" s="34"/>
      <c r="V40" s="34"/>
      <c r="W40" s="34"/>
    </row>
    <row r="41" spans="3:23" x14ac:dyDescent="0.2">
      <c r="C41" s="2" t="s">
        <v>121</v>
      </c>
      <c r="D41" s="11">
        <f>D17/D16</f>
        <v>0.33330321647994215</v>
      </c>
      <c r="E41" s="11">
        <f t="shared" ref="E41:G41" si="29">E17/E16</f>
        <v>0.28360997341381045</v>
      </c>
      <c r="F41" s="11">
        <f t="shared" si="29"/>
        <v>0.24739661710708483</v>
      </c>
      <c r="G41" s="11">
        <f t="shared" si="29"/>
        <v>0.21662573802184024</v>
      </c>
      <c r="H41" s="47">
        <f t="shared" ref="H41:N42" si="30">G41*0.95</f>
        <v>0.20579445112074821</v>
      </c>
      <c r="I41" s="47">
        <f t="shared" si="30"/>
        <v>0.19550472856471079</v>
      </c>
      <c r="J41" s="47">
        <f t="shared" si="30"/>
        <v>0.18572949213647524</v>
      </c>
      <c r="K41" s="47">
        <f t="shared" si="30"/>
        <v>0.17644301752965147</v>
      </c>
      <c r="L41" s="47">
        <f t="shared" si="30"/>
        <v>0.16762086665316889</v>
      </c>
      <c r="M41" s="47">
        <f t="shared" si="30"/>
        <v>0.15923982332051043</v>
      </c>
      <c r="N41" s="47">
        <f t="shared" si="30"/>
        <v>0.1512778321544849</v>
      </c>
      <c r="P41" s="33"/>
      <c r="Q41" s="33"/>
      <c r="R41" s="34"/>
      <c r="S41" s="34"/>
      <c r="T41" s="34"/>
      <c r="U41" s="34"/>
      <c r="V41" s="34"/>
      <c r="W41" s="34"/>
    </row>
    <row r="42" spans="3:23" x14ac:dyDescent="0.2">
      <c r="C42" s="2" t="s">
        <v>122</v>
      </c>
      <c r="D42" s="11">
        <f>D21/D16</f>
        <v>0.34360318033971815</v>
      </c>
      <c r="E42" s="11">
        <f t="shared" ref="E42:G42" si="31">E21/E16</f>
        <v>0.55198677875979019</v>
      </c>
      <c r="F42" s="11">
        <f t="shared" si="31"/>
        <v>0.39854330945644978</v>
      </c>
      <c r="G42" s="11">
        <f t="shared" si="31"/>
        <v>0.38011390354772973</v>
      </c>
      <c r="H42" s="47">
        <f t="shared" si="30"/>
        <v>0.36110820837034324</v>
      </c>
      <c r="I42" s="47">
        <f t="shared" si="30"/>
        <v>0.34305279795182608</v>
      </c>
      <c r="J42" s="47">
        <f t="shared" si="30"/>
        <v>0.32590015805423478</v>
      </c>
      <c r="K42" s="47">
        <f t="shared" si="30"/>
        <v>0.30960515015152301</v>
      </c>
      <c r="L42" s="47">
        <f t="shared" si="30"/>
        <v>0.29412489264394687</v>
      </c>
      <c r="M42" s="47">
        <f t="shared" si="30"/>
        <v>0.27941864801174954</v>
      </c>
      <c r="N42" s="47">
        <f t="shared" si="30"/>
        <v>0.26544771561116204</v>
      </c>
      <c r="P42" s="33"/>
      <c r="Q42" s="33"/>
      <c r="R42" s="34"/>
      <c r="S42" s="34"/>
      <c r="T42" s="34"/>
      <c r="U42" s="34"/>
      <c r="V42" s="34"/>
      <c r="W42" s="34"/>
    </row>
    <row r="43" spans="3:23" x14ac:dyDescent="0.2">
      <c r="C43" s="2" t="s">
        <v>52</v>
      </c>
      <c r="D43" s="10">
        <v>0</v>
      </c>
      <c r="E43" s="11">
        <f t="shared" ref="E43:G44" si="32">(E22/D22)-1</f>
        <v>0.40000000000000013</v>
      </c>
      <c r="F43" s="11">
        <f t="shared" si="32"/>
        <v>-3.7079162875341298E-2</v>
      </c>
      <c r="G43" s="11">
        <f t="shared" si="32"/>
        <v>-1.1811953697141719E-3</v>
      </c>
      <c r="H43" s="48">
        <v>5.0000000000000001E-3</v>
      </c>
      <c r="I43" s="48">
        <v>5.0000000000000001E-3</v>
      </c>
      <c r="J43" s="48">
        <v>5.0000000000000001E-3</v>
      </c>
      <c r="K43" s="48">
        <v>5.0000000000000001E-3</v>
      </c>
      <c r="L43" s="48">
        <v>5.0000000000000001E-3</v>
      </c>
      <c r="M43" s="48">
        <v>5.0000000000000001E-3</v>
      </c>
      <c r="N43" s="48">
        <v>5.0000000000000001E-3</v>
      </c>
      <c r="P43" s="33"/>
      <c r="Q43" s="33"/>
      <c r="R43" s="34"/>
      <c r="S43" s="34"/>
      <c r="T43" s="34"/>
      <c r="U43" s="34"/>
      <c r="V43" s="34"/>
      <c r="W43" s="34"/>
    </row>
    <row r="44" spans="3:23" x14ac:dyDescent="0.2">
      <c r="C44" s="2" t="s">
        <v>53</v>
      </c>
      <c r="D44" s="10">
        <v>0</v>
      </c>
      <c r="E44" s="11">
        <f t="shared" si="32"/>
        <v>0.800381436745073</v>
      </c>
      <c r="F44" s="11">
        <f t="shared" si="32"/>
        <v>-0.13347457627118642</v>
      </c>
      <c r="G44" s="11">
        <f t="shared" si="32"/>
        <v>-7.1719641401792988E-2</v>
      </c>
      <c r="H44" s="48">
        <v>0.01</v>
      </c>
      <c r="I44" s="48">
        <v>0.01</v>
      </c>
      <c r="J44" s="48">
        <v>0.01</v>
      </c>
      <c r="K44" s="48">
        <v>0.01</v>
      </c>
      <c r="L44" s="48">
        <v>0.01</v>
      </c>
      <c r="M44" s="48">
        <v>0.01</v>
      </c>
      <c r="N44" s="48">
        <v>0.01</v>
      </c>
      <c r="P44" s="33"/>
      <c r="Q44" s="33"/>
      <c r="R44" s="34"/>
      <c r="S44" s="34"/>
      <c r="T44" s="34"/>
      <c r="U44" s="34"/>
      <c r="V44" s="34"/>
      <c r="W44" s="34"/>
    </row>
    <row r="45" spans="3:23" x14ac:dyDescent="0.2">
      <c r="C45" s="2" t="s">
        <v>54</v>
      </c>
      <c r="D45" s="45">
        <f>D29</f>
        <v>-11</v>
      </c>
      <c r="E45" s="45">
        <f>E29</f>
        <v>7.1</v>
      </c>
      <c r="F45" s="45">
        <f>F29</f>
        <v>12.5</v>
      </c>
      <c r="G45" s="45">
        <f>G29</f>
        <v>1.7</v>
      </c>
      <c r="H45" s="58">
        <f>AVERAGE(D45:G45)</f>
        <v>2.5749999999999997</v>
      </c>
      <c r="I45" s="58">
        <f>H45</f>
        <v>2.5749999999999997</v>
      </c>
      <c r="J45" s="58">
        <f t="shared" ref="J45:N45" si="33">I45</f>
        <v>2.5749999999999997</v>
      </c>
      <c r="K45" s="58">
        <f t="shared" si="33"/>
        <v>2.5749999999999997</v>
      </c>
      <c r="L45" s="58">
        <f t="shared" si="33"/>
        <v>2.5749999999999997</v>
      </c>
      <c r="M45" s="58">
        <f t="shared" si="33"/>
        <v>2.5749999999999997</v>
      </c>
      <c r="N45" s="58">
        <f t="shared" si="33"/>
        <v>2.5749999999999997</v>
      </c>
      <c r="P45" s="33"/>
      <c r="Q45" s="33"/>
      <c r="R45" s="34"/>
      <c r="S45" s="34"/>
      <c r="T45" s="34"/>
      <c r="U45" s="34"/>
      <c r="V45" s="34"/>
      <c r="W45" s="34"/>
    </row>
    <row r="46" spans="3:23" x14ac:dyDescent="0.2">
      <c r="C46" s="2" t="s">
        <v>46</v>
      </c>
      <c r="D46" s="45">
        <f>D30</f>
        <v>13.2</v>
      </c>
      <c r="E46" s="45">
        <f t="shared" ref="E46:G46" si="34">E30</f>
        <v>6.8</v>
      </c>
      <c r="F46" s="45">
        <f t="shared" si="34"/>
        <v>16</v>
      </c>
      <c r="G46" s="45">
        <f t="shared" si="34"/>
        <v>25.1</v>
      </c>
      <c r="H46" s="58">
        <f>AVERAGE(D46:G46)</f>
        <v>15.275</v>
      </c>
      <c r="I46" s="58">
        <f>H46</f>
        <v>15.275</v>
      </c>
      <c r="J46" s="58">
        <f t="shared" ref="J46:N46" si="35">I46</f>
        <v>15.275</v>
      </c>
      <c r="K46" s="58">
        <f t="shared" si="35"/>
        <v>15.275</v>
      </c>
      <c r="L46" s="58">
        <f t="shared" si="35"/>
        <v>15.275</v>
      </c>
      <c r="M46" s="58">
        <f t="shared" si="35"/>
        <v>15.275</v>
      </c>
      <c r="N46" s="58">
        <f t="shared" si="35"/>
        <v>15.275</v>
      </c>
      <c r="P46" s="33"/>
      <c r="Q46" s="33"/>
      <c r="R46" s="34"/>
      <c r="S46" s="34"/>
      <c r="T46" s="34"/>
      <c r="U46" s="34"/>
      <c r="V46" s="34"/>
      <c r="W46" s="34"/>
    </row>
    <row r="47" spans="3:23" x14ac:dyDescent="0.2">
      <c r="C47" s="77" t="s">
        <v>56</v>
      </c>
      <c r="D47" s="63">
        <v>0.21</v>
      </c>
      <c r="E47" s="63">
        <v>0.21</v>
      </c>
      <c r="F47" s="63">
        <v>0.21</v>
      </c>
      <c r="G47" s="63">
        <v>0.21</v>
      </c>
      <c r="H47" s="64">
        <v>0.25</v>
      </c>
      <c r="I47" s="64">
        <v>0.25</v>
      </c>
      <c r="J47" s="64">
        <v>0.25</v>
      </c>
      <c r="K47" s="64">
        <v>0.25</v>
      </c>
      <c r="L47" s="64">
        <v>0.25</v>
      </c>
      <c r="M47" s="64">
        <v>0.25</v>
      </c>
      <c r="N47" s="64">
        <v>0.25</v>
      </c>
      <c r="P47" s="33"/>
      <c r="Q47" s="33"/>
      <c r="R47" s="34"/>
      <c r="S47" s="34"/>
      <c r="T47" s="34"/>
      <c r="U47" s="34"/>
      <c r="V47" s="34"/>
      <c r="W47" s="34"/>
    </row>
    <row r="48" spans="3:23" x14ac:dyDescent="0.2">
      <c r="D48" s="25"/>
      <c r="E48" s="25"/>
      <c r="F48" s="25"/>
      <c r="G48" s="25"/>
      <c r="H48" s="25"/>
      <c r="I48" s="25"/>
      <c r="J48" s="25"/>
      <c r="K48" s="25"/>
      <c r="L48" s="25"/>
      <c r="M48" s="25"/>
      <c r="N48" s="25"/>
      <c r="P48" s="33"/>
      <c r="Q48" s="33"/>
      <c r="R48" s="34"/>
      <c r="S48" s="34"/>
      <c r="T48" s="34"/>
      <c r="U48" s="34"/>
      <c r="V48" s="34"/>
      <c r="W48" s="34"/>
    </row>
    <row r="49" spans="3:23" x14ac:dyDescent="0.2">
      <c r="D49" s="25"/>
      <c r="E49" s="25"/>
      <c r="F49" s="25"/>
      <c r="G49" s="25"/>
      <c r="H49" s="25"/>
      <c r="I49" s="25"/>
      <c r="J49" s="25"/>
      <c r="K49" s="25"/>
      <c r="L49" s="25"/>
      <c r="M49" s="25"/>
      <c r="N49" s="25"/>
      <c r="P49" s="33"/>
      <c r="Q49" s="33"/>
      <c r="R49" s="33"/>
      <c r="S49" s="33"/>
      <c r="T49" s="33"/>
      <c r="U49" s="33"/>
      <c r="V49" s="33"/>
      <c r="W49" s="33"/>
    </row>
    <row r="50" spans="3:23" x14ac:dyDescent="0.2">
      <c r="D50" s="25"/>
      <c r="E50" s="25"/>
      <c r="F50" s="25"/>
      <c r="G50" s="25"/>
      <c r="H50" s="25"/>
      <c r="I50" s="25"/>
      <c r="J50" s="25"/>
      <c r="K50" s="25"/>
      <c r="L50" s="25"/>
      <c r="M50" s="25"/>
      <c r="N50" s="25"/>
      <c r="P50" s="33"/>
      <c r="Q50" s="33"/>
      <c r="R50" s="33"/>
      <c r="S50" s="33"/>
      <c r="T50" s="33"/>
      <c r="U50" s="33"/>
      <c r="V50" s="33"/>
      <c r="W50" s="33"/>
    </row>
    <row r="51" spans="3:23" x14ac:dyDescent="0.2">
      <c r="C51" s="20" t="s">
        <v>57</v>
      </c>
      <c r="D51" s="67"/>
      <c r="E51" s="67"/>
      <c r="F51" s="67"/>
      <c r="G51" s="67"/>
      <c r="H51" s="67"/>
      <c r="I51" s="67"/>
      <c r="J51" s="67"/>
      <c r="K51" s="67"/>
      <c r="L51" s="67"/>
      <c r="M51" s="67"/>
      <c r="N51" s="67"/>
      <c r="P51" s="33"/>
      <c r="Q51" s="33"/>
      <c r="R51" s="33"/>
      <c r="S51" s="33"/>
      <c r="T51" s="33"/>
      <c r="U51" s="33"/>
      <c r="V51" s="33"/>
      <c r="W51" s="33"/>
    </row>
    <row r="52" spans="3:23" x14ac:dyDescent="0.2">
      <c r="D52" s="25"/>
      <c r="E52" s="25"/>
      <c r="F52" s="25"/>
      <c r="G52" s="25"/>
      <c r="H52" s="25"/>
      <c r="I52" s="25"/>
      <c r="J52" s="25"/>
      <c r="K52" s="25"/>
      <c r="L52" s="25"/>
      <c r="M52" s="25"/>
      <c r="N52" s="25"/>
      <c r="P52" s="33"/>
      <c r="Q52" s="33"/>
      <c r="R52" s="33"/>
      <c r="S52" s="33"/>
      <c r="T52" s="33"/>
      <c r="U52" s="33"/>
      <c r="V52" s="33"/>
      <c r="W52" s="33"/>
    </row>
    <row r="53" spans="3:23" x14ac:dyDescent="0.2">
      <c r="C53" s="7" t="s">
        <v>58</v>
      </c>
      <c r="D53" s="44"/>
      <c r="E53" s="44"/>
      <c r="F53" s="44"/>
      <c r="G53" s="44"/>
      <c r="H53" s="45"/>
      <c r="I53" s="45"/>
      <c r="J53" s="45"/>
      <c r="K53" s="45"/>
      <c r="L53" s="45"/>
      <c r="M53" s="45"/>
      <c r="N53" s="45"/>
      <c r="P53" s="33"/>
      <c r="Q53" s="33"/>
      <c r="R53" s="33"/>
      <c r="S53" s="33"/>
      <c r="T53" s="33"/>
      <c r="U53" s="33"/>
      <c r="V53" s="33"/>
      <c r="W53" s="33"/>
    </row>
    <row r="54" spans="3:23" x14ac:dyDescent="0.2">
      <c r="C54" s="7" t="s">
        <v>59</v>
      </c>
      <c r="D54" s="44">
        <v>430</v>
      </c>
      <c r="E54" s="44">
        <v>519.29999999999995</v>
      </c>
      <c r="F54" s="44">
        <v>551.29999999999995</v>
      </c>
      <c r="G54" s="44">
        <v>314.89999999999998</v>
      </c>
      <c r="H54" s="45">
        <f>H16*H61</f>
        <v>676.20317010289057</v>
      </c>
      <c r="I54" s="45">
        <f t="shared" ref="I54:N54" si="36">I16*I61</f>
        <v>756.42653334547549</v>
      </c>
      <c r="J54" s="45">
        <f t="shared" si="36"/>
        <v>841.56944936141656</v>
      </c>
      <c r="K54" s="45">
        <f t="shared" si="36"/>
        <v>931.44828250325133</v>
      </c>
      <c r="L54" s="45">
        <f t="shared" si="36"/>
        <v>1025.8409347949209</v>
      </c>
      <c r="M54" s="45">
        <f t="shared" si="36"/>
        <v>1124.4907945009281</v>
      </c>
      <c r="N54" s="45">
        <f t="shared" si="36"/>
        <v>1227.1110714255674</v>
      </c>
      <c r="P54" s="33"/>
      <c r="Q54" s="33"/>
      <c r="R54" s="33"/>
      <c r="S54" s="33"/>
      <c r="T54" s="33"/>
      <c r="U54" s="33"/>
      <c r="V54" s="33"/>
      <c r="W54" s="33"/>
    </row>
    <row r="55" spans="3:23" x14ac:dyDescent="0.2">
      <c r="C55" s="7" t="s">
        <v>60</v>
      </c>
      <c r="D55" s="44">
        <v>0</v>
      </c>
      <c r="E55" s="44">
        <v>570</v>
      </c>
      <c r="F55" s="44">
        <v>607.70000000000005</v>
      </c>
      <c r="G55" s="44">
        <v>806.4</v>
      </c>
      <c r="H55" s="45">
        <f>H16*H62</f>
        <v>857.65575470291105</v>
      </c>
      <c r="I55" s="45">
        <f t="shared" ref="I55:N55" si="37">I16*I62</f>
        <v>959.40628204243205</v>
      </c>
      <c r="J55" s="45">
        <f t="shared" si="37"/>
        <v>1067.3964765902442</v>
      </c>
      <c r="K55" s="45">
        <f t="shared" si="37"/>
        <v>1181.3934258478882</v>
      </c>
      <c r="L55" s="45">
        <f t="shared" si="37"/>
        <v>1301.115433994202</v>
      </c>
      <c r="M55" s="45">
        <f t="shared" si="37"/>
        <v>1426.2370300148448</v>
      </c>
      <c r="N55" s="45">
        <f t="shared" si="37"/>
        <v>1556.3944663371728</v>
      </c>
      <c r="P55" s="33"/>
      <c r="Q55" s="33"/>
      <c r="R55" s="33"/>
      <c r="S55" s="33"/>
      <c r="T55" s="33"/>
      <c r="U55" s="33"/>
      <c r="V55" s="33"/>
      <c r="W55" s="33"/>
    </row>
    <row r="56" spans="3:23" x14ac:dyDescent="0.2">
      <c r="C56" s="7" t="s">
        <v>61</v>
      </c>
      <c r="D56" s="44">
        <v>29.3</v>
      </c>
      <c r="E56" s="44">
        <v>28.6</v>
      </c>
      <c r="F56" s="44">
        <v>36.700000000000003</v>
      </c>
      <c r="G56" s="44">
        <v>43.4</v>
      </c>
      <c r="H56" s="45">
        <f>H63</f>
        <v>34.5</v>
      </c>
      <c r="I56" s="45">
        <f t="shared" ref="I56:N56" si="38">I63</f>
        <v>34.5</v>
      </c>
      <c r="J56" s="45">
        <f t="shared" si="38"/>
        <v>34.5</v>
      </c>
      <c r="K56" s="45">
        <f t="shared" si="38"/>
        <v>34.5</v>
      </c>
      <c r="L56" s="45">
        <f t="shared" si="38"/>
        <v>34.5</v>
      </c>
      <c r="M56" s="45">
        <f t="shared" si="38"/>
        <v>34.5</v>
      </c>
      <c r="N56" s="45">
        <f t="shared" si="38"/>
        <v>34.5</v>
      </c>
      <c r="P56" s="33"/>
      <c r="Q56" s="33"/>
      <c r="R56" s="33"/>
      <c r="S56" s="33"/>
      <c r="T56" s="33"/>
      <c r="U56" s="33"/>
      <c r="V56" s="33"/>
      <c r="W56" s="33"/>
    </row>
    <row r="57" spans="3:23" x14ac:dyDescent="0.2">
      <c r="C57" s="7" t="s">
        <v>62</v>
      </c>
      <c r="D57" s="44">
        <v>58.8</v>
      </c>
      <c r="E57" s="44">
        <v>92.3</v>
      </c>
      <c r="F57" s="44">
        <v>47.5</v>
      </c>
      <c r="G57" s="44">
        <v>62.8</v>
      </c>
      <c r="H57" s="45">
        <f>G57*(1+H64)</f>
        <v>65.473739575486576</v>
      </c>
      <c r="I57" s="45">
        <f t="shared" ref="I57:N57" si="39">H57*(1+I64)</f>
        <v>68.261314872589764</v>
      </c>
      <c r="J57" s="45">
        <f t="shared" si="39"/>
        <v>71.167572500768017</v>
      </c>
      <c r="K57" s="45">
        <f t="shared" si="39"/>
        <v>74.197565416159961</v>
      </c>
      <c r="L57" s="45">
        <f t="shared" si="39"/>
        <v>77.356561706891512</v>
      </c>
      <c r="M57" s="45">
        <f t="shared" si="39"/>
        <v>80.650053752421542</v>
      </c>
      <c r="N57" s="45">
        <f t="shared" si="39"/>
        <v>84.08376777285099</v>
      </c>
      <c r="P57" s="33"/>
      <c r="Q57" s="33"/>
      <c r="R57" s="33"/>
      <c r="S57" s="33"/>
      <c r="T57" s="33"/>
      <c r="U57" s="33"/>
      <c r="V57" s="33"/>
      <c r="W57" s="33"/>
    </row>
    <row r="58" spans="3:23" x14ac:dyDescent="0.2">
      <c r="C58" s="7" t="s">
        <v>63</v>
      </c>
      <c r="D58" s="46">
        <f>SUM(D54:D57)</f>
        <v>518.1</v>
      </c>
      <c r="E58" s="46">
        <f t="shared" ref="E58:N58" si="40">SUM(E54:E57)</f>
        <v>1210.1999999999998</v>
      </c>
      <c r="F58" s="46">
        <f t="shared" si="40"/>
        <v>1243.2</v>
      </c>
      <c r="G58" s="46">
        <f t="shared" si="40"/>
        <v>1227.5</v>
      </c>
      <c r="H58" s="46">
        <f t="shared" si="40"/>
        <v>1633.8326643812882</v>
      </c>
      <c r="I58" s="46">
        <f t="shared" si="40"/>
        <v>1818.5941302604972</v>
      </c>
      <c r="J58" s="46">
        <f t="shared" si="40"/>
        <v>2014.6334984524287</v>
      </c>
      <c r="K58" s="46">
        <f t="shared" si="40"/>
        <v>2221.5392737672996</v>
      </c>
      <c r="L58" s="46">
        <f t="shared" si="40"/>
        <v>2438.8129304960148</v>
      </c>
      <c r="M58" s="46">
        <f t="shared" si="40"/>
        <v>2665.8778782681948</v>
      </c>
      <c r="N58" s="46">
        <f t="shared" si="40"/>
        <v>2902.0893055355914</v>
      </c>
      <c r="P58" s="33"/>
      <c r="Q58" s="33"/>
      <c r="R58" s="33"/>
      <c r="S58" s="33"/>
      <c r="T58" s="33"/>
      <c r="U58" s="33"/>
      <c r="V58" s="33"/>
      <c r="W58" s="33"/>
    </row>
    <row r="59" spans="3:23" x14ac:dyDescent="0.2">
      <c r="C59" s="7"/>
      <c r="D59" s="44"/>
      <c r="E59" s="44"/>
      <c r="F59" s="44"/>
      <c r="G59" s="44"/>
      <c r="H59" s="45"/>
      <c r="I59" s="45"/>
      <c r="J59" s="45"/>
      <c r="K59" s="45"/>
      <c r="L59" s="45"/>
      <c r="M59" s="45"/>
      <c r="N59" s="45"/>
      <c r="P59" s="33"/>
      <c r="Q59" s="33"/>
      <c r="R59" s="33"/>
      <c r="S59" s="33"/>
      <c r="T59" s="33"/>
      <c r="U59" s="33"/>
      <c r="V59" s="33"/>
      <c r="W59" s="33"/>
    </row>
    <row r="60" spans="3:23" x14ac:dyDescent="0.2">
      <c r="C60" s="7" t="s">
        <v>64</v>
      </c>
      <c r="D60" s="25"/>
      <c r="E60" s="25"/>
      <c r="F60" s="25"/>
      <c r="G60" s="25"/>
      <c r="H60" s="25"/>
      <c r="I60" s="25"/>
      <c r="J60" s="25"/>
      <c r="K60" s="25"/>
      <c r="L60" s="25"/>
      <c r="M60" s="25"/>
      <c r="N60" s="25"/>
      <c r="P60" s="33"/>
      <c r="Q60" s="33"/>
      <c r="R60" s="33"/>
      <c r="S60" s="33"/>
      <c r="T60" s="33"/>
      <c r="U60" s="33"/>
      <c r="V60" s="33"/>
      <c r="W60" s="33"/>
    </row>
    <row r="61" spans="3:23" x14ac:dyDescent="0.2">
      <c r="C61" s="2" t="s">
        <v>65</v>
      </c>
      <c r="D61" s="11">
        <f>D54/D16</f>
        <v>0.38850740874593426</v>
      </c>
      <c r="E61" s="11">
        <f>E54/E16</f>
        <v>0.37314076309549465</v>
      </c>
      <c r="F61" s="11">
        <f>F54/F16</f>
        <v>0.33184855233853006</v>
      </c>
      <c r="G61" s="11">
        <f>G54/G16</f>
        <v>0.16453315220230941</v>
      </c>
      <c r="H61" s="47">
        <f>AVERAGE(D61:G61)</f>
        <v>0.31450746909556715</v>
      </c>
      <c r="I61" s="47">
        <f>H61</f>
        <v>0.31450746909556715</v>
      </c>
      <c r="J61" s="47">
        <f t="shared" ref="J61:N61" si="41">I61</f>
        <v>0.31450746909556715</v>
      </c>
      <c r="K61" s="47">
        <f t="shared" si="41"/>
        <v>0.31450746909556715</v>
      </c>
      <c r="L61" s="47">
        <f t="shared" si="41"/>
        <v>0.31450746909556715</v>
      </c>
      <c r="M61" s="47">
        <f t="shared" si="41"/>
        <v>0.31450746909556715</v>
      </c>
      <c r="N61" s="47">
        <f t="shared" si="41"/>
        <v>0.31450746909556715</v>
      </c>
      <c r="P61" s="33"/>
      <c r="Q61" s="33"/>
      <c r="R61" s="33"/>
      <c r="S61" s="33"/>
      <c r="T61" s="33"/>
      <c r="U61" s="33"/>
      <c r="V61" s="33"/>
      <c r="W61" s="33"/>
    </row>
    <row r="62" spans="3:23" x14ac:dyDescent="0.2">
      <c r="C62" s="2" t="s">
        <v>66</v>
      </c>
      <c r="D62" s="10">
        <v>0</v>
      </c>
      <c r="E62" s="11">
        <f t="shared" ref="E62:G62" si="42">E55/E16</f>
        <v>0.40957102823884456</v>
      </c>
      <c r="F62" s="11">
        <f t="shared" si="42"/>
        <v>0.36579786913862644</v>
      </c>
      <c r="G62" s="11">
        <f t="shared" si="42"/>
        <v>0.42133862793249383</v>
      </c>
      <c r="H62" s="47">
        <f>AVERAGE(E62:G62)</f>
        <v>0.39890250843665492</v>
      </c>
      <c r="I62" s="47">
        <f t="shared" ref="I62:N63" si="43">H62</f>
        <v>0.39890250843665492</v>
      </c>
      <c r="J62" s="47">
        <f t="shared" si="43"/>
        <v>0.39890250843665492</v>
      </c>
      <c r="K62" s="47">
        <f t="shared" si="43"/>
        <v>0.39890250843665492</v>
      </c>
      <c r="L62" s="47">
        <f t="shared" si="43"/>
        <v>0.39890250843665492</v>
      </c>
      <c r="M62" s="47">
        <f t="shared" si="43"/>
        <v>0.39890250843665492</v>
      </c>
      <c r="N62" s="47">
        <f t="shared" si="43"/>
        <v>0.39890250843665492</v>
      </c>
      <c r="P62" s="33"/>
      <c r="Q62" s="33"/>
      <c r="R62" s="33"/>
      <c r="S62" s="33"/>
      <c r="T62" s="33"/>
      <c r="U62" s="33"/>
      <c r="V62" s="33"/>
      <c r="W62" s="33"/>
    </row>
    <row r="63" spans="3:23" x14ac:dyDescent="0.2">
      <c r="C63" s="2" t="s">
        <v>67</v>
      </c>
      <c r="D63" s="45">
        <f>D56</f>
        <v>29.3</v>
      </c>
      <c r="E63" s="45">
        <f>E56</f>
        <v>28.6</v>
      </c>
      <c r="F63" s="45">
        <f>F56</f>
        <v>36.700000000000003</v>
      </c>
      <c r="G63" s="45">
        <f>G56</f>
        <v>43.4</v>
      </c>
      <c r="H63" s="58">
        <f>AVERAGE(D63:G63)</f>
        <v>34.5</v>
      </c>
      <c r="I63" s="58">
        <f>H63</f>
        <v>34.5</v>
      </c>
      <c r="J63" s="58">
        <f t="shared" si="43"/>
        <v>34.5</v>
      </c>
      <c r="K63" s="58">
        <f t="shared" si="43"/>
        <v>34.5</v>
      </c>
      <c r="L63" s="58">
        <f t="shared" si="43"/>
        <v>34.5</v>
      </c>
      <c r="M63" s="58">
        <f t="shared" si="43"/>
        <v>34.5</v>
      </c>
      <c r="N63" s="58">
        <f t="shared" si="43"/>
        <v>34.5</v>
      </c>
      <c r="P63" s="33"/>
      <c r="Q63" s="33"/>
      <c r="R63" s="33"/>
      <c r="S63" s="33"/>
      <c r="T63" s="33"/>
      <c r="U63" s="33"/>
      <c r="V63" s="33"/>
      <c r="W63" s="33"/>
    </row>
    <row r="64" spans="3:23" x14ac:dyDescent="0.2">
      <c r="C64" s="2" t="s">
        <v>68</v>
      </c>
      <c r="D64" s="11">
        <f>D57/D16</f>
        <v>5.3126129382002167E-2</v>
      </c>
      <c r="E64" s="11">
        <f>E57/E16</f>
        <v>6.6321764748149742E-2</v>
      </c>
      <c r="F64" s="11">
        <f>F57/F16</f>
        <v>2.8592066453981824E-2</v>
      </c>
      <c r="G64" s="11">
        <f>G57/G16</f>
        <v>3.2812581639584094E-2</v>
      </c>
      <c r="H64" s="47">
        <f>AVERAGE(E64:G64)</f>
        <v>4.2575470947238549E-2</v>
      </c>
      <c r="I64" s="47">
        <f>H64</f>
        <v>4.2575470947238549E-2</v>
      </c>
      <c r="J64" s="47">
        <f t="shared" ref="J64:N64" si="44">I64</f>
        <v>4.2575470947238549E-2</v>
      </c>
      <c r="K64" s="47">
        <f t="shared" si="44"/>
        <v>4.2575470947238549E-2</v>
      </c>
      <c r="L64" s="47">
        <f t="shared" si="44"/>
        <v>4.2575470947238549E-2</v>
      </c>
      <c r="M64" s="47">
        <f t="shared" si="44"/>
        <v>4.2575470947238549E-2</v>
      </c>
      <c r="N64" s="47">
        <f t="shared" si="44"/>
        <v>4.2575470947238549E-2</v>
      </c>
      <c r="P64" s="33"/>
      <c r="Q64" s="33"/>
      <c r="R64" s="33"/>
      <c r="S64" s="33"/>
      <c r="T64" s="33"/>
      <c r="U64" s="33"/>
      <c r="V64" s="33"/>
      <c r="W64" s="33"/>
    </row>
    <row r="65" spans="3:23" x14ac:dyDescent="0.2">
      <c r="D65" s="25"/>
      <c r="E65" s="25"/>
      <c r="F65" s="25"/>
      <c r="G65" s="25"/>
      <c r="H65" s="25"/>
      <c r="I65" s="25"/>
      <c r="J65" s="25"/>
      <c r="K65" s="25"/>
      <c r="L65" s="25"/>
      <c r="M65" s="25"/>
      <c r="N65" s="25"/>
      <c r="P65" s="33"/>
      <c r="Q65" s="33"/>
      <c r="R65" s="33"/>
      <c r="S65" s="33"/>
      <c r="T65" s="33"/>
      <c r="U65" s="33"/>
      <c r="V65" s="33"/>
      <c r="W65" s="33"/>
    </row>
    <row r="66" spans="3:23" x14ac:dyDescent="0.2">
      <c r="C66" s="7" t="s">
        <v>69</v>
      </c>
      <c r="D66" s="25"/>
      <c r="E66" s="25"/>
      <c r="F66" s="25"/>
      <c r="G66" s="25"/>
      <c r="H66" s="25"/>
      <c r="I66" s="25"/>
      <c r="J66" s="25"/>
      <c r="K66" s="25"/>
      <c r="L66" s="25"/>
      <c r="M66" s="25"/>
      <c r="N66" s="25"/>
      <c r="P66" s="33"/>
      <c r="Q66" s="33"/>
      <c r="R66" s="33"/>
      <c r="S66" s="33"/>
      <c r="T66" s="33"/>
      <c r="U66" s="33"/>
      <c r="V66" s="33"/>
      <c r="W66" s="33"/>
    </row>
    <row r="67" spans="3:23" x14ac:dyDescent="0.2">
      <c r="C67" s="2" t="s">
        <v>70</v>
      </c>
      <c r="D67" s="44">
        <v>31.9</v>
      </c>
      <c r="E67" s="44">
        <v>33.299999999999997</v>
      </c>
      <c r="F67" s="44">
        <v>40.700000000000003</v>
      </c>
      <c r="G67" s="44">
        <v>18.7</v>
      </c>
      <c r="H67" s="45">
        <f t="shared" ref="H67:N67" si="45">H16*H75</f>
        <v>46.773502498249719</v>
      </c>
      <c r="I67" s="45">
        <f t="shared" si="45"/>
        <v>52.322615319584294</v>
      </c>
      <c r="J67" s="45">
        <f t="shared" si="45"/>
        <v>58.212017456480403</v>
      </c>
      <c r="K67" s="45">
        <f t="shared" si="45"/>
        <v>64.42900668748284</v>
      </c>
      <c r="L67" s="45">
        <f t="shared" si="45"/>
        <v>70.95822032176531</v>
      </c>
      <c r="M67" s="45">
        <f t="shared" si="45"/>
        <v>77.781908324749409</v>
      </c>
      <c r="N67" s="45">
        <f t="shared" si="45"/>
        <v>84.880233194145319</v>
      </c>
      <c r="P67" s="33"/>
      <c r="Q67" s="33"/>
      <c r="R67" s="33"/>
      <c r="S67" s="33"/>
      <c r="T67" s="33"/>
      <c r="U67" s="33"/>
      <c r="V67" s="33"/>
      <c r="W67" s="33"/>
    </row>
    <row r="68" spans="3:23" x14ac:dyDescent="0.2">
      <c r="C68" s="2" t="s">
        <v>71</v>
      </c>
      <c r="D68" s="44">
        <v>129.80000000000001</v>
      </c>
      <c r="E68" s="44">
        <v>164.5</v>
      </c>
      <c r="F68" s="44">
        <v>161.9</v>
      </c>
      <c r="G68" s="44">
        <v>156.69999999999999</v>
      </c>
      <c r="H68" s="45">
        <f>H16*H76</f>
        <v>222.96130263809792</v>
      </c>
      <c r="I68" s="45">
        <f t="shared" ref="I68:N68" si="46">I16*I76</f>
        <v>249.41297627910495</v>
      </c>
      <c r="J68" s="45">
        <f t="shared" si="46"/>
        <v>277.48675100339659</v>
      </c>
      <c r="K68" s="45">
        <f t="shared" si="46"/>
        <v>307.12207748943848</v>
      </c>
      <c r="L68" s="45">
        <f t="shared" si="46"/>
        <v>338.24572441232021</v>
      </c>
      <c r="M68" s="45">
        <f t="shared" si="46"/>
        <v>370.77308038696054</v>
      </c>
      <c r="N68" s="45">
        <f t="shared" si="46"/>
        <v>404.60958342600793</v>
      </c>
      <c r="P68" s="33"/>
      <c r="Q68" s="33"/>
      <c r="R68" s="33"/>
      <c r="S68" s="33"/>
      <c r="T68" s="33"/>
      <c r="U68" s="33"/>
      <c r="V68" s="33"/>
      <c r="W68" s="33"/>
    </row>
    <row r="69" spans="3:23" x14ac:dyDescent="0.2">
      <c r="C69" s="2" t="s">
        <v>72</v>
      </c>
      <c r="D69" s="44">
        <v>56.1</v>
      </c>
      <c r="E69" s="44">
        <v>80.900000000000006</v>
      </c>
      <c r="F69" s="44">
        <v>101.4</v>
      </c>
      <c r="G69" s="44">
        <v>113.6</v>
      </c>
      <c r="H69" s="45">
        <f>H16*H77</f>
        <v>123.20193093849386</v>
      </c>
      <c r="I69" s="45">
        <f t="shared" ref="I69:N69" si="47">I16*I77</f>
        <v>137.81835643730179</v>
      </c>
      <c r="J69" s="45">
        <f t="shared" si="47"/>
        <v>153.33110781541473</v>
      </c>
      <c r="K69" s="45">
        <f t="shared" si="47"/>
        <v>169.70672727884883</v>
      </c>
      <c r="L69" s="45">
        <f t="shared" si="47"/>
        <v>186.90474932741455</v>
      </c>
      <c r="M69" s="45">
        <f t="shared" si="47"/>
        <v>204.87842017066464</v>
      </c>
      <c r="N69" s="45">
        <f t="shared" si="47"/>
        <v>223.5754876047537</v>
      </c>
      <c r="P69" s="33"/>
      <c r="Q69" s="33"/>
      <c r="R69" s="33"/>
      <c r="S69" s="33"/>
      <c r="T69" s="33"/>
      <c r="U69" s="33"/>
      <c r="V69" s="33"/>
      <c r="W69" s="33"/>
    </row>
    <row r="70" spans="3:23" x14ac:dyDescent="0.2">
      <c r="C70" s="2" t="s">
        <v>74</v>
      </c>
      <c r="D70" s="44">
        <v>102.7</v>
      </c>
      <c r="E70" s="44">
        <v>73.8</v>
      </c>
      <c r="F70" s="44">
        <v>156.6</v>
      </c>
      <c r="G70" s="44">
        <v>188.3</v>
      </c>
      <c r="H70" s="45">
        <f>H16*H78</f>
        <v>181.929657748246</v>
      </c>
      <c r="I70" s="45">
        <f t="shared" ref="I70:N70" si="48">I16*I78</f>
        <v>203.51342082926783</v>
      </c>
      <c r="J70" s="45">
        <f t="shared" si="48"/>
        <v>226.42076917563963</v>
      </c>
      <c r="K70" s="45">
        <f t="shared" si="48"/>
        <v>250.60229637820754</v>
      </c>
      <c r="L70" s="45">
        <f t="shared" si="48"/>
        <v>275.99824789786641</v>
      </c>
      <c r="M70" s="45">
        <f t="shared" si="48"/>
        <v>302.53958341171131</v>
      </c>
      <c r="N70" s="45">
        <f t="shared" si="48"/>
        <v>330.14914320731106</v>
      </c>
      <c r="P70" s="33"/>
      <c r="Q70" s="33"/>
      <c r="R70" s="33"/>
      <c r="S70" s="33"/>
      <c r="T70" s="33"/>
      <c r="U70" s="33"/>
      <c r="V70" s="33"/>
      <c r="W70" s="33"/>
    </row>
    <row r="71" spans="3:23" x14ac:dyDescent="0.2">
      <c r="C71" s="2" t="s">
        <v>73</v>
      </c>
      <c r="D71" s="57">
        <v>417.9</v>
      </c>
      <c r="E71" s="57">
        <v>485</v>
      </c>
      <c r="F71" s="57">
        <v>554.20000000000005</v>
      </c>
      <c r="G71" s="57">
        <v>610.5</v>
      </c>
      <c r="H71" s="54">
        <f>H16*H79</f>
        <v>741.03549454905442</v>
      </c>
      <c r="I71" s="54">
        <f t="shared" ref="I71:N71" si="49">I16*I79</f>
        <v>828.95043237138327</v>
      </c>
      <c r="J71" s="54">
        <f t="shared" si="49"/>
        <v>922.2565948781654</v>
      </c>
      <c r="K71" s="54">
        <f t="shared" si="49"/>
        <v>1020.7527399888384</v>
      </c>
      <c r="L71" s="54">
        <f t="shared" si="49"/>
        <v>1124.1954756419573</v>
      </c>
      <c r="M71" s="54">
        <f t="shared" si="49"/>
        <v>1232.3035869412768</v>
      </c>
      <c r="N71" s="54">
        <f t="shared" si="49"/>
        <v>1344.7627871104212</v>
      </c>
      <c r="P71" s="33"/>
      <c r="Q71" s="33"/>
      <c r="R71" s="33"/>
      <c r="S71" s="33"/>
      <c r="T71" s="33"/>
      <c r="U71" s="33"/>
      <c r="V71" s="33"/>
      <c r="W71" s="33"/>
    </row>
    <row r="72" spans="3:23" x14ac:dyDescent="0.2">
      <c r="C72" s="7" t="s">
        <v>75</v>
      </c>
      <c r="D72" s="45">
        <f>SUM(D67:D71)</f>
        <v>738.4</v>
      </c>
      <c r="E72" s="45">
        <f>SUM(E67:E71)</f>
        <v>837.5</v>
      </c>
      <c r="F72" s="45">
        <f>SUM(F67:F71)</f>
        <v>1014.8000000000001</v>
      </c>
      <c r="G72" s="45">
        <f>SUM(G67:G71)</f>
        <v>1087.8</v>
      </c>
      <c r="H72" s="45">
        <f t="shared" ref="H72:N72" si="50">SUM(H67:H71)</f>
        <v>1315.9018883721419</v>
      </c>
      <c r="I72" s="45">
        <f t="shared" si="50"/>
        <v>1472.0178012366423</v>
      </c>
      <c r="J72" s="45">
        <f t="shared" si="50"/>
        <v>1637.7072403290967</v>
      </c>
      <c r="K72" s="45">
        <f t="shared" si="50"/>
        <v>1812.6128478228161</v>
      </c>
      <c r="L72" s="45">
        <f t="shared" si="50"/>
        <v>1996.3024176013237</v>
      </c>
      <c r="M72" s="45">
        <f t="shared" si="50"/>
        <v>2188.2765792353625</v>
      </c>
      <c r="N72" s="45">
        <f t="shared" si="50"/>
        <v>2387.9772345426391</v>
      </c>
      <c r="P72" s="33"/>
      <c r="Q72" s="33"/>
      <c r="R72" s="33"/>
      <c r="S72" s="33"/>
      <c r="T72" s="33"/>
      <c r="U72" s="33"/>
      <c r="V72" s="33"/>
      <c r="W72" s="33"/>
    </row>
    <row r="73" spans="3:23" x14ac:dyDescent="0.2">
      <c r="D73" s="25"/>
      <c r="E73" s="25"/>
      <c r="F73" s="25"/>
      <c r="G73" s="25"/>
      <c r="H73" s="25"/>
      <c r="I73" s="25"/>
      <c r="J73" s="25"/>
      <c r="K73" s="25"/>
      <c r="L73" s="25"/>
      <c r="M73" s="25"/>
      <c r="N73" s="25"/>
      <c r="P73" s="33"/>
      <c r="Q73" s="33"/>
      <c r="R73" s="33"/>
      <c r="S73" s="33"/>
      <c r="T73" s="33"/>
      <c r="U73" s="33"/>
      <c r="V73" s="33"/>
      <c r="W73" s="33"/>
    </row>
    <row r="74" spans="3:23" x14ac:dyDescent="0.2">
      <c r="C74" s="7" t="s">
        <v>76</v>
      </c>
      <c r="D74" s="25"/>
      <c r="E74" s="25"/>
      <c r="F74" s="25"/>
      <c r="G74" s="25"/>
      <c r="H74" s="25"/>
      <c r="I74" s="25"/>
      <c r="J74" s="25"/>
      <c r="K74" s="25"/>
      <c r="L74" s="25"/>
      <c r="M74" s="25"/>
      <c r="N74" s="25"/>
      <c r="P74" s="33"/>
      <c r="Q74" s="33"/>
      <c r="R74" s="33"/>
      <c r="S74" s="33"/>
      <c r="T74" s="33"/>
      <c r="U74" s="33"/>
      <c r="V74" s="33"/>
      <c r="W74" s="33"/>
    </row>
    <row r="75" spans="3:23" x14ac:dyDescent="0.2">
      <c r="C75" s="2" t="s">
        <v>77</v>
      </c>
      <c r="D75" s="11">
        <f>D67/D16</f>
        <v>2.882182869533791E-2</v>
      </c>
      <c r="E75" s="11">
        <f>E67/E16</f>
        <v>2.3927570597111442E-2</v>
      </c>
      <c r="F75" s="11">
        <f>F67/F16</f>
        <v>2.44988864142539E-2</v>
      </c>
      <c r="G75" s="11">
        <f>G67/G16</f>
        <v>9.7706254245258362E-3</v>
      </c>
      <c r="H75" s="47">
        <f>AVERAGE(D75:G75)</f>
        <v>2.1754727782807272E-2</v>
      </c>
      <c r="I75" s="47">
        <f>H75</f>
        <v>2.1754727782807272E-2</v>
      </c>
      <c r="J75" s="47">
        <f t="shared" ref="J75:N75" si="51">I75</f>
        <v>2.1754727782807272E-2</v>
      </c>
      <c r="K75" s="47">
        <f t="shared" si="51"/>
        <v>2.1754727782807272E-2</v>
      </c>
      <c r="L75" s="47">
        <f t="shared" si="51"/>
        <v>2.1754727782807272E-2</v>
      </c>
      <c r="M75" s="47">
        <f t="shared" si="51"/>
        <v>2.1754727782807272E-2</v>
      </c>
      <c r="N75" s="47">
        <f t="shared" si="51"/>
        <v>2.1754727782807272E-2</v>
      </c>
      <c r="P75" s="33"/>
      <c r="Q75" s="33"/>
      <c r="R75" s="33"/>
      <c r="S75" s="33"/>
      <c r="T75" s="33"/>
      <c r="U75" s="33"/>
      <c r="V75" s="33"/>
      <c r="W75" s="33"/>
    </row>
    <row r="76" spans="3:23" x14ac:dyDescent="0.2">
      <c r="C76" s="2" t="s">
        <v>78</v>
      </c>
      <c r="D76" s="11">
        <f>D68/D16</f>
        <v>0.11727502710516807</v>
      </c>
      <c r="E76" s="11">
        <f>E68/E16</f>
        <v>0.11820076165840339</v>
      </c>
      <c r="F76" s="11">
        <f>F68/F16</f>
        <v>9.7453801239992782E-2</v>
      </c>
      <c r="G76" s="11">
        <f>G68/G16</f>
        <v>8.1874706097497252E-2</v>
      </c>
      <c r="H76" s="47">
        <f>AVERAGE(D76:G76)</f>
        <v>0.10370107402526538</v>
      </c>
      <c r="I76" s="47">
        <f>H76</f>
        <v>0.10370107402526538</v>
      </c>
      <c r="J76" s="47">
        <f t="shared" ref="J76:N76" si="52">I76</f>
        <v>0.10370107402526538</v>
      </c>
      <c r="K76" s="47">
        <f t="shared" si="52"/>
        <v>0.10370107402526538</v>
      </c>
      <c r="L76" s="47">
        <f t="shared" si="52"/>
        <v>0.10370107402526538</v>
      </c>
      <c r="M76" s="47">
        <f t="shared" si="52"/>
        <v>0.10370107402526538</v>
      </c>
      <c r="N76" s="47">
        <f t="shared" si="52"/>
        <v>0.10370107402526538</v>
      </c>
      <c r="P76" s="33"/>
      <c r="Q76" s="33"/>
      <c r="R76" s="33"/>
      <c r="S76" s="33"/>
      <c r="T76" s="33"/>
      <c r="U76" s="33"/>
      <c r="V76" s="33"/>
      <c r="W76" s="33"/>
    </row>
    <row r="77" spans="3:23" x14ac:dyDescent="0.2">
      <c r="C77" s="2" t="s">
        <v>79</v>
      </c>
      <c r="D77" s="11">
        <f>D69/D16</f>
        <v>5.0686664257318402E-2</v>
      </c>
      <c r="E77" s="11">
        <f>E69/E16</f>
        <v>5.8130344183372852E-2</v>
      </c>
      <c r="F77" s="11">
        <f>F69/F16</f>
        <v>6.103653765123699E-2</v>
      </c>
      <c r="G77" s="11">
        <f>G69/G16</f>
        <v>5.9355243220648932E-2</v>
      </c>
      <c r="H77" s="47">
        <f>AVERAGE(D77:G77)</f>
        <v>5.7302197328144289E-2</v>
      </c>
      <c r="I77" s="47">
        <f>H77</f>
        <v>5.7302197328144289E-2</v>
      </c>
      <c r="J77" s="47">
        <f t="shared" ref="J77:N77" si="53">I77</f>
        <v>5.7302197328144289E-2</v>
      </c>
      <c r="K77" s="47">
        <f t="shared" si="53"/>
        <v>5.7302197328144289E-2</v>
      </c>
      <c r="L77" s="47">
        <f t="shared" si="53"/>
        <v>5.7302197328144289E-2</v>
      </c>
      <c r="M77" s="47">
        <f t="shared" si="53"/>
        <v>5.7302197328144289E-2</v>
      </c>
      <c r="N77" s="47">
        <f t="shared" si="53"/>
        <v>5.7302197328144289E-2</v>
      </c>
      <c r="P77" s="33"/>
      <c r="Q77" s="33"/>
      <c r="R77" s="33"/>
      <c r="S77" s="33"/>
      <c r="T77" s="33"/>
      <c r="U77" s="33"/>
      <c r="V77" s="33"/>
      <c r="W77" s="33"/>
    </row>
    <row r="78" spans="3:23" x14ac:dyDescent="0.2">
      <c r="C78" s="2" t="s">
        <v>80</v>
      </c>
      <c r="D78" s="11">
        <f>D70/D16</f>
        <v>9.2790025298156859E-2</v>
      </c>
      <c r="E78" s="11">
        <f>E70/E16</f>
        <v>5.3028669971976715E-2</v>
      </c>
      <c r="F78" s="11">
        <f>F70/F16</f>
        <v>9.426352856196954E-2</v>
      </c>
      <c r="G78" s="11">
        <f>G70/G16</f>
        <v>9.8385495584931287E-2</v>
      </c>
      <c r="H78" s="47">
        <f>AVERAGE(D78:G78)</f>
        <v>8.4616929854258602E-2</v>
      </c>
      <c r="I78" s="47">
        <f>H78</f>
        <v>8.4616929854258602E-2</v>
      </c>
      <c r="J78" s="47">
        <f t="shared" ref="J78:N79" si="54">I78</f>
        <v>8.4616929854258602E-2</v>
      </c>
      <c r="K78" s="47">
        <f t="shared" si="54"/>
        <v>8.4616929854258602E-2</v>
      </c>
      <c r="L78" s="47">
        <f t="shared" si="54"/>
        <v>8.4616929854258602E-2</v>
      </c>
      <c r="M78" s="47">
        <f t="shared" si="54"/>
        <v>8.4616929854258602E-2</v>
      </c>
      <c r="N78" s="47">
        <f t="shared" si="54"/>
        <v>8.4616929854258602E-2</v>
      </c>
      <c r="P78" s="33"/>
      <c r="Q78" s="33"/>
      <c r="R78" s="33"/>
      <c r="S78" s="33"/>
      <c r="T78" s="33"/>
      <c r="U78" s="33"/>
      <c r="V78" s="33"/>
      <c r="W78" s="33"/>
    </row>
    <row r="79" spans="3:23" x14ac:dyDescent="0.2">
      <c r="C79" s="2" t="s">
        <v>81</v>
      </c>
      <c r="D79" s="11">
        <f>D71/D16</f>
        <v>0.37757499096494396</v>
      </c>
      <c r="E79" s="11">
        <f>E71/E16</f>
        <v>0.34849464683480635</v>
      </c>
      <c r="F79" s="11">
        <f>F71/F16</f>
        <v>0.33359417323782581</v>
      </c>
      <c r="G79" s="11">
        <f>G71/G16</f>
        <v>0.31898218297716702</v>
      </c>
      <c r="H79" s="47">
        <f>AVERAGE(D79:G79)</f>
        <v>0.34466149850368583</v>
      </c>
      <c r="I79" s="47">
        <f>H79</f>
        <v>0.34466149850368583</v>
      </c>
      <c r="J79" s="47">
        <f t="shared" si="54"/>
        <v>0.34466149850368583</v>
      </c>
      <c r="K79" s="47">
        <f t="shared" si="54"/>
        <v>0.34466149850368583</v>
      </c>
      <c r="L79" s="47">
        <f t="shared" si="54"/>
        <v>0.34466149850368583</v>
      </c>
      <c r="M79" s="47">
        <f t="shared" si="54"/>
        <v>0.34466149850368583</v>
      </c>
      <c r="N79" s="47">
        <f t="shared" si="54"/>
        <v>0.34466149850368583</v>
      </c>
      <c r="P79" s="33"/>
      <c r="Q79" s="33"/>
      <c r="R79" s="33"/>
      <c r="S79" s="33"/>
      <c r="T79" s="33"/>
      <c r="U79" s="33"/>
      <c r="V79" s="33"/>
      <c r="W79" s="33"/>
    </row>
    <row r="80" spans="3:23" x14ac:dyDescent="0.2">
      <c r="D80" s="66"/>
      <c r="E80" s="66"/>
      <c r="F80" s="66"/>
      <c r="G80" s="66"/>
      <c r="H80" s="66"/>
      <c r="I80" s="66"/>
      <c r="J80" s="66"/>
      <c r="K80" s="66"/>
      <c r="L80" s="66"/>
      <c r="M80" s="66"/>
      <c r="N80" s="66"/>
      <c r="P80" s="33"/>
      <c r="Q80" s="33"/>
      <c r="R80" s="33"/>
      <c r="S80" s="33"/>
      <c r="T80" s="33"/>
      <c r="U80" s="33"/>
      <c r="V80" s="33"/>
      <c r="W80" s="33"/>
    </row>
    <row r="81" spans="3:23" x14ac:dyDescent="0.2">
      <c r="C81" s="51" t="s">
        <v>82</v>
      </c>
      <c r="D81" s="69">
        <f>SUM(D55:D57)-D72</f>
        <v>-650.29999999999995</v>
      </c>
      <c r="E81" s="69">
        <f t="shared" ref="E81:N81" si="55">SUM(E55:E57)-E72</f>
        <v>-146.60000000000002</v>
      </c>
      <c r="F81" s="69">
        <f t="shared" si="55"/>
        <v>-322.89999999999998</v>
      </c>
      <c r="G81" s="69">
        <f t="shared" si="55"/>
        <v>-175.20000000000005</v>
      </c>
      <c r="H81" s="69">
        <f t="shared" si="55"/>
        <v>-358.27239409374431</v>
      </c>
      <c r="I81" s="69">
        <f t="shared" si="55"/>
        <v>-409.85020432162037</v>
      </c>
      <c r="J81" s="69">
        <f t="shared" si="55"/>
        <v>-464.64319123808446</v>
      </c>
      <c r="K81" s="69">
        <f t="shared" si="55"/>
        <v>-522.52185655876792</v>
      </c>
      <c r="L81" s="69">
        <f t="shared" si="55"/>
        <v>-583.33042190023025</v>
      </c>
      <c r="M81" s="69">
        <f t="shared" si="55"/>
        <v>-646.88949546809613</v>
      </c>
      <c r="N81" s="69">
        <f t="shared" si="55"/>
        <v>-712.99900043261528</v>
      </c>
      <c r="P81" s="33"/>
      <c r="Q81" s="33"/>
      <c r="R81" s="33"/>
      <c r="S81" s="33"/>
      <c r="T81" s="33"/>
      <c r="U81" s="33"/>
      <c r="V81" s="33"/>
      <c r="W81" s="33"/>
    </row>
    <row r="82" spans="3:23" ht="19" thickBot="1" x14ac:dyDescent="0.25">
      <c r="C82" s="70" t="s">
        <v>83</v>
      </c>
      <c r="D82" s="55">
        <v>0</v>
      </c>
      <c r="E82" s="55">
        <f>E81-D81</f>
        <v>503.69999999999993</v>
      </c>
      <c r="F82" s="55">
        <f t="shared" ref="F82:N82" si="56">F81-E81</f>
        <v>-176.29999999999995</v>
      </c>
      <c r="G82" s="55">
        <f t="shared" si="56"/>
        <v>147.69999999999993</v>
      </c>
      <c r="H82" s="55">
        <f t="shared" si="56"/>
        <v>-183.07239409374426</v>
      </c>
      <c r="I82" s="55">
        <f t="shared" si="56"/>
        <v>-51.577810227876057</v>
      </c>
      <c r="J82" s="55">
        <f t="shared" si="56"/>
        <v>-54.792986916464088</v>
      </c>
      <c r="K82" s="55">
        <f t="shared" si="56"/>
        <v>-57.878665320683467</v>
      </c>
      <c r="L82" s="55">
        <f t="shared" si="56"/>
        <v>-60.808565341462327</v>
      </c>
      <c r="M82" s="55">
        <f t="shared" si="56"/>
        <v>-63.55907356786588</v>
      </c>
      <c r="N82" s="55">
        <f t="shared" si="56"/>
        <v>-66.109504964519147</v>
      </c>
      <c r="P82" s="33"/>
      <c r="Q82" s="33"/>
      <c r="R82" s="33"/>
      <c r="S82" s="33"/>
      <c r="T82" s="33"/>
      <c r="U82" s="33"/>
      <c r="V82" s="33"/>
      <c r="W82" s="33"/>
    </row>
    <row r="83" spans="3:23" ht="19" thickTop="1" x14ac:dyDescent="0.2">
      <c r="C83" s="76"/>
      <c r="D83" s="52"/>
      <c r="E83" s="52"/>
      <c r="F83" s="52"/>
      <c r="G83" s="52"/>
      <c r="H83" s="52"/>
      <c r="I83" s="52"/>
      <c r="J83" s="52"/>
      <c r="K83" s="52"/>
      <c r="L83" s="52"/>
      <c r="M83" s="52"/>
      <c r="N83" s="52"/>
      <c r="P83" s="33"/>
      <c r="Q83" s="33"/>
      <c r="R83" s="33"/>
      <c r="S83" s="33"/>
      <c r="T83" s="33"/>
      <c r="U83" s="33"/>
      <c r="V83" s="33"/>
      <c r="W83" s="33"/>
    </row>
    <row r="84" spans="3:23" x14ac:dyDescent="0.2">
      <c r="C84" s="76" t="s">
        <v>84</v>
      </c>
      <c r="D84" s="52"/>
      <c r="E84" s="52"/>
      <c r="F84" s="52"/>
      <c r="G84" s="52"/>
      <c r="H84" s="52"/>
      <c r="I84" s="52"/>
      <c r="J84" s="52"/>
      <c r="K84" s="52"/>
      <c r="L84" s="52"/>
      <c r="M84" s="52"/>
      <c r="N84" s="52"/>
      <c r="P84" s="33"/>
      <c r="Q84" s="33"/>
      <c r="R84" s="33"/>
      <c r="S84" s="33"/>
      <c r="T84" s="33"/>
      <c r="U84" s="33"/>
      <c r="V84" s="33"/>
      <c r="W84" s="33"/>
    </row>
    <row r="85" spans="3:23" x14ac:dyDescent="0.2">
      <c r="C85" s="77" t="s">
        <v>86</v>
      </c>
      <c r="D85" s="78">
        <v>444</v>
      </c>
      <c r="E85" s="78">
        <v>341.9</v>
      </c>
      <c r="F85" s="78">
        <v>310.60000000000002</v>
      </c>
      <c r="G85" s="78">
        <v>445.3</v>
      </c>
      <c r="H85" s="78">
        <v>338.7</v>
      </c>
      <c r="I85" s="53">
        <f>H88</f>
        <v>301.31672249944432</v>
      </c>
      <c r="J85" s="53">
        <f t="shared" ref="J85:N85" si="57">I88</f>
        <v>295.80426638563222</v>
      </c>
      <c r="K85" s="53">
        <f t="shared" si="57"/>
        <v>308.12641986445851</v>
      </c>
      <c r="L85" s="53">
        <f t="shared" si="57"/>
        <v>330.78392797454461</v>
      </c>
      <c r="M85" s="53">
        <f t="shared" si="57"/>
        <v>359.74788181350408</v>
      </c>
      <c r="N85" s="53">
        <f t="shared" si="57"/>
        <v>392.82918793297785</v>
      </c>
      <c r="P85" s="33"/>
      <c r="Q85" s="33"/>
      <c r="R85" s="33"/>
      <c r="S85" s="33"/>
      <c r="T85" s="33"/>
      <c r="U85" s="33"/>
      <c r="V85" s="33"/>
      <c r="W85" s="33"/>
    </row>
    <row r="86" spans="3:23" x14ac:dyDescent="0.2">
      <c r="C86" s="40" t="s">
        <v>90</v>
      </c>
      <c r="D86" s="78">
        <v>181.8</v>
      </c>
      <c r="E86" s="78">
        <v>166.8</v>
      </c>
      <c r="F86" s="78">
        <v>173.5</v>
      </c>
      <c r="G86" s="78">
        <v>159.30000000000001</v>
      </c>
      <c r="H86" s="53">
        <f>H85*H90</f>
        <v>158.53356703685813</v>
      </c>
      <c r="I86" s="53">
        <f t="shared" ref="I86:N86" si="58">I85*I90</f>
        <v>141.03576860257468</v>
      </c>
      <c r="J86" s="53">
        <f t="shared" si="58"/>
        <v>138.45558162041709</v>
      </c>
      <c r="K86" s="53">
        <f t="shared" si="58"/>
        <v>144.22314862535941</v>
      </c>
      <c r="L86" s="53">
        <f t="shared" si="58"/>
        <v>154.82833191694044</v>
      </c>
      <c r="M86" s="53">
        <f t="shared" si="58"/>
        <v>168.38534082624409</v>
      </c>
      <c r="N86" s="53">
        <f t="shared" si="58"/>
        <v>183.86953764159225</v>
      </c>
      <c r="P86" s="33"/>
      <c r="Q86" s="33"/>
      <c r="R86" s="33"/>
      <c r="S86" s="33"/>
      <c r="T86" s="33"/>
      <c r="U86" s="33"/>
      <c r="V86" s="33"/>
      <c r="W86" s="33"/>
    </row>
    <row r="87" spans="3:23" x14ac:dyDescent="0.2">
      <c r="C87" s="39" t="s">
        <v>91</v>
      </c>
      <c r="D87" s="57">
        <v>25.3</v>
      </c>
      <c r="E87" s="57">
        <v>63</v>
      </c>
      <c r="F87" s="57">
        <v>136.1</v>
      </c>
      <c r="G87" s="57">
        <v>80.099999999999994</v>
      </c>
      <c r="H87" s="54">
        <f>H91*H16</f>
        <v>121.15028953630247</v>
      </c>
      <c r="I87" s="54">
        <f t="shared" ref="I87:N87" si="59">I91*I16</f>
        <v>135.52331248876257</v>
      </c>
      <c r="J87" s="54">
        <f t="shared" si="59"/>
        <v>150.77773509924339</v>
      </c>
      <c r="K87" s="54">
        <f t="shared" si="59"/>
        <v>166.88065673544551</v>
      </c>
      <c r="L87" s="54">
        <f t="shared" si="59"/>
        <v>183.79228575589991</v>
      </c>
      <c r="M87" s="54">
        <f t="shared" si="59"/>
        <v>201.46664694571786</v>
      </c>
      <c r="N87" s="54">
        <f t="shared" si="59"/>
        <v>219.85235823988981</v>
      </c>
      <c r="P87" s="33"/>
      <c r="Q87" s="33"/>
      <c r="R87" s="33"/>
      <c r="S87" s="33"/>
      <c r="T87" s="33"/>
      <c r="U87" s="33"/>
      <c r="V87" s="33"/>
      <c r="W87" s="33"/>
    </row>
    <row r="88" spans="3:23" x14ac:dyDescent="0.2">
      <c r="C88" s="77" t="s">
        <v>85</v>
      </c>
      <c r="D88" s="53">
        <f>D85-D86+D87</f>
        <v>287.5</v>
      </c>
      <c r="E88" s="53">
        <f>E85-E86+E87</f>
        <v>238.09999999999997</v>
      </c>
      <c r="F88" s="53">
        <f>F85-F86+F87</f>
        <v>273.20000000000005</v>
      </c>
      <c r="G88" s="53">
        <f>G85-G86+G87</f>
        <v>366.1</v>
      </c>
      <c r="H88" s="53">
        <f t="shared" ref="H88:N88" si="60">H85-H86+H87</f>
        <v>301.31672249944432</v>
      </c>
      <c r="I88" s="53">
        <f t="shared" si="60"/>
        <v>295.80426638563222</v>
      </c>
      <c r="J88" s="53">
        <f t="shared" si="60"/>
        <v>308.12641986445851</v>
      </c>
      <c r="K88" s="53">
        <f t="shared" si="60"/>
        <v>330.78392797454461</v>
      </c>
      <c r="L88" s="53">
        <f t="shared" si="60"/>
        <v>359.74788181350408</v>
      </c>
      <c r="M88" s="53">
        <f t="shared" si="60"/>
        <v>392.82918793297785</v>
      </c>
      <c r="N88" s="53">
        <f t="shared" si="60"/>
        <v>428.81200853127541</v>
      </c>
      <c r="P88" s="33"/>
      <c r="Q88" s="33"/>
      <c r="R88" s="33"/>
      <c r="S88" s="33"/>
      <c r="T88" s="33"/>
      <c r="U88" s="33"/>
      <c r="V88" s="33"/>
      <c r="W88" s="33"/>
    </row>
    <row r="89" spans="3:23" x14ac:dyDescent="0.2">
      <c r="C89" s="77"/>
      <c r="D89" s="52"/>
      <c r="E89" s="52"/>
      <c r="F89" s="52"/>
      <c r="G89" s="52"/>
      <c r="H89" s="52"/>
      <c r="I89" s="52"/>
      <c r="J89" s="52"/>
      <c r="K89" s="52"/>
      <c r="L89" s="52"/>
      <c r="M89" s="52"/>
      <c r="N89" s="52"/>
      <c r="P89" s="33"/>
      <c r="Q89" s="33"/>
      <c r="R89" s="33"/>
      <c r="S89" s="33"/>
      <c r="T89" s="33"/>
      <c r="U89" s="33"/>
      <c r="V89" s="33"/>
      <c r="W89" s="33"/>
    </row>
    <row r="90" spans="3:23" x14ac:dyDescent="0.2">
      <c r="C90" s="77" t="s">
        <v>36</v>
      </c>
      <c r="D90" s="80">
        <f>D86/D85</f>
        <v>0.4094594594594595</v>
      </c>
      <c r="E90" s="80">
        <f>E86/E85</f>
        <v>0.48786194793799365</v>
      </c>
      <c r="F90" s="80">
        <f>F86/F85</f>
        <v>0.55859626529298123</v>
      </c>
      <c r="G90" s="80">
        <f>G86/G85</f>
        <v>0.35773635751178984</v>
      </c>
      <c r="H90" s="47">
        <f>AVERAGE(E90:G90)</f>
        <v>0.46806485691425492</v>
      </c>
      <c r="I90" s="47">
        <f>H90</f>
        <v>0.46806485691425492</v>
      </c>
      <c r="J90" s="47">
        <f t="shared" ref="J90:N90" si="61">I90</f>
        <v>0.46806485691425492</v>
      </c>
      <c r="K90" s="47">
        <f t="shared" si="61"/>
        <v>0.46806485691425492</v>
      </c>
      <c r="L90" s="47">
        <f t="shared" si="61"/>
        <v>0.46806485691425492</v>
      </c>
      <c r="M90" s="47">
        <f t="shared" si="61"/>
        <v>0.46806485691425492</v>
      </c>
      <c r="N90" s="47">
        <f t="shared" si="61"/>
        <v>0.46806485691425492</v>
      </c>
      <c r="P90" s="33"/>
      <c r="Q90" s="33"/>
      <c r="R90" s="33"/>
      <c r="S90" s="33"/>
      <c r="T90" s="33"/>
      <c r="U90" s="33"/>
      <c r="V90" s="33"/>
      <c r="W90" s="33"/>
    </row>
    <row r="91" spans="3:23" x14ac:dyDescent="0.2">
      <c r="C91" s="77" t="s">
        <v>87</v>
      </c>
      <c r="D91" s="80">
        <f>D87/D16</f>
        <v>2.2858691723888689E-2</v>
      </c>
      <c r="E91" s="80">
        <f>E87/E16</f>
        <v>4.5268376805345976E-2</v>
      </c>
      <c r="F91" s="80">
        <f>F87/F16</f>
        <v>8.1923794618672122E-2</v>
      </c>
      <c r="G91" s="80">
        <f>G87/G16</f>
        <v>4.1851716390616016E-2</v>
      </c>
      <c r="H91" s="47">
        <f>AVERAGE(E91:G91)</f>
        <v>5.6347962604878038E-2</v>
      </c>
      <c r="I91" s="47">
        <f>H91</f>
        <v>5.6347962604878038E-2</v>
      </c>
      <c r="J91" s="47">
        <f t="shared" ref="J91:N91" si="62">I91</f>
        <v>5.6347962604878038E-2</v>
      </c>
      <c r="K91" s="47">
        <f t="shared" si="62"/>
        <v>5.6347962604878038E-2</v>
      </c>
      <c r="L91" s="47">
        <f t="shared" si="62"/>
        <v>5.6347962604878038E-2</v>
      </c>
      <c r="M91" s="47">
        <f t="shared" si="62"/>
        <v>5.6347962604878038E-2</v>
      </c>
      <c r="N91" s="47">
        <f t="shared" si="62"/>
        <v>5.6347962604878038E-2</v>
      </c>
      <c r="P91" s="33"/>
      <c r="Q91" s="33"/>
      <c r="R91" s="33"/>
      <c r="S91" s="33"/>
      <c r="T91" s="33"/>
      <c r="U91" s="33"/>
      <c r="V91" s="33"/>
      <c r="W91" s="33"/>
    </row>
    <row r="92" spans="3:23" x14ac:dyDescent="0.2">
      <c r="C92" s="77"/>
      <c r="D92" s="80"/>
      <c r="E92" s="80"/>
      <c r="F92" s="80"/>
      <c r="G92" s="80"/>
      <c r="H92" s="81"/>
      <c r="I92" s="81"/>
      <c r="J92" s="81"/>
      <c r="K92" s="81"/>
      <c r="L92" s="81"/>
      <c r="M92" s="81"/>
      <c r="N92" s="81"/>
      <c r="P92" s="33"/>
      <c r="Q92" s="33"/>
      <c r="R92" s="33"/>
      <c r="S92" s="33"/>
      <c r="T92" s="33"/>
      <c r="U92" s="33"/>
      <c r="V92" s="33"/>
      <c r="W92" s="33"/>
    </row>
    <row r="93" spans="3:23" x14ac:dyDescent="0.2">
      <c r="C93" s="77"/>
      <c r="D93" s="52"/>
      <c r="E93" s="52"/>
      <c r="F93" s="52"/>
      <c r="G93" s="52"/>
      <c r="H93" s="52"/>
      <c r="I93" s="52"/>
      <c r="J93" s="52"/>
      <c r="K93" s="52"/>
      <c r="L93" s="52"/>
      <c r="M93" s="52"/>
      <c r="N93" s="52"/>
      <c r="P93" s="33"/>
      <c r="Q93" s="33"/>
      <c r="R93" s="33"/>
      <c r="S93" s="33"/>
      <c r="T93" s="33"/>
      <c r="U93" s="33"/>
      <c r="V93" s="33"/>
      <c r="W93" s="33"/>
    </row>
    <row r="94" spans="3:23" x14ac:dyDescent="0.2">
      <c r="D94" s="25"/>
      <c r="E94" s="25"/>
      <c r="F94" s="25"/>
      <c r="G94" s="25"/>
      <c r="H94" s="25"/>
      <c r="I94" s="25"/>
      <c r="J94" s="25"/>
      <c r="K94" s="25"/>
      <c r="L94" s="25"/>
      <c r="M94" s="25"/>
      <c r="N94" s="25"/>
      <c r="P94" s="33"/>
      <c r="Q94" s="33"/>
      <c r="R94" s="33"/>
      <c r="S94" s="33"/>
      <c r="T94" s="33"/>
      <c r="U94" s="33"/>
      <c r="V94" s="33"/>
      <c r="W94" s="33"/>
    </row>
    <row r="95" spans="3:23" x14ac:dyDescent="0.2">
      <c r="C95" s="20" t="s">
        <v>88</v>
      </c>
      <c r="D95" s="31"/>
      <c r="E95" s="31"/>
      <c r="F95" s="31"/>
      <c r="G95" s="31"/>
      <c r="H95" s="31"/>
      <c r="I95" s="31"/>
      <c r="J95" s="31"/>
      <c r="K95" s="31"/>
      <c r="L95" s="31"/>
      <c r="M95" s="31"/>
      <c r="N95" s="31"/>
      <c r="P95" s="33"/>
      <c r="Q95" s="33"/>
      <c r="R95" s="33"/>
      <c r="S95" s="33"/>
      <c r="T95" s="33"/>
      <c r="U95" s="33"/>
      <c r="V95" s="33"/>
      <c r="W95" s="33"/>
    </row>
    <row r="96" spans="3:23" x14ac:dyDescent="0.2">
      <c r="P96" s="33"/>
      <c r="Q96" s="33"/>
      <c r="R96" s="33"/>
      <c r="S96" s="33"/>
      <c r="T96" s="33"/>
      <c r="U96" s="33"/>
      <c r="V96" s="33"/>
      <c r="W96" s="33"/>
    </row>
    <row r="97" spans="3:23" x14ac:dyDescent="0.2">
      <c r="C97" s="42" t="s">
        <v>15</v>
      </c>
      <c r="D97" s="45">
        <f>D27</f>
        <v>-113.69999999999993</v>
      </c>
      <c r="E97" s="45">
        <f t="shared" ref="E97:N97" si="63">E27</f>
        <v>-494.00000000000023</v>
      </c>
      <c r="F97" s="45">
        <f t="shared" si="63"/>
        <v>-80.500000000000227</v>
      </c>
      <c r="G97" s="45">
        <f t="shared" si="63"/>
        <v>-276.99999999999977</v>
      </c>
      <c r="H97" s="45">
        <f t="shared" si="63"/>
        <v>226.18396048653835</v>
      </c>
      <c r="I97" s="45">
        <f t="shared" si="63"/>
        <v>450.40472055119244</v>
      </c>
      <c r="J97" s="45">
        <f t="shared" si="63"/>
        <v>642.92114400253263</v>
      </c>
      <c r="K97" s="45">
        <f t="shared" si="63"/>
        <v>853.7553618490499</v>
      </c>
      <c r="L97" s="45">
        <f t="shared" si="63"/>
        <v>1082.747942657187</v>
      </c>
      <c r="M97" s="45">
        <f t="shared" si="63"/>
        <v>1329.5640094352268</v>
      </c>
      <c r="N97" s="45">
        <f t="shared" si="63"/>
        <v>1593.7026222493319</v>
      </c>
      <c r="P97" s="33"/>
      <c r="Q97" s="33"/>
      <c r="R97" s="33"/>
      <c r="S97" s="33"/>
      <c r="T97" s="33"/>
      <c r="U97" s="33"/>
      <c r="V97" s="33"/>
      <c r="W97" s="33"/>
    </row>
    <row r="98" spans="3:23" x14ac:dyDescent="0.2">
      <c r="C98" s="41" t="s">
        <v>89</v>
      </c>
      <c r="D98" s="45">
        <f t="shared" ref="D98:N98" si="64">D97*D47</f>
        <v>-23.876999999999985</v>
      </c>
      <c r="E98" s="45">
        <f t="shared" si="64"/>
        <v>-103.74000000000004</v>
      </c>
      <c r="F98" s="45">
        <f t="shared" si="64"/>
        <v>-16.905000000000047</v>
      </c>
      <c r="G98" s="45">
        <f t="shared" si="64"/>
        <v>-58.169999999999952</v>
      </c>
      <c r="H98" s="45">
        <f t="shared" si="64"/>
        <v>56.545990121634588</v>
      </c>
      <c r="I98" s="45">
        <f t="shared" si="64"/>
        <v>112.60118013779811</v>
      </c>
      <c r="J98" s="45">
        <f t="shared" si="64"/>
        <v>160.73028600063316</v>
      </c>
      <c r="K98" s="45">
        <f t="shared" si="64"/>
        <v>213.43884046226248</v>
      </c>
      <c r="L98" s="45">
        <f t="shared" si="64"/>
        <v>270.68698566429674</v>
      </c>
      <c r="M98" s="45">
        <f t="shared" si="64"/>
        <v>332.3910023588067</v>
      </c>
      <c r="N98" s="45">
        <f t="shared" si="64"/>
        <v>398.42565556233296</v>
      </c>
      <c r="P98" s="33"/>
      <c r="Q98" s="33"/>
      <c r="R98" s="33"/>
      <c r="S98" s="33"/>
      <c r="T98" s="33"/>
      <c r="U98" s="33"/>
      <c r="V98" s="33"/>
      <c r="W98" s="33"/>
    </row>
    <row r="99" spans="3:23" x14ac:dyDescent="0.2">
      <c r="C99" s="40" t="s">
        <v>92</v>
      </c>
      <c r="D99" s="45">
        <f>D86</f>
        <v>181.8</v>
      </c>
      <c r="E99" s="45">
        <f t="shared" ref="E99:N99" si="65">E86</f>
        <v>166.8</v>
      </c>
      <c r="F99" s="45">
        <f t="shared" si="65"/>
        <v>173.5</v>
      </c>
      <c r="G99" s="45">
        <f t="shared" si="65"/>
        <v>159.30000000000001</v>
      </c>
      <c r="H99" s="45">
        <f t="shared" si="65"/>
        <v>158.53356703685813</v>
      </c>
      <c r="I99" s="45">
        <f t="shared" si="65"/>
        <v>141.03576860257468</v>
      </c>
      <c r="J99" s="45">
        <f t="shared" si="65"/>
        <v>138.45558162041709</v>
      </c>
      <c r="K99" s="45">
        <f t="shared" si="65"/>
        <v>144.22314862535941</v>
      </c>
      <c r="L99" s="45">
        <f t="shared" si="65"/>
        <v>154.82833191694044</v>
      </c>
      <c r="M99" s="45">
        <f t="shared" si="65"/>
        <v>168.38534082624409</v>
      </c>
      <c r="N99" s="45">
        <f t="shared" si="65"/>
        <v>183.86953764159225</v>
      </c>
      <c r="P99" s="33"/>
      <c r="Q99" s="33"/>
      <c r="R99" s="33"/>
      <c r="S99" s="33"/>
      <c r="T99" s="33"/>
      <c r="U99" s="33"/>
      <c r="V99" s="33"/>
      <c r="W99" s="33"/>
    </row>
    <row r="100" spans="3:23" x14ac:dyDescent="0.2">
      <c r="C100" s="39" t="s">
        <v>93</v>
      </c>
      <c r="D100" s="45">
        <f>D87</f>
        <v>25.3</v>
      </c>
      <c r="E100" s="45">
        <f t="shared" ref="E100:N100" si="66">E87</f>
        <v>63</v>
      </c>
      <c r="F100" s="45">
        <f t="shared" si="66"/>
        <v>136.1</v>
      </c>
      <c r="G100" s="45">
        <f t="shared" si="66"/>
        <v>80.099999999999994</v>
      </c>
      <c r="H100" s="45">
        <f t="shared" si="66"/>
        <v>121.15028953630247</v>
      </c>
      <c r="I100" s="45">
        <f t="shared" si="66"/>
        <v>135.52331248876257</v>
      </c>
      <c r="J100" s="45">
        <f t="shared" si="66"/>
        <v>150.77773509924339</v>
      </c>
      <c r="K100" s="45">
        <f t="shared" si="66"/>
        <v>166.88065673544551</v>
      </c>
      <c r="L100" s="45">
        <f t="shared" si="66"/>
        <v>183.79228575589991</v>
      </c>
      <c r="M100" s="45">
        <f t="shared" si="66"/>
        <v>201.46664694571786</v>
      </c>
      <c r="N100" s="45">
        <f t="shared" si="66"/>
        <v>219.85235823988981</v>
      </c>
      <c r="P100" s="33"/>
      <c r="Q100" s="33"/>
      <c r="R100" s="33"/>
      <c r="S100" s="33"/>
      <c r="T100" s="33"/>
      <c r="U100" s="33"/>
      <c r="V100" s="33"/>
      <c r="W100" s="33"/>
    </row>
    <row r="101" spans="3:23" x14ac:dyDescent="0.2">
      <c r="C101" s="38" t="s">
        <v>95</v>
      </c>
      <c r="D101" s="52">
        <f>D82</f>
        <v>0</v>
      </c>
      <c r="E101" s="52">
        <f t="shared" ref="E101:N101" si="67">E82</f>
        <v>503.69999999999993</v>
      </c>
      <c r="F101" s="52">
        <f t="shared" si="67"/>
        <v>-176.29999999999995</v>
      </c>
      <c r="G101" s="52">
        <f t="shared" si="67"/>
        <v>147.69999999999993</v>
      </c>
      <c r="H101" s="52">
        <f t="shared" si="67"/>
        <v>-183.07239409374426</v>
      </c>
      <c r="I101" s="52">
        <f t="shared" si="67"/>
        <v>-51.577810227876057</v>
      </c>
      <c r="J101" s="52">
        <f t="shared" si="67"/>
        <v>-54.792986916464088</v>
      </c>
      <c r="K101" s="52">
        <f t="shared" si="67"/>
        <v>-57.878665320683467</v>
      </c>
      <c r="L101" s="52">
        <f t="shared" si="67"/>
        <v>-60.808565341462327</v>
      </c>
      <c r="M101" s="52">
        <f t="shared" si="67"/>
        <v>-63.55907356786588</v>
      </c>
      <c r="N101" s="52">
        <f t="shared" si="67"/>
        <v>-66.109504964519147</v>
      </c>
      <c r="P101" s="33"/>
      <c r="Q101" s="33"/>
      <c r="R101" s="33"/>
      <c r="S101" s="33"/>
      <c r="T101" s="33"/>
      <c r="U101" s="33"/>
      <c r="V101" s="33"/>
      <c r="W101" s="33"/>
    </row>
    <row r="102" spans="3:23" x14ac:dyDescent="0.2">
      <c r="C102" s="71" t="s">
        <v>96</v>
      </c>
      <c r="D102" s="52">
        <f>D97-D98+D99-D100-D101</f>
        <v>66.677000000000064</v>
      </c>
      <c r="E102" s="52">
        <f t="shared" ref="E102:M102" si="68">E97-E98+E99-E100-E101</f>
        <v>-790.16000000000008</v>
      </c>
      <c r="F102" s="52">
        <f t="shared" si="68"/>
        <v>150.10499999999979</v>
      </c>
      <c r="G102" s="52">
        <f t="shared" si="68"/>
        <v>-287.3299999999997</v>
      </c>
      <c r="H102" s="52">
        <f t="shared" si="68"/>
        <v>390.09364195920369</v>
      </c>
      <c r="I102" s="52">
        <f t="shared" si="68"/>
        <v>394.89380675508244</v>
      </c>
      <c r="J102" s="52">
        <f t="shared" si="68"/>
        <v>524.66169143953732</v>
      </c>
      <c r="K102" s="52">
        <f t="shared" si="68"/>
        <v>675.53767859738468</v>
      </c>
      <c r="L102" s="52">
        <f t="shared" si="68"/>
        <v>843.90556849539303</v>
      </c>
      <c r="M102" s="52">
        <f t="shared" si="68"/>
        <v>1027.6507745248123</v>
      </c>
      <c r="N102" s="52">
        <f>N97-N98+N99-N100-N101</f>
        <v>1225.4036510532205</v>
      </c>
      <c r="P102" s="33"/>
      <c r="Q102" s="33"/>
      <c r="R102" s="33"/>
      <c r="S102" s="33"/>
      <c r="T102" s="33"/>
      <c r="U102" s="33"/>
      <c r="V102" s="33"/>
      <c r="W102" s="33"/>
    </row>
    <row r="103" spans="3:23" ht="19" thickBot="1" x14ac:dyDescent="0.25">
      <c r="C103" s="2" t="s">
        <v>98</v>
      </c>
      <c r="D103" s="5">
        <f>D84</f>
        <v>0</v>
      </c>
      <c r="E103" s="82">
        <f t="shared" ref="E103:N103" si="69">(E102-D102)/D102</f>
        <v>-12.850563162709769</v>
      </c>
      <c r="F103" s="82">
        <f t="shared" si="69"/>
        <v>-1.1899678546117238</v>
      </c>
      <c r="G103" s="82">
        <f t="shared" si="69"/>
        <v>-2.9141933979547656</v>
      </c>
      <c r="H103" s="82">
        <f t="shared" si="69"/>
        <v>-2.3576502347795363</v>
      </c>
      <c r="I103" s="82">
        <f t="shared" si="69"/>
        <v>1.23051602988719E-2</v>
      </c>
      <c r="J103" s="82">
        <f t="shared" si="69"/>
        <v>0.32861463630129401</v>
      </c>
      <c r="K103" s="82">
        <f t="shared" si="69"/>
        <v>0.2875681408030426</v>
      </c>
      <c r="L103" s="82">
        <f t="shared" si="69"/>
        <v>0.24923537980529775</v>
      </c>
      <c r="M103" s="82">
        <f t="shared" si="69"/>
        <v>0.21773195116726182</v>
      </c>
      <c r="N103" s="82">
        <f t="shared" si="69"/>
        <v>0.19243198315093915</v>
      </c>
      <c r="P103" s="33"/>
      <c r="Q103" s="33"/>
      <c r="R103" s="33"/>
      <c r="S103" s="33"/>
      <c r="T103" s="33"/>
      <c r="U103" s="33"/>
      <c r="V103" s="33"/>
      <c r="W103" s="33"/>
    </row>
    <row r="104" spans="3:23" ht="19" thickTop="1" x14ac:dyDescent="0.2">
      <c r="D104" s="52"/>
      <c r="E104" s="79"/>
      <c r="F104" s="79"/>
      <c r="G104" s="79"/>
      <c r="H104" s="79"/>
      <c r="I104" s="79"/>
      <c r="J104" s="79"/>
      <c r="K104" s="79"/>
      <c r="L104" s="79"/>
      <c r="M104" s="79"/>
      <c r="N104" s="79"/>
      <c r="P104" s="33"/>
      <c r="Q104" s="33"/>
      <c r="R104" s="33"/>
      <c r="S104" s="33"/>
      <c r="T104" s="33"/>
      <c r="U104" s="33"/>
      <c r="V104" s="33"/>
      <c r="W104" s="33"/>
    </row>
    <row r="105" spans="3:23" x14ac:dyDescent="0.2">
      <c r="C105" s="2" t="s">
        <v>112</v>
      </c>
      <c r="D105" s="52"/>
      <c r="E105" s="79"/>
      <c r="F105" s="79"/>
      <c r="G105" s="79"/>
      <c r="H105" s="89">
        <f>1/(1+K118)^(H9-G9-0.5)</f>
        <v>0.95346258924559224</v>
      </c>
      <c r="I105" s="89">
        <f>1/(1+K118)^(I9-G9-0.5)</f>
        <v>0.86678417204144742</v>
      </c>
      <c r="J105" s="89">
        <f>1/(1+K118)^(J9-G9-0.5)</f>
        <v>0.78798561094677033</v>
      </c>
      <c r="K105" s="89">
        <f>1/(1+K118)^(K9-G9-0.5)</f>
        <v>0.71635055540615489</v>
      </c>
      <c r="L105" s="89">
        <f>1/(1+K118)^(L9-G9-0.5)</f>
        <v>0.65122777764195883</v>
      </c>
      <c r="M105" s="89">
        <f>1/(1+K118)^(M9-G9-0.5)</f>
        <v>0.59202525240178083</v>
      </c>
      <c r="N105" s="89">
        <f>1/(1+K118)^(N9-G9-0.5)</f>
        <v>0.53820477491070973</v>
      </c>
      <c r="P105" s="33"/>
      <c r="Q105" s="33"/>
      <c r="R105" s="33"/>
      <c r="S105" s="33"/>
      <c r="T105" s="33"/>
      <c r="U105" s="33"/>
      <c r="V105" s="33"/>
      <c r="W105" s="33"/>
    </row>
    <row r="106" spans="3:23" x14ac:dyDescent="0.2">
      <c r="C106" s="2" t="s">
        <v>113</v>
      </c>
      <c r="D106" s="52"/>
      <c r="E106" s="79"/>
      <c r="F106" s="79"/>
      <c r="G106" s="79"/>
      <c r="H106" s="53">
        <f>H102*H105</f>
        <v>371.93969391066537</v>
      </c>
      <c r="I106" s="53">
        <f t="shared" ref="I106:N106" si="70">I102*I105</f>
        <v>342.28770133249947</v>
      </c>
      <c r="J106" s="53">
        <f t="shared" si="70"/>
        <v>413.42586346934974</v>
      </c>
      <c r="K106" s="53">
        <f t="shared" si="70"/>
        <v>483.92179126102104</v>
      </c>
      <c r="L106" s="53">
        <f t="shared" si="70"/>
        <v>549.57474791092864</v>
      </c>
      <c r="M106" s="53">
        <f t="shared" si="70"/>
        <v>608.39520916893753</v>
      </c>
      <c r="N106" s="53">
        <f t="shared" si="70"/>
        <v>659.51809618986044</v>
      </c>
      <c r="P106" s="33"/>
      <c r="Q106" s="33"/>
      <c r="R106" s="33"/>
      <c r="S106" s="33"/>
      <c r="T106" s="33"/>
      <c r="U106" s="33"/>
      <c r="V106" s="33"/>
      <c r="W106" s="33"/>
    </row>
    <row r="107" spans="3:23" x14ac:dyDescent="0.2">
      <c r="P107" s="33"/>
      <c r="Q107" s="33"/>
      <c r="R107" s="33"/>
      <c r="S107" s="33"/>
      <c r="T107" s="33"/>
      <c r="U107" s="33"/>
      <c r="V107" s="33"/>
      <c r="W107" s="33"/>
    </row>
    <row r="108" spans="3:23" x14ac:dyDescent="0.2">
      <c r="P108" s="33"/>
      <c r="Q108" s="33"/>
      <c r="R108" s="33"/>
      <c r="S108" s="33"/>
      <c r="T108" s="33"/>
      <c r="U108" s="33"/>
      <c r="V108" s="33"/>
      <c r="W108" s="33"/>
    </row>
    <row r="109" spans="3:23" x14ac:dyDescent="0.2">
      <c r="P109" s="33"/>
      <c r="Q109" s="33"/>
      <c r="R109" s="33"/>
      <c r="S109" s="33"/>
      <c r="T109" s="33"/>
      <c r="U109" s="33"/>
      <c r="V109" s="33"/>
      <c r="W109" s="33"/>
    </row>
    <row r="110" spans="3:23" x14ac:dyDescent="0.2">
      <c r="C110" s="20" t="s">
        <v>99</v>
      </c>
      <c r="D110" s="31"/>
      <c r="E110" s="31"/>
      <c r="F110" s="31"/>
      <c r="G110" s="31"/>
      <c r="H110" s="31"/>
      <c r="I110" s="31"/>
      <c r="J110" s="31"/>
      <c r="K110" s="31"/>
      <c r="L110" s="31"/>
      <c r="M110" s="31"/>
      <c r="N110" s="31"/>
      <c r="P110" s="33"/>
      <c r="Q110" s="33"/>
      <c r="R110" s="33"/>
      <c r="S110" s="33"/>
      <c r="T110" s="33"/>
      <c r="U110" s="33"/>
      <c r="V110" s="33"/>
      <c r="W110" s="33"/>
    </row>
    <row r="111" spans="3:23" x14ac:dyDescent="0.2">
      <c r="P111" s="33"/>
      <c r="Q111" s="33"/>
      <c r="R111" s="33"/>
      <c r="S111" s="33"/>
      <c r="T111" s="33"/>
      <c r="U111" s="33"/>
      <c r="V111" s="33"/>
      <c r="W111" s="33"/>
    </row>
    <row r="112" spans="3:23" x14ac:dyDescent="0.2">
      <c r="C112" s="68" t="s">
        <v>33</v>
      </c>
      <c r="D112" s="8"/>
      <c r="G112" s="68" t="s">
        <v>110</v>
      </c>
      <c r="H112" s="8"/>
      <c r="I112" s="8"/>
      <c r="J112" s="8" t="s">
        <v>35</v>
      </c>
      <c r="K112" s="8" t="s">
        <v>34</v>
      </c>
      <c r="P112" s="33"/>
      <c r="Q112" s="33"/>
      <c r="R112" s="33"/>
      <c r="S112" s="33"/>
      <c r="T112" s="33"/>
      <c r="U112" s="33"/>
      <c r="V112" s="33"/>
      <c r="W112" s="33"/>
    </row>
    <row r="113" spans="3:23" x14ac:dyDescent="0.2">
      <c r="C113" s="2" t="s">
        <v>100</v>
      </c>
      <c r="D113" s="83">
        <v>3.4000000000000002E-2</v>
      </c>
      <c r="G113" s="2" t="s">
        <v>107</v>
      </c>
      <c r="J113" s="44">
        <v>1608</v>
      </c>
      <c r="K113" s="11">
        <f>J113/J115</f>
        <v>0.11550897651288744</v>
      </c>
      <c r="P113" s="33"/>
      <c r="Q113" s="33"/>
      <c r="R113" s="33"/>
      <c r="S113" s="33"/>
      <c r="T113" s="33"/>
      <c r="U113" s="33"/>
      <c r="V113" s="33"/>
      <c r="W113" s="33"/>
    </row>
    <row r="114" spans="3:23" x14ac:dyDescent="0.2">
      <c r="C114" s="2" t="s">
        <v>101</v>
      </c>
      <c r="D114" s="62">
        <f>H47</f>
        <v>0.25</v>
      </c>
      <c r="G114" s="2" t="s">
        <v>108</v>
      </c>
      <c r="J114" s="54">
        <f>STOCK_PRICE*G36</f>
        <v>12312.995999999999</v>
      </c>
      <c r="K114" s="84">
        <f>J114/J115</f>
        <v>0.8844910234871125</v>
      </c>
      <c r="P114" s="33"/>
      <c r="Q114" s="33"/>
      <c r="R114" s="33"/>
      <c r="S114" s="33"/>
      <c r="T114" s="33"/>
      <c r="U114" s="33"/>
      <c r="V114" s="33"/>
      <c r="W114" s="33"/>
    </row>
    <row r="115" spans="3:23" x14ac:dyDescent="0.2">
      <c r="C115" s="2" t="s">
        <v>102</v>
      </c>
      <c r="D115" s="18">
        <f>D113*(1-D114)</f>
        <v>2.5500000000000002E-2</v>
      </c>
      <c r="G115" s="2" t="s">
        <v>109</v>
      </c>
      <c r="J115" s="45">
        <f>J113+J114</f>
        <v>13920.995999999999</v>
      </c>
      <c r="K115" s="11">
        <f>K113+K114</f>
        <v>1</v>
      </c>
      <c r="P115" s="33"/>
      <c r="Q115" s="33"/>
      <c r="R115" s="33"/>
      <c r="S115" s="33"/>
      <c r="T115" s="33"/>
      <c r="U115" s="33"/>
      <c r="V115" s="33"/>
      <c r="W115" s="33"/>
    </row>
    <row r="116" spans="3:23" x14ac:dyDescent="0.2">
      <c r="P116" s="33"/>
      <c r="Q116" s="33"/>
      <c r="R116" s="33"/>
      <c r="S116" s="33"/>
      <c r="T116" s="33"/>
      <c r="U116" s="33"/>
      <c r="V116" s="33"/>
      <c r="W116" s="33"/>
    </row>
    <row r="117" spans="3:23" ht="19" thickBot="1" x14ac:dyDescent="0.25">
      <c r="C117" s="68" t="s">
        <v>31</v>
      </c>
      <c r="D117" s="8"/>
      <c r="P117" s="33"/>
      <c r="Q117" s="33"/>
      <c r="R117" s="33"/>
      <c r="S117" s="33"/>
      <c r="T117" s="33"/>
      <c r="U117" s="33"/>
      <c r="V117" s="33"/>
      <c r="W117" s="33"/>
    </row>
    <row r="118" spans="3:23" ht="19" thickBot="1" x14ac:dyDescent="0.25">
      <c r="C118" s="2" t="s">
        <v>103</v>
      </c>
      <c r="D118" s="83">
        <v>1.29E-2</v>
      </c>
      <c r="G118" s="86" t="s">
        <v>111</v>
      </c>
      <c r="H118" s="87"/>
      <c r="I118" s="87"/>
      <c r="J118" s="87"/>
      <c r="K118" s="104">
        <v>0.1</v>
      </c>
    </row>
    <row r="119" spans="3:23" ht="19" thickBot="1" x14ac:dyDescent="0.25">
      <c r="C119" s="2" t="s">
        <v>104</v>
      </c>
      <c r="D119" s="83">
        <v>4.1099999999999998E-2</v>
      </c>
    </row>
    <row r="120" spans="3:23" ht="19" thickBot="1" x14ac:dyDescent="0.25">
      <c r="C120" s="2" t="s">
        <v>105</v>
      </c>
      <c r="D120" s="16">
        <v>0.9</v>
      </c>
      <c r="G120" s="86" t="s">
        <v>128</v>
      </c>
      <c r="H120" s="87"/>
      <c r="I120" s="87"/>
      <c r="J120" s="87"/>
      <c r="K120" s="88">
        <f>K113*D115+K114*D121</f>
        <v>4.7072736062850673E-2</v>
      </c>
    </row>
    <row r="121" spans="3:23" x14ac:dyDescent="0.2">
      <c r="C121" s="2" t="s">
        <v>106</v>
      </c>
      <c r="D121" s="18">
        <f>D118+D120*D119</f>
        <v>4.9890000000000004E-2</v>
      </c>
    </row>
    <row r="124" spans="3:23" x14ac:dyDescent="0.2">
      <c r="C124" s="85"/>
    </row>
    <row r="125" spans="3:23" x14ac:dyDescent="0.2">
      <c r="C125" s="20" t="s">
        <v>114</v>
      </c>
      <c r="D125" s="31"/>
      <c r="E125" s="31"/>
      <c r="F125" s="31"/>
      <c r="G125" s="31"/>
      <c r="H125" s="31"/>
      <c r="I125" s="31"/>
      <c r="J125" s="31"/>
      <c r="K125" s="31"/>
      <c r="L125" s="31"/>
      <c r="M125" s="31"/>
      <c r="N125" s="31"/>
    </row>
    <row r="127" spans="3:23" x14ac:dyDescent="0.2">
      <c r="C127" s="68" t="s">
        <v>115</v>
      </c>
      <c r="D127" s="8"/>
      <c r="F127" s="68" t="s">
        <v>115</v>
      </c>
      <c r="G127" s="8"/>
      <c r="H127" s="8"/>
      <c r="I127" s="8"/>
      <c r="J127" s="8"/>
      <c r="K127" s="8"/>
    </row>
    <row r="128" spans="3:23" x14ac:dyDescent="0.2">
      <c r="C128" s="2" t="s">
        <v>120</v>
      </c>
      <c r="D128" s="122">
        <v>2.5000000000000001E-2</v>
      </c>
      <c r="E128" s="90"/>
      <c r="F128" s="97" t="s">
        <v>123</v>
      </c>
      <c r="G128" s="90"/>
      <c r="H128" s="98"/>
      <c r="I128" s="98"/>
      <c r="J128" s="98"/>
      <c r="K128" s="103">
        <v>12</v>
      </c>
      <c r="L128" s="98"/>
      <c r="M128" s="98"/>
      <c r="N128" s="98"/>
    </row>
    <row r="129" spans="3:14" x14ac:dyDescent="0.2">
      <c r="C129" s="2" t="s">
        <v>30</v>
      </c>
      <c r="D129" s="123">
        <f>N102*(1+D128)</f>
        <v>1256.038742329551</v>
      </c>
      <c r="E129" s="7"/>
      <c r="F129" s="92" t="s">
        <v>124</v>
      </c>
      <c r="G129" s="7"/>
      <c r="H129" s="7"/>
      <c r="I129" s="7"/>
      <c r="J129" s="7"/>
      <c r="K129" s="101">
        <f>K118-D129/K131</f>
        <v>4.111637346944496E-2</v>
      </c>
      <c r="L129" s="7"/>
      <c r="M129" s="7"/>
      <c r="N129" s="7"/>
    </row>
    <row r="130" spans="3:14" x14ac:dyDescent="0.2">
      <c r="C130" s="2" t="s">
        <v>29</v>
      </c>
      <c r="D130" s="124">
        <f>D129/(K118-D128)</f>
        <v>16747.183231060677</v>
      </c>
      <c r="E130" s="25"/>
      <c r="F130" s="96" t="s">
        <v>125</v>
      </c>
      <c r="G130" s="25"/>
      <c r="H130" s="25"/>
      <c r="I130" s="25"/>
      <c r="J130" s="25"/>
      <c r="K130" s="91">
        <f>N27+N86</f>
        <v>1777.572159890924</v>
      </c>
      <c r="L130" s="25"/>
      <c r="M130" s="25"/>
      <c r="N130" s="25"/>
    </row>
    <row r="131" spans="3:14" x14ac:dyDescent="0.2">
      <c r="C131" s="2" t="s">
        <v>116</v>
      </c>
      <c r="D131" s="124">
        <f>D130*(1+K118)^0.5</f>
        <v>17564.593954663225</v>
      </c>
      <c r="F131" s="92" t="s">
        <v>29</v>
      </c>
      <c r="K131" s="91">
        <f>K128*K130</f>
        <v>21330.865918691088</v>
      </c>
    </row>
    <row r="132" spans="3:14" x14ac:dyDescent="0.2">
      <c r="D132" s="125"/>
      <c r="F132" s="92"/>
      <c r="K132" s="99"/>
    </row>
    <row r="133" spans="3:14" x14ac:dyDescent="0.2">
      <c r="C133" s="2" t="s">
        <v>28</v>
      </c>
      <c r="D133" s="123">
        <f>D131/(1+K118)^(N9-G9)</f>
        <v>9013.413981261423</v>
      </c>
      <c r="F133" s="92" t="s">
        <v>28</v>
      </c>
      <c r="K133" s="91">
        <f>K131/(1+K118)^(N9-G9)</f>
        <v>10946.107015067028</v>
      </c>
    </row>
    <row r="134" spans="3:14" x14ac:dyDescent="0.2">
      <c r="C134" s="7" t="s">
        <v>27</v>
      </c>
      <c r="D134" s="123">
        <f>SUM(D133,H106:N106)</f>
        <v>12442.477084504684</v>
      </c>
      <c r="F134" s="95" t="s">
        <v>27</v>
      </c>
      <c r="K134" s="91">
        <f>K133+SUM(H106:N106)</f>
        <v>14375.17011831029</v>
      </c>
    </row>
    <row r="135" spans="3:14" x14ac:dyDescent="0.2">
      <c r="D135" s="125"/>
      <c r="F135" s="92"/>
      <c r="K135" s="99"/>
    </row>
    <row r="136" spans="3:14" x14ac:dyDescent="0.2">
      <c r="C136" s="2" t="s">
        <v>32</v>
      </c>
      <c r="D136" s="123">
        <f>J113</f>
        <v>1608</v>
      </c>
      <c r="F136" s="92" t="s">
        <v>126</v>
      </c>
      <c r="K136" s="91">
        <f>J113</f>
        <v>1608</v>
      </c>
    </row>
    <row r="137" spans="3:14" x14ac:dyDescent="0.2">
      <c r="C137" s="7" t="s">
        <v>119</v>
      </c>
      <c r="D137" s="123">
        <f>D134-D136</f>
        <v>10834.477084504684</v>
      </c>
      <c r="F137" s="95" t="s">
        <v>127</v>
      </c>
      <c r="K137" s="91">
        <f>K134-K136</f>
        <v>12767.17011831029</v>
      </c>
    </row>
    <row r="138" spans="3:14" x14ac:dyDescent="0.2">
      <c r="D138" s="125"/>
      <c r="F138" s="95"/>
      <c r="K138" s="99"/>
    </row>
    <row r="139" spans="3:14" x14ac:dyDescent="0.2">
      <c r="C139" s="7" t="s">
        <v>117</v>
      </c>
      <c r="D139" s="125">
        <f>D137/H36</f>
        <v>26.151284297621732</v>
      </c>
      <c r="F139" s="7" t="s">
        <v>117</v>
      </c>
      <c r="K139" s="100">
        <f>K137/H36</f>
        <v>30.81624455300577</v>
      </c>
    </row>
    <row r="140" spans="3:14" x14ac:dyDescent="0.2">
      <c r="C140" s="2" t="s">
        <v>118</v>
      </c>
      <c r="D140" s="126">
        <f>D139/STOCK_PRICE-1</f>
        <v>-0.12007791730747874</v>
      </c>
      <c r="F140" s="2" t="s">
        <v>118</v>
      </c>
      <c r="K140" s="101">
        <f>K139/STOCK_PRICE-1</f>
        <v>3.6885752119978799E-2</v>
      </c>
    </row>
  </sheetData>
  <mergeCells count="3">
    <mergeCell ref="C3:N3"/>
    <mergeCell ref="D8:G8"/>
    <mergeCell ref="H8:N8"/>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4FE7A-66C4-6A46-BB0F-9F6D1BFFDEF9}">
  <dimension ref="C2:M85"/>
  <sheetViews>
    <sheetView showGridLines="0" topLeftCell="A3" workbookViewId="0">
      <selection activeCell="D9" sqref="D9"/>
    </sheetView>
  </sheetViews>
  <sheetFormatPr baseColWidth="10" defaultRowHeight="18" x14ac:dyDescent="0.2"/>
  <cols>
    <col min="1" max="2" width="4.83203125" style="107" customWidth="1"/>
    <col min="3" max="3" width="40.83203125" style="107" customWidth="1"/>
    <col min="4" max="13" width="13.83203125" style="107" customWidth="1"/>
    <col min="14" max="16384" width="10.83203125" style="107"/>
  </cols>
  <sheetData>
    <row r="2" spans="3:13" ht="40" customHeight="1" x14ac:dyDescent="0.25">
      <c r="C2" s="111" t="s">
        <v>129</v>
      </c>
      <c r="D2" s="111"/>
      <c r="E2" s="106"/>
      <c r="F2" s="106"/>
      <c r="G2" s="106"/>
      <c r="H2" s="106"/>
      <c r="I2" s="106"/>
      <c r="J2" s="106"/>
      <c r="K2" s="106"/>
      <c r="L2" s="106"/>
      <c r="M2" s="106"/>
    </row>
    <row r="5" spans="3:13" x14ac:dyDescent="0.2">
      <c r="C5" s="105" t="s">
        <v>130</v>
      </c>
      <c r="D5" s="105"/>
      <c r="E5" s="105"/>
      <c r="F5" s="105"/>
      <c r="G5" s="105"/>
      <c r="H5" s="105"/>
      <c r="I5" s="105"/>
      <c r="J5" s="105"/>
      <c r="K5" s="105"/>
      <c r="L5" s="105"/>
      <c r="M5" s="105"/>
    </row>
    <row r="6" spans="3:13" x14ac:dyDescent="0.2">
      <c r="C6" s="121"/>
      <c r="D6" s="121"/>
      <c r="E6" s="121"/>
      <c r="F6" s="121"/>
      <c r="G6" s="121"/>
      <c r="H6" s="121"/>
      <c r="I6" s="121"/>
      <c r="J6" s="121"/>
      <c r="K6" s="121"/>
      <c r="L6" s="121"/>
      <c r="M6" s="121"/>
    </row>
    <row r="7" spans="3:13" x14ac:dyDescent="0.2">
      <c r="C7" s="114" t="s">
        <v>131</v>
      </c>
      <c r="D7" s="115" t="s">
        <v>132</v>
      </c>
      <c r="E7" s="115"/>
      <c r="F7" s="115" t="s">
        <v>133</v>
      </c>
      <c r="G7" s="115"/>
      <c r="H7" s="116"/>
      <c r="I7" s="115"/>
      <c r="J7" s="116"/>
      <c r="K7" s="116"/>
      <c r="L7" s="117"/>
      <c r="M7" s="117"/>
    </row>
    <row r="8" spans="3:13" x14ac:dyDescent="0.2">
      <c r="C8" s="118" t="s">
        <v>134</v>
      </c>
      <c r="D8" s="112">
        <v>2.5000000000000001E-2</v>
      </c>
      <c r="E8" s="113"/>
      <c r="F8" s="113">
        <v>12</v>
      </c>
      <c r="G8" s="113"/>
      <c r="H8" s="103"/>
      <c r="I8" s="110"/>
      <c r="J8" s="110"/>
    </row>
    <row r="9" spans="3:13" x14ac:dyDescent="0.2">
      <c r="C9" s="119" t="s">
        <v>135</v>
      </c>
      <c r="D9" s="110"/>
      <c r="E9" s="109"/>
      <c r="F9" s="110"/>
      <c r="G9" s="110"/>
      <c r="H9" s="110"/>
      <c r="I9" s="109"/>
      <c r="J9" s="110"/>
    </row>
    <row r="10" spans="3:13" x14ac:dyDescent="0.2">
      <c r="E10" s="110"/>
      <c r="F10" s="110"/>
      <c r="G10" s="110"/>
      <c r="H10" s="110"/>
      <c r="I10" s="110"/>
      <c r="J10" s="110"/>
    </row>
    <row r="12" spans="3:13" x14ac:dyDescent="0.2">
      <c r="C12" s="105" t="s">
        <v>143</v>
      </c>
      <c r="D12" s="105"/>
      <c r="E12" s="105"/>
      <c r="F12" s="105"/>
      <c r="G12" s="105"/>
      <c r="H12" s="105"/>
      <c r="I12" s="105"/>
      <c r="J12" s="105"/>
      <c r="K12" s="105"/>
      <c r="L12" s="105"/>
      <c r="M12" s="105"/>
    </row>
    <row r="13" spans="3:13" s="120" customFormat="1" x14ac:dyDescent="0.2">
      <c r="C13" s="121"/>
      <c r="D13" s="121"/>
      <c r="E13" s="121"/>
      <c r="F13" s="121"/>
      <c r="G13" s="121"/>
      <c r="H13" s="121"/>
      <c r="I13" s="121"/>
      <c r="J13" s="121"/>
      <c r="K13" s="121"/>
      <c r="L13" s="121"/>
      <c r="M13" s="121"/>
    </row>
    <row r="14" spans="3:13" s="120" customFormat="1" x14ac:dyDescent="0.2">
      <c r="C14" s="68" t="s">
        <v>115</v>
      </c>
      <c r="D14" s="68"/>
      <c r="E14" s="8"/>
      <c r="F14" s="2"/>
      <c r="G14" s="51"/>
      <c r="H14" s="68" t="s">
        <v>115</v>
      </c>
      <c r="I14" s="8"/>
      <c r="J14" s="8"/>
      <c r="K14" s="8"/>
      <c r="L14" s="8"/>
      <c r="M14" s="8"/>
    </row>
    <row r="15" spans="3:13" s="120" customFormat="1" x14ac:dyDescent="0.2">
      <c r="C15" s="2" t="s">
        <v>120</v>
      </c>
      <c r="D15" s="2"/>
      <c r="E15" s="122">
        <v>2.5000000000000001E-2</v>
      </c>
      <c r="F15" s="93"/>
      <c r="G15" s="97"/>
      <c r="H15" s="97" t="s">
        <v>123</v>
      </c>
      <c r="I15" s="98"/>
      <c r="J15" s="98"/>
      <c r="K15" s="98"/>
      <c r="L15" s="103"/>
      <c r="M15" s="103">
        <v>12</v>
      </c>
    </row>
    <row r="16" spans="3:13" s="120" customFormat="1" x14ac:dyDescent="0.2">
      <c r="C16" s="2" t="s">
        <v>131</v>
      </c>
      <c r="D16" s="2"/>
      <c r="E16" s="127">
        <f>'FSM and DCF Model'!K118</f>
        <v>0.1</v>
      </c>
      <c r="F16" s="93"/>
      <c r="G16" s="97"/>
      <c r="H16" s="97" t="s">
        <v>131</v>
      </c>
      <c r="I16" s="98"/>
      <c r="J16" s="98"/>
      <c r="K16" s="98"/>
      <c r="L16" s="101"/>
      <c r="M16" s="101">
        <f>'FSM and DCF Model'!K118</f>
        <v>0.1</v>
      </c>
    </row>
    <row r="17" spans="3:13" s="120" customFormat="1" x14ac:dyDescent="0.2">
      <c r="C17" s="2" t="s">
        <v>30</v>
      </c>
      <c r="D17" s="2"/>
      <c r="E17" s="123">
        <f>'FSM and DCF Model'!N102*(1+E15)</f>
        <v>1256.038742329551</v>
      </c>
      <c r="F17" s="7"/>
      <c r="G17" s="92"/>
      <c r="H17" s="92" t="s">
        <v>124</v>
      </c>
      <c r="I17" s="7"/>
      <c r="J17" s="7"/>
      <c r="K17" s="7"/>
      <c r="L17" s="101"/>
      <c r="M17" s="101">
        <f>M16-E17/M19</f>
        <v>4.111637346944496E-2</v>
      </c>
    </row>
    <row r="18" spans="3:13" s="120" customFormat="1" x14ac:dyDescent="0.2">
      <c r="C18" s="2" t="s">
        <v>29</v>
      </c>
      <c r="D18" s="2"/>
      <c r="E18" s="124">
        <f>E17/(E16-E15)</f>
        <v>16747.183231060677</v>
      </c>
      <c r="F18" s="25"/>
      <c r="G18" s="96"/>
      <c r="H18" s="96" t="s">
        <v>125</v>
      </c>
      <c r="I18" s="25"/>
      <c r="J18" s="25"/>
      <c r="K18" s="25"/>
      <c r="L18" s="91"/>
      <c r="M18" s="91">
        <f>'FSM and DCF Model'!K130</f>
        <v>1777.572159890924</v>
      </c>
    </row>
    <row r="19" spans="3:13" s="120" customFormat="1" x14ac:dyDescent="0.2">
      <c r="C19" s="2" t="s">
        <v>116</v>
      </c>
      <c r="D19" s="2"/>
      <c r="E19" s="124">
        <f>E18*(1+E16)^0.5</f>
        <v>17564.593954663225</v>
      </c>
      <c r="F19" s="2"/>
      <c r="G19" s="92"/>
      <c r="H19" s="92" t="s">
        <v>29</v>
      </c>
      <c r="I19" s="2"/>
      <c r="J19" s="2"/>
      <c r="K19" s="2"/>
      <c r="L19" s="102"/>
      <c r="M19" s="102">
        <f>M15*M18</f>
        <v>21330.865918691088</v>
      </c>
    </row>
    <row r="20" spans="3:13" s="120" customFormat="1" x14ac:dyDescent="0.2">
      <c r="C20" s="2"/>
      <c r="D20" s="2"/>
      <c r="E20" s="125"/>
      <c r="F20" s="2"/>
      <c r="G20" s="92"/>
      <c r="H20" s="92"/>
      <c r="I20" s="2"/>
      <c r="J20" s="2"/>
      <c r="K20" s="2"/>
      <c r="L20" s="99"/>
      <c r="M20" s="99"/>
    </row>
    <row r="21" spans="3:13" s="120" customFormat="1" x14ac:dyDescent="0.2">
      <c r="C21" s="2" t="s">
        <v>28</v>
      </c>
      <c r="D21" s="2"/>
      <c r="E21" s="123">
        <f>E19/(1+E16)^(7)</f>
        <v>9013.413981261423</v>
      </c>
      <c r="F21" s="2"/>
      <c r="G21" s="92"/>
      <c r="H21" s="92" t="s">
        <v>28</v>
      </c>
      <c r="I21" s="2"/>
      <c r="J21" s="2"/>
      <c r="K21" s="2"/>
      <c r="L21" s="123"/>
      <c r="M21" s="123">
        <f>M19/(1+M16)^(7)</f>
        <v>10946.107015067028</v>
      </c>
    </row>
    <row r="22" spans="3:13" s="120" customFormat="1" x14ac:dyDescent="0.2">
      <c r="C22" s="2" t="s">
        <v>141</v>
      </c>
      <c r="D22" s="2"/>
      <c r="E22" s="123">
        <f>SUM('FSM and DCF Model'!H106:'FSM and DCF Model'!N106)</f>
        <v>3429.0631032432625</v>
      </c>
      <c r="F22" s="2"/>
      <c r="G22" s="2"/>
      <c r="H22" s="2" t="s">
        <v>141</v>
      </c>
      <c r="I22" s="2"/>
      <c r="J22" s="2"/>
      <c r="K22" s="2"/>
      <c r="L22" s="91"/>
      <c r="M22" s="91">
        <f>SUM('FSM and DCF Model'!H106:'FSM and DCF Model'!N106)</f>
        <v>3429.0631032432625</v>
      </c>
    </row>
    <row r="23" spans="3:13" s="120" customFormat="1" x14ac:dyDescent="0.2">
      <c r="C23" s="7" t="s">
        <v>27</v>
      </c>
      <c r="D23" s="7"/>
      <c r="E23" s="123">
        <f>E21+E22</f>
        <v>12442.477084504686</v>
      </c>
      <c r="F23" s="2"/>
      <c r="G23" s="95"/>
      <c r="H23" s="95" t="s">
        <v>27</v>
      </c>
      <c r="I23" s="2"/>
      <c r="J23" s="2"/>
      <c r="K23" s="2"/>
      <c r="L23" s="123"/>
      <c r="M23" s="123">
        <f>M21+M22</f>
        <v>14375.17011831029</v>
      </c>
    </row>
    <row r="24" spans="3:13" s="120" customFormat="1" x14ac:dyDescent="0.2">
      <c r="C24" s="2"/>
      <c r="D24" s="2"/>
      <c r="E24" s="125"/>
      <c r="F24" s="2"/>
      <c r="G24" s="92"/>
      <c r="H24" s="92"/>
      <c r="I24" s="2"/>
      <c r="J24" s="2"/>
      <c r="K24" s="2"/>
      <c r="L24" s="99"/>
      <c r="M24" s="99"/>
    </row>
    <row r="25" spans="3:13" s="120" customFormat="1" x14ac:dyDescent="0.2">
      <c r="C25" s="2" t="s">
        <v>32</v>
      </c>
      <c r="D25" s="2"/>
      <c r="E25" s="123">
        <f>'FSM and DCF Model'!J113</f>
        <v>1608</v>
      </c>
      <c r="F25" s="2"/>
      <c r="G25" s="92"/>
      <c r="H25" s="92" t="s">
        <v>126</v>
      </c>
      <c r="I25" s="2"/>
      <c r="J25" s="2"/>
      <c r="K25" s="2"/>
      <c r="L25" s="91"/>
      <c r="M25" s="91">
        <f>'FSM and DCF Model'!J113</f>
        <v>1608</v>
      </c>
    </row>
    <row r="26" spans="3:13" s="120" customFormat="1" x14ac:dyDescent="0.2">
      <c r="C26" s="7" t="s">
        <v>119</v>
      </c>
      <c r="D26" s="7"/>
      <c r="E26" s="123">
        <f>E23-E25</f>
        <v>10834.477084504686</v>
      </c>
      <c r="F26" s="2"/>
      <c r="G26" s="95"/>
      <c r="H26" s="95" t="s">
        <v>127</v>
      </c>
      <c r="I26" s="2"/>
      <c r="J26" s="2"/>
      <c r="K26" s="2"/>
      <c r="L26" s="91"/>
      <c r="M26" s="91">
        <f>M23-M25</f>
        <v>12767.17011831029</v>
      </c>
    </row>
    <row r="27" spans="3:13" s="120" customFormat="1" x14ac:dyDescent="0.2">
      <c r="C27" s="2"/>
      <c r="D27" s="2"/>
      <c r="E27" s="125"/>
      <c r="F27" s="2"/>
      <c r="G27" s="95"/>
      <c r="H27" s="95"/>
      <c r="I27" s="2"/>
      <c r="J27" s="2"/>
      <c r="K27" s="2"/>
      <c r="L27" s="99"/>
      <c r="M27" s="99"/>
    </row>
    <row r="28" spans="3:13" s="120" customFormat="1" x14ac:dyDescent="0.2">
      <c r="C28" s="7" t="s">
        <v>117</v>
      </c>
      <c r="D28" s="7"/>
      <c r="E28" s="125">
        <f>E26/'FSM and DCF Model'!G36</f>
        <v>26.151284297621736</v>
      </c>
      <c r="F28" s="2"/>
      <c r="G28" s="7"/>
      <c r="H28" s="7" t="s">
        <v>117</v>
      </c>
      <c r="I28" s="2"/>
      <c r="J28" s="2"/>
      <c r="K28" s="2"/>
      <c r="L28" s="123"/>
      <c r="M28" s="125">
        <f>M26/'FSM and DCF Model'!N36</f>
        <v>30.81624455300577</v>
      </c>
    </row>
    <row r="29" spans="3:13" s="120" customFormat="1" x14ac:dyDescent="0.2">
      <c r="C29" s="2" t="s">
        <v>118</v>
      </c>
      <c r="D29" s="2"/>
      <c r="E29" s="126">
        <f>E28/STOCK_PRICE-1</f>
        <v>-0.12007791730747863</v>
      </c>
      <c r="F29" s="2"/>
      <c r="G29" s="2"/>
      <c r="H29" s="2" t="s">
        <v>118</v>
      </c>
      <c r="I29" s="2"/>
      <c r="J29" s="2"/>
      <c r="K29" s="2"/>
      <c r="L29" s="101"/>
      <c r="M29" s="101">
        <f>M28/STOCK_PRICE-1</f>
        <v>3.6885752119978799E-2</v>
      </c>
    </row>
    <row r="30" spans="3:13" s="120" customFormat="1" x14ac:dyDescent="0.2">
      <c r="C30" s="2"/>
      <c r="D30" s="2"/>
      <c r="E30" s="126"/>
      <c r="F30" s="2"/>
      <c r="G30" s="2"/>
      <c r="H30" s="2"/>
      <c r="I30" s="2"/>
      <c r="J30" s="2"/>
      <c r="K30" s="2"/>
      <c r="L30" s="101"/>
      <c r="M30" s="101"/>
    </row>
    <row r="31" spans="3:13" s="120" customFormat="1" x14ac:dyDescent="0.2">
      <c r="C31" s="2"/>
      <c r="D31" s="2"/>
      <c r="E31" s="126"/>
      <c r="F31" s="2"/>
      <c r="G31" s="2"/>
      <c r="H31" s="2"/>
      <c r="I31" s="2"/>
      <c r="J31" s="2"/>
      <c r="K31" s="2"/>
      <c r="L31" s="101"/>
      <c r="M31" s="101"/>
    </row>
    <row r="32" spans="3:13" s="120" customFormat="1" x14ac:dyDescent="0.2">
      <c r="C32" s="105" t="s">
        <v>140</v>
      </c>
      <c r="D32" s="105"/>
      <c r="E32" s="105"/>
      <c r="F32" s="105"/>
      <c r="G32" s="105"/>
      <c r="H32" s="105"/>
      <c r="I32" s="105"/>
      <c r="J32" s="105"/>
      <c r="K32" s="105"/>
      <c r="L32" s="105"/>
      <c r="M32" s="105"/>
    </row>
    <row r="33" spans="3:13" s="120" customFormat="1" x14ac:dyDescent="0.2">
      <c r="C33" s="121"/>
      <c r="D33" s="121"/>
      <c r="E33" s="121"/>
      <c r="F33" s="121"/>
      <c r="G33" s="121"/>
      <c r="H33" s="121"/>
      <c r="I33" s="121"/>
      <c r="J33" s="121"/>
      <c r="K33" s="121"/>
      <c r="L33" s="121"/>
      <c r="M33" s="121"/>
    </row>
    <row r="34" spans="3:13" x14ac:dyDescent="0.2">
      <c r="C34" s="108" t="s">
        <v>136</v>
      </c>
      <c r="D34" s="108"/>
    </row>
    <row r="36" spans="3:13" x14ac:dyDescent="0.2">
      <c r="F36" s="114" t="s">
        <v>142</v>
      </c>
      <c r="G36" s="117"/>
      <c r="H36" s="117"/>
      <c r="I36" s="117"/>
      <c r="J36" s="117"/>
    </row>
    <row r="37" spans="3:13" ht="18" customHeight="1" x14ac:dyDescent="0.2">
      <c r="C37" s="146" t="s">
        <v>131</v>
      </c>
      <c r="D37" s="129"/>
      <c r="F37" s="144" t="s">
        <v>147</v>
      </c>
      <c r="G37" s="144"/>
      <c r="H37" s="144"/>
      <c r="I37" s="144"/>
      <c r="J37" s="144"/>
    </row>
    <row r="38" spans="3:13" ht="21" x14ac:dyDescent="0.35">
      <c r="C38" s="146"/>
      <c r="D38" s="129"/>
      <c r="E38" s="135">
        <v>26.15</v>
      </c>
      <c r="F38" s="131">
        <f>G38-0.0025</f>
        <v>2.0000000000000004E-2</v>
      </c>
      <c r="G38" s="131">
        <f>H38-0.0025</f>
        <v>2.2500000000000003E-2</v>
      </c>
      <c r="H38" s="131">
        <f>E15</f>
        <v>2.5000000000000001E-2</v>
      </c>
      <c r="I38" s="131">
        <f>H38+0.0025</f>
        <v>2.75E-2</v>
      </c>
      <c r="J38" s="131">
        <f>I38+0.0025</f>
        <v>0.03</v>
      </c>
    </row>
    <row r="39" spans="3:13" x14ac:dyDescent="0.2">
      <c r="C39" s="146"/>
      <c r="D39" s="129"/>
      <c r="E39" s="130">
        <f t="shared" ref="E39:E44" si="0">E40+0.0133</f>
        <v>0.12660000000000002</v>
      </c>
      <c r="F39" s="128">
        <f>(((Free_cash_flow__t_1/(E39-F38))*(1+E39)^0.5)/(1+E39)^7+Present_value_of_FCFs-DBX_Net_Debt)/'FSM and DCF Model'!G36</f>
        <v>17.500231847221322</v>
      </c>
      <c r="G39" s="128">
        <f>(((Free_cash_flow__t_1/(E39-G38))*(1+E39)^0.5)/(1+E39)^7+Present_value_of_FCFs-DBX_Net_Debt)/'FSM and DCF Model'!G36</f>
        <v>17.814946397107359</v>
      </c>
      <c r="H39" s="128">
        <f>(((Free_cash_flow__t_1/(E39-H38))*(1+E39)^0.5)/(1+E39)^7+Present_value_of_FCFs-DBX_Net_Debt)/'FSM and DCF Model'!G36</f>
        <v>18.145148867755502</v>
      </c>
      <c r="I39" s="128">
        <f>(((Free_cash_flow__t_1/(E39-I38))*(1+E39)^0.5)/(1+E39)^7+Present_value_of_FCFs-DBX_Net_Debt)/'FSM and DCF Model'!G36</f>
        <v>18.492011402513036</v>
      </c>
      <c r="J39" s="128">
        <f>(((Free_cash_flow__t_1/(E39-J38))*(1+E39)^0.5)/(1+E39)^7+Present_value_of_FCFs-DBX_Net_Debt)/'FSM and DCF Model'!G36</f>
        <v>18.856827484618272</v>
      </c>
    </row>
    <row r="40" spans="3:13" x14ac:dyDescent="0.2">
      <c r="C40" s="146"/>
      <c r="D40" s="129"/>
      <c r="E40" s="130">
        <f t="shared" si="0"/>
        <v>0.11330000000000001</v>
      </c>
      <c r="F40" s="128">
        <f>(((Free_cash_flow__t_1/(E40-F38))*(1+E40)^0.5)/(1+E40)^7+Present_value_of_FCFs-DBX_Net_Debt)/'FSM and DCF Model'!G36</f>
        <v>20.569877773869344</v>
      </c>
      <c r="G40" s="128">
        <f>(((Free_cash_flow__t_1/(E40-G38))*(1+E40)^0.5)/(1+E40)^7+Present_value_of_FCFs-DBX_Net_Debt)/'FSM and DCF Model'!G36</f>
        <v>21.015207063073706</v>
      </c>
      <c r="H40" s="128">
        <f>(((Free_cash_flow__t_1/(E40-H38))*(1+E40)^0.5)/(1+E40)^7+Present_value_of_FCFs-DBX_Net_Debt)/'FSM and DCF Model'!G36</f>
        <v>21.48575318632135</v>
      </c>
      <c r="I40" s="128">
        <f>(((Free_cash_flow__t_1/(E40-I38))*(1+E40)^0.5)/(1+E40)^7+Present_value_of_FCFs-DBX_Net_Debt)/'FSM and DCF Model'!G36</f>
        <v>21.983720412322356</v>
      </c>
      <c r="J40" s="128">
        <f>(((Free_cash_flow__t_1/(E40-J38))*(1+E40)^0.5)/(1+E40)^7+Present_value_of_FCFs-DBX_Net_Debt)/'FSM and DCF Model'!G36</f>
        <v>22.511577627879248</v>
      </c>
    </row>
    <row r="41" spans="3:13" x14ac:dyDescent="0.2">
      <c r="C41" s="146"/>
      <c r="D41" s="129"/>
      <c r="E41" s="130">
        <f t="shared" si="0"/>
        <v>0.1</v>
      </c>
      <c r="F41" s="128">
        <f>(((Free_cash_flow__t_1/(E41-F38))*(1+E41)^0.5)/(1+E41)^7+Present_value_of_FCFs-DBX_Net_Debt)/'FSM and DCF Model'!G36</f>
        <v>24.791548903393313</v>
      </c>
      <c r="G41" s="128">
        <f>(((Free_cash_flow__t_1/(E41-G38))*(1+E41)^0.5)/(1+E41)^7+Present_value_of_FCFs-DBX_Net_Debt)/'FSM and DCF Model'!G36</f>
        <v>25.449485384471583</v>
      </c>
      <c r="H41" s="128">
        <f>(((Free_cash_flow__t_1/(E41-H38))*(1+E41)^0.5)/(1+E41)^7+Present_value_of_FCFs-DBX_Net_Debt)/'FSM and DCF Model'!G36</f>
        <v>26.151284297621736</v>
      </c>
      <c r="I41" s="128">
        <f>(((Free_cash_flow__t_1/(E41-I38))*(1+E41)^0.5)/(1+E41)^7+Present_value_of_FCFs-DBX_Net_Debt)/'FSM and DCF Model'!G36</f>
        <v>26.90148313581674</v>
      </c>
      <c r="J41" s="128">
        <f>(((Free_cash_flow__t_1/(E41-J38))*(1+E41)^0.5)/(1+E41)^7+Present_value_of_FCFs-DBX_Net_Debt)/'FSM and DCF Model'!G36</f>
        <v>27.705267605311377</v>
      </c>
    </row>
    <row r="42" spans="3:13" x14ac:dyDescent="0.2">
      <c r="C42" s="146"/>
      <c r="D42" s="129"/>
      <c r="E42" s="130">
        <f t="shared" si="0"/>
        <v>8.6699999999999999E-2</v>
      </c>
      <c r="F42" s="128">
        <f>(((Free_cash_flow__t_1/(E42-F38))*(1+E42)^0.5)/(1+E42)^7+Present_value_of_FCFs-DBX_Net_Debt)/'FSM and DCF Model'!G36</f>
        <v>30.871338748407918</v>
      </c>
      <c r="G42" s="128">
        <f>(((Free_cash_flow__t_1/(E42-G38))*(1+E42)^0.5)/(1+E42)^7+Present_value_of_FCFs-DBX_Net_Debt)/'FSM and DCF Model'!G36</f>
        <v>31.90232865333164</v>
      </c>
      <c r="H42" s="128">
        <f>(((Free_cash_flow__t_1/(E42-H38))*(1+E42)^0.5)/(1+E42)^7+Present_value_of_FCFs-DBX_Net_Debt)/'FSM and DCF Model'!G36</f>
        <v>33.016867172916925</v>
      </c>
      <c r="I42" s="128">
        <f>(((Free_cash_flow__t_1/(E42-I38))*(1+E42)^0.5)/(1+E42)^7+Present_value_of_FCFs-DBX_Net_Debt)/'FSM and DCF Model'!G36</f>
        <v>34.225539013413119</v>
      </c>
      <c r="J42" s="128">
        <f>(((Free_cash_flow__t_1/(E42-J38))*(1+E42)^0.5)/(1+E42)^7+Present_value_of_FCFs-DBX_Net_Debt)/'FSM and DCF Model'!G36</f>
        <v>35.540795672295232</v>
      </c>
    </row>
    <row r="43" spans="3:13" x14ac:dyDescent="0.2">
      <c r="C43" s="146"/>
      <c r="D43" s="129"/>
      <c r="E43" s="130">
        <f t="shared" si="0"/>
        <v>7.3399999999999993E-2</v>
      </c>
      <c r="F43" s="128">
        <f>(((Free_cash_flow__t_1/(E43-F38))*(1+E43)^0.5)/(1+E43)^7+Present_value_of_FCFs-DBX_Net_Debt)/'FSM and DCF Model'!G36</f>
        <v>40.221368042423549</v>
      </c>
      <c r="G43" s="128">
        <f>(((Free_cash_flow__t_1/(E43-G38))*(1+E43)^0.5)/(1+E43)^7+Present_value_of_FCFs-DBX_Net_Debt)/'FSM and DCF Model'!G36</f>
        <v>41.980987396669953</v>
      </c>
      <c r="H43" s="128">
        <f>(((Free_cash_flow__t_1/(E43-H38))*(1+E43)^0.5)/(1+E43)^7+Present_value_of_FCFs-DBX_Net_Debt)/'FSM and DCF Model'!G36</f>
        <v>43.922385609826108</v>
      </c>
      <c r="I43" s="128">
        <f>(((Free_cash_flow__t_1/(E43-I38))*(1+E43)^0.5)/(1+E43)^7+Present_value_of_FCFs-DBX_Net_Debt)/'FSM and DCF Model'!G36</f>
        <v>46.075265109818446</v>
      </c>
      <c r="J43" s="128">
        <f>(((Free_cash_flow__t_1/(E43-J38))*(1+E43)^0.5)/(1+E43)^7+Present_value_of_FCFs-DBX_Net_Debt)/'FSM and DCF Model'!G36</f>
        <v>48.476172201975793</v>
      </c>
    </row>
    <row r="44" spans="3:13" x14ac:dyDescent="0.2">
      <c r="C44" s="146"/>
      <c r="D44" s="129"/>
      <c r="E44" s="130">
        <f t="shared" si="0"/>
        <v>6.0100000000000001E-2</v>
      </c>
      <c r="F44" s="128">
        <f>(((Free_cash_flow__t_1/(E44-F38))*(1+E44)^0.5)/(1+E44)^7+Present_value_of_FCFs-DBX_Net_Debt)/'FSM and DCF Model'!G36</f>
        <v>56.131095948450643</v>
      </c>
      <c r="G44" s="128">
        <f>(((Free_cash_flow__t_1/(E44-G38))*(1+E44)^0.5)/(1+E44)^7+Present_value_of_FCFs-DBX_Net_Debt)/'FSM and DCF Model'!G36</f>
        <v>59.570961504200895</v>
      </c>
      <c r="H44" s="128">
        <f>(((Free_cash_flow__t_1/(E44-H38))*(1+E44)^0.5)/(1+E44)^7+Present_value_of_FCFs-DBX_Net_Debt)/'FSM and DCF Model'!G36</f>
        <v>63.500836398377118</v>
      </c>
      <c r="I44" s="128">
        <f>(((Free_cash_flow__t_1/(E44-I38))*(1+E44)^0.5)/(1+E44)^7+Present_value_of_FCFs-DBX_Net_Debt)/'FSM and DCF Model'!G36</f>
        <v>68.033452840739855</v>
      </c>
      <c r="J44" s="128">
        <f>(((Free_cash_flow__t_1/(E44-J38))*(1+E44)^0.5)/(1+E44)^7+Present_value_of_FCFs-DBX_Net_Debt)/'FSM and DCF Model'!G36</f>
        <v>73.318995602431968</v>
      </c>
    </row>
    <row r="45" spans="3:13" x14ac:dyDescent="0.2">
      <c r="C45" s="146"/>
      <c r="D45" s="129"/>
      <c r="E45" s="130">
        <v>4.6800000000000001E-2</v>
      </c>
      <c r="F45" s="128">
        <f>(((Free_cash_flow__t_1/(E45-F38))*(1+E45)^0.5)/(1+E45)^7+Present_value_of_FCFs-DBX_Net_Debt)/'FSM and DCF Model'!G36</f>
        <v>88.426447444046545</v>
      </c>
      <c r="G45" s="128">
        <f>(((Free_cash_flow__t_1/(E45-G38))*(1+E45)^0.5)/(1+E45)^7+Present_value_of_FCFs-DBX_Net_Debt)/'FSM and DCF Model'!G36</f>
        <v>97.071604795289332</v>
      </c>
      <c r="H45" s="128">
        <f>(((Free_cash_flow__t_1/(E45-H38))*(1+E45)^0.5)/(1+E45)^7+Present_value_of_FCFs-DBX_Net_Debt)/'FSM and DCF Model'!G36</f>
        <v>107.69959640140429</v>
      </c>
      <c r="I45" s="128">
        <f>(((Free_cash_flow__t_1/(E45-I38))*(1+E45)^0.5)/(1+E45)^7+Present_value_of_FCFs-DBX_Net_Debt)/'FSM and DCF Model'!G36</f>
        <v>121.0809537085853</v>
      </c>
      <c r="J45" s="128">
        <f>(((Free_cash_flow__t_1/(E45-J38))*(1+E45)^0.5)/(1+E45)^7+Present_value_of_FCFs-DBX_Net_Debt)/'FSM and DCF Model'!G36</f>
        <v>138.4448578333797</v>
      </c>
    </row>
    <row r="46" spans="3:13" x14ac:dyDescent="0.2">
      <c r="C46" s="146"/>
      <c r="D46" s="129"/>
    </row>
    <row r="47" spans="3:13" x14ac:dyDescent="0.2">
      <c r="C47" s="108" t="s">
        <v>137</v>
      </c>
      <c r="D47" s="129"/>
    </row>
    <row r="49" spans="3:10" x14ac:dyDescent="0.2">
      <c r="F49" s="114" t="s">
        <v>144</v>
      </c>
      <c r="G49" s="117"/>
      <c r="H49" s="117"/>
      <c r="I49" s="117"/>
      <c r="J49" s="117"/>
    </row>
    <row r="50" spans="3:10" x14ac:dyDescent="0.2">
      <c r="C50" s="146" t="s">
        <v>131</v>
      </c>
      <c r="F50" s="144" t="s">
        <v>145</v>
      </c>
      <c r="G50" s="144"/>
      <c r="H50" s="144"/>
      <c r="I50" s="144"/>
      <c r="J50" s="144"/>
    </row>
    <row r="51" spans="3:10" ht="21" x14ac:dyDescent="0.35">
      <c r="C51" s="146"/>
      <c r="E51" s="136">
        <v>-0.12</v>
      </c>
      <c r="F51" s="131">
        <v>3.5000000000000003E-2</v>
      </c>
      <c r="G51" s="131">
        <f>H51-0.0025</f>
        <v>2.2500000000000003E-2</v>
      </c>
      <c r="H51" s="131">
        <f>E15</f>
        <v>2.5000000000000001E-2</v>
      </c>
      <c r="I51" s="131">
        <f>H51+0.0025</f>
        <v>2.75E-2</v>
      </c>
      <c r="J51" s="131">
        <f>I51+0.0025</f>
        <v>0.03</v>
      </c>
    </row>
    <row r="52" spans="3:10" x14ac:dyDescent="0.2">
      <c r="C52" s="146"/>
      <c r="E52" s="130">
        <f t="shared" ref="E52:E57" si="1">E53+0.0133</f>
        <v>0.12660000000000002</v>
      </c>
      <c r="F52" s="132">
        <f t="shared" ref="F52:J58" si="2">F39/STOCK_PRICE-1</f>
        <v>-0.41116312761704832</v>
      </c>
      <c r="G52" s="132">
        <f t="shared" si="2"/>
        <v>-0.40057380898023687</v>
      </c>
      <c r="H52" s="132">
        <f t="shared" si="2"/>
        <v>-0.38946336245775559</v>
      </c>
      <c r="I52" s="132">
        <f t="shared" si="2"/>
        <v>-0.37779234850225318</v>
      </c>
      <c r="J52" s="132">
        <f t="shared" si="2"/>
        <v>-0.36551724479750092</v>
      </c>
    </row>
    <row r="53" spans="3:10" x14ac:dyDescent="0.2">
      <c r="C53" s="146"/>
      <c r="E53" s="130">
        <f t="shared" si="1"/>
        <v>0.11330000000000001</v>
      </c>
      <c r="F53" s="132">
        <f t="shared" si="2"/>
        <v>-0.307877598456617</v>
      </c>
      <c r="G53" s="132">
        <f t="shared" si="2"/>
        <v>-0.29289343663951184</v>
      </c>
      <c r="H53" s="132">
        <f t="shared" si="2"/>
        <v>-0.27706079453831256</v>
      </c>
      <c r="I53" s="132">
        <f t="shared" si="2"/>
        <v>-0.26030550429601762</v>
      </c>
      <c r="J53" s="132">
        <f t="shared" si="2"/>
        <v>-0.24254449435130387</v>
      </c>
    </row>
    <row r="54" spans="3:10" x14ac:dyDescent="0.2">
      <c r="C54" s="146"/>
      <c r="E54" s="130">
        <f t="shared" si="1"/>
        <v>0.1</v>
      </c>
      <c r="F54" s="132">
        <f t="shared" si="2"/>
        <v>-0.16582944470412808</v>
      </c>
      <c r="G54" s="132">
        <f t="shared" si="2"/>
        <v>-0.14369160886703958</v>
      </c>
      <c r="H54" s="132">
        <f t="shared" si="2"/>
        <v>-0.12007791730747863</v>
      </c>
      <c r="I54" s="132">
        <f t="shared" si="2"/>
        <v>-9.4835695295533595E-2</v>
      </c>
      <c r="J54" s="132">
        <f t="shared" si="2"/>
        <v>-6.7790457425592976E-2</v>
      </c>
    </row>
    <row r="55" spans="3:10" x14ac:dyDescent="0.2">
      <c r="C55" s="146"/>
      <c r="E55" s="130">
        <f t="shared" si="1"/>
        <v>8.6699999999999999E-2</v>
      </c>
      <c r="F55" s="132">
        <f t="shared" si="2"/>
        <v>3.8739527200804869E-2</v>
      </c>
      <c r="G55" s="132">
        <f t="shared" si="2"/>
        <v>7.3429631673339157E-2</v>
      </c>
      <c r="H55" s="132">
        <f t="shared" si="2"/>
        <v>0.11093092775628954</v>
      </c>
      <c r="I55" s="132">
        <f t="shared" si="2"/>
        <v>0.15159956303543476</v>
      </c>
      <c r="J55" s="132">
        <f t="shared" si="2"/>
        <v>0.19585449772191232</v>
      </c>
    </row>
    <row r="56" spans="3:10" x14ac:dyDescent="0.2">
      <c r="C56" s="146"/>
      <c r="E56" s="130">
        <f t="shared" si="1"/>
        <v>7.3399999999999993E-2</v>
      </c>
      <c r="F56" s="132">
        <f t="shared" si="2"/>
        <v>0.35334347383659326</v>
      </c>
      <c r="G56" s="132">
        <f t="shared" si="2"/>
        <v>0.41255004699427844</v>
      </c>
      <c r="H56" s="132">
        <f t="shared" si="2"/>
        <v>0.47787300167651781</v>
      </c>
      <c r="I56" s="132">
        <f t="shared" si="2"/>
        <v>0.55031174662915361</v>
      </c>
      <c r="J56" s="132">
        <f t="shared" si="2"/>
        <v>0.63109596911089483</v>
      </c>
    </row>
    <row r="57" spans="3:10" x14ac:dyDescent="0.2">
      <c r="C57" s="146"/>
      <c r="E57" s="130">
        <f t="shared" si="1"/>
        <v>6.0100000000000001E-2</v>
      </c>
      <c r="F57" s="132">
        <f t="shared" si="2"/>
        <v>0.88866406286846056</v>
      </c>
      <c r="G57" s="132">
        <f t="shared" si="2"/>
        <v>1.0044065109085092</v>
      </c>
      <c r="H57" s="132">
        <f t="shared" si="2"/>
        <v>1.1366364871593917</v>
      </c>
      <c r="I57" s="132">
        <f t="shared" si="2"/>
        <v>1.2891471346143963</v>
      </c>
      <c r="J57" s="132">
        <f t="shared" si="2"/>
        <v>1.4669917766632561</v>
      </c>
    </row>
    <row r="58" spans="3:10" x14ac:dyDescent="0.2">
      <c r="C58" s="146"/>
      <c r="E58" s="130">
        <v>4.6800000000000001E-2</v>
      </c>
      <c r="F58" s="132">
        <f t="shared" si="2"/>
        <v>1.9753178816973938</v>
      </c>
      <c r="G58" s="132">
        <f t="shared" si="2"/>
        <v>2.2662047373919694</v>
      </c>
      <c r="H58" s="132">
        <f t="shared" si="2"/>
        <v>2.6238087618238324</v>
      </c>
      <c r="I58" s="132">
        <f t="shared" si="2"/>
        <v>3.0740563159012551</v>
      </c>
      <c r="J58" s="132">
        <f t="shared" si="2"/>
        <v>3.6583061182160064</v>
      </c>
    </row>
    <row r="59" spans="3:10" x14ac:dyDescent="0.2">
      <c r="C59" s="146"/>
      <c r="D59" s="108"/>
    </row>
    <row r="60" spans="3:10" x14ac:dyDescent="0.2">
      <c r="C60" s="108" t="s">
        <v>138</v>
      </c>
      <c r="D60" s="108"/>
    </row>
    <row r="61" spans="3:10" x14ac:dyDescent="0.2">
      <c r="C61" s="108"/>
      <c r="D61" s="108"/>
    </row>
    <row r="62" spans="3:10" x14ac:dyDescent="0.2">
      <c r="C62" s="108"/>
      <c r="D62" s="108"/>
      <c r="F62" s="114" t="s">
        <v>146</v>
      </c>
      <c r="G62" s="117"/>
      <c r="H62" s="117"/>
      <c r="I62" s="117"/>
      <c r="J62" s="117"/>
    </row>
    <row r="63" spans="3:10" ht="18" customHeight="1" x14ac:dyDescent="0.2">
      <c r="C63" s="143" t="s">
        <v>131</v>
      </c>
      <c r="D63" s="108"/>
      <c r="F63" s="144" t="s">
        <v>147</v>
      </c>
      <c r="G63" s="144"/>
      <c r="H63" s="144"/>
      <c r="I63" s="144"/>
      <c r="J63" s="144"/>
    </row>
    <row r="64" spans="3:10" ht="21" x14ac:dyDescent="0.35">
      <c r="C64" s="143"/>
      <c r="D64" s="108"/>
      <c r="E64" s="135">
        <v>30.82</v>
      </c>
      <c r="F64" s="103">
        <f>G64-2</f>
        <v>8</v>
      </c>
      <c r="G64" s="103">
        <f>H64-2</f>
        <v>10</v>
      </c>
      <c r="H64" s="103">
        <f>M15</f>
        <v>12</v>
      </c>
      <c r="I64" s="103">
        <f>H64+2</f>
        <v>14</v>
      </c>
      <c r="J64" s="103">
        <f>I64+2</f>
        <v>16</v>
      </c>
    </row>
    <row r="65" spans="3:10" x14ac:dyDescent="0.2">
      <c r="C65" s="143"/>
      <c r="D65" s="108"/>
      <c r="E65" s="130">
        <f t="shared" ref="E65:E70" si="3">E66+0.0133</f>
        <v>0.12660000000000002</v>
      </c>
      <c r="F65" s="128">
        <f>((end_EBITDA*F64/(1+E65)^7)+Present_value_of_FCFs-DBX_Net_Debt)/'FSM and DCF Model'!G36</f>
        <v>19.296471686507825</v>
      </c>
      <c r="G65" s="128">
        <f>((end_EBITDA*G64/(1+E65)^7)+Present_value_of_FCFs-DBX_Net_Debt)/'FSM and DCF Model'!G36</f>
        <v>23.021710110643074</v>
      </c>
      <c r="H65" s="128">
        <f>((end_EBITDA*H64/(1+E65)^7)+Present_value_of_FCFs-DBX_Net_Debt)/'FSM and DCF Model'!G36</f>
        <v>26.746948534778319</v>
      </c>
      <c r="I65" s="128">
        <f>((end_EBITDA*I64/(1+E65)^7)+Present_value_of_FCFs-DBX_Net_Debt)/'FSM and DCF Model'!G36</f>
        <v>30.472186958913564</v>
      </c>
      <c r="J65" s="128">
        <f>((end_EBITDA*J64/(1+E65)^7)+Present_value_of_FCFs-DBX_Net_Debt)/'FSM and DCF Model'!G36</f>
        <v>34.19742538304881</v>
      </c>
    </row>
    <row r="66" spans="3:10" x14ac:dyDescent="0.2">
      <c r="C66" s="143"/>
      <c r="D66" s="108"/>
      <c r="E66" s="130">
        <f t="shared" si="3"/>
        <v>0.11330000000000001</v>
      </c>
      <c r="F66" s="128">
        <f>((end_EBITDA*F64/(1+E66)^7)+Present_value_of_FCFs-DBX_Net_Debt)/'FSM and DCF Model'!G36</f>
        <v>20.588127020736529</v>
      </c>
      <c r="G66" s="128">
        <f>((end_EBITDA*G64/(1+E66)^7)+Present_value_of_FCFs-DBX_Net_Debt)/'FSM and DCF Model'!G36</f>
        <v>24.636279278428955</v>
      </c>
      <c r="H66" s="128">
        <f>((end_EBITDA*H64/(1+E66)^7)+Present_value_of_FCFs-DBX_Net_Debt)/'FSM and DCF Model'!G36</f>
        <v>28.684431536121373</v>
      </c>
      <c r="I66" s="128">
        <f>((end_EBITDA*I64/(1+E66)^7)+Present_value_of_FCFs-DBX_Net_Debt)/'FSM and DCF Model'!G36</f>
        <v>32.732583793813802</v>
      </c>
      <c r="J66" s="128">
        <f>((end_EBITDA*J64/(1+E66)^7)+Present_value_of_FCFs-DBX_Net_Debt)/'FSM and DCF Model'!G36</f>
        <v>36.780736051506217</v>
      </c>
    </row>
    <row r="67" spans="3:10" x14ac:dyDescent="0.2">
      <c r="C67" s="143"/>
      <c r="D67" s="108"/>
      <c r="E67" s="130">
        <f t="shared" si="3"/>
        <v>0.1</v>
      </c>
      <c r="F67" s="128">
        <f>((end_EBITDA*F64/(1+E67)^7)+Present_value_of_FCFs-DBX_Net_Debt)/'FSM and DCF Model'!G36</f>
        <v>22.009335698659463</v>
      </c>
      <c r="G67" s="128">
        <f>((end_EBITDA*G64/(1+E67)^7)+Present_value_of_FCFs-DBX_Net_Debt)/'FSM and DCF Model'!G36</f>
        <v>26.412790125832618</v>
      </c>
      <c r="H67" s="128">
        <f>((end_EBITDA*H64/(1+E67)^7)+Present_value_of_FCFs-DBX_Net_Debt)/'FSM and DCF Model'!G36</f>
        <v>30.81624455300577</v>
      </c>
      <c r="I67" s="128">
        <f>((end_EBITDA*I64/(1+E67)^7)+Present_value_of_FCFs-DBX_Net_Debt)/'FSM and DCF Model'!G36</f>
        <v>35.219698980178926</v>
      </c>
      <c r="J67" s="128">
        <f>((end_EBITDA*J64/(1+E67)^7)+Present_value_of_FCFs-DBX_Net_Debt)/'FSM and DCF Model'!G36</f>
        <v>39.623153407352078</v>
      </c>
    </row>
    <row r="68" spans="3:10" x14ac:dyDescent="0.2">
      <c r="C68" s="143"/>
      <c r="D68" s="108"/>
      <c r="E68" s="130">
        <f t="shared" si="3"/>
        <v>8.6699999999999999E-2</v>
      </c>
      <c r="F68" s="128">
        <f>((end_EBITDA*F64/(1+E68)^7)+Present_value_of_FCFs-DBX_Net_Debt)/'FSM and DCF Model'!G36</f>
        <v>23.574900646907214</v>
      </c>
      <c r="G68" s="128">
        <f>((end_EBITDA*G64/(1+E68)^7)+Present_value_of_FCFs-DBX_Net_Debt)/'FSM and DCF Model'!G36</f>
        <v>28.369746311142311</v>
      </c>
      <c r="H68" s="128">
        <f>((end_EBITDA*H64/(1+E68)^7)+Present_value_of_FCFs-DBX_Net_Debt)/'FSM and DCF Model'!G36</f>
        <v>33.164591975377405</v>
      </c>
      <c r="I68" s="128">
        <f>((end_EBITDA*I64/(1+E68)^7)+Present_value_of_FCFs-DBX_Net_Debt)/'FSM and DCF Model'!G36</f>
        <v>37.959437639612496</v>
      </c>
      <c r="J68" s="128">
        <f>((end_EBITDA*J64/(1+E68)^7)+Present_value_of_FCFs-DBX_Net_Debt)/'FSM and DCF Model'!G36</f>
        <v>42.754283303847586</v>
      </c>
    </row>
    <row r="69" spans="3:10" x14ac:dyDescent="0.2">
      <c r="C69" s="143"/>
      <c r="D69" s="108"/>
      <c r="E69" s="130">
        <f t="shared" si="3"/>
        <v>7.3399999999999993E-2</v>
      </c>
      <c r="F69" s="128">
        <f>((end_EBITDA*F64/(1+E69)^7)+Present_value_of_FCFs-DBX_Net_Debt)/'FSM and DCF Model'!G36</f>
        <v>25.301528135588974</v>
      </c>
      <c r="G69" s="128">
        <f>((end_EBITDA*G64/(1+E69)^7)+Present_value_of_FCFs-DBX_Net_Debt)/'FSM and DCF Model'!G36</f>
        <v>30.528030671994507</v>
      </c>
      <c r="H69" s="128">
        <f>((end_EBITDA*H64/(1+E69)^7)+Present_value_of_FCFs-DBX_Net_Debt)/'FSM and DCF Model'!G36</f>
        <v>35.754533208400034</v>
      </c>
      <c r="I69" s="128">
        <f>((end_EBITDA*I64/(1+E69)^7)+Present_value_of_FCFs-DBX_Net_Debt)/'FSM and DCF Model'!G36</f>
        <v>40.981035744805574</v>
      </c>
      <c r="J69" s="128">
        <f>((end_EBITDA*J64/(1+E69)^7)+Present_value_of_FCFs-DBX_Net_Debt)/'FSM and DCF Model'!G36</f>
        <v>46.2075382812111</v>
      </c>
    </row>
    <row r="70" spans="3:10" x14ac:dyDescent="0.2">
      <c r="C70" s="143"/>
      <c r="D70" s="108"/>
      <c r="E70" s="130">
        <f t="shared" si="3"/>
        <v>6.0100000000000001E-2</v>
      </c>
      <c r="F70" s="128">
        <f>((end_EBITDA*F64/(1+E70)^7)+Present_value_of_FCFs-DBX_Net_Debt)/'FSM and DCF Model'!G36</f>
        <v>27.208100464388242</v>
      </c>
      <c r="G70" s="128">
        <f>((end_EBITDA*G64/(1+E70)^7)+Present_value_of_FCFs-DBX_Net_Debt)/'FSM and DCF Model'!G36</f>
        <v>32.911246082993593</v>
      </c>
      <c r="H70" s="128">
        <f>((end_EBITDA*H64/(1+E70)^7)+Present_value_of_FCFs-DBX_Net_Debt)/'FSM and DCF Model'!G36</f>
        <v>38.61439170159894</v>
      </c>
      <c r="I70" s="128">
        <f>((end_EBITDA*I64/(1+E70)^7)+Present_value_of_FCFs-DBX_Net_Debt)/'FSM and DCF Model'!G36</f>
        <v>44.317537320204288</v>
      </c>
      <c r="J70" s="128">
        <f>((end_EBITDA*J64/(1+E70)^7)+Present_value_of_FCFs-DBX_Net_Debt)/'FSM and DCF Model'!G36</f>
        <v>50.020682938809642</v>
      </c>
    </row>
    <row r="71" spans="3:10" x14ac:dyDescent="0.2">
      <c r="C71" s="143"/>
      <c r="D71" s="108"/>
      <c r="E71" s="130">
        <v>4.6800000000000001E-2</v>
      </c>
      <c r="F71" s="128">
        <f>((end_EBITDA*F64/(1+E71)^7)+Present_value_of_FCFs-DBX_Net_Debt)/'FSM and DCF Model'!G36</f>
        <v>29.315991825730332</v>
      </c>
      <c r="G71" s="128">
        <f>((end_EBITDA*G64/(1+E71)^7)+Present_value_of_FCFs-DBX_Net_Debt)/'FSM and DCF Model'!G36</f>
        <v>35.546110284671201</v>
      </c>
      <c r="H71" s="128">
        <f>((end_EBITDA*H64/(1+E71)^7)+Present_value_of_FCFs-DBX_Net_Debt)/'FSM and DCF Model'!G36</f>
        <v>41.77622874361208</v>
      </c>
      <c r="I71" s="128">
        <f>((end_EBITDA*I64/(1+E71)^7)+Present_value_of_FCFs-DBX_Net_Debt)/'FSM and DCF Model'!G36</f>
        <v>48.006347202552945</v>
      </c>
      <c r="J71" s="128">
        <f>((end_EBITDA*J64/(1+E71)^7)+Present_value_of_FCFs-DBX_Net_Debt)/'FSM and DCF Model'!G36</f>
        <v>54.236465661493817</v>
      </c>
    </row>
    <row r="72" spans="3:10" x14ac:dyDescent="0.2">
      <c r="C72" s="143"/>
    </row>
    <row r="73" spans="3:10" x14ac:dyDescent="0.2">
      <c r="C73" s="108" t="s">
        <v>139</v>
      </c>
      <c r="D73" s="108"/>
    </row>
    <row r="75" spans="3:10" x14ac:dyDescent="0.2">
      <c r="E75" s="133"/>
      <c r="F75" s="134" t="s">
        <v>148</v>
      </c>
      <c r="G75" s="134"/>
      <c r="H75" s="134"/>
      <c r="I75" s="134"/>
      <c r="J75" s="134"/>
    </row>
    <row r="76" spans="3:10" x14ac:dyDescent="0.2">
      <c r="C76" s="143" t="s">
        <v>131</v>
      </c>
      <c r="E76" s="133"/>
      <c r="F76" s="145" t="s">
        <v>145</v>
      </c>
      <c r="G76" s="145"/>
      <c r="H76" s="145"/>
      <c r="I76" s="145"/>
      <c r="J76" s="145"/>
    </row>
    <row r="77" spans="3:10" ht="21" x14ac:dyDescent="0.35">
      <c r="C77" s="143"/>
      <c r="E77" s="136">
        <v>3.6999999999999998E-2</v>
      </c>
      <c r="F77" s="103">
        <f>G77-2</f>
        <v>8</v>
      </c>
      <c r="G77" s="103">
        <f>H77-2</f>
        <v>10</v>
      </c>
      <c r="H77" s="103">
        <f>M15</f>
        <v>12</v>
      </c>
      <c r="I77" s="103">
        <f>H77+2</f>
        <v>14</v>
      </c>
      <c r="J77" s="103">
        <f>I77+2</f>
        <v>16</v>
      </c>
    </row>
    <row r="78" spans="3:10" x14ac:dyDescent="0.2">
      <c r="C78" s="143"/>
      <c r="E78" s="130">
        <v>0.12659999999999999</v>
      </c>
      <c r="F78" s="132">
        <f t="shared" ref="F78:J84" si="4">F65/STOCK_PRICE-1</f>
        <v>-0.35072437124805433</v>
      </c>
      <c r="G78" s="132">
        <f t="shared" si="4"/>
        <v>-0.22537987514659907</v>
      </c>
      <c r="H78" s="132">
        <f t="shared" si="4"/>
        <v>-0.10003537904514404</v>
      </c>
      <c r="I78" s="132">
        <f t="shared" si="4"/>
        <v>2.5309117056311115E-2</v>
      </c>
      <c r="J78" s="132">
        <f t="shared" si="4"/>
        <v>0.15065361315776626</v>
      </c>
    </row>
    <row r="79" spans="3:10" x14ac:dyDescent="0.2">
      <c r="C79" s="143"/>
      <c r="E79" s="130">
        <v>0.1133</v>
      </c>
      <c r="F79" s="132">
        <f t="shared" si="4"/>
        <v>-0.30726355919459858</v>
      </c>
      <c r="G79" s="132">
        <f t="shared" si="4"/>
        <v>-0.17105386007977941</v>
      </c>
      <c r="H79" s="132">
        <f t="shared" si="4"/>
        <v>-3.4844160964960458E-2</v>
      </c>
      <c r="I79" s="132">
        <f t="shared" si="4"/>
        <v>0.10136553814985882</v>
      </c>
      <c r="J79" s="132">
        <f t="shared" si="4"/>
        <v>0.23757523726467755</v>
      </c>
    </row>
    <row r="80" spans="3:10" x14ac:dyDescent="0.2">
      <c r="C80" s="143"/>
      <c r="E80" s="130">
        <v>0.1</v>
      </c>
      <c r="F80" s="132">
        <f t="shared" si="4"/>
        <v>-0.25944361713797226</v>
      </c>
      <c r="G80" s="132">
        <f t="shared" si="4"/>
        <v>-0.11127893250899668</v>
      </c>
      <c r="H80" s="132">
        <f t="shared" si="4"/>
        <v>3.6885752119978799E-2</v>
      </c>
      <c r="I80" s="132">
        <f t="shared" si="4"/>
        <v>0.18505043674895449</v>
      </c>
      <c r="J80" s="132">
        <f t="shared" si="4"/>
        <v>0.33321512137792997</v>
      </c>
    </row>
    <row r="81" spans="3:10" x14ac:dyDescent="0.2">
      <c r="C81" s="143"/>
      <c r="E81" s="130">
        <v>8.6699999999999999E-2</v>
      </c>
      <c r="F81" s="132">
        <f t="shared" si="4"/>
        <v>-0.2067664654472674</v>
      </c>
      <c r="G81" s="132">
        <f t="shared" si="4"/>
        <v>-4.5432492895615351E-2</v>
      </c>
      <c r="H81" s="132">
        <f t="shared" si="4"/>
        <v>0.11590147965603648</v>
      </c>
      <c r="I81" s="132">
        <f t="shared" si="4"/>
        <v>0.2772354522076883</v>
      </c>
      <c r="J81" s="132">
        <f t="shared" si="4"/>
        <v>0.43856942475934013</v>
      </c>
    </row>
    <row r="82" spans="3:10" x14ac:dyDescent="0.2">
      <c r="C82" s="143"/>
      <c r="E82" s="130">
        <v>7.3400000000000007E-2</v>
      </c>
      <c r="F82" s="132">
        <f t="shared" si="4"/>
        <v>-0.14866998197883663</v>
      </c>
      <c r="G82" s="132">
        <f t="shared" si="4"/>
        <v>2.7188111439922835E-2</v>
      </c>
      <c r="H82" s="132">
        <f t="shared" si="4"/>
        <v>0.2030462048586823</v>
      </c>
      <c r="I82" s="132">
        <f t="shared" si="4"/>
        <v>0.37890429827744199</v>
      </c>
      <c r="J82" s="132">
        <f t="shared" si="4"/>
        <v>0.55476239169620123</v>
      </c>
    </row>
    <row r="83" spans="3:10" x14ac:dyDescent="0.2">
      <c r="C83" s="143"/>
      <c r="E83" s="130">
        <v>6.0100000000000001E-2</v>
      </c>
      <c r="F83" s="132">
        <f t="shared" si="4"/>
        <v>-8.451882690483703E-2</v>
      </c>
      <c r="G83" s="132">
        <f t="shared" si="4"/>
        <v>0.10737705528242247</v>
      </c>
      <c r="H83" s="132">
        <f t="shared" si="4"/>
        <v>0.29927293746968164</v>
      </c>
      <c r="I83" s="132">
        <f t="shared" si="4"/>
        <v>0.49116881965694104</v>
      </c>
      <c r="J83" s="132">
        <f t="shared" si="4"/>
        <v>0.68306470184420065</v>
      </c>
    </row>
    <row r="84" spans="3:10" x14ac:dyDescent="0.2">
      <c r="C84" s="143"/>
      <c r="E84" s="130">
        <v>4.6800000000000001E-2</v>
      </c>
      <c r="F84" s="132">
        <f t="shared" si="4"/>
        <v>-1.3593814746624022E-2</v>
      </c>
      <c r="G84" s="132">
        <f t="shared" si="4"/>
        <v>0.19603332048018851</v>
      </c>
      <c r="H84" s="132">
        <f t="shared" si="4"/>
        <v>0.40566045570700138</v>
      </c>
      <c r="I84" s="132">
        <f t="shared" si="4"/>
        <v>0.6152875909338138</v>
      </c>
      <c r="J84" s="132">
        <f t="shared" si="4"/>
        <v>0.82491472616062644</v>
      </c>
    </row>
    <row r="85" spans="3:10" x14ac:dyDescent="0.2">
      <c r="C85" s="143"/>
    </row>
  </sheetData>
  <mergeCells count="8">
    <mergeCell ref="C63:C72"/>
    <mergeCell ref="F63:J63"/>
    <mergeCell ref="C76:C85"/>
    <mergeCell ref="F76:J76"/>
    <mergeCell ref="F37:J37"/>
    <mergeCell ref="C37:C46"/>
    <mergeCell ref="C50:C59"/>
    <mergeCell ref="F50:J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RPM</vt:lpstr>
      <vt:lpstr>FSM and DCF Model</vt:lpstr>
      <vt:lpstr>Sensitivity Analysis</vt:lpstr>
      <vt:lpstr>DBX_Net_Debt</vt:lpstr>
      <vt:lpstr>end_EBITDA</vt:lpstr>
      <vt:lpstr>Free_cash_flow__t_1</vt:lpstr>
      <vt:lpstr>RPM!Last_Fiscal_Date</vt:lpstr>
      <vt:lpstr>Present_value_of_FCFs</vt:lpstr>
      <vt:lpstr>STOCK_PRICE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 Young Kim</dc:creator>
  <cp:lastModifiedBy>Dong Young Kim</cp:lastModifiedBy>
  <dcterms:created xsi:type="dcterms:W3CDTF">2021-05-23T02:08:21Z</dcterms:created>
  <dcterms:modified xsi:type="dcterms:W3CDTF">2021-08-18T17:57:55Z</dcterms:modified>
</cp:coreProperties>
</file>