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D143DE71F99069A/Documents/"/>
    </mc:Choice>
  </mc:AlternateContent>
  <xr:revisionPtr revIDLastSave="7" documentId="8_{B504846E-A7DB-4D1E-862C-914E9CEC9FA8}" xr6:coauthVersionLast="47" xr6:coauthVersionMax="47" xr10:uidLastSave="{818120EC-127B-4E80-8FBC-7FDE1BF2E0F9}"/>
  <bookViews>
    <workbookView xWindow="-110" yWindow="-110" windowWidth="19420" windowHeight="11500" firstSheet="1" activeTab="2" xr2:uid="{00000000-000D-0000-FFFF-FFFF00000000}"/>
  </bookViews>
  <sheets>
    <sheet name="PP&amp;E" sheetId="1" r:id="rId1"/>
    <sheet name="Statements" sheetId="5" r:id="rId2"/>
    <sheet name="COE and WACC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" i="5" l="1"/>
  <c r="G111" i="5"/>
  <c r="N56" i="5"/>
  <c r="N176" i="5"/>
  <c r="O176" i="5"/>
  <c r="P176" i="5"/>
  <c r="N175" i="5"/>
  <c r="O175" i="5"/>
  <c r="P175" i="5"/>
  <c r="Q175" i="5"/>
  <c r="R175" i="5"/>
  <c r="N174" i="5"/>
  <c r="O174" i="5"/>
  <c r="P174" i="5"/>
  <c r="N173" i="5"/>
  <c r="O173" i="5"/>
  <c r="P173" i="5"/>
  <c r="N172" i="5"/>
  <c r="O172" i="5"/>
  <c r="P172" i="5"/>
  <c r="Q172" i="5"/>
  <c r="N170" i="5"/>
  <c r="O170" i="5"/>
  <c r="P170" i="5"/>
  <c r="N168" i="5"/>
  <c r="O168" i="5"/>
  <c r="P168" i="5"/>
  <c r="F194" i="5"/>
  <c r="F196" i="5"/>
  <c r="C11" i="9"/>
  <c r="E135" i="5"/>
  <c r="F135" i="5" s="1"/>
  <c r="G135" i="5" s="1"/>
  <c r="H135" i="5" s="1"/>
  <c r="I135" i="5" s="1"/>
  <c r="J135" i="5" s="1"/>
  <c r="B111" i="5"/>
  <c r="B112" i="5"/>
  <c r="C118" i="5"/>
  <c r="D118" i="5"/>
  <c r="E118" i="5"/>
  <c r="F118" i="5"/>
  <c r="G118" i="5"/>
  <c r="B118" i="5"/>
  <c r="B140" i="5"/>
  <c r="F244" i="5"/>
  <c r="G81" i="5"/>
  <c r="H81" i="5" s="1"/>
  <c r="I81" i="5" s="1"/>
  <c r="J81" i="5" s="1"/>
  <c r="F255" i="5"/>
  <c r="F223" i="5"/>
  <c r="F236" i="5" s="1"/>
  <c r="G206" i="5"/>
  <c r="J189" i="5"/>
  <c r="L217" i="5" s="1"/>
  <c r="L230" i="5" s="1"/>
  <c r="F7" i="9"/>
  <c r="G7" i="9" s="1"/>
  <c r="F4" i="9"/>
  <c r="G4" i="9" s="1"/>
  <c r="H17" i="9" s="1"/>
  <c r="J2" i="5"/>
  <c r="B174" i="5"/>
  <c r="B176" i="5" s="1"/>
  <c r="C169" i="5"/>
  <c r="D169" i="5"/>
  <c r="E169" i="5"/>
  <c r="B169" i="5"/>
  <c r="F57" i="5"/>
  <c r="N57" i="5" s="1"/>
  <c r="F200" i="5"/>
  <c r="I134" i="5"/>
  <c r="J134" i="5" s="1"/>
  <c r="I133" i="5"/>
  <c r="J133" i="5" s="1"/>
  <c r="D170" i="5"/>
  <c r="E170" i="5"/>
  <c r="C170" i="5"/>
  <c r="B170" i="5"/>
  <c r="L106" i="5"/>
  <c r="M106" i="5"/>
  <c r="L103" i="5"/>
  <c r="M103" i="5"/>
  <c r="N103" i="5"/>
  <c r="O103" i="5"/>
  <c r="P103" i="5"/>
  <c r="Q103" i="5"/>
  <c r="R103" i="5"/>
  <c r="L102" i="5"/>
  <c r="M102" i="5"/>
  <c r="L99" i="5"/>
  <c r="M99" i="5"/>
  <c r="N99" i="5"/>
  <c r="O99" i="5"/>
  <c r="P99" i="5"/>
  <c r="Q99" i="5"/>
  <c r="R99" i="5"/>
  <c r="L98" i="5"/>
  <c r="M98" i="5"/>
  <c r="L97" i="5"/>
  <c r="M97" i="5"/>
  <c r="N97" i="5"/>
  <c r="O97" i="5"/>
  <c r="P97" i="5"/>
  <c r="Q97" i="5"/>
  <c r="R97" i="5"/>
  <c r="L96" i="5"/>
  <c r="M96" i="5"/>
  <c r="L95" i="5"/>
  <c r="M95" i="5"/>
  <c r="N95" i="5"/>
  <c r="O95" i="5"/>
  <c r="P95" i="5"/>
  <c r="Q95" i="5"/>
  <c r="R95" i="5"/>
  <c r="L94" i="5"/>
  <c r="M94" i="5"/>
  <c r="N94" i="5"/>
  <c r="O94" i="5"/>
  <c r="P94" i="5"/>
  <c r="Q94" i="5"/>
  <c r="R94" i="5"/>
  <c r="L91" i="5"/>
  <c r="M91" i="5"/>
  <c r="L90" i="5"/>
  <c r="M90" i="5"/>
  <c r="L89" i="5"/>
  <c r="M89" i="5"/>
  <c r="L88" i="5"/>
  <c r="M88" i="5"/>
  <c r="L87" i="5"/>
  <c r="M87" i="5"/>
  <c r="K87" i="5"/>
  <c r="L84" i="5"/>
  <c r="M84" i="5"/>
  <c r="L83" i="5"/>
  <c r="M83" i="5"/>
  <c r="L82" i="5"/>
  <c r="M82" i="5"/>
  <c r="N82" i="5"/>
  <c r="O82" i="5"/>
  <c r="P82" i="5"/>
  <c r="Q82" i="5"/>
  <c r="R82" i="5"/>
  <c r="L81" i="5"/>
  <c r="M81" i="5"/>
  <c r="N81" i="5"/>
  <c r="O81" i="5"/>
  <c r="P81" i="5"/>
  <c r="Q81" i="5"/>
  <c r="R81" i="5"/>
  <c r="L80" i="5"/>
  <c r="M80" i="5"/>
  <c r="L79" i="5"/>
  <c r="M79" i="5"/>
  <c r="L67" i="5"/>
  <c r="M67" i="5"/>
  <c r="K67" i="5"/>
  <c r="L60" i="5"/>
  <c r="M60" i="5"/>
  <c r="K60" i="5"/>
  <c r="L59" i="5"/>
  <c r="M59" i="5"/>
  <c r="L57" i="5"/>
  <c r="M57" i="5"/>
  <c r="L55" i="5"/>
  <c r="M55" i="5"/>
  <c r="M54" i="5"/>
  <c r="L12" i="5"/>
  <c r="M12" i="5"/>
  <c r="L11" i="5"/>
  <c r="M11" i="5"/>
  <c r="L10" i="5"/>
  <c r="M10" i="5"/>
  <c r="F102" i="5"/>
  <c r="N102" i="5" s="1"/>
  <c r="F89" i="5"/>
  <c r="G89" i="5" s="1"/>
  <c r="F88" i="5"/>
  <c r="G88" i="5" s="1"/>
  <c r="F162" i="5"/>
  <c r="N162" i="5" s="1"/>
  <c r="F8" i="5"/>
  <c r="F185" i="5" s="1"/>
  <c r="F59" i="5"/>
  <c r="G59" i="5" s="1"/>
  <c r="F54" i="5"/>
  <c r="N54" i="5" s="1"/>
  <c r="G155" i="5"/>
  <c r="H155" i="5" s="1"/>
  <c r="D153" i="5"/>
  <c r="E153" i="5"/>
  <c r="C153" i="5"/>
  <c r="F7" i="5"/>
  <c r="G7" i="5" s="1"/>
  <c r="H7" i="5" s="1"/>
  <c r="P7" i="5" s="1"/>
  <c r="F18" i="5"/>
  <c r="G18" i="5" s="1"/>
  <c r="F24" i="5"/>
  <c r="G24" i="5" s="1"/>
  <c r="H24" i="5" s="1"/>
  <c r="I24" i="5" s="1"/>
  <c r="J24" i="5" s="1"/>
  <c r="R24" i="5" s="1"/>
  <c r="F25" i="5"/>
  <c r="G25" i="5" s="1"/>
  <c r="H25" i="5" s="1"/>
  <c r="P25" i="5" s="1"/>
  <c r="F23" i="5"/>
  <c r="F33" i="5"/>
  <c r="G33" i="5" s="1"/>
  <c r="H33" i="5" s="1"/>
  <c r="I33" i="5" s="1"/>
  <c r="J33" i="5" s="1"/>
  <c r="R33" i="5" s="1"/>
  <c r="F31" i="5"/>
  <c r="N31" i="5" s="1"/>
  <c r="F21" i="5"/>
  <c r="N21" i="5" s="1"/>
  <c r="F19" i="5"/>
  <c r="G19" i="5" s="1"/>
  <c r="H19" i="5" s="1"/>
  <c r="F13" i="5"/>
  <c r="C174" i="5"/>
  <c r="C176" i="5" s="1"/>
  <c r="D174" i="5"/>
  <c r="D176" i="5" s="1"/>
  <c r="L176" i="5" s="1"/>
  <c r="E174" i="5"/>
  <c r="E176" i="5" s="1"/>
  <c r="F172" i="5" s="1"/>
  <c r="B168" i="5"/>
  <c r="C165" i="5"/>
  <c r="D165" i="5"/>
  <c r="L165" i="5" s="1"/>
  <c r="E165" i="5"/>
  <c r="M165" i="5" s="1"/>
  <c r="B165" i="5"/>
  <c r="E179" i="5"/>
  <c r="F179" i="5" s="1"/>
  <c r="K59" i="5"/>
  <c r="K54" i="5"/>
  <c r="L54" i="5"/>
  <c r="K55" i="5"/>
  <c r="K172" i="5"/>
  <c r="L172" i="5"/>
  <c r="M172" i="5"/>
  <c r="K173" i="5"/>
  <c r="L173" i="5"/>
  <c r="M173" i="5"/>
  <c r="K163" i="5"/>
  <c r="L163" i="5"/>
  <c r="M163" i="5"/>
  <c r="K164" i="5"/>
  <c r="L164" i="5"/>
  <c r="M164" i="5"/>
  <c r="K166" i="5"/>
  <c r="L166" i="5"/>
  <c r="M166" i="5"/>
  <c r="K162" i="5"/>
  <c r="L162" i="5"/>
  <c r="M162" i="5"/>
  <c r="K94" i="5"/>
  <c r="K90" i="5"/>
  <c r="K91" i="5"/>
  <c r="K79" i="5"/>
  <c r="K80" i="5"/>
  <c r="K81" i="5"/>
  <c r="K82" i="5"/>
  <c r="K83" i="5"/>
  <c r="K84" i="5"/>
  <c r="B100" i="5"/>
  <c r="C100" i="5"/>
  <c r="D100" i="5"/>
  <c r="E100" i="5"/>
  <c r="M100" i="5" s="1"/>
  <c r="B85" i="5"/>
  <c r="C85" i="5"/>
  <c r="D85" i="5"/>
  <c r="L85" i="5" s="1"/>
  <c r="E85" i="5"/>
  <c r="M85" i="5" s="1"/>
  <c r="K106" i="5"/>
  <c r="K103" i="5"/>
  <c r="K98" i="5"/>
  <c r="K89" i="5"/>
  <c r="C124" i="5"/>
  <c r="C34" i="5"/>
  <c r="D34" i="5"/>
  <c r="E34" i="5"/>
  <c r="M34" i="5" s="1"/>
  <c r="B34" i="5"/>
  <c r="C26" i="5"/>
  <c r="D26" i="5"/>
  <c r="E26" i="5"/>
  <c r="F253" i="5" s="1"/>
  <c r="B26" i="5"/>
  <c r="C22" i="5"/>
  <c r="D22" i="5"/>
  <c r="E22" i="5"/>
  <c r="B22" i="5"/>
  <c r="C14" i="5"/>
  <c r="D14" i="5"/>
  <c r="E14" i="5"/>
  <c r="B14" i="5"/>
  <c r="E56" i="5"/>
  <c r="E58" i="5" s="1"/>
  <c r="E61" i="5" s="1"/>
  <c r="E63" i="5" s="1"/>
  <c r="E65" i="5" s="1"/>
  <c r="E68" i="5" s="1"/>
  <c r="D56" i="5"/>
  <c r="D58" i="5" s="1"/>
  <c r="D61" i="5" s="1"/>
  <c r="D63" i="5" s="1"/>
  <c r="D65" i="5" s="1"/>
  <c r="D68" i="5" s="1"/>
  <c r="C56" i="5"/>
  <c r="C58" i="5" s="1"/>
  <c r="C61" i="5" s="1"/>
  <c r="C63" i="5" s="1"/>
  <c r="C65" i="5" s="1"/>
  <c r="C68" i="5" s="1"/>
  <c r="B56" i="5"/>
  <c r="B58" i="5" s="1"/>
  <c r="B61" i="5" s="1"/>
  <c r="B63" i="5" s="1"/>
  <c r="B65" i="5" s="1"/>
  <c r="B68" i="5" s="1"/>
  <c r="C179" i="5"/>
  <c r="D179" i="5"/>
  <c r="B179" i="5"/>
  <c r="I19" i="5" l="1"/>
  <c r="J19" i="5" s="1"/>
  <c r="G189" i="5"/>
  <c r="H189" i="5"/>
  <c r="I189" i="5"/>
  <c r="F197" i="5"/>
  <c r="K165" i="5"/>
  <c r="F163" i="5"/>
  <c r="F87" i="5" s="1"/>
  <c r="N87" i="5" s="1"/>
  <c r="F173" i="5"/>
  <c r="M176" i="5"/>
  <c r="L174" i="5"/>
  <c r="O24" i="5"/>
  <c r="F55" i="5"/>
  <c r="M174" i="5"/>
  <c r="E111" i="5"/>
  <c r="D111" i="5"/>
  <c r="Q33" i="5"/>
  <c r="P33" i="5"/>
  <c r="E71" i="5"/>
  <c r="N59" i="5"/>
  <c r="O33" i="5"/>
  <c r="N33" i="5"/>
  <c r="I25" i="5"/>
  <c r="J25" i="5" s="1"/>
  <c r="J158" i="5" s="1"/>
  <c r="O25" i="5"/>
  <c r="N88" i="5"/>
  <c r="L100" i="5"/>
  <c r="G13" i="5"/>
  <c r="O13" i="5" s="1"/>
  <c r="N24" i="5"/>
  <c r="N18" i="5"/>
  <c r="M56" i="5"/>
  <c r="N89" i="5"/>
  <c r="C111" i="5"/>
  <c r="G8" i="5"/>
  <c r="G185" i="5" s="1"/>
  <c r="G186" i="5" s="1"/>
  <c r="G91" i="5" s="1"/>
  <c r="Q24" i="5"/>
  <c r="N25" i="5"/>
  <c r="F26" i="5"/>
  <c r="N26" i="5" s="1"/>
  <c r="P24" i="5"/>
  <c r="K68" i="5"/>
  <c r="L68" i="5"/>
  <c r="O18" i="5"/>
  <c r="H18" i="5"/>
  <c r="O88" i="5"/>
  <c r="H88" i="5"/>
  <c r="M68" i="5"/>
  <c r="H89" i="5"/>
  <c r="O89" i="5"/>
  <c r="H59" i="5"/>
  <c r="O59" i="5"/>
  <c r="P19" i="5"/>
  <c r="G179" i="5"/>
  <c r="H179" i="5" s="1"/>
  <c r="P179" i="5" s="1"/>
  <c r="N13" i="5"/>
  <c r="G31" i="5"/>
  <c r="F164" i="5"/>
  <c r="F166" i="5" s="1"/>
  <c r="N8" i="5"/>
  <c r="M58" i="5"/>
  <c r="D147" i="5"/>
  <c r="O7" i="5"/>
  <c r="L58" i="5"/>
  <c r="E147" i="5"/>
  <c r="L56" i="5"/>
  <c r="C147" i="5"/>
  <c r="N7" i="5"/>
  <c r="N23" i="5"/>
  <c r="O19" i="5"/>
  <c r="N19" i="5"/>
  <c r="L179" i="5"/>
  <c r="G54" i="5"/>
  <c r="G163" i="5" s="1"/>
  <c r="G57" i="5"/>
  <c r="N163" i="5"/>
  <c r="N179" i="5"/>
  <c r="K174" i="5"/>
  <c r="K179" i="5"/>
  <c r="G23" i="5"/>
  <c r="G21" i="5"/>
  <c r="G26" i="5"/>
  <c r="C101" i="5"/>
  <c r="C104" i="5" s="1"/>
  <c r="C105" i="5" s="1"/>
  <c r="L175" i="5"/>
  <c r="I7" i="5"/>
  <c r="Q7" i="5" s="1"/>
  <c r="E101" i="5"/>
  <c r="L34" i="5"/>
  <c r="L170" i="5"/>
  <c r="E133" i="5"/>
  <c r="D17" i="9" s="1"/>
  <c r="K58" i="5"/>
  <c r="M170" i="5"/>
  <c r="D101" i="5"/>
  <c r="K170" i="5"/>
  <c r="B101" i="5"/>
  <c r="B104" i="5" s="1"/>
  <c r="B105" i="5" s="1"/>
  <c r="M179" i="5"/>
  <c r="D27" i="5"/>
  <c r="D35" i="5" s="1"/>
  <c r="C27" i="5"/>
  <c r="C35" i="5" s="1"/>
  <c r="K102" i="5"/>
  <c r="B27" i="5"/>
  <c r="B35" i="5" s="1"/>
  <c r="B127" i="5"/>
  <c r="E27" i="5"/>
  <c r="B117" i="5"/>
  <c r="C122" i="5"/>
  <c r="C144" i="5" s="1"/>
  <c r="K34" i="5"/>
  <c r="C181" i="5"/>
  <c r="D181" i="5"/>
  <c r="D6" i="5" s="1"/>
  <c r="D9" i="5" s="1"/>
  <c r="E181" i="5"/>
  <c r="C185" i="5"/>
  <c r="D185" i="5"/>
  <c r="D186" i="5" s="1"/>
  <c r="E185" i="5"/>
  <c r="F186" i="5" s="1"/>
  <c r="F91" i="5" s="1"/>
  <c r="N91" i="5" s="1"/>
  <c r="B185" i="5"/>
  <c r="D168" i="5"/>
  <c r="E168" i="5"/>
  <c r="M168" i="5" s="1"/>
  <c r="C168" i="5"/>
  <c r="K168" i="5" s="1"/>
  <c r="D158" i="5"/>
  <c r="E158" i="5"/>
  <c r="C158" i="5"/>
  <c r="D155" i="5"/>
  <c r="E155" i="5"/>
  <c r="C155" i="5"/>
  <c r="D152" i="5"/>
  <c r="E152" i="5"/>
  <c r="C152" i="5"/>
  <c r="D151" i="5"/>
  <c r="D157" i="5" s="1"/>
  <c r="E151" i="5"/>
  <c r="E157" i="5" s="1"/>
  <c r="C151" i="5"/>
  <c r="C157" i="5" s="1"/>
  <c r="D136" i="5"/>
  <c r="E136" i="5"/>
  <c r="F136" i="5" s="1"/>
  <c r="G136" i="5" s="1"/>
  <c r="H136" i="5" s="1"/>
  <c r="C136" i="5"/>
  <c r="C127" i="5"/>
  <c r="D127" i="5"/>
  <c r="E127" i="5"/>
  <c r="D124" i="5"/>
  <c r="E124" i="5"/>
  <c r="C39" i="5"/>
  <c r="D39" i="5"/>
  <c r="E39" i="5"/>
  <c r="B39" i="5"/>
  <c r="C38" i="5"/>
  <c r="D38" i="5"/>
  <c r="E38" i="5"/>
  <c r="B38" i="5"/>
  <c r="C49" i="5"/>
  <c r="D134" i="5" s="1"/>
  <c r="D49" i="5"/>
  <c r="E134" i="5" s="1"/>
  <c r="E49" i="5"/>
  <c r="F60" i="5" s="1"/>
  <c r="C48" i="5"/>
  <c r="D135" i="5" s="1"/>
  <c r="D48" i="5"/>
  <c r="E48" i="5"/>
  <c r="C47" i="5"/>
  <c r="D47" i="5"/>
  <c r="E47" i="5"/>
  <c r="B49" i="5"/>
  <c r="C134" i="5" s="1"/>
  <c r="B48" i="5"/>
  <c r="C135" i="5" s="1"/>
  <c r="B47" i="5"/>
  <c r="C133" i="5"/>
  <c r="D133" i="5"/>
  <c r="B133" i="5"/>
  <c r="C130" i="5"/>
  <c r="D130" i="5"/>
  <c r="E130" i="5"/>
  <c r="F130" i="5" s="1"/>
  <c r="G130" i="5" s="1"/>
  <c r="H130" i="5" s="1"/>
  <c r="I130" i="5" s="1"/>
  <c r="B130" i="5"/>
  <c r="C129" i="5"/>
  <c r="D129" i="5"/>
  <c r="E129" i="5"/>
  <c r="F129" i="5" s="1"/>
  <c r="G129" i="5" s="1"/>
  <c r="H129" i="5" s="1"/>
  <c r="I129" i="5" s="1"/>
  <c r="J129" i="5" s="1"/>
  <c r="B129" i="5"/>
  <c r="C128" i="5"/>
  <c r="D128" i="5"/>
  <c r="E128" i="5"/>
  <c r="B128" i="5"/>
  <c r="C112" i="5"/>
  <c r="D123" i="5" s="1"/>
  <c r="D143" i="5" s="1"/>
  <c r="D112" i="5"/>
  <c r="E122" i="5" s="1"/>
  <c r="E144" i="5" s="1"/>
  <c r="E112" i="5"/>
  <c r="F123" i="5" s="1"/>
  <c r="C119" i="5"/>
  <c r="C145" i="5" s="1"/>
  <c r="D119" i="5"/>
  <c r="D145" i="5" s="1"/>
  <c r="E119" i="5"/>
  <c r="E145" i="5" s="1"/>
  <c r="B119" i="5"/>
  <c r="C140" i="5"/>
  <c r="D140" i="5"/>
  <c r="E140" i="5"/>
  <c r="C117" i="5"/>
  <c r="D117" i="5"/>
  <c r="E117" i="5"/>
  <c r="K100" i="5"/>
  <c r="K99" i="5"/>
  <c r="K97" i="5"/>
  <c r="K96" i="5"/>
  <c r="K95" i="5"/>
  <c r="K88" i="5"/>
  <c r="L33" i="5"/>
  <c r="M33" i="5"/>
  <c r="K33" i="5"/>
  <c r="L32" i="5"/>
  <c r="M32" i="5"/>
  <c r="K32" i="5"/>
  <c r="L31" i="5"/>
  <c r="M31" i="5"/>
  <c r="K31" i="5"/>
  <c r="L26" i="5"/>
  <c r="M26" i="5"/>
  <c r="K26" i="5"/>
  <c r="L25" i="5"/>
  <c r="M25" i="5"/>
  <c r="K25" i="5"/>
  <c r="L24" i="5"/>
  <c r="M24" i="5"/>
  <c r="K24" i="5"/>
  <c r="L23" i="5"/>
  <c r="M23" i="5"/>
  <c r="K23" i="5"/>
  <c r="L22" i="5"/>
  <c r="M22" i="5"/>
  <c r="K22" i="5"/>
  <c r="L21" i="5"/>
  <c r="M21" i="5"/>
  <c r="K21" i="5"/>
  <c r="L20" i="5"/>
  <c r="M20" i="5"/>
  <c r="K20" i="5"/>
  <c r="L19" i="5"/>
  <c r="M19" i="5"/>
  <c r="K19" i="5"/>
  <c r="L18" i="5"/>
  <c r="M18" i="5"/>
  <c r="K18" i="5"/>
  <c r="L14" i="5"/>
  <c r="M14" i="5"/>
  <c r="K14" i="5"/>
  <c r="L13" i="5"/>
  <c r="M13" i="5"/>
  <c r="K13" i="5"/>
  <c r="K12" i="5"/>
  <c r="K11" i="5"/>
  <c r="K10" i="5"/>
  <c r="L8" i="5"/>
  <c r="M8" i="5"/>
  <c r="K8" i="5"/>
  <c r="L7" i="5"/>
  <c r="M7" i="5"/>
  <c r="K7" i="5"/>
  <c r="C73" i="5"/>
  <c r="D73" i="5"/>
  <c r="E73" i="5"/>
  <c r="B73" i="5"/>
  <c r="C72" i="5"/>
  <c r="D72" i="5"/>
  <c r="E72" i="5"/>
  <c r="B72" i="5"/>
  <c r="C71" i="5"/>
  <c r="D71" i="5"/>
  <c r="B71" i="5"/>
  <c r="L65" i="5"/>
  <c r="M65" i="5"/>
  <c r="K65" i="5"/>
  <c r="L64" i="5"/>
  <c r="M64" i="5"/>
  <c r="K64" i="5"/>
  <c r="L63" i="5"/>
  <c r="M63" i="5"/>
  <c r="K63" i="5"/>
  <c r="L62" i="5"/>
  <c r="M62" i="5"/>
  <c r="K62" i="5"/>
  <c r="L61" i="5"/>
  <c r="M61" i="5"/>
  <c r="K61" i="5"/>
  <c r="K57" i="5"/>
  <c r="K56" i="5"/>
  <c r="E19" i="1"/>
  <c r="I45" i="1"/>
  <c r="H45" i="1"/>
  <c r="G45" i="1"/>
  <c r="H52" i="1"/>
  <c r="I52" i="1"/>
  <c r="G52" i="1"/>
  <c r="G49" i="1"/>
  <c r="H40" i="1"/>
  <c r="I40" i="1"/>
  <c r="G40" i="1"/>
  <c r="H41" i="1"/>
  <c r="I41" i="1"/>
  <c r="G41" i="1"/>
  <c r="I35" i="1"/>
  <c r="H35" i="1"/>
  <c r="H34" i="1"/>
  <c r="I34" i="1"/>
  <c r="G35" i="1"/>
  <c r="G34" i="1"/>
  <c r="D52" i="1"/>
  <c r="E52" i="1"/>
  <c r="F52" i="1"/>
  <c r="C52" i="1"/>
  <c r="D51" i="1"/>
  <c r="E51" i="1"/>
  <c r="F51" i="1"/>
  <c r="C51" i="1"/>
  <c r="D49" i="1"/>
  <c r="E49" i="1"/>
  <c r="F49" i="1"/>
  <c r="D50" i="1"/>
  <c r="E50" i="1"/>
  <c r="F50" i="1"/>
  <c r="C50" i="1"/>
  <c r="C49" i="1"/>
  <c r="D25" i="1"/>
  <c r="E25" i="1"/>
  <c r="F25" i="1"/>
  <c r="C25" i="1"/>
  <c r="E4" i="1"/>
  <c r="C23" i="1"/>
  <c r="C22" i="1"/>
  <c r="D19" i="1"/>
  <c r="F19" i="1"/>
  <c r="C18" i="1"/>
  <c r="D11" i="1"/>
  <c r="E11" i="1"/>
  <c r="F11" i="1"/>
  <c r="D14" i="1"/>
  <c r="E14" i="1"/>
  <c r="F14" i="1"/>
  <c r="C14" i="1"/>
  <c r="F4" i="1"/>
  <c r="E7" i="1"/>
  <c r="E24" i="1" s="1"/>
  <c r="F7" i="1"/>
  <c r="F24" i="1" s="1"/>
  <c r="C19" i="1"/>
  <c r="D4" i="1"/>
  <c r="D7" i="1"/>
  <c r="D24" i="1"/>
  <c r="C7" i="1"/>
  <c r="C24" i="1"/>
  <c r="Q19" i="5" l="1"/>
  <c r="L194" i="5"/>
  <c r="F220" i="5"/>
  <c r="F233" i="5" s="1"/>
  <c r="G197" i="5"/>
  <c r="F198" i="5"/>
  <c r="E17" i="9"/>
  <c r="K105" i="5"/>
  <c r="F168" i="5"/>
  <c r="D113" i="5"/>
  <c r="D46" i="5"/>
  <c r="M181" i="5"/>
  <c r="E6" i="5"/>
  <c r="C6" i="5"/>
  <c r="L6" i="5"/>
  <c r="D15" i="5"/>
  <c r="D28" i="5" s="1"/>
  <c r="N164" i="5"/>
  <c r="Q25" i="5"/>
  <c r="F48" i="5"/>
  <c r="H13" i="5"/>
  <c r="I13" i="5" s="1"/>
  <c r="F83" i="5"/>
  <c r="N83" i="5" s="1"/>
  <c r="H57" i="5"/>
  <c r="I57" i="5" s="1"/>
  <c r="J57" i="5" s="1"/>
  <c r="R57" i="5" s="1"/>
  <c r="O57" i="5"/>
  <c r="L181" i="5"/>
  <c r="O8" i="5"/>
  <c r="H8" i="5"/>
  <c r="H185" i="5" s="1"/>
  <c r="H186" i="5" s="1"/>
  <c r="H91" i="5" s="1"/>
  <c r="R25" i="5"/>
  <c r="I158" i="5"/>
  <c r="F122" i="5"/>
  <c r="F144" i="5" s="1"/>
  <c r="H21" i="5"/>
  <c r="O21" i="5"/>
  <c r="I18" i="5"/>
  <c r="P18" i="5"/>
  <c r="H23" i="5"/>
  <c r="H26" i="5" s="1"/>
  <c r="O23" i="5"/>
  <c r="N60" i="5"/>
  <c r="F90" i="5"/>
  <c r="P89" i="5"/>
  <c r="I89" i="5"/>
  <c r="H31" i="5"/>
  <c r="O31" i="5"/>
  <c r="G128" i="5"/>
  <c r="H128" i="5"/>
  <c r="F128" i="5"/>
  <c r="F12" i="5" s="1"/>
  <c r="I128" i="5"/>
  <c r="J128" i="5"/>
  <c r="N55" i="5"/>
  <c r="D104" i="5"/>
  <c r="L101" i="5"/>
  <c r="O91" i="5"/>
  <c r="I59" i="5"/>
  <c r="P59" i="5"/>
  <c r="E104" i="5"/>
  <c r="M101" i="5"/>
  <c r="G48" i="5"/>
  <c r="O26" i="5"/>
  <c r="I88" i="5"/>
  <c r="P88" i="5"/>
  <c r="R19" i="5"/>
  <c r="O179" i="5"/>
  <c r="F139" i="5"/>
  <c r="F143" i="5"/>
  <c r="H54" i="5"/>
  <c r="G55" i="5"/>
  <c r="O55" i="5" s="1"/>
  <c r="J130" i="5"/>
  <c r="M175" i="5"/>
  <c r="J7" i="5"/>
  <c r="R7" i="5" s="1"/>
  <c r="L168" i="5"/>
  <c r="L27" i="5"/>
  <c r="E35" i="5"/>
  <c r="M27" i="5"/>
  <c r="K27" i="5"/>
  <c r="C123" i="5"/>
  <c r="C143" i="5" s="1"/>
  <c r="C146" i="5" s="1"/>
  <c r="L35" i="5"/>
  <c r="K35" i="5"/>
  <c r="M38" i="5"/>
  <c r="L38" i="5"/>
  <c r="E186" i="5"/>
  <c r="B40" i="5"/>
  <c r="L39" i="5"/>
  <c r="K39" i="5"/>
  <c r="K85" i="5"/>
  <c r="K38" i="5"/>
  <c r="E40" i="5"/>
  <c r="D40" i="5"/>
  <c r="K92" i="5"/>
  <c r="C40" i="5"/>
  <c r="L92" i="5"/>
  <c r="M92" i="5"/>
  <c r="C156" i="5"/>
  <c r="E156" i="5"/>
  <c r="C186" i="5"/>
  <c r="D156" i="5"/>
  <c r="K101" i="5"/>
  <c r="D139" i="5"/>
  <c r="D141" i="5" s="1"/>
  <c r="M39" i="5"/>
  <c r="E123" i="5"/>
  <c r="E143" i="5" s="1"/>
  <c r="C142" i="5"/>
  <c r="E142" i="5"/>
  <c r="D114" i="5"/>
  <c r="D142" i="5"/>
  <c r="D122" i="5"/>
  <c r="D144" i="5" s="1"/>
  <c r="F23" i="1"/>
  <c r="F22" i="1"/>
  <c r="F18" i="1"/>
  <c r="E23" i="1"/>
  <c r="E22" i="1"/>
  <c r="E18" i="1"/>
  <c r="D18" i="1"/>
  <c r="D22" i="1"/>
  <c r="D23" i="1"/>
  <c r="G220" i="5" l="1"/>
  <c r="G233" i="5" s="1"/>
  <c r="H197" i="5"/>
  <c r="F62" i="5"/>
  <c r="G244" i="5" s="1"/>
  <c r="D45" i="5"/>
  <c r="I54" i="5"/>
  <c r="I151" i="5" s="1"/>
  <c r="H163" i="5"/>
  <c r="C9" i="5"/>
  <c r="E9" i="5"/>
  <c r="M6" i="5"/>
  <c r="P13" i="5"/>
  <c r="I8" i="5"/>
  <c r="I185" i="5" s="1"/>
  <c r="I186" i="5" s="1"/>
  <c r="I91" i="5" s="1"/>
  <c r="Q91" i="5" s="1"/>
  <c r="P8" i="5"/>
  <c r="H48" i="5"/>
  <c r="P26" i="5"/>
  <c r="I31" i="5"/>
  <c r="P31" i="5"/>
  <c r="E105" i="5"/>
  <c r="M104" i="5"/>
  <c r="P91" i="5"/>
  <c r="N90" i="5"/>
  <c r="F92" i="5"/>
  <c r="D105" i="5"/>
  <c r="L105" i="5" s="1"/>
  <c r="L104" i="5"/>
  <c r="J89" i="5"/>
  <c r="R89" i="5" s="1"/>
  <c r="Q89" i="5"/>
  <c r="J59" i="5"/>
  <c r="R59" i="5" s="1"/>
  <c r="Q59" i="5"/>
  <c r="D41" i="5"/>
  <c r="J13" i="5"/>
  <c r="Q13" i="5"/>
  <c r="I155" i="5"/>
  <c r="P23" i="5"/>
  <c r="I23" i="5"/>
  <c r="E41" i="5"/>
  <c r="F98" i="5"/>
  <c r="N62" i="5"/>
  <c r="J18" i="5"/>
  <c r="R18" i="5" s="1"/>
  <c r="Q18" i="5"/>
  <c r="I21" i="5"/>
  <c r="P21" i="5"/>
  <c r="J88" i="5"/>
  <c r="R88" i="5" s="1"/>
  <c r="Q88" i="5"/>
  <c r="H55" i="5"/>
  <c r="I55" i="5" s="1"/>
  <c r="P54" i="5"/>
  <c r="P57" i="5"/>
  <c r="Q57" i="5"/>
  <c r="M35" i="5"/>
  <c r="K104" i="5"/>
  <c r="C41" i="5"/>
  <c r="C139" i="5"/>
  <c r="C141" i="5" s="1"/>
  <c r="L40" i="5"/>
  <c r="M40" i="5"/>
  <c r="K40" i="5"/>
  <c r="D146" i="5"/>
  <c r="E146" i="5"/>
  <c r="E139" i="5"/>
  <c r="E141" i="5" s="1"/>
  <c r="Q8" i="5" l="1"/>
  <c r="I156" i="5"/>
  <c r="Q54" i="5"/>
  <c r="J54" i="5"/>
  <c r="R54" i="5" s="1"/>
  <c r="N98" i="5"/>
  <c r="F216" i="5"/>
  <c r="F246" i="5"/>
  <c r="F215" i="5"/>
  <c r="H220" i="5"/>
  <c r="H233" i="5" s="1"/>
  <c r="I197" i="5"/>
  <c r="G62" i="5"/>
  <c r="H244" i="5" s="1"/>
  <c r="E15" i="5"/>
  <c r="E46" i="5"/>
  <c r="M9" i="5"/>
  <c r="E113" i="5"/>
  <c r="E114" i="5" s="1"/>
  <c r="C46" i="5"/>
  <c r="L9" i="5"/>
  <c r="C15" i="5"/>
  <c r="C113" i="5"/>
  <c r="C114" i="5" s="1"/>
  <c r="J8" i="5"/>
  <c r="J185" i="5" s="1"/>
  <c r="J186" i="5" s="1"/>
  <c r="J91" i="5" s="1"/>
  <c r="R91" i="5" s="1"/>
  <c r="M105" i="5"/>
  <c r="J155" i="5"/>
  <c r="R13" i="5"/>
  <c r="J21" i="5"/>
  <c r="I157" i="5"/>
  <c r="Q21" i="5"/>
  <c r="J31" i="5"/>
  <c r="R31" i="5" s="1"/>
  <c r="Q31" i="5"/>
  <c r="J55" i="5"/>
  <c r="I153" i="5"/>
  <c r="J23" i="5"/>
  <c r="Q23" i="5"/>
  <c r="I26" i="5"/>
  <c r="I56" i="5"/>
  <c r="P55" i="5"/>
  <c r="Q55" i="5"/>
  <c r="J151" i="5" l="1"/>
  <c r="J56" i="5"/>
  <c r="J58" i="5" s="1"/>
  <c r="J156" i="5"/>
  <c r="R8" i="5"/>
  <c r="I220" i="5"/>
  <c r="I233" i="5" s="1"/>
  <c r="J197" i="5"/>
  <c r="J220" i="5" s="1"/>
  <c r="J233" i="5" s="1"/>
  <c r="G98" i="5"/>
  <c r="O62" i="5"/>
  <c r="H62" i="5"/>
  <c r="I244" i="5" s="1"/>
  <c r="C28" i="5"/>
  <c r="L15" i="5"/>
  <c r="C45" i="5"/>
  <c r="E28" i="5"/>
  <c r="M28" i="5" s="1"/>
  <c r="M15" i="5"/>
  <c r="E45" i="5"/>
  <c r="I48" i="5"/>
  <c r="Q26" i="5"/>
  <c r="R55" i="5"/>
  <c r="J153" i="5"/>
  <c r="J157" i="5"/>
  <c r="R21" i="5"/>
  <c r="I117" i="5"/>
  <c r="I58" i="5"/>
  <c r="J26" i="5"/>
  <c r="R23" i="5"/>
  <c r="R56" i="5" l="1"/>
  <c r="J117" i="5"/>
  <c r="J152" i="5"/>
  <c r="O98" i="5"/>
  <c r="G216" i="5"/>
  <c r="H98" i="5"/>
  <c r="P62" i="5"/>
  <c r="J62" i="5"/>
  <c r="R62" i="5" s="1"/>
  <c r="I62" i="5"/>
  <c r="J244" i="5" s="1"/>
  <c r="L28" i="5"/>
  <c r="R26" i="5"/>
  <c r="J48" i="5"/>
  <c r="R58" i="5"/>
  <c r="J98" i="5" l="1"/>
  <c r="J216" i="5" s="1"/>
  <c r="P98" i="5"/>
  <c r="H216" i="5"/>
  <c r="Q62" i="5"/>
  <c r="I98" i="5"/>
  <c r="I216" i="5" s="1"/>
  <c r="F11" i="5"/>
  <c r="Q98" i="5" l="1"/>
  <c r="R98" i="5"/>
  <c r="N11" i="5"/>
  <c r="G11" i="5"/>
  <c r="O11" i="5" l="1"/>
  <c r="F20" i="5"/>
  <c r="H11" i="5"/>
  <c r="I11" i="5" s="1"/>
  <c r="F56" i="5"/>
  <c r="J11" i="5" l="1"/>
  <c r="N12" i="5"/>
  <c r="F38" i="5"/>
  <c r="F22" i="5"/>
  <c r="N22" i="5" s="1"/>
  <c r="N20" i="5"/>
  <c r="F39" i="5"/>
  <c r="P11" i="5"/>
  <c r="Q11" i="5"/>
  <c r="G12" i="5"/>
  <c r="G20" i="5"/>
  <c r="F58" i="5"/>
  <c r="N58" i="5" s="1"/>
  <c r="G56" i="5"/>
  <c r="O56" i="5" s="1"/>
  <c r="F27" i="5" l="1"/>
  <c r="N27" i="5" s="1"/>
  <c r="F47" i="5"/>
  <c r="R11" i="5"/>
  <c r="F40" i="5"/>
  <c r="F41" i="5" s="1"/>
  <c r="F84" i="5" s="1"/>
  <c r="N84" i="5" s="1"/>
  <c r="G22" i="5"/>
  <c r="O22" i="5" s="1"/>
  <c r="G39" i="5"/>
  <c r="O20" i="5"/>
  <c r="O12" i="5"/>
  <c r="G38" i="5"/>
  <c r="H12" i="5"/>
  <c r="I12" i="5" s="1"/>
  <c r="H20" i="5"/>
  <c r="I20" i="5" s="1"/>
  <c r="H56" i="5"/>
  <c r="I152" i="5" s="1"/>
  <c r="G58" i="5"/>
  <c r="O58" i="5" s="1"/>
  <c r="F61" i="5"/>
  <c r="G47" i="5" l="1"/>
  <c r="G27" i="5"/>
  <c r="O27" i="5" s="1"/>
  <c r="G40" i="5"/>
  <c r="G41" i="5" s="1"/>
  <c r="G84" i="5" s="1"/>
  <c r="O84" i="5" s="1"/>
  <c r="I39" i="5"/>
  <c r="J20" i="5"/>
  <c r="I22" i="5"/>
  <c r="J12" i="5"/>
  <c r="I38" i="5"/>
  <c r="F79" i="5"/>
  <c r="N79" i="5" s="1"/>
  <c r="F142" i="5"/>
  <c r="N61" i="5"/>
  <c r="P56" i="5"/>
  <c r="Q56" i="5"/>
  <c r="H22" i="5"/>
  <c r="H47" i="5" s="1"/>
  <c r="P20" i="5"/>
  <c r="Q20" i="5"/>
  <c r="H39" i="5"/>
  <c r="P12" i="5"/>
  <c r="Q12" i="5"/>
  <c r="H38" i="5"/>
  <c r="F63" i="5"/>
  <c r="F64" i="5" s="1"/>
  <c r="F140" i="5"/>
  <c r="F141" i="5" s="1"/>
  <c r="H58" i="5"/>
  <c r="I40" i="5" l="1"/>
  <c r="H27" i="5"/>
  <c r="P27" i="5" s="1"/>
  <c r="R12" i="5"/>
  <c r="J38" i="5"/>
  <c r="I47" i="5"/>
  <c r="I27" i="5"/>
  <c r="R20" i="5"/>
  <c r="J39" i="5"/>
  <c r="J22" i="5"/>
  <c r="H40" i="5"/>
  <c r="H41" i="5" s="1"/>
  <c r="H84" i="5" s="1"/>
  <c r="P84" i="5" s="1"/>
  <c r="N63" i="5"/>
  <c r="F65" i="5"/>
  <c r="P58" i="5"/>
  <c r="Q58" i="5"/>
  <c r="P22" i="5"/>
  <c r="Q22" i="5"/>
  <c r="Q27" i="5" l="1"/>
  <c r="F68" i="5"/>
  <c r="F71" i="5"/>
  <c r="J47" i="5"/>
  <c r="J27" i="5"/>
  <c r="R27" i="5" s="1"/>
  <c r="R22" i="5"/>
  <c r="J40" i="5"/>
  <c r="J41" i="5" s="1"/>
  <c r="J84" i="5" s="1"/>
  <c r="I41" i="5"/>
  <c r="I84" i="5" s="1"/>
  <c r="Q84" i="5" s="1"/>
  <c r="F119" i="5"/>
  <c r="F145" i="5" s="1"/>
  <c r="F146" i="5" s="1"/>
  <c r="F96" i="5"/>
  <c r="N67" i="5"/>
  <c r="N65" i="5"/>
  <c r="F147" i="5"/>
  <c r="F80" i="5"/>
  <c r="N64" i="5"/>
  <c r="F72" i="5"/>
  <c r="R84" i="5" l="1"/>
  <c r="F32" i="5"/>
  <c r="N68" i="5"/>
  <c r="F85" i="5"/>
  <c r="N80" i="5"/>
  <c r="N96" i="5"/>
  <c r="F100" i="5"/>
  <c r="N100" i="5" s="1"/>
  <c r="F243" i="5" l="1"/>
  <c r="F245" i="5" s="1"/>
  <c r="F247" i="5" s="1"/>
  <c r="F249" i="5" s="1"/>
  <c r="F214" i="5"/>
  <c r="F217" i="5" s="1"/>
  <c r="F219" i="5" s="1"/>
  <c r="F221" i="5" s="1"/>
  <c r="N85" i="5"/>
  <c r="F101" i="5"/>
  <c r="F34" i="5"/>
  <c r="N32" i="5"/>
  <c r="F112" i="5" l="1"/>
  <c r="N34" i="5"/>
  <c r="F73" i="5"/>
  <c r="F35" i="5"/>
  <c r="N101" i="5"/>
  <c r="F104" i="5"/>
  <c r="N104" i="5" s="1"/>
  <c r="N35" i="5" l="1"/>
  <c r="G123" i="5"/>
  <c r="G122" i="5"/>
  <c r="G144" i="5" s="1"/>
  <c r="G143" i="5" l="1"/>
  <c r="G139" i="5"/>
  <c r="F174" i="5"/>
  <c r="F176" i="5" s="1"/>
  <c r="F181" i="5" s="1"/>
  <c r="F6" i="5" s="1"/>
  <c r="G162" i="5"/>
  <c r="G173" i="5" l="1"/>
  <c r="G83" i="5" s="1"/>
  <c r="O83" i="5" s="1"/>
  <c r="O162" i="5"/>
  <c r="N166" i="5"/>
  <c r="G172" i="5"/>
  <c r="G164" i="5"/>
  <c r="G166" i="5" s="1"/>
  <c r="G174" i="5" l="1"/>
  <c r="O164" i="5"/>
  <c r="G176" i="5"/>
  <c r="N181" i="5"/>
  <c r="G87" i="5"/>
  <c r="O163" i="5"/>
  <c r="H172" i="5" l="1"/>
  <c r="H162" i="5"/>
  <c r="O166" i="5"/>
  <c r="G181" i="5"/>
  <c r="G6" i="5" s="1"/>
  <c r="N6" i="5"/>
  <c r="F9" i="5"/>
  <c r="O87" i="5"/>
  <c r="P162" i="5" l="1"/>
  <c r="O181" i="5"/>
  <c r="H164" i="5"/>
  <c r="H166" i="5" s="1"/>
  <c r="I162" i="5" s="1"/>
  <c r="Q162" i="5" s="1"/>
  <c r="H173" i="5"/>
  <c r="N9" i="5"/>
  <c r="F46" i="5"/>
  <c r="F10" i="5" s="1"/>
  <c r="F230" i="5" s="1"/>
  <c r="F232" i="5" s="1"/>
  <c r="F234" i="5" s="1"/>
  <c r="I164" i="5" l="1"/>
  <c r="P164" i="5"/>
  <c r="H83" i="5"/>
  <c r="P83" i="5" s="1"/>
  <c r="I173" i="5"/>
  <c r="Q173" i="5" s="1"/>
  <c r="H174" i="5"/>
  <c r="H176" i="5" s="1"/>
  <c r="P166" i="5"/>
  <c r="F124" i="5"/>
  <c r="F14" i="5"/>
  <c r="N10" i="5"/>
  <c r="F49" i="5"/>
  <c r="G60" i="5" s="1"/>
  <c r="F106" i="5"/>
  <c r="G9" i="5"/>
  <c r="O6" i="5"/>
  <c r="P163" i="5"/>
  <c r="H87" i="5"/>
  <c r="J164" i="5" l="1"/>
  <c r="R164" i="5" s="1"/>
  <c r="Q164" i="5"/>
  <c r="I172" i="5"/>
  <c r="H181" i="5"/>
  <c r="I83" i="5"/>
  <c r="Q83" i="5" s="1"/>
  <c r="J173" i="5"/>
  <c r="I179" i="5"/>
  <c r="Q179" i="5" s="1"/>
  <c r="I174" i="5"/>
  <c r="Q174" i="5" s="1"/>
  <c r="P87" i="5"/>
  <c r="G46" i="5"/>
  <c r="O9" i="5"/>
  <c r="F105" i="5"/>
  <c r="N105" i="5" s="1"/>
  <c r="N106" i="5"/>
  <c r="G102" i="5"/>
  <c r="O102" i="5" s="1"/>
  <c r="O60" i="5"/>
  <c r="G61" i="5"/>
  <c r="G90" i="5"/>
  <c r="F111" i="5"/>
  <c r="F113" i="5" s="1"/>
  <c r="F114" i="5" s="1"/>
  <c r="F127" i="5"/>
  <c r="N14" i="5"/>
  <c r="F15" i="5"/>
  <c r="I170" i="5"/>
  <c r="Q170" i="5" s="1"/>
  <c r="J174" i="5" l="1"/>
  <c r="R174" i="5" s="1"/>
  <c r="J83" i="5"/>
  <c r="R83" i="5" s="1"/>
  <c r="R173" i="5"/>
  <c r="P181" i="5"/>
  <c r="H6" i="5"/>
  <c r="I181" i="5"/>
  <c r="H9" i="5"/>
  <c r="I176" i="5"/>
  <c r="Q176" i="5" s="1"/>
  <c r="J179" i="5"/>
  <c r="R179" i="5" s="1"/>
  <c r="O90" i="5"/>
  <c r="G92" i="5"/>
  <c r="G79" i="5"/>
  <c r="G63" i="5"/>
  <c r="O61" i="5"/>
  <c r="G142" i="5"/>
  <c r="G140" i="5"/>
  <c r="G141" i="5" s="1"/>
  <c r="F28" i="5"/>
  <c r="N28" i="5" s="1"/>
  <c r="N15" i="5"/>
  <c r="F45" i="5"/>
  <c r="I6" i="5" l="1"/>
  <c r="Q181" i="5"/>
  <c r="G246" i="5"/>
  <c r="G215" i="5"/>
  <c r="P6" i="5"/>
  <c r="J181" i="5"/>
  <c r="I166" i="5"/>
  <c r="Q166" i="5" s="1"/>
  <c r="O79" i="5"/>
  <c r="G64" i="5"/>
  <c r="O63" i="5"/>
  <c r="P9" i="5"/>
  <c r="H46" i="5"/>
  <c r="J6" i="5" l="1"/>
  <c r="J9" i="5" s="1"/>
  <c r="R181" i="5"/>
  <c r="Q6" i="5"/>
  <c r="I9" i="5"/>
  <c r="Q9" i="5" s="1"/>
  <c r="O64" i="5"/>
  <c r="G80" i="5"/>
  <c r="G65" i="5"/>
  <c r="I46" i="5" l="1"/>
  <c r="R6" i="5"/>
  <c r="J46" i="5"/>
  <c r="R9" i="5"/>
  <c r="G71" i="5"/>
  <c r="G119" i="5"/>
  <c r="G145" i="5" s="1"/>
  <c r="G146" i="5" s="1"/>
  <c r="O65" i="5"/>
  <c r="G67" i="5"/>
  <c r="G147" i="5"/>
  <c r="G68" i="5"/>
  <c r="O80" i="5"/>
  <c r="G85" i="5"/>
  <c r="G243" i="5" l="1"/>
  <c r="G245" i="5" s="1"/>
  <c r="G247" i="5" s="1"/>
  <c r="G249" i="5" s="1"/>
  <c r="G214" i="5"/>
  <c r="G217" i="5" s="1"/>
  <c r="G219" i="5" s="1"/>
  <c r="G221" i="5" s="1"/>
  <c r="O85" i="5"/>
  <c r="O68" i="5"/>
  <c r="G32" i="5"/>
  <c r="G194" i="5"/>
  <c r="G196" i="5" s="1"/>
  <c r="G198" i="5" s="1"/>
  <c r="G72" i="5"/>
  <c r="G96" i="5"/>
  <c r="O67" i="5"/>
  <c r="O32" i="5" l="1"/>
  <c r="G34" i="5"/>
  <c r="G100" i="5"/>
  <c r="O96" i="5"/>
  <c r="O100" i="5" l="1"/>
  <c r="G101" i="5"/>
  <c r="G112" i="5"/>
  <c r="G73" i="5"/>
  <c r="G35" i="5"/>
  <c r="O34" i="5"/>
  <c r="G10" i="5" l="1"/>
  <c r="G230" i="5" s="1"/>
  <c r="G232" i="5" s="1"/>
  <c r="G234" i="5" s="1"/>
  <c r="O35" i="5"/>
  <c r="H123" i="5"/>
  <c r="H122" i="5"/>
  <c r="H144" i="5" s="1"/>
  <c r="G104" i="5"/>
  <c r="O104" i="5" s="1"/>
  <c r="O101" i="5"/>
  <c r="H143" i="5" l="1"/>
  <c r="H139" i="5"/>
  <c r="G49" i="5"/>
  <c r="H60" i="5" s="1"/>
  <c r="G106" i="5"/>
  <c r="G124" i="5"/>
  <c r="O10" i="5"/>
  <c r="G14" i="5"/>
  <c r="G127" i="5" l="1"/>
  <c r="O14" i="5"/>
  <c r="G113" i="5"/>
  <c r="G114" i="5" s="1"/>
  <c r="G15" i="5"/>
  <c r="G105" i="5"/>
  <c r="O105" i="5" s="1"/>
  <c r="H102" i="5"/>
  <c r="O106" i="5"/>
  <c r="P60" i="5"/>
  <c r="H61" i="5"/>
  <c r="H90" i="5"/>
  <c r="P102" i="5" l="1"/>
  <c r="O15" i="5"/>
  <c r="G45" i="5"/>
  <c r="G28" i="5"/>
  <c r="O28" i="5" s="1"/>
  <c r="P90" i="5"/>
  <c r="H92" i="5"/>
  <c r="H142" i="5"/>
  <c r="P61" i="5"/>
  <c r="H79" i="5"/>
  <c r="H63" i="5"/>
  <c r="H118" i="5"/>
  <c r="H140" i="5" s="1"/>
  <c r="H141" i="5" s="1"/>
  <c r="H246" i="5" l="1"/>
  <c r="H215" i="5"/>
  <c r="P79" i="5"/>
  <c r="H64" i="5"/>
  <c r="P63" i="5"/>
  <c r="P64" i="5" l="1"/>
  <c r="H80" i="5"/>
  <c r="H65" i="5"/>
  <c r="H67" i="5" l="1"/>
  <c r="H147" i="5"/>
  <c r="H119" i="5"/>
  <c r="H145" i="5" s="1"/>
  <c r="H146" i="5" s="1"/>
  <c r="P65" i="5"/>
  <c r="H71" i="5"/>
  <c r="H207" i="5" s="1"/>
  <c r="P80" i="5"/>
  <c r="H85" i="5"/>
  <c r="H243" i="5" l="1"/>
  <c r="H245" i="5" s="1"/>
  <c r="H247" i="5" s="1"/>
  <c r="H249" i="5" s="1"/>
  <c r="H214" i="5"/>
  <c r="H217" i="5" s="1"/>
  <c r="H219" i="5" s="1"/>
  <c r="H221" i="5" s="1"/>
  <c r="P85" i="5"/>
  <c r="H96" i="5"/>
  <c r="P67" i="5"/>
  <c r="H194" i="5"/>
  <c r="H196" i="5" s="1"/>
  <c r="H198" i="5" s="1"/>
  <c r="H72" i="5"/>
  <c r="H68" i="5"/>
  <c r="P68" i="5" l="1"/>
  <c r="H32" i="5"/>
  <c r="I32" i="5" s="1"/>
  <c r="J32" i="5" s="1"/>
  <c r="H100" i="5"/>
  <c r="P96" i="5"/>
  <c r="P100" i="5" l="1"/>
  <c r="H101" i="5"/>
  <c r="P32" i="5"/>
  <c r="H34" i="5"/>
  <c r="H104" i="5" l="1"/>
  <c r="P101" i="5"/>
  <c r="P34" i="5"/>
  <c r="H35" i="5"/>
  <c r="H73" i="5"/>
  <c r="H112" i="5"/>
  <c r="I34" i="5"/>
  <c r="I112" i="5" s="1"/>
  <c r="Q32" i="5"/>
  <c r="I123" i="5" l="1"/>
  <c r="I122" i="5"/>
  <c r="I144" i="5" s="1"/>
  <c r="J123" i="5"/>
  <c r="J122" i="5"/>
  <c r="J144" i="5" s="1"/>
  <c r="P35" i="5"/>
  <c r="H10" i="5"/>
  <c r="P104" i="5"/>
  <c r="R32" i="5"/>
  <c r="J34" i="5"/>
  <c r="J112" i="5" s="1"/>
  <c r="Q34" i="5"/>
  <c r="I35" i="5"/>
  <c r="I10" i="5" s="1"/>
  <c r="I230" i="5" s="1"/>
  <c r="I232" i="5" s="1"/>
  <c r="I234" i="5" s="1"/>
  <c r="I73" i="5"/>
  <c r="I60" i="5" l="1"/>
  <c r="H230" i="5"/>
  <c r="H232" i="5" s="1"/>
  <c r="H234" i="5" s="1"/>
  <c r="I49" i="5"/>
  <c r="I106" i="5"/>
  <c r="J102" i="5" s="1"/>
  <c r="I124" i="5"/>
  <c r="J60" i="5"/>
  <c r="I90" i="5"/>
  <c r="Q90" i="5" s="1"/>
  <c r="I61" i="5"/>
  <c r="Q60" i="5"/>
  <c r="J139" i="5"/>
  <c r="J143" i="5"/>
  <c r="I139" i="5"/>
  <c r="I143" i="5"/>
  <c r="Q35" i="5"/>
  <c r="J73" i="5"/>
  <c r="R34" i="5"/>
  <c r="J35" i="5"/>
  <c r="J10" i="5" s="1"/>
  <c r="J230" i="5" s="1"/>
  <c r="H14" i="5"/>
  <c r="H106" i="5"/>
  <c r="I102" i="5" s="1"/>
  <c r="Q102" i="5" s="1"/>
  <c r="H49" i="5"/>
  <c r="P10" i="5"/>
  <c r="H124" i="5"/>
  <c r="K230" i="5" l="1"/>
  <c r="J231" i="5" s="1"/>
  <c r="J232" i="5" s="1"/>
  <c r="J234" i="5" s="1"/>
  <c r="F235" i="5" s="1"/>
  <c r="F237" i="5" s="1"/>
  <c r="R102" i="5"/>
  <c r="J124" i="5"/>
  <c r="J49" i="5"/>
  <c r="J106" i="5"/>
  <c r="R106" i="5" s="1"/>
  <c r="I142" i="5"/>
  <c r="I118" i="5"/>
  <c r="I140" i="5" s="1"/>
  <c r="I141" i="5" s="1"/>
  <c r="I63" i="5"/>
  <c r="I79" i="5"/>
  <c r="Q61" i="5"/>
  <c r="J90" i="5"/>
  <c r="R90" i="5" s="1"/>
  <c r="R60" i="5"/>
  <c r="J61" i="5"/>
  <c r="H105" i="5"/>
  <c r="Q106" i="5"/>
  <c r="P106" i="5"/>
  <c r="H127" i="5"/>
  <c r="P14" i="5"/>
  <c r="H111" i="5"/>
  <c r="H113" i="5" s="1"/>
  <c r="H114" i="5" s="1"/>
  <c r="H15" i="5"/>
  <c r="R35" i="5"/>
  <c r="Q10" i="5"/>
  <c r="I14" i="5"/>
  <c r="I64" i="5" l="1"/>
  <c r="I65" i="5" s="1"/>
  <c r="Q63" i="5"/>
  <c r="J142" i="5"/>
  <c r="J79" i="5"/>
  <c r="R79" i="5" s="1"/>
  <c r="J118" i="5"/>
  <c r="J140" i="5" s="1"/>
  <c r="J141" i="5" s="1"/>
  <c r="R61" i="5"/>
  <c r="J63" i="5"/>
  <c r="Q79" i="5"/>
  <c r="I127" i="5"/>
  <c r="I111" i="5"/>
  <c r="I113" i="5" s="1"/>
  <c r="I114" i="5" s="1"/>
  <c r="P105" i="5"/>
  <c r="Q14" i="5"/>
  <c r="I15" i="5"/>
  <c r="R10" i="5"/>
  <c r="J14" i="5"/>
  <c r="H28" i="5"/>
  <c r="P28" i="5" s="1"/>
  <c r="P15" i="5"/>
  <c r="H45" i="5"/>
  <c r="R63" i="5" l="1"/>
  <c r="J64" i="5"/>
  <c r="J65" i="5" s="1"/>
  <c r="J127" i="5"/>
  <c r="J111" i="5"/>
  <c r="J113" i="5" s="1"/>
  <c r="J114" i="5" s="1"/>
  <c r="I147" i="5"/>
  <c r="I136" i="5" s="1"/>
  <c r="I67" i="5" s="1"/>
  <c r="I68" i="5" s="1"/>
  <c r="Q68" i="5" s="1"/>
  <c r="I71" i="5"/>
  <c r="I119" i="5"/>
  <c r="I145" i="5" s="1"/>
  <c r="I146" i="5" s="1"/>
  <c r="Q65" i="5"/>
  <c r="I80" i="5"/>
  <c r="Q64" i="5"/>
  <c r="R14" i="5"/>
  <c r="J15" i="5"/>
  <c r="I45" i="5"/>
  <c r="Q15" i="5"/>
  <c r="I28" i="5"/>
  <c r="Q28" i="5" s="1"/>
  <c r="Q80" i="5" l="1"/>
  <c r="I85" i="5"/>
  <c r="I72" i="5"/>
  <c r="I96" i="5"/>
  <c r="I194" i="5"/>
  <c r="I196" i="5" s="1"/>
  <c r="I198" i="5" s="1"/>
  <c r="Q67" i="5"/>
  <c r="J119" i="5"/>
  <c r="J145" i="5" s="1"/>
  <c r="J146" i="5" s="1"/>
  <c r="J147" i="5"/>
  <c r="J136" i="5" s="1"/>
  <c r="J67" i="5" s="1"/>
  <c r="J71" i="5"/>
  <c r="R65" i="5"/>
  <c r="J80" i="5"/>
  <c r="R64" i="5"/>
  <c r="R15" i="5"/>
  <c r="J45" i="5"/>
  <c r="J28" i="5"/>
  <c r="R28" i="5" s="1"/>
  <c r="Q85" i="5" l="1"/>
  <c r="I243" i="5"/>
  <c r="I245" i="5" s="1"/>
  <c r="I214" i="5"/>
  <c r="J85" i="5"/>
  <c r="R80" i="5"/>
  <c r="J68" i="5"/>
  <c r="R68" i="5" s="1"/>
  <c r="J96" i="5"/>
  <c r="R67" i="5"/>
  <c r="J72" i="5"/>
  <c r="J194" i="5"/>
  <c r="I100" i="5"/>
  <c r="Q100" i="5" s="1"/>
  <c r="Q96" i="5"/>
  <c r="R85" i="5" l="1"/>
  <c r="J243" i="5"/>
  <c r="J245" i="5" s="1"/>
  <c r="J214" i="5"/>
  <c r="K194" i="5"/>
  <c r="J195" i="5" s="1"/>
  <c r="J100" i="5"/>
  <c r="R100" i="5" s="1"/>
  <c r="R96" i="5"/>
  <c r="I163" i="5"/>
  <c r="I168" i="5" l="1"/>
  <c r="Q168" i="5" s="1"/>
  <c r="Q163" i="5"/>
  <c r="J196" i="5"/>
  <c r="J198" i="5" s="1"/>
  <c r="F199" i="5" s="1"/>
  <c r="F201" i="5" s="1"/>
  <c r="F238" i="5" s="1"/>
  <c r="F206" i="5"/>
  <c r="H206" i="5" s="1"/>
  <c r="H208" i="5" s="1"/>
  <c r="J162" i="5"/>
  <c r="R162" i="5" s="1"/>
  <c r="J172" i="5"/>
  <c r="J176" i="5" l="1"/>
  <c r="R176" i="5" s="1"/>
  <c r="R172" i="5"/>
  <c r="C12" i="9"/>
  <c r="C13" i="9" s="1"/>
  <c r="F239" i="5"/>
  <c r="F211" i="5"/>
  <c r="J170" i="5"/>
  <c r="R170" i="5" s="1"/>
  <c r="I87" i="5"/>
  <c r="C17" i="9" l="1"/>
  <c r="F17" i="9" s="1"/>
  <c r="G17" i="9"/>
  <c r="I92" i="5"/>
  <c r="Q87" i="5"/>
  <c r="I17" i="9" l="1"/>
  <c r="J17" i="9" s="1"/>
  <c r="J190" i="5" s="1"/>
  <c r="I101" i="5"/>
  <c r="I104" i="5" s="1"/>
  <c r="I246" i="5"/>
  <c r="I247" i="5" s="1"/>
  <c r="I249" i="5" s="1"/>
  <c r="I215" i="5"/>
  <c r="I217" i="5" s="1"/>
  <c r="I219" i="5" s="1"/>
  <c r="I221" i="5" s="1"/>
  <c r="Q101" i="5" l="1"/>
  <c r="I190" i="5"/>
  <c r="H190" i="5" s="1"/>
  <c r="L247" i="5"/>
  <c r="Q104" i="5"/>
  <c r="I105" i="5"/>
  <c r="Q105" i="5" s="1"/>
  <c r="J166" i="5"/>
  <c r="J163" i="5" l="1"/>
  <c r="J87" i="5" s="1"/>
  <c r="R166" i="5"/>
  <c r="G190" i="5"/>
  <c r="F190" i="5" s="1"/>
  <c r="J168" i="5" l="1"/>
  <c r="R168" i="5" s="1"/>
  <c r="R163" i="5"/>
  <c r="F250" i="5"/>
  <c r="F251" i="5" s="1"/>
  <c r="R87" i="5"/>
  <c r="J92" i="5"/>
  <c r="G250" i="5" l="1"/>
  <c r="G251" i="5" s="1"/>
  <c r="J101" i="5"/>
  <c r="J104" i="5" s="1"/>
  <c r="J246" i="5"/>
  <c r="J247" i="5" s="1"/>
  <c r="J215" i="5"/>
  <c r="J217" i="5" s="1"/>
  <c r="R101" i="5" l="1"/>
  <c r="H250" i="5"/>
  <c r="I250" i="5" s="1"/>
  <c r="K217" i="5"/>
  <c r="J218" i="5" s="1"/>
  <c r="J219" i="5" s="1"/>
  <c r="J221" i="5" s="1"/>
  <c r="F222" i="5" s="1"/>
  <c r="F224" i="5" s="1"/>
  <c r="K247" i="5"/>
  <c r="J248" i="5" s="1"/>
  <c r="J249" i="5" s="1"/>
  <c r="R104" i="5"/>
  <c r="J105" i="5"/>
  <c r="R105" i="5" s="1"/>
  <c r="B181" i="5"/>
  <c r="K181" i="5" s="1"/>
  <c r="B6" i="5"/>
  <c r="B9" i="5" s="1"/>
  <c r="K6" i="5"/>
  <c r="K176" i="5"/>
  <c r="H251" i="5" l="1"/>
  <c r="J250" i="5"/>
  <c r="J251" i="5" s="1"/>
  <c r="I251" i="5"/>
  <c r="B113" i="5"/>
  <c r="B114" i="5" s="1"/>
  <c r="B15" i="5"/>
  <c r="B46" i="5"/>
  <c r="K9" i="5"/>
  <c r="K175" i="5"/>
  <c r="F252" i="5" l="1"/>
  <c r="F254" i="5" s="1"/>
  <c r="F256" i="5" s="1"/>
  <c r="F258" i="5" s="1"/>
  <c r="B28" i="5"/>
  <c r="K28" i="5" s="1"/>
  <c r="K15" i="5"/>
  <c r="B45" i="5"/>
</calcChain>
</file>

<file path=xl/sharedStrings.xml><?xml version="1.0" encoding="utf-8"?>
<sst xmlns="http://schemas.openxmlformats.org/spreadsheetml/2006/main" count="393" uniqueCount="241">
  <si>
    <t>Year end</t>
  </si>
  <si>
    <t>Gross PP&amp;E</t>
  </si>
  <si>
    <t xml:space="preserve">Start </t>
  </si>
  <si>
    <t>.</t>
  </si>
  <si>
    <t xml:space="preserve">Additions </t>
  </si>
  <si>
    <t>Disposals</t>
  </si>
  <si>
    <t xml:space="preserve">Others </t>
  </si>
  <si>
    <t>End</t>
  </si>
  <si>
    <t>Accum depns</t>
  </si>
  <si>
    <t xml:space="preserve">Charge </t>
  </si>
  <si>
    <t>Net book value</t>
  </si>
  <si>
    <t xml:space="preserve">Metrics </t>
  </si>
  <si>
    <t>Additions / gross</t>
  </si>
  <si>
    <t>Disposals / gross</t>
  </si>
  <si>
    <t>Charge / gross</t>
  </si>
  <si>
    <t>Additions / charge</t>
  </si>
  <si>
    <t>2025E</t>
  </si>
  <si>
    <t>2026E</t>
  </si>
  <si>
    <t>2027E</t>
  </si>
  <si>
    <t>Total Revenue</t>
  </si>
  <si>
    <t>Additions</t>
  </si>
  <si>
    <t xml:space="preserve">11% gross PP&amp;E </t>
  </si>
  <si>
    <t xml:space="preserve">Disposals </t>
  </si>
  <si>
    <t>7% gross PP&amp;E</t>
  </si>
  <si>
    <t>Other</t>
  </si>
  <si>
    <t>Charge</t>
  </si>
  <si>
    <t>8% gross PP&amp;E</t>
  </si>
  <si>
    <t>NBV</t>
  </si>
  <si>
    <t xml:space="preserve">2025E </t>
  </si>
  <si>
    <t>Additions revenue</t>
  </si>
  <si>
    <t>Depn charge / gross</t>
  </si>
  <si>
    <t>Cash flows from operating activities</t>
  </si>
  <si>
    <t>Depreciation &amp; impairement reversal  on RoU assets</t>
  </si>
  <si>
    <t>Interest received</t>
  </si>
  <si>
    <t>Interest paid</t>
  </si>
  <si>
    <t>Cash flows from investing activities</t>
  </si>
  <si>
    <t>Purchase of intangible assets</t>
  </si>
  <si>
    <t>Cash flows from financing activities</t>
  </si>
  <si>
    <t>Taxes paid</t>
  </si>
  <si>
    <t>Other non-cash charges</t>
  </si>
  <si>
    <t>Net cash from operating activities</t>
  </si>
  <si>
    <t>Payments to acquire property, plant and equipment</t>
  </si>
  <si>
    <t>Proceeds from disposals</t>
  </si>
  <si>
    <t>Net cash from investing activities</t>
  </si>
  <si>
    <t>Repurchase of own shares</t>
  </si>
  <si>
    <t>Net purchase of shares by ESOT</t>
  </si>
  <si>
    <t>Dividends paid</t>
  </si>
  <si>
    <t>Lease payments</t>
  </si>
  <si>
    <t>Others</t>
  </si>
  <si>
    <t>Net cash from financing activities</t>
  </si>
  <si>
    <t>Net increase / (decrease) in cash and cash equivalents</t>
  </si>
  <si>
    <t>Opening cash and cash equivalents</t>
  </si>
  <si>
    <t>Effect of exchange rate fluctuations on cash held</t>
  </si>
  <si>
    <t>Cash from SOFP</t>
  </si>
  <si>
    <t>Statement of Cash Flows for years ending 30 March (£m)</t>
  </si>
  <si>
    <t>Profit Before Income and Tax</t>
  </si>
  <si>
    <t>Depreciation, reversal of impairment &amp; gains / losses on PP&amp;E and disposals</t>
  </si>
  <si>
    <t>Decrease / (Increase in non-cash WC)</t>
  </si>
  <si>
    <t>Increase in other NCAs investments</t>
  </si>
  <si>
    <t>Others items</t>
  </si>
  <si>
    <t>Closing cash and cash equivalents</t>
  </si>
  <si>
    <t>Balancing figure</t>
  </si>
  <si>
    <t>Revenue</t>
  </si>
  <si>
    <t>Cost of sales</t>
  </si>
  <si>
    <t>Finance income</t>
  </si>
  <si>
    <t xml:space="preserve">Operating profit </t>
  </si>
  <si>
    <t>Other income</t>
  </si>
  <si>
    <t>Statement for Profit or Loss for years ending 30 March (£m)</t>
  </si>
  <si>
    <t>2028P</t>
  </si>
  <si>
    <t>Gross Profit</t>
  </si>
  <si>
    <t xml:space="preserve">Operating expenses </t>
  </si>
  <si>
    <t>Profit before interest and tax (PBIT)</t>
  </si>
  <si>
    <t>Finance expenses</t>
  </si>
  <si>
    <t>Profit before tax</t>
  </si>
  <si>
    <t>Income tax</t>
  </si>
  <si>
    <t>Profit after tax</t>
  </si>
  <si>
    <t>Assets</t>
  </si>
  <si>
    <t>Property, Plant and Equipment</t>
  </si>
  <si>
    <t>Right-of-use asset</t>
  </si>
  <si>
    <t>Other non-current assets</t>
  </si>
  <si>
    <t>Non-current assets</t>
  </si>
  <si>
    <t>Cash and cash equivalents</t>
  </si>
  <si>
    <t>Trade and other receivables</t>
  </si>
  <si>
    <t>Inventory</t>
  </si>
  <si>
    <t>Other current assets</t>
  </si>
  <si>
    <t>Current assets</t>
  </si>
  <si>
    <t>Total assets</t>
  </si>
  <si>
    <t xml:space="preserve">Lease liabilities </t>
  </si>
  <si>
    <t>Overdrafts &amp; ST borrowing</t>
  </si>
  <si>
    <t>Trade and other payables</t>
  </si>
  <si>
    <t>Other current liabilities</t>
  </si>
  <si>
    <t>Current liabilities</t>
  </si>
  <si>
    <t>Bank borrowings</t>
  </si>
  <si>
    <t>Other non-current liabilities</t>
  </si>
  <si>
    <t>Non-current liabilities</t>
  </si>
  <si>
    <t>Total liabilities</t>
  </si>
  <si>
    <t>Net assets</t>
  </si>
  <si>
    <t>Equity</t>
  </si>
  <si>
    <t>Share capital &amp; premium</t>
  </si>
  <si>
    <t>Retained earnings</t>
  </si>
  <si>
    <t>Other reserves</t>
  </si>
  <si>
    <t>Total equity</t>
  </si>
  <si>
    <t>Perpetuity growth</t>
  </si>
  <si>
    <t>Statement of Financial Position ending 30 March (£m)</t>
  </si>
  <si>
    <t>Growth y-o-y</t>
  </si>
  <si>
    <t>2029P</t>
  </si>
  <si>
    <t xml:space="preserve">2026E </t>
  </si>
  <si>
    <t>Liabilities</t>
  </si>
  <si>
    <t xml:space="preserve">Total liabilities &amp; equity </t>
  </si>
  <si>
    <t xml:space="preserve">Non-cash working capital </t>
  </si>
  <si>
    <t xml:space="preserve">Current Liabilities </t>
  </si>
  <si>
    <t>Change</t>
  </si>
  <si>
    <t xml:space="preserve">Derived items </t>
  </si>
  <si>
    <t>Check sum error</t>
  </si>
  <si>
    <t>Non-cash assets</t>
  </si>
  <si>
    <t>Non-debt liabilities</t>
  </si>
  <si>
    <t>Financial liabilities</t>
  </si>
  <si>
    <t>Financial assets</t>
  </si>
  <si>
    <t>Other operating income</t>
  </si>
  <si>
    <t>Dividends</t>
  </si>
  <si>
    <t xml:space="preserve">Retained earnings </t>
  </si>
  <si>
    <t xml:space="preserve">Number of shares issued </t>
  </si>
  <si>
    <t>EPS</t>
  </si>
  <si>
    <t>DPS</t>
  </si>
  <si>
    <t>Book value per share</t>
  </si>
  <si>
    <t>Metrics and assumptions</t>
  </si>
  <si>
    <t>Working capital</t>
  </si>
  <si>
    <t>Capital employed (financing)</t>
  </si>
  <si>
    <t>Capital employed (operating)</t>
  </si>
  <si>
    <t>Margins</t>
  </si>
  <si>
    <t>Gross margin</t>
  </si>
  <si>
    <t>Operating margin</t>
  </si>
  <si>
    <t>Net profit margin</t>
  </si>
  <si>
    <t>Gearing</t>
  </si>
  <si>
    <t>Financial leverage ratio</t>
  </si>
  <si>
    <t>Asset turnover</t>
  </si>
  <si>
    <t>Cash as % of revenue</t>
  </si>
  <si>
    <t>Current ratio</t>
  </si>
  <si>
    <t>Inventory days</t>
  </si>
  <si>
    <t>Days sales outstanding</t>
  </si>
  <si>
    <t>Days purchases outstanding</t>
  </si>
  <si>
    <t>Effective tax and interest rates</t>
  </si>
  <si>
    <t>Effective tax rate</t>
  </si>
  <si>
    <t>Rate on financial assets</t>
  </si>
  <si>
    <t>Rate on debt</t>
  </si>
  <si>
    <t>Payout ratio</t>
  </si>
  <si>
    <t>Profitability</t>
  </si>
  <si>
    <t>ROCE (decomp)</t>
  </si>
  <si>
    <t>ROCE</t>
  </si>
  <si>
    <t>ROE (decomp)</t>
  </si>
  <si>
    <t>ROE</t>
  </si>
  <si>
    <t>Growth of income statement items</t>
  </si>
  <si>
    <t>Other expenses</t>
  </si>
  <si>
    <t>Growth of other balance sheet items</t>
  </si>
  <si>
    <t>Property, plant and equipment (£m)</t>
  </si>
  <si>
    <t>Gross P, P and E</t>
  </si>
  <si>
    <t>Capital expenditutre</t>
  </si>
  <si>
    <t>Total</t>
  </si>
  <si>
    <t>Capital expenditure as % of gross</t>
  </si>
  <si>
    <t>Capital expenditure as % of revenue</t>
  </si>
  <si>
    <t>Disposals as % of gross</t>
  </si>
  <si>
    <t>Accumulated depreciation</t>
  </si>
  <si>
    <t>Depreciation charge</t>
  </si>
  <si>
    <t>Depreciation in disposals</t>
  </si>
  <si>
    <t>Total accumulated depreciation</t>
  </si>
  <si>
    <t>Depreciatiom charge as %</t>
  </si>
  <si>
    <t>As % of Gross P, P &amp; E</t>
  </si>
  <si>
    <t>P, P and E</t>
  </si>
  <si>
    <t>Check</t>
  </si>
  <si>
    <t>Other NCAs</t>
  </si>
  <si>
    <t>Other NCA</t>
  </si>
  <si>
    <t>Capital expenditure</t>
  </si>
  <si>
    <t>COE</t>
  </si>
  <si>
    <t>WACC</t>
  </si>
  <si>
    <t>DDM</t>
  </si>
  <si>
    <t xml:space="preserve">2027E </t>
  </si>
  <si>
    <t>D1</t>
  </si>
  <si>
    <t>Gordon Factor</t>
  </si>
  <si>
    <t xml:space="preserve">Terminal Value </t>
  </si>
  <si>
    <t>Discount factor</t>
  </si>
  <si>
    <t>PV</t>
  </si>
  <si>
    <t xml:space="preserve">Number of shares </t>
  </si>
  <si>
    <t xml:space="preserve">FV per share DDM </t>
  </si>
  <si>
    <t>Terminal Value Per Share</t>
  </si>
  <si>
    <t>EPS 2027</t>
  </si>
  <si>
    <t>Gives PER of</t>
  </si>
  <si>
    <t>Current historic FV per share</t>
  </si>
  <si>
    <t>FCFE</t>
  </si>
  <si>
    <t xml:space="preserve">Cash from operating activities </t>
  </si>
  <si>
    <t xml:space="preserve">Cash from investing activities </t>
  </si>
  <si>
    <t>Financing Cash Flows</t>
  </si>
  <si>
    <t>FCFE1</t>
  </si>
  <si>
    <t xml:space="preserve">Total </t>
  </si>
  <si>
    <t>Discount Factor</t>
  </si>
  <si>
    <t>FCFE Fair Value</t>
  </si>
  <si>
    <t xml:space="preserve">Reconciliation </t>
  </si>
  <si>
    <t>Change in cash</t>
  </si>
  <si>
    <t>Value of cash retained in business</t>
  </si>
  <si>
    <t>DDM Value</t>
  </si>
  <si>
    <t>DDM + Cash</t>
  </si>
  <si>
    <t>FCFF</t>
  </si>
  <si>
    <t>Less tax shield</t>
  </si>
  <si>
    <t>FCFF1</t>
  </si>
  <si>
    <t>Gordon</t>
  </si>
  <si>
    <t>Less debt at end of 2024</t>
  </si>
  <si>
    <t>Value of Equity</t>
  </si>
  <si>
    <t>Fair value per share</t>
  </si>
  <si>
    <t>Difference with FCFE</t>
  </si>
  <si>
    <t>rf</t>
  </si>
  <si>
    <t>Beta</t>
  </si>
  <si>
    <t>ERP</t>
  </si>
  <si>
    <t>Beta x ERP</t>
  </si>
  <si>
    <t>COE (using T-Bills)</t>
  </si>
  <si>
    <t>Coe (using T-Bonds)</t>
  </si>
  <si>
    <t>Total debt</t>
  </si>
  <si>
    <t>Market Capital</t>
  </si>
  <si>
    <t>EV</t>
  </si>
  <si>
    <t>D/EV</t>
  </si>
  <si>
    <t>(1-tr)</t>
  </si>
  <si>
    <t>rd</t>
  </si>
  <si>
    <t>D/EV x (1 -tr) x rd</t>
  </si>
  <si>
    <t>E/EV</t>
  </si>
  <si>
    <t>re</t>
  </si>
  <si>
    <t>E/EV x re</t>
  </si>
  <si>
    <t>Yahoo</t>
  </si>
  <si>
    <t>Fin Box</t>
  </si>
  <si>
    <t>Financial Times</t>
  </si>
  <si>
    <t>Investing.com</t>
  </si>
  <si>
    <t>MarketWatch</t>
  </si>
  <si>
    <t xml:space="preserve">Beta </t>
  </si>
  <si>
    <t>10 Year T-Bond</t>
  </si>
  <si>
    <t>90 Day T-Bill</t>
  </si>
  <si>
    <t xml:space="preserve">Risk Free Returns </t>
  </si>
  <si>
    <t>ERPs</t>
  </si>
  <si>
    <t>1900-2020</t>
  </si>
  <si>
    <t>T-bills</t>
  </si>
  <si>
    <t>T-bonds</t>
  </si>
  <si>
    <t>UK</t>
  </si>
  <si>
    <t>Germany</t>
  </si>
  <si>
    <t>Italy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</si>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</sst>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0.0"/>
    <numFmt numFmtId="167" formatCode="0.00&quot;x&quot;"/>
    <numFmt numFmtId="168" formatCode="0.0%;\(0.0%\)"/>
    <numFmt numFmtId="169" formatCode="#,##0;\(#,##0\)"/>
    <numFmt numFmtId="170" formatCode="#,##0.0;\(#,##0.0\)"/>
    <numFmt numFmtId="171" formatCode="0.000%"/>
    <numFmt numFmtId="172" formatCode="#,##0.0"/>
    <numFmt numFmtId="173" formatCode="0.0000000000000000%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rial"/>
      <family val="2"/>
    </font>
    <font>
      <sz val="11"/>
      <color rgb="FF000000"/>
      <name val="等线"/>
      <charset val="134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219D7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242424"/>
      <name val="Aptos Narrow"/>
      <charset val="1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2" fillId="0" borderId="2" xfId="0" applyFont="1" applyBorder="1"/>
    <xf numFmtId="2" fontId="0" fillId="0" borderId="0" xfId="0" applyNumberFormat="1"/>
    <xf numFmtId="3" fontId="1" fillId="0" borderId="0" xfId="0" applyNumberFormat="1" applyFont="1"/>
    <xf numFmtId="3" fontId="1" fillId="0" borderId="2" xfId="0" applyNumberFormat="1" applyFont="1" applyBorder="1"/>
    <xf numFmtId="10" fontId="0" fillId="0" borderId="0" xfId="0" applyNumberFormat="1"/>
    <xf numFmtId="0" fontId="1" fillId="0" borderId="1" xfId="0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/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3" xfId="0" applyFont="1" applyBorder="1"/>
    <xf numFmtId="0" fontId="5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0" xfId="0" applyFont="1"/>
    <xf numFmtId="0" fontId="6" fillId="0" borderId="0" xfId="0" applyFont="1"/>
    <xf numFmtId="0" fontId="4" fillId="0" borderId="7" xfId="0" applyFont="1" applyBorder="1"/>
    <xf numFmtId="0" fontId="5" fillId="0" borderId="7" xfId="0" applyFont="1" applyBorder="1"/>
    <xf numFmtId="9" fontId="0" fillId="0" borderId="0" xfId="1" applyFont="1"/>
    <xf numFmtId="0" fontId="9" fillId="0" borderId="0" xfId="0" applyFont="1"/>
    <xf numFmtId="0" fontId="2" fillId="0" borderId="4" xfId="0" applyFont="1" applyBorder="1"/>
    <xf numFmtId="167" fontId="0" fillId="0" borderId="0" xfId="0" applyNumberFormat="1"/>
    <xf numFmtId="0" fontId="2" fillId="0" borderId="5" xfId="0" applyFont="1" applyBorder="1"/>
    <xf numFmtId="0" fontId="10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4" fillId="0" borderId="4" xfId="0" applyFont="1" applyBorder="1" applyAlignment="1">
      <alignment horizontal="righ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168" fontId="0" fillId="0" borderId="1" xfId="0" applyNumberFormat="1" applyBorder="1"/>
    <xf numFmtId="168" fontId="1" fillId="0" borderId="1" xfId="0" applyNumberFormat="1" applyFont="1" applyBorder="1" applyAlignment="1">
      <alignment horizontal="right"/>
    </xf>
    <xf numFmtId="168" fontId="1" fillId="0" borderId="0" xfId="0" applyNumberFormat="1" applyFont="1" applyAlignment="1">
      <alignment horizontal="right"/>
    </xf>
    <xf numFmtId="168" fontId="1" fillId="0" borderId="2" xfId="0" applyNumberFormat="1" applyFont="1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 applyAlignment="1">
      <alignment horizontal="left"/>
    </xf>
    <xf numFmtId="0" fontId="1" fillId="0" borderId="12" xfId="0" applyFont="1" applyBorder="1"/>
    <xf numFmtId="0" fontId="1" fillId="0" borderId="4" xfId="0" applyFont="1" applyBorder="1"/>
    <xf numFmtId="168" fontId="0" fillId="0" borderId="5" xfId="0" applyNumberFormat="1" applyBorder="1"/>
    <xf numFmtId="0" fontId="1" fillId="0" borderId="4" xfId="0" applyFont="1" applyBorder="1" applyAlignment="1">
      <alignment horizontal="right"/>
    </xf>
    <xf numFmtId="0" fontId="1" fillId="0" borderId="3" xfId="0" applyFont="1" applyBorder="1"/>
    <xf numFmtId="168" fontId="1" fillId="0" borderId="3" xfId="0" applyNumberFormat="1" applyFont="1" applyBorder="1" applyAlignment="1">
      <alignment horizontal="right"/>
    </xf>
    <xf numFmtId="168" fontId="0" fillId="0" borderId="7" xfId="0" applyNumberFormat="1" applyBorder="1"/>
    <xf numFmtId="0" fontId="1" fillId="0" borderId="5" xfId="0" applyFont="1" applyBorder="1"/>
    <xf numFmtId="168" fontId="0" fillId="0" borderId="5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68" fontId="0" fillId="0" borderId="4" xfId="0" applyNumberFormat="1" applyBorder="1"/>
    <xf numFmtId="168" fontId="0" fillId="0" borderId="4" xfId="0" applyNumberFormat="1" applyBorder="1" applyAlignment="1">
      <alignment horizontal="right"/>
    </xf>
    <xf numFmtId="168" fontId="1" fillId="0" borderId="4" xfId="0" applyNumberFormat="1" applyFont="1" applyBorder="1" applyAlignment="1">
      <alignment horizontal="left" indent="10"/>
    </xf>
    <xf numFmtId="169" fontId="0" fillId="0" borderId="0" xfId="0" applyNumberFormat="1"/>
    <xf numFmtId="0" fontId="2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169" fontId="1" fillId="0" borderId="0" xfId="0" applyNumberFormat="1" applyFont="1"/>
    <xf numFmtId="168" fontId="0" fillId="0" borderId="0" xfId="1" applyNumberFormat="1" applyFont="1"/>
    <xf numFmtId="0" fontId="7" fillId="0" borderId="14" xfId="0" applyFont="1" applyBorder="1"/>
    <xf numFmtId="0" fontId="1" fillId="0" borderId="7" xfId="0" applyFont="1" applyBorder="1" applyAlignment="1">
      <alignment horizontal="right"/>
    </xf>
    <xf numFmtId="0" fontId="1" fillId="0" borderId="7" xfId="0" applyFont="1" applyBorder="1"/>
    <xf numFmtId="168" fontId="1" fillId="0" borderId="7" xfId="0" applyNumberFormat="1" applyFont="1" applyBorder="1" applyAlignment="1">
      <alignment horizontal="right"/>
    </xf>
    <xf numFmtId="169" fontId="0" fillId="0" borderId="14" xfId="0" applyNumberFormat="1" applyBorder="1"/>
    <xf numFmtId="168" fontId="0" fillId="0" borderId="14" xfId="0" applyNumberFormat="1" applyBorder="1"/>
    <xf numFmtId="0" fontId="2" fillId="0" borderId="7" xfId="0" applyFont="1" applyBorder="1"/>
    <xf numFmtId="0" fontId="12" fillId="2" borderId="0" xfId="0" applyFont="1" applyFill="1"/>
    <xf numFmtId="0" fontId="12" fillId="0" borderId="0" xfId="0" applyFont="1"/>
    <xf numFmtId="0" fontId="12" fillId="0" borderId="14" xfId="0" applyFont="1" applyBorder="1"/>
    <xf numFmtId="0" fontId="11" fillId="0" borderId="0" xfId="0" applyFont="1"/>
    <xf numFmtId="0" fontId="11" fillId="0" borderId="14" xfId="0" applyFont="1" applyBorder="1"/>
    <xf numFmtId="168" fontId="0" fillId="0" borderId="15" xfId="0" applyNumberFormat="1" applyBorder="1"/>
    <xf numFmtId="168" fontId="0" fillId="0" borderId="15" xfId="0" applyNumberFormat="1" applyBorder="1" applyAlignment="1">
      <alignment horizontal="right"/>
    </xf>
    <xf numFmtId="168" fontId="0" fillId="0" borderId="17" xfId="0" applyNumberFormat="1" applyBorder="1"/>
    <xf numFmtId="0" fontId="1" fillId="0" borderId="16" xfId="0" applyFont="1" applyBorder="1"/>
    <xf numFmtId="0" fontId="0" fillId="0" borderId="18" xfId="0" applyBorder="1"/>
    <xf numFmtId="168" fontId="0" fillId="0" borderId="3" xfId="0" applyNumberFormat="1" applyBorder="1"/>
    <xf numFmtId="168" fontId="0" fillId="0" borderId="3" xfId="0" applyNumberFormat="1" applyBorder="1" applyAlignment="1">
      <alignment horizontal="right"/>
    </xf>
    <xf numFmtId="0" fontId="2" fillId="0" borderId="19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right"/>
    </xf>
    <xf numFmtId="168" fontId="1" fillId="0" borderId="19" xfId="0" applyNumberFormat="1" applyFont="1" applyBorder="1" applyAlignment="1">
      <alignment horizontal="right"/>
    </xf>
    <xf numFmtId="0" fontId="1" fillId="0" borderId="17" xfId="0" applyFont="1" applyBorder="1"/>
    <xf numFmtId="3" fontId="0" fillId="0" borderId="18" xfId="0" applyNumberFormat="1" applyBorder="1"/>
    <xf numFmtId="168" fontId="0" fillId="0" borderId="18" xfId="0" applyNumberFormat="1" applyBorder="1"/>
    <xf numFmtId="165" fontId="0" fillId="0" borderId="18" xfId="0" applyNumberFormat="1" applyBorder="1"/>
    <xf numFmtId="10" fontId="0" fillId="0" borderId="18" xfId="0" applyNumberFormat="1" applyBorder="1"/>
    <xf numFmtId="0" fontId="2" fillId="0" borderId="20" xfId="0" applyFont="1" applyBorder="1"/>
    <xf numFmtId="165" fontId="0" fillId="0" borderId="0" xfId="0" applyNumberFormat="1" applyAlignment="1">
      <alignment horizontal="right"/>
    </xf>
    <xf numFmtId="170" fontId="1" fillId="0" borderId="0" xfId="0" applyNumberFormat="1" applyFont="1"/>
    <xf numFmtId="170" fontId="0" fillId="0" borderId="0" xfId="0" applyNumberFormat="1"/>
    <xf numFmtId="170" fontId="0" fillId="0" borderId="7" xfId="0" applyNumberFormat="1" applyBorder="1"/>
    <xf numFmtId="170" fontId="1" fillId="0" borderId="7" xfId="0" applyNumberFormat="1" applyFont="1" applyBorder="1"/>
    <xf numFmtId="165" fontId="1" fillId="0" borderId="7" xfId="0" applyNumberFormat="1" applyFont="1" applyBorder="1"/>
    <xf numFmtId="170" fontId="0" fillId="0" borderId="0" xfId="0" applyNumberFormat="1" applyAlignment="1">
      <alignment horizontal="right"/>
    </xf>
    <xf numFmtId="170" fontId="1" fillId="0" borderId="0" xfId="0" applyNumberFormat="1" applyFont="1" applyAlignment="1">
      <alignment horizontal="right"/>
    </xf>
    <xf numFmtId="170" fontId="1" fillId="0" borderId="14" xfId="0" applyNumberFormat="1" applyFont="1" applyBorder="1"/>
    <xf numFmtId="170" fontId="1" fillId="0" borderId="14" xfId="0" applyNumberFormat="1" applyFont="1" applyBorder="1" applyAlignment="1">
      <alignment horizontal="right"/>
    </xf>
    <xf numFmtId="169" fontId="0" fillId="0" borderId="18" xfId="0" applyNumberFormat="1" applyBorder="1"/>
    <xf numFmtId="0" fontId="0" fillId="0" borderId="21" xfId="0" applyBorder="1"/>
    <xf numFmtId="0" fontId="0" fillId="0" borderId="9" xfId="0" applyBorder="1"/>
    <xf numFmtId="10" fontId="0" fillId="0" borderId="9" xfId="0" applyNumberFormat="1" applyBorder="1"/>
    <xf numFmtId="9" fontId="0" fillId="0" borderId="9" xfId="1" applyFont="1" applyBorder="1"/>
    <xf numFmtId="0" fontId="1" fillId="0" borderId="18" xfId="0" applyFont="1" applyBorder="1"/>
    <xf numFmtId="9" fontId="1" fillId="0" borderId="0" xfId="1" applyFont="1"/>
    <xf numFmtId="9" fontId="0" fillId="0" borderId="5" xfId="1" applyFont="1" applyBorder="1"/>
    <xf numFmtId="168" fontId="0" fillId="0" borderId="14" xfId="1" applyNumberFormat="1" applyFont="1" applyBorder="1"/>
    <xf numFmtId="9" fontId="0" fillId="0" borderId="0" xfId="1" applyFont="1" applyFill="1"/>
    <xf numFmtId="9" fontId="1" fillId="0" borderId="0" xfId="1" applyFont="1" applyFill="1"/>
    <xf numFmtId="9" fontId="0" fillId="0" borderId="9" xfId="1" applyFont="1" applyFill="1" applyBorder="1"/>
    <xf numFmtId="0" fontId="0" fillId="0" borderId="13" xfId="0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169" fontId="0" fillId="0" borderId="22" xfId="0" applyNumberFormat="1" applyBorder="1"/>
    <xf numFmtId="0" fontId="0" fillId="0" borderId="22" xfId="0" applyBorder="1"/>
    <xf numFmtId="170" fontId="0" fillId="0" borderId="22" xfId="0" applyNumberFormat="1" applyBorder="1" applyAlignment="1">
      <alignment horizontal="right"/>
    </xf>
    <xf numFmtId="170" fontId="1" fillId="0" borderId="25" xfId="0" applyNumberFormat="1" applyFont="1" applyBorder="1"/>
    <xf numFmtId="169" fontId="1" fillId="0" borderId="22" xfId="0" applyNumberFormat="1" applyFont="1" applyBorder="1"/>
    <xf numFmtId="170" fontId="1" fillId="0" borderId="29" xfId="0" applyNumberFormat="1" applyFont="1" applyBorder="1" applyAlignment="1">
      <alignment horizontal="right"/>
    </xf>
    <xf numFmtId="170" fontId="0" fillId="0" borderId="22" xfId="0" applyNumberFormat="1" applyBorder="1"/>
    <xf numFmtId="170" fontId="0" fillId="0" borderId="25" xfId="0" applyNumberFormat="1" applyBorder="1"/>
    <xf numFmtId="168" fontId="0" fillId="0" borderId="22" xfId="0" applyNumberFormat="1" applyBorder="1"/>
    <xf numFmtId="169" fontId="1" fillId="0" borderId="25" xfId="0" applyNumberFormat="1" applyFont="1" applyBorder="1"/>
    <xf numFmtId="170" fontId="1" fillId="0" borderId="26" xfId="0" applyNumberFormat="1" applyFont="1" applyBorder="1"/>
    <xf numFmtId="0" fontId="0" fillId="0" borderId="2" xfId="0" applyBorder="1" applyAlignment="1">
      <alignment horizontal="right"/>
    </xf>
    <xf numFmtId="168" fontId="0" fillId="0" borderId="2" xfId="0" applyNumberFormat="1" applyBorder="1"/>
    <xf numFmtId="170" fontId="1" fillId="0" borderId="22" xfId="0" applyNumberFormat="1" applyFont="1" applyBorder="1"/>
    <xf numFmtId="165" fontId="1" fillId="0" borderId="25" xfId="0" applyNumberFormat="1" applyFont="1" applyBorder="1"/>
    <xf numFmtId="168" fontId="0" fillId="0" borderId="0" xfId="1" applyNumberFormat="1" applyFont="1" applyFill="1"/>
    <xf numFmtId="170" fontId="0" fillId="0" borderId="5" xfId="0" applyNumberFormat="1" applyBorder="1" applyAlignment="1">
      <alignment horizontal="right"/>
    </xf>
    <xf numFmtId="170" fontId="0" fillId="0" borderId="5" xfId="0" applyNumberFormat="1" applyBorder="1"/>
    <xf numFmtId="170" fontId="0" fillId="0" borderId="24" xfId="0" applyNumberFormat="1" applyBorder="1"/>
    <xf numFmtId="170" fontId="1" fillId="0" borderId="2" xfId="0" applyNumberFormat="1" applyFont="1" applyBorder="1"/>
    <xf numFmtId="170" fontId="0" fillId="0" borderId="27" xfId="0" applyNumberFormat="1" applyBorder="1"/>
    <xf numFmtId="170" fontId="5" fillId="0" borderId="0" xfId="0" applyNumberFormat="1" applyFont="1"/>
    <xf numFmtId="170" fontId="0" fillId="0" borderId="1" xfId="0" applyNumberFormat="1" applyBorder="1" applyAlignment="1">
      <alignment horizontal="right"/>
    </xf>
    <xf numFmtId="170" fontId="0" fillId="0" borderId="23" xfId="0" applyNumberFormat="1" applyBorder="1" applyAlignment="1">
      <alignment horizontal="right"/>
    </xf>
    <xf numFmtId="170" fontId="4" fillId="0" borderId="5" xfId="0" applyNumberFormat="1" applyFont="1" applyBorder="1"/>
    <xf numFmtId="170" fontId="4" fillId="0" borderId="24" xfId="0" applyNumberFormat="1" applyFont="1" applyBorder="1"/>
    <xf numFmtId="170" fontId="6" fillId="0" borderId="0" xfId="0" applyNumberFormat="1" applyFont="1"/>
    <xf numFmtId="170" fontId="1" fillId="0" borderId="22" xfId="0" applyNumberFormat="1" applyFont="1" applyBorder="1" applyAlignment="1">
      <alignment horizontal="right"/>
    </xf>
    <xf numFmtId="170" fontId="0" fillId="0" borderId="7" xfId="0" applyNumberFormat="1" applyBorder="1" applyAlignment="1">
      <alignment horizontal="right"/>
    </xf>
    <xf numFmtId="170" fontId="0" fillId="0" borderId="25" xfId="0" applyNumberFormat="1" applyBorder="1" applyAlignment="1">
      <alignment horizontal="right"/>
    </xf>
    <xf numFmtId="170" fontId="5" fillId="0" borderId="22" xfId="0" applyNumberFormat="1" applyFont="1" applyBorder="1"/>
    <xf numFmtId="170" fontId="4" fillId="0" borderId="7" xfId="0" applyNumberFormat="1" applyFont="1" applyBorder="1"/>
    <xf numFmtId="170" fontId="4" fillId="0" borderId="25" xfId="0" applyNumberFormat="1" applyFont="1" applyBorder="1"/>
    <xf numFmtId="170" fontId="4" fillId="0" borderId="0" xfId="0" applyNumberFormat="1" applyFont="1"/>
    <xf numFmtId="170" fontId="5" fillId="0" borderId="7" xfId="0" applyNumberFormat="1" applyFont="1" applyBorder="1"/>
    <xf numFmtId="170" fontId="1" fillId="0" borderId="5" xfId="0" applyNumberFormat="1" applyFont="1" applyBorder="1"/>
    <xf numFmtId="170" fontId="1" fillId="0" borderId="24" xfId="0" applyNumberFormat="1" applyFont="1" applyBorder="1"/>
    <xf numFmtId="170" fontId="14" fillId="0" borderId="0" xfId="0" applyNumberFormat="1" applyFont="1"/>
    <xf numFmtId="168" fontId="1" fillId="0" borderId="0" xfId="1" applyNumberFormat="1" applyFont="1"/>
    <xf numFmtId="168" fontId="1" fillId="0" borderId="0" xfId="1" applyNumberFormat="1" applyFont="1" applyFill="1"/>
    <xf numFmtId="168" fontId="0" fillId="0" borderId="9" xfId="0" applyNumberFormat="1" applyBorder="1"/>
    <xf numFmtId="167" fontId="0" fillId="0" borderId="2" xfId="0" applyNumberFormat="1" applyBorder="1"/>
    <xf numFmtId="0" fontId="0" fillId="0" borderId="30" xfId="0" applyBorder="1"/>
    <xf numFmtId="0" fontId="0" fillId="0" borderId="30" xfId="0" applyBorder="1" applyAlignment="1">
      <alignment horizontal="right"/>
    </xf>
    <xf numFmtId="171" fontId="0" fillId="0" borderId="0" xfId="0" applyNumberFormat="1"/>
    <xf numFmtId="0" fontId="15" fillId="0" borderId="0" xfId="0" applyFont="1"/>
    <xf numFmtId="9" fontId="0" fillId="0" borderId="0" xfId="0" applyNumberFormat="1"/>
    <xf numFmtId="0" fontId="16" fillId="0" borderId="0" xfId="0" applyFont="1"/>
    <xf numFmtId="0" fontId="0" fillId="0" borderId="2" xfId="0" applyBorder="1"/>
    <xf numFmtId="0" fontId="0" fillId="0" borderId="26" xfId="0" applyBorder="1"/>
    <xf numFmtId="2" fontId="0" fillId="0" borderId="22" xfId="0" applyNumberFormat="1" applyBorder="1"/>
    <xf numFmtId="2" fontId="0" fillId="0" borderId="23" xfId="0" applyNumberFormat="1" applyBorder="1"/>
    <xf numFmtId="165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1" fillId="0" borderId="31" xfId="0" applyFont="1" applyBorder="1"/>
    <xf numFmtId="172" fontId="0" fillId="0" borderId="0" xfId="0" applyNumberFormat="1"/>
    <xf numFmtId="170" fontId="1" fillId="0" borderId="1" xfId="0" applyNumberFormat="1" applyFont="1" applyBorder="1"/>
    <xf numFmtId="172" fontId="0" fillId="0" borderId="1" xfId="0" applyNumberFormat="1" applyBorder="1"/>
    <xf numFmtId="2" fontId="0" fillId="0" borderId="1" xfId="0" applyNumberFormat="1" applyBorder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165" fontId="0" fillId="0" borderId="1" xfId="0" applyNumberFormat="1" applyBorder="1"/>
    <xf numFmtId="169" fontId="0" fillId="0" borderId="1" xfId="0" applyNumberFormat="1" applyBorder="1"/>
    <xf numFmtId="169" fontId="1" fillId="0" borderId="1" xfId="0" applyNumberFormat="1" applyFont="1" applyBorder="1"/>
    <xf numFmtId="10" fontId="1" fillId="0" borderId="0" xfId="0" applyNumberFormat="1" applyFont="1"/>
    <xf numFmtId="170" fontId="0" fillId="0" borderId="1" xfId="0" applyNumberFormat="1" applyBorder="1"/>
    <xf numFmtId="0" fontId="0" fillId="0" borderId="1" xfId="0" applyBorder="1" applyAlignment="1">
      <alignment wrapText="1"/>
    </xf>
    <xf numFmtId="165" fontId="1" fillId="0" borderId="1" xfId="0" applyNumberFormat="1" applyFont="1" applyBorder="1"/>
    <xf numFmtId="0" fontId="13" fillId="0" borderId="3" xfId="0" applyFont="1" applyBorder="1"/>
    <xf numFmtId="173" fontId="0" fillId="0" borderId="0" xfId="0" applyNumberFormat="1"/>
    <xf numFmtId="170" fontId="9" fillId="0" borderId="0" xfId="0" applyNumberFormat="1" applyFont="1"/>
    <xf numFmtId="170" fontId="0" fillId="0" borderId="14" xfId="0" applyNumberFormat="1" applyBorder="1"/>
    <xf numFmtId="170" fontId="0" fillId="0" borderId="15" xfId="0" applyNumberFormat="1" applyBorder="1" applyAlignment="1">
      <alignment horizontal="right"/>
    </xf>
    <xf numFmtId="170" fontId="0" fillId="0" borderId="28" xfId="0" applyNumberFormat="1" applyBorder="1" applyAlignment="1">
      <alignment horizontal="right"/>
    </xf>
    <xf numFmtId="170" fontId="9" fillId="0" borderId="14" xfId="0" applyNumberFormat="1" applyFont="1" applyBorder="1"/>
    <xf numFmtId="170" fontId="2" fillId="0" borderId="0" xfId="0" applyNumberFormat="1" applyFont="1"/>
    <xf numFmtId="169" fontId="0" fillId="0" borderId="15" xfId="0" applyNumberFormat="1" applyBorder="1"/>
    <xf numFmtId="169" fontId="0" fillId="0" borderId="28" xfId="0" applyNumberFormat="1" applyBorder="1"/>
    <xf numFmtId="170" fontId="2" fillId="0" borderId="22" xfId="0" applyNumberFormat="1" applyFont="1" applyBorder="1"/>
    <xf numFmtId="170" fontId="0" fillId="0" borderId="14" xfId="0" applyNumberFormat="1" applyBorder="1" applyAlignment="1">
      <alignment horizontal="right"/>
    </xf>
    <xf numFmtId="169" fontId="0" fillId="0" borderId="29" xfId="0" applyNumberFormat="1" applyBorder="1"/>
    <xf numFmtId="170" fontId="0" fillId="0" borderId="29" xfId="0" applyNumberFormat="1" applyBorder="1"/>
    <xf numFmtId="0" fontId="9" fillId="0" borderId="11" xfId="0" applyFont="1" applyBorder="1"/>
    <xf numFmtId="0" fontId="9" fillId="0" borderId="10" xfId="0" applyFont="1" applyBorder="1"/>
    <xf numFmtId="0" fontId="2" fillId="0" borderId="34" xfId="0" applyFont="1" applyBorder="1"/>
    <xf numFmtId="0" fontId="2" fillId="0" borderId="35" xfId="0" applyFont="1" applyBorder="1"/>
    <xf numFmtId="0" fontId="9" fillId="0" borderId="36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I20" sqref="I20"/>
    </sheetView>
  </sheetViews>
  <sheetFormatPr defaultRowHeight="14.5" x14ac:dyDescent="0.35"/>
  <cols>
    <col min="1" max="1" width="10.81640625" bestFit="1" customWidth="1"/>
    <col min="2" max="2" width="17.7265625" customWidth="1"/>
    <col min="8" max="8" width="10.81640625" bestFit="1" customWidth="1"/>
    <col min="10" max="10" width="15.1796875" bestFit="1" customWidth="1"/>
  </cols>
  <sheetData>
    <row r="1" spans="1:7" x14ac:dyDescent="0.35">
      <c r="A1" t="s">
        <v>0</v>
      </c>
    </row>
    <row r="3" spans="1:7" x14ac:dyDescent="0.35">
      <c r="B3" s="3" t="s">
        <v>1</v>
      </c>
      <c r="C3" s="3">
        <v>2021</v>
      </c>
      <c r="D3" s="3">
        <v>2022</v>
      </c>
      <c r="E3" s="3">
        <v>2023</v>
      </c>
      <c r="F3" s="3">
        <v>2024</v>
      </c>
    </row>
    <row r="4" spans="1:7" x14ac:dyDescent="0.35">
      <c r="B4" s="4" t="s">
        <v>2</v>
      </c>
      <c r="C4" s="9">
        <v>1041</v>
      </c>
      <c r="D4" s="2">
        <f>C8</f>
        <v>968</v>
      </c>
      <c r="E4" s="9">
        <f>D8</f>
        <v>1061</v>
      </c>
      <c r="F4" s="2">
        <f>E8</f>
        <v>1148</v>
      </c>
      <c r="G4" t="s">
        <v>3</v>
      </c>
    </row>
    <row r="5" spans="1:7" x14ac:dyDescent="0.35">
      <c r="B5" t="s">
        <v>4</v>
      </c>
      <c r="C5">
        <v>70</v>
      </c>
      <c r="D5">
        <v>136</v>
      </c>
      <c r="E5">
        <v>147</v>
      </c>
      <c r="F5">
        <v>164</v>
      </c>
    </row>
    <row r="6" spans="1:7" x14ac:dyDescent="0.35">
      <c r="B6" t="s">
        <v>5</v>
      </c>
      <c r="C6">
        <v>-78</v>
      </c>
      <c r="D6">
        <v>-57</v>
      </c>
      <c r="E6">
        <v>-82</v>
      </c>
      <c r="F6">
        <v>-116</v>
      </c>
    </row>
    <row r="7" spans="1:7" x14ac:dyDescent="0.35">
      <c r="B7" t="s">
        <v>6</v>
      </c>
      <c r="C7">
        <f>C8-SUM(C4:C6)</f>
        <v>-65</v>
      </c>
      <c r="D7">
        <f>D8-SUM(D4:D6)</f>
        <v>14</v>
      </c>
      <c r="E7">
        <f t="shared" ref="E7:F7" si="0">E8-SUM(E4:E6)</f>
        <v>22</v>
      </c>
      <c r="F7">
        <f t="shared" si="0"/>
        <v>-67</v>
      </c>
    </row>
    <row r="8" spans="1:7" x14ac:dyDescent="0.35">
      <c r="B8" s="7" t="s">
        <v>7</v>
      </c>
      <c r="C8" s="10">
        <v>968</v>
      </c>
      <c r="D8" s="10">
        <v>1061</v>
      </c>
      <c r="E8" s="10">
        <v>1148</v>
      </c>
      <c r="F8" s="10">
        <v>1129</v>
      </c>
    </row>
    <row r="10" spans="1:7" ht="16.5" customHeight="1" x14ac:dyDescent="0.35">
      <c r="B10" s="5" t="s">
        <v>8</v>
      </c>
      <c r="C10" s="3">
        <v>2021</v>
      </c>
      <c r="D10" s="3">
        <v>2022</v>
      </c>
      <c r="E10" s="3">
        <v>2023</v>
      </c>
      <c r="F10" s="3">
        <v>2024</v>
      </c>
    </row>
    <row r="11" spans="1:7" x14ac:dyDescent="0.35">
      <c r="B11" s="2" t="s">
        <v>2</v>
      </c>
      <c r="C11" s="2">
        <v>746</v>
      </c>
      <c r="D11" s="2">
        <f>C15</f>
        <v>688</v>
      </c>
      <c r="E11" s="2">
        <f>D15</f>
        <v>739</v>
      </c>
      <c r="F11" s="2">
        <f>E15</f>
        <v>772</v>
      </c>
    </row>
    <row r="12" spans="1:7" x14ac:dyDescent="0.35">
      <c r="B12" t="s">
        <v>9</v>
      </c>
      <c r="C12">
        <v>71</v>
      </c>
      <c r="D12">
        <v>86</v>
      </c>
      <c r="E12">
        <v>95</v>
      </c>
      <c r="F12">
        <v>103</v>
      </c>
    </row>
    <row r="13" spans="1:7" x14ac:dyDescent="0.35">
      <c r="B13" t="s">
        <v>5</v>
      </c>
      <c r="C13">
        <v>-74</v>
      </c>
      <c r="D13">
        <v>-55</v>
      </c>
      <c r="E13">
        <v>-82</v>
      </c>
      <c r="F13">
        <v>-116</v>
      </c>
    </row>
    <row r="14" spans="1:7" x14ac:dyDescent="0.35">
      <c r="B14" t="s">
        <v>6</v>
      </c>
      <c r="C14">
        <f>C15-SUM(C11:C13)</f>
        <v>-55</v>
      </c>
      <c r="D14">
        <f t="shared" ref="D14:F14" si="1">D15-SUM(D11:D13)</f>
        <v>20</v>
      </c>
      <c r="E14">
        <f t="shared" si="1"/>
        <v>20</v>
      </c>
      <c r="F14">
        <f t="shared" si="1"/>
        <v>-36</v>
      </c>
    </row>
    <row r="15" spans="1:7" x14ac:dyDescent="0.35">
      <c r="B15" s="6" t="s">
        <v>7</v>
      </c>
      <c r="C15" s="6">
        <v>688</v>
      </c>
      <c r="D15" s="6">
        <v>739</v>
      </c>
      <c r="E15" s="6">
        <v>772</v>
      </c>
      <c r="F15" s="6">
        <v>723</v>
      </c>
    </row>
    <row r="17" spans="2:9" ht="15" customHeight="1" x14ac:dyDescent="0.35">
      <c r="B17" s="5" t="s">
        <v>10</v>
      </c>
      <c r="C17" s="3">
        <v>2021</v>
      </c>
      <c r="D17" s="3">
        <v>2022</v>
      </c>
      <c r="E17" s="3">
        <v>2023</v>
      </c>
      <c r="F17" s="3">
        <v>2024</v>
      </c>
    </row>
    <row r="18" spans="2:9" x14ac:dyDescent="0.35">
      <c r="B18" t="s">
        <v>2</v>
      </c>
      <c r="C18">
        <f>C4-C11</f>
        <v>295</v>
      </c>
      <c r="D18">
        <f t="shared" ref="D18:F18" si="2">D4-D11</f>
        <v>280</v>
      </c>
      <c r="E18">
        <f t="shared" si="2"/>
        <v>322</v>
      </c>
      <c r="F18">
        <f t="shared" si="2"/>
        <v>376</v>
      </c>
    </row>
    <row r="19" spans="2:9" x14ac:dyDescent="0.35">
      <c r="B19" t="s">
        <v>7</v>
      </c>
      <c r="C19">
        <f>C8-C15</f>
        <v>280</v>
      </c>
      <c r="D19">
        <f t="shared" ref="D19:F19" si="3">D8-D15</f>
        <v>322</v>
      </c>
      <c r="E19">
        <f t="shared" si="3"/>
        <v>376</v>
      </c>
      <c r="F19">
        <f t="shared" si="3"/>
        <v>406</v>
      </c>
    </row>
    <row r="21" spans="2:9" x14ac:dyDescent="0.35">
      <c r="B21" s="3" t="s">
        <v>11</v>
      </c>
      <c r="C21" s="3">
        <v>2021</v>
      </c>
      <c r="D21" s="3">
        <v>2022</v>
      </c>
      <c r="E21" s="3">
        <v>2023</v>
      </c>
      <c r="F21" s="3">
        <v>2024</v>
      </c>
    </row>
    <row r="22" spans="2:9" ht="15" customHeight="1" x14ac:dyDescent="0.35">
      <c r="B22" s="1" t="s">
        <v>12</v>
      </c>
      <c r="C22" s="11">
        <f>C5/C4</f>
        <v>6.7243035542747354E-2</v>
      </c>
      <c r="D22" s="11">
        <f t="shared" ref="D22:F22" si="4">D5/D4</f>
        <v>0.14049586776859505</v>
      </c>
      <c r="E22" s="11">
        <f t="shared" si="4"/>
        <v>0.13854853911404336</v>
      </c>
      <c r="F22" s="11">
        <f t="shared" si="4"/>
        <v>0.14285714285714285</v>
      </c>
    </row>
    <row r="23" spans="2:9" x14ac:dyDescent="0.35">
      <c r="B23" t="s">
        <v>13</v>
      </c>
      <c r="C23" s="11">
        <f>-C6/C4</f>
        <v>7.492795389048991E-2</v>
      </c>
      <c r="D23" s="11">
        <f t="shared" ref="D23:F23" si="5">-D6/D4</f>
        <v>5.8884297520661155E-2</v>
      </c>
      <c r="E23" s="11">
        <f t="shared" si="5"/>
        <v>7.7285579641847318E-2</v>
      </c>
      <c r="F23" s="11">
        <f t="shared" si="5"/>
        <v>0.10104529616724739</v>
      </c>
    </row>
    <row r="24" spans="2:9" x14ac:dyDescent="0.35">
      <c r="B24" t="s">
        <v>14</v>
      </c>
      <c r="C24" s="11">
        <f>C7/C4</f>
        <v>-6.2439961575408258E-2</v>
      </c>
      <c r="D24" s="11">
        <f t="shared" ref="D24:F24" si="6">D7/D4</f>
        <v>1.4462809917355372E-2</v>
      </c>
      <c r="E24" s="11">
        <f t="shared" si="6"/>
        <v>2.0735155513666354E-2</v>
      </c>
      <c r="F24" s="11">
        <f t="shared" si="6"/>
        <v>-5.8362369337979093E-2</v>
      </c>
    </row>
    <row r="25" spans="2:9" ht="14.25" customHeight="1" x14ac:dyDescent="0.35">
      <c r="B25" s="1" t="s">
        <v>15</v>
      </c>
      <c r="C25" s="8">
        <f>C5/C12</f>
        <v>0.9859154929577465</v>
      </c>
      <c r="D25" s="8">
        <f t="shared" ref="D25:F25" si="7">D5/D12</f>
        <v>1.5813953488372092</v>
      </c>
      <c r="E25" s="8">
        <f t="shared" si="7"/>
        <v>1.5473684210526315</v>
      </c>
      <c r="F25" s="8">
        <f t="shared" si="7"/>
        <v>1.5922330097087378</v>
      </c>
    </row>
    <row r="29" spans="2:9" x14ac:dyDescent="0.35">
      <c r="B29" s="3"/>
      <c r="C29" s="3"/>
      <c r="D29" s="3"/>
      <c r="E29" s="3">
        <v>2023</v>
      </c>
      <c r="F29" s="3">
        <v>2024</v>
      </c>
      <c r="G29" s="12" t="s">
        <v>16</v>
      </c>
      <c r="H29" s="12" t="s">
        <v>17</v>
      </c>
      <c r="I29" s="12" t="s">
        <v>18</v>
      </c>
    </row>
    <row r="30" spans="2:9" x14ac:dyDescent="0.35">
      <c r="B30" s="2" t="s">
        <v>19</v>
      </c>
      <c r="C30" s="2"/>
      <c r="D30" s="2"/>
      <c r="E30" s="9">
        <v>3094</v>
      </c>
      <c r="F30" s="9">
        <v>2968</v>
      </c>
      <c r="G30" s="2"/>
      <c r="H30" s="2"/>
      <c r="I30" s="2"/>
    </row>
    <row r="32" spans="2:9" x14ac:dyDescent="0.35">
      <c r="B32" s="3"/>
      <c r="C32" s="12">
        <v>2021</v>
      </c>
      <c r="D32" s="12">
        <v>2022</v>
      </c>
      <c r="E32" s="12">
        <v>2023</v>
      </c>
      <c r="F32" s="12">
        <v>2024</v>
      </c>
      <c r="G32" s="12" t="s">
        <v>16</v>
      </c>
      <c r="H32" s="12" t="s">
        <v>17</v>
      </c>
      <c r="I32" s="12" t="s">
        <v>18</v>
      </c>
    </row>
    <row r="33" spans="2:10" x14ac:dyDescent="0.35">
      <c r="B33" s="2" t="s">
        <v>2</v>
      </c>
      <c r="C33" s="9">
        <v>1041</v>
      </c>
      <c r="D33" s="2">
        <v>968</v>
      </c>
      <c r="E33" s="9">
        <v>1061</v>
      </c>
      <c r="F33" s="9">
        <v>1148</v>
      </c>
      <c r="G33" s="9">
        <v>1129</v>
      </c>
      <c r="H33" s="14">
        <v>1174.2</v>
      </c>
      <c r="I33" s="14">
        <v>1221.2</v>
      </c>
    </row>
    <row r="34" spans="2:10" x14ac:dyDescent="0.35">
      <c r="B34" t="s">
        <v>20</v>
      </c>
      <c r="C34">
        <v>70</v>
      </c>
      <c r="D34">
        <v>136</v>
      </c>
      <c r="E34">
        <v>147</v>
      </c>
      <c r="F34">
        <v>164</v>
      </c>
      <c r="G34" s="15">
        <f>0.11*G33</f>
        <v>124.19</v>
      </c>
      <c r="H34" s="15">
        <f t="shared" ref="H34:I34" si="8">0.11*H33</f>
        <v>129.16200000000001</v>
      </c>
      <c r="I34" s="15">
        <f t="shared" si="8"/>
        <v>134.33199999999999</v>
      </c>
      <c r="J34" t="s">
        <v>21</v>
      </c>
    </row>
    <row r="35" spans="2:10" x14ac:dyDescent="0.35">
      <c r="B35" t="s">
        <v>22</v>
      </c>
      <c r="C35">
        <v>-78</v>
      </c>
      <c r="D35">
        <v>-57</v>
      </c>
      <c r="E35">
        <v>-82</v>
      </c>
      <c r="F35">
        <v>-116</v>
      </c>
      <c r="G35" s="15">
        <f>-0.07*G33</f>
        <v>-79.03</v>
      </c>
      <c r="H35" s="15">
        <f>-0.07*H33</f>
        <v>-82.194000000000017</v>
      </c>
      <c r="I35" s="15">
        <f>-0.07*I33</f>
        <v>-85.484000000000009</v>
      </c>
      <c r="J35" t="s">
        <v>23</v>
      </c>
    </row>
    <row r="36" spans="2:10" x14ac:dyDescent="0.35">
      <c r="B36" t="s">
        <v>24</v>
      </c>
      <c r="C36">
        <v>-65</v>
      </c>
      <c r="D36">
        <v>14</v>
      </c>
      <c r="E36">
        <v>22</v>
      </c>
      <c r="F36">
        <v>-67</v>
      </c>
    </row>
    <row r="37" spans="2:10" x14ac:dyDescent="0.35">
      <c r="B37" s="6" t="s">
        <v>7</v>
      </c>
      <c r="C37" s="6">
        <v>968</v>
      </c>
      <c r="D37" s="10">
        <v>1061</v>
      </c>
      <c r="E37" s="10">
        <v>1148</v>
      </c>
      <c r="F37" s="10">
        <v>1129</v>
      </c>
      <c r="G37" s="13">
        <v>1174.2</v>
      </c>
      <c r="H37" s="13">
        <v>1221.2</v>
      </c>
      <c r="I37" s="10">
        <v>1270</v>
      </c>
    </row>
    <row r="39" spans="2:10" x14ac:dyDescent="0.35">
      <c r="B39" t="s">
        <v>2</v>
      </c>
      <c r="C39">
        <v>746</v>
      </c>
      <c r="D39">
        <v>688</v>
      </c>
      <c r="E39">
        <v>739</v>
      </c>
      <c r="F39">
        <v>772</v>
      </c>
      <c r="G39" s="2">
        <v>723</v>
      </c>
      <c r="H39" s="2">
        <v>734.3</v>
      </c>
      <c r="I39" s="2">
        <v>746</v>
      </c>
    </row>
    <row r="40" spans="2:10" x14ac:dyDescent="0.35">
      <c r="B40" t="s">
        <v>25</v>
      </c>
      <c r="C40">
        <v>71</v>
      </c>
      <c r="D40">
        <v>86</v>
      </c>
      <c r="E40">
        <v>95</v>
      </c>
      <c r="F40">
        <v>103</v>
      </c>
      <c r="G40" s="15">
        <f>0.08*G33</f>
        <v>90.320000000000007</v>
      </c>
      <c r="H40" s="15">
        <f t="shared" ref="H40:I40" si="9">0.08*H33</f>
        <v>93.936000000000007</v>
      </c>
      <c r="I40" s="15">
        <f t="shared" si="9"/>
        <v>97.696000000000012</v>
      </c>
      <c r="J40" t="s">
        <v>26</v>
      </c>
    </row>
    <row r="41" spans="2:10" x14ac:dyDescent="0.35">
      <c r="B41" t="s">
        <v>5</v>
      </c>
      <c r="C41">
        <v>-74</v>
      </c>
      <c r="D41">
        <v>-55</v>
      </c>
      <c r="E41">
        <v>-82</v>
      </c>
      <c r="F41">
        <v>-116</v>
      </c>
      <c r="G41" s="15">
        <f>-0.07*G33</f>
        <v>-79.03</v>
      </c>
      <c r="H41" s="15">
        <f t="shared" ref="H41:I41" si="10">-0.07*H33</f>
        <v>-82.194000000000017</v>
      </c>
      <c r="I41" s="15">
        <f t="shared" si="10"/>
        <v>-85.484000000000009</v>
      </c>
      <c r="J41" t="s">
        <v>23</v>
      </c>
    </row>
    <row r="42" spans="2:10" x14ac:dyDescent="0.35">
      <c r="B42" t="s">
        <v>24</v>
      </c>
      <c r="C42">
        <v>-55</v>
      </c>
      <c r="D42">
        <v>20</v>
      </c>
      <c r="E42">
        <v>20</v>
      </c>
      <c r="F42">
        <v>-36</v>
      </c>
    </row>
    <row r="43" spans="2:10" x14ac:dyDescent="0.35">
      <c r="B43" s="6" t="s">
        <v>7</v>
      </c>
      <c r="C43" s="6">
        <v>688</v>
      </c>
      <c r="D43" s="6">
        <v>739</v>
      </c>
      <c r="E43" s="6">
        <v>772</v>
      </c>
      <c r="F43" s="6">
        <v>723</v>
      </c>
      <c r="G43" s="6">
        <v>734.3</v>
      </c>
      <c r="H43" s="6">
        <v>746</v>
      </c>
      <c r="I43" s="6">
        <v>758.2</v>
      </c>
    </row>
    <row r="45" spans="2:10" x14ac:dyDescent="0.35">
      <c r="B45" t="s">
        <v>27</v>
      </c>
      <c r="C45">
        <v>280</v>
      </c>
      <c r="D45">
        <v>322</v>
      </c>
      <c r="E45">
        <v>376</v>
      </c>
      <c r="F45">
        <v>406</v>
      </c>
      <c r="G45" s="16">
        <f>G37-G43</f>
        <v>439.90000000000009</v>
      </c>
      <c r="H45" s="16">
        <f>H37-H43</f>
        <v>475.20000000000005</v>
      </c>
      <c r="I45" s="17">
        <f>I37-I43</f>
        <v>511.79999999999995</v>
      </c>
    </row>
    <row r="47" spans="2:10" x14ac:dyDescent="0.35">
      <c r="B47" s="12"/>
      <c r="C47" s="12">
        <v>2021</v>
      </c>
      <c r="D47" s="12">
        <v>2022</v>
      </c>
      <c r="E47" s="12">
        <v>2023</v>
      </c>
      <c r="F47" s="12">
        <v>2024</v>
      </c>
      <c r="G47" s="12" t="s">
        <v>28</v>
      </c>
      <c r="H47" s="12" t="s">
        <v>17</v>
      </c>
      <c r="I47" s="12" t="s">
        <v>18</v>
      </c>
    </row>
    <row r="48" spans="2:10" x14ac:dyDescent="0.35">
      <c r="B48" t="s">
        <v>29</v>
      </c>
    </row>
    <row r="49" spans="2:9" x14ac:dyDescent="0.35">
      <c r="B49" t="s">
        <v>12</v>
      </c>
      <c r="C49" s="11">
        <f>C34/C33</f>
        <v>6.7243035542747354E-2</v>
      </c>
      <c r="D49" s="11">
        <f t="shared" ref="D49:F49" si="11">D34/D33</f>
        <v>0.14049586776859505</v>
      </c>
      <c r="E49" s="11">
        <f t="shared" si="11"/>
        <v>0.13854853911404336</v>
      </c>
      <c r="F49" s="11">
        <f t="shared" si="11"/>
        <v>0.14285714285714285</v>
      </c>
      <c r="G49" s="11">
        <f>G34/G33</f>
        <v>0.11</v>
      </c>
      <c r="H49" s="11">
        <v>0.11</v>
      </c>
      <c r="I49" s="11">
        <v>0.11</v>
      </c>
    </row>
    <row r="50" spans="2:9" x14ac:dyDescent="0.35">
      <c r="B50" t="s">
        <v>15</v>
      </c>
      <c r="C50" s="8">
        <f>C34/C40</f>
        <v>0.9859154929577465</v>
      </c>
      <c r="D50" s="8">
        <f t="shared" ref="D50:F50" si="12">D34/D40</f>
        <v>1.5813953488372092</v>
      </c>
      <c r="E50" s="8">
        <f t="shared" si="12"/>
        <v>1.5473684210526315</v>
      </c>
      <c r="F50" s="8">
        <f t="shared" si="12"/>
        <v>1.5922330097087378</v>
      </c>
    </row>
    <row r="51" spans="2:9" x14ac:dyDescent="0.35">
      <c r="B51" t="s">
        <v>13</v>
      </c>
      <c r="C51" s="11">
        <f>-C35/C33</f>
        <v>7.492795389048991E-2</v>
      </c>
      <c r="D51" s="11">
        <f t="shared" ref="D51:F51" si="13">-D35/D33</f>
        <v>5.8884297520661155E-2</v>
      </c>
      <c r="E51" s="11">
        <f t="shared" si="13"/>
        <v>7.7285579641847318E-2</v>
      </c>
      <c r="F51" s="11">
        <f t="shared" si="13"/>
        <v>0.10104529616724739</v>
      </c>
      <c r="G51" s="11">
        <v>7.0000000000000007E-2</v>
      </c>
      <c r="H51" s="11">
        <v>7.0000000000000007E-2</v>
      </c>
      <c r="I51" s="11">
        <v>7.0000000000000007E-2</v>
      </c>
    </row>
    <row r="52" spans="2:9" ht="16.5" customHeight="1" x14ac:dyDescent="0.35">
      <c r="B52" s="1" t="s">
        <v>30</v>
      </c>
      <c r="C52" s="11">
        <f>C40/C33</f>
        <v>6.8203650336215171E-2</v>
      </c>
      <c r="D52" s="11">
        <f t="shared" ref="D52:F52" si="14">D40/D33</f>
        <v>8.8842975206611566E-2</v>
      </c>
      <c r="E52" s="11">
        <f t="shared" si="14"/>
        <v>8.9538171536286529E-2</v>
      </c>
      <c r="F52" s="11">
        <f t="shared" si="14"/>
        <v>8.9721254355400695E-2</v>
      </c>
      <c r="G52" s="11">
        <f>G40/G33</f>
        <v>0.08</v>
      </c>
      <c r="H52" s="11">
        <f t="shared" ref="H52:I52" si="15">H40/H33</f>
        <v>0.08</v>
      </c>
      <c r="I52" s="11">
        <f t="shared" si="15"/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6691-3DAD-4A85-B4C9-91A80CD7D733}">
  <dimension ref="A1:R258"/>
  <sheetViews>
    <sheetView topLeftCell="A56" zoomScale="42" zoomScaleNormal="55" workbookViewId="0">
      <selection activeCell="C126" sqref="C126"/>
    </sheetView>
  </sheetViews>
  <sheetFormatPr defaultRowHeight="14.5" x14ac:dyDescent="0.35"/>
  <cols>
    <col min="1" max="1" width="65.453125" customWidth="1"/>
    <col min="2" max="2" width="13.7265625" bestFit="1" customWidth="1"/>
    <col min="3" max="3" width="18.7265625" bestFit="1" customWidth="1"/>
    <col min="4" max="4" width="14.1796875" bestFit="1" customWidth="1"/>
    <col min="5" max="5" width="12.81640625" bestFit="1" customWidth="1"/>
    <col min="6" max="6" width="12.453125" customWidth="1"/>
    <col min="7" max="7" width="13" bestFit="1" customWidth="1"/>
    <col min="8" max="8" width="14" bestFit="1" customWidth="1"/>
    <col min="9" max="9" width="13" bestFit="1" customWidth="1"/>
    <col min="10" max="10" width="14" bestFit="1" customWidth="1"/>
    <col min="11" max="11" width="9.81640625" bestFit="1" customWidth="1"/>
    <col min="12" max="12" width="10.1796875" customWidth="1"/>
    <col min="13" max="13" width="9.81640625" bestFit="1" customWidth="1"/>
    <col min="14" max="14" width="10.81640625" customWidth="1"/>
    <col min="15" max="15" width="11.81640625" customWidth="1"/>
    <col min="16" max="16" width="8.81640625" bestFit="1" customWidth="1"/>
    <col min="16384" max="16384" width="9.1796875" bestFit="1" customWidth="1"/>
  </cols>
  <sheetData>
    <row r="1" spans="1:18" x14ac:dyDescent="0.35">
      <c r="I1" t="s">
        <v>102</v>
      </c>
    </row>
    <row r="2" spans="1:18" x14ac:dyDescent="0.35">
      <c r="I2" s="11">
        <v>0.03</v>
      </c>
      <c r="J2" s="8">
        <f>I2+1</f>
        <v>1.03</v>
      </c>
    </row>
    <row r="3" spans="1:18" ht="15" thickBot="1" x14ac:dyDescent="0.4"/>
    <row r="4" spans="1:18" ht="15" thickBot="1" x14ac:dyDescent="0.4">
      <c r="A4" s="48" t="s">
        <v>103</v>
      </c>
      <c r="B4" s="39"/>
      <c r="C4" s="39"/>
      <c r="D4" s="39"/>
      <c r="E4" s="39"/>
      <c r="F4" s="39"/>
      <c r="G4" s="39"/>
      <c r="H4" s="39"/>
      <c r="I4" s="39"/>
      <c r="J4" s="39"/>
      <c r="K4" s="49"/>
      <c r="L4" s="46"/>
      <c r="M4" s="46"/>
      <c r="N4" s="50" t="s">
        <v>104</v>
      </c>
      <c r="O4" s="46"/>
      <c r="P4" s="46"/>
      <c r="Q4" s="46"/>
      <c r="R4" s="46"/>
    </row>
    <row r="5" spans="1:18" ht="15" thickBot="1" x14ac:dyDescent="0.4">
      <c r="A5" s="21" t="s">
        <v>76</v>
      </c>
      <c r="B5" s="21">
        <v>2021</v>
      </c>
      <c r="C5" s="21">
        <v>2022</v>
      </c>
      <c r="D5" s="21">
        <v>2023</v>
      </c>
      <c r="E5" s="21">
        <v>2024</v>
      </c>
      <c r="F5" s="52" t="s">
        <v>16</v>
      </c>
      <c r="G5" s="52" t="s">
        <v>17</v>
      </c>
      <c r="H5" s="52" t="s">
        <v>18</v>
      </c>
      <c r="I5" s="52" t="s">
        <v>68</v>
      </c>
      <c r="J5" s="52" t="s">
        <v>105</v>
      </c>
      <c r="K5" s="49">
        <v>2022</v>
      </c>
      <c r="L5" s="50">
        <v>2023</v>
      </c>
      <c r="M5" s="50">
        <v>2024</v>
      </c>
      <c r="N5" s="52" t="s">
        <v>16</v>
      </c>
      <c r="O5" s="52" t="s">
        <v>106</v>
      </c>
      <c r="P5" s="52" t="s">
        <v>18</v>
      </c>
      <c r="Q5" s="52" t="s">
        <v>68</v>
      </c>
      <c r="R5" s="52" t="s">
        <v>105</v>
      </c>
    </row>
    <row r="6" spans="1:18" x14ac:dyDescent="0.35">
      <c r="A6" s="22" t="s">
        <v>77</v>
      </c>
      <c r="B6" s="145">
        <f t="shared" ref="B6:J6" si="0">B181</f>
        <v>280</v>
      </c>
      <c r="C6" s="145">
        <f t="shared" si="0"/>
        <v>322</v>
      </c>
      <c r="D6" s="145">
        <f t="shared" si="0"/>
        <v>376</v>
      </c>
      <c r="E6" s="145">
        <f t="shared" si="0"/>
        <v>406</v>
      </c>
      <c r="F6" s="161">
        <f t="shared" si="0"/>
        <v>421.29190383275261</v>
      </c>
      <c r="G6" s="161">
        <f t="shared" si="0"/>
        <v>441.82820013937294</v>
      </c>
      <c r="H6" s="161">
        <f t="shared" si="0"/>
        <v>464.57150860487832</v>
      </c>
      <c r="I6" s="161">
        <f t="shared" si="0"/>
        <v>478.50865386302468</v>
      </c>
      <c r="J6" s="161">
        <f t="shared" si="0"/>
        <v>492.86391347891544</v>
      </c>
      <c r="K6" s="40">
        <f t="shared" ref="K6:K15" si="1">C6/B6-1</f>
        <v>0.14999999999999991</v>
      </c>
      <c r="L6" s="40">
        <f t="shared" ref="L6:L15" si="2">D6/C6-1</f>
        <v>0.16770186335403725</v>
      </c>
      <c r="M6" s="40">
        <f t="shared" ref="M6:M15" si="3">E6/D6-1</f>
        <v>7.9787234042553168E-2</v>
      </c>
      <c r="N6" s="40">
        <f t="shared" ref="N6" si="4">F6/E6-1</f>
        <v>3.7664787765400609E-2</v>
      </c>
      <c r="O6" s="40">
        <f t="shared" ref="O6" si="5">G6/F6-1</f>
        <v>4.8746002759105789E-2</v>
      </c>
      <c r="P6" s="40">
        <f t="shared" ref="P6" si="6">H6/G6-1</f>
        <v>5.1475456881953319E-2</v>
      </c>
      <c r="Q6" s="40">
        <f t="shared" ref="Q6" si="7">I6/H6-1</f>
        <v>3.0000000000000027E-2</v>
      </c>
      <c r="R6" s="40">
        <f t="shared" ref="R6" si="8">J6/I6-1</f>
        <v>3.0000000000000027E-2</v>
      </c>
    </row>
    <row r="7" spans="1:18" x14ac:dyDescent="0.35">
      <c r="A7" s="22" t="s">
        <v>78</v>
      </c>
      <c r="B7" s="145">
        <v>818</v>
      </c>
      <c r="C7" s="145">
        <v>880</v>
      </c>
      <c r="D7" s="145">
        <v>950</v>
      </c>
      <c r="E7" s="145">
        <v>1013</v>
      </c>
      <c r="F7" s="103">
        <f>E7</f>
        <v>1013</v>
      </c>
      <c r="G7" s="103">
        <f t="shared" ref="G7:J7" si="9">F7</f>
        <v>1013</v>
      </c>
      <c r="H7" s="103">
        <f t="shared" si="9"/>
        <v>1013</v>
      </c>
      <c r="I7" s="103">
        <f t="shared" si="9"/>
        <v>1013</v>
      </c>
      <c r="J7" s="126">
        <f t="shared" si="9"/>
        <v>1013</v>
      </c>
      <c r="K7" s="40">
        <f t="shared" si="1"/>
        <v>7.5794621026894937E-2</v>
      </c>
      <c r="L7" s="40">
        <f t="shared" si="2"/>
        <v>7.9545454545454586E-2</v>
      </c>
      <c r="M7" s="40">
        <f t="shared" si="3"/>
        <v>6.6315789473684106E-2</v>
      </c>
      <c r="N7" s="40">
        <f t="shared" ref="N7" si="10">F7/E7-1</f>
        <v>0</v>
      </c>
      <c r="O7" s="40">
        <f t="shared" ref="O7" si="11">G7/F7-1</f>
        <v>0</v>
      </c>
      <c r="P7" s="40">
        <f t="shared" ref="P7" si="12">H7/G7-1</f>
        <v>0</v>
      </c>
      <c r="Q7" s="40">
        <f t="shared" ref="Q7" si="13">I7/H7-1</f>
        <v>0</v>
      </c>
      <c r="R7" s="40">
        <f t="shared" ref="R7" si="14">J7/I7-1</f>
        <v>0</v>
      </c>
    </row>
    <row r="8" spans="1:18" x14ac:dyDescent="0.35">
      <c r="A8" s="22" t="s">
        <v>79</v>
      </c>
      <c r="B8" s="145">
        <v>422</v>
      </c>
      <c r="C8" s="145">
        <v>460</v>
      </c>
      <c r="D8" s="145">
        <v>497</v>
      </c>
      <c r="E8" s="145">
        <v>527</v>
      </c>
      <c r="F8" s="146">
        <f>E8*(1+F156)</f>
        <v>558.62</v>
      </c>
      <c r="G8" s="146">
        <f>F8*(1+G156)</f>
        <v>597.72340000000008</v>
      </c>
      <c r="H8" s="146">
        <f>G8*(1+H156)</f>
        <v>645.54127200000016</v>
      </c>
      <c r="I8" s="146">
        <f>H8*$J2</f>
        <v>664.90751016000013</v>
      </c>
      <c r="J8" s="147">
        <f>I8*$J2</f>
        <v>684.85473546480011</v>
      </c>
      <c r="K8" s="42">
        <f t="shared" si="1"/>
        <v>9.004739336492884E-2</v>
      </c>
      <c r="L8" s="42">
        <f t="shared" si="2"/>
        <v>8.0434782608695743E-2</v>
      </c>
      <c r="M8" s="42">
        <f t="shared" si="3"/>
        <v>6.0362173038229328E-2</v>
      </c>
      <c r="N8" s="42">
        <f t="shared" ref="N8" si="15">F8/E8-1</f>
        <v>6.0000000000000053E-2</v>
      </c>
      <c r="O8" s="42">
        <f t="shared" ref="O8" si="16">G8/F8-1</f>
        <v>7.0000000000000062E-2</v>
      </c>
      <c r="P8" s="42">
        <f t="shared" ref="P8" si="17">H8/G8-1</f>
        <v>8.0000000000000071E-2</v>
      </c>
      <c r="Q8" s="42">
        <f t="shared" ref="Q8" si="18">I8/H8-1</f>
        <v>3.0000000000000027E-2</v>
      </c>
      <c r="R8" s="42">
        <f t="shared" ref="R8" si="19">J8/I8-1</f>
        <v>3.0000000000000027E-2</v>
      </c>
    </row>
    <row r="9" spans="1:18" x14ac:dyDescent="0.35">
      <c r="A9" s="23" t="s">
        <v>80</v>
      </c>
      <c r="B9" s="148">
        <f>SUM(B6:B8)</f>
        <v>1520</v>
      </c>
      <c r="C9" s="148">
        <f>SUM(C6:C8)</f>
        <v>1662</v>
      </c>
      <c r="D9" s="148">
        <f t="shared" ref="D9:J9" si="20">SUM(D6:D8)</f>
        <v>1823</v>
      </c>
      <c r="E9" s="148">
        <f t="shared" si="20"/>
        <v>1946</v>
      </c>
      <c r="F9" s="148">
        <f t="shared" si="20"/>
        <v>1992.9119038327526</v>
      </c>
      <c r="G9" s="148">
        <f t="shared" si="20"/>
        <v>2052.551600139373</v>
      </c>
      <c r="H9" s="148">
        <f t="shared" si="20"/>
        <v>2123.1127806048785</v>
      </c>
      <c r="I9" s="148">
        <f t="shared" si="20"/>
        <v>2156.416164023025</v>
      </c>
      <c r="J9" s="149">
        <f t="shared" si="20"/>
        <v>2190.7186489437154</v>
      </c>
      <c r="K9" s="40">
        <f t="shared" si="1"/>
        <v>9.3421052631578849E-2</v>
      </c>
      <c r="L9" s="40">
        <f t="shared" si="2"/>
        <v>9.6871239470517345E-2</v>
      </c>
      <c r="M9" s="40">
        <f t="shared" si="3"/>
        <v>6.7471201316511298E-2</v>
      </c>
      <c r="N9" s="40">
        <f t="shared" ref="N9" si="21">F9/E9-1</f>
        <v>2.4106836501928353E-2</v>
      </c>
      <c r="O9" s="40">
        <f t="shared" ref="O9" si="22">G9/F9-1</f>
        <v>2.9925907006687957E-2</v>
      </c>
      <c r="P9" s="40">
        <f t="shared" ref="P9" si="23">H9/G9-1</f>
        <v>3.4377299192241528E-2</v>
      </c>
      <c r="Q9" s="40">
        <f t="shared" ref="Q9" si="24">I9/H9-1</f>
        <v>1.5686111318428564E-2</v>
      </c>
      <c r="R9" s="40">
        <f t="shared" ref="R9" si="25">J9/I9-1</f>
        <v>1.5907172971981076E-2</v>
      </c>
    </row>
    <row r="10" spans="1:18" x14ac:dyDescent="0.35">
      <c r="A10" s="22" t="s">
        <v>81</v>
      </c>
      <c r="B10" s="145">
        <v>1261</v>
      </c>
      <c r="C10" s="145">
        <v>1222</v>
      </c>
      <c r="D10" s="145">
        <v>1026</v>
      </c>
      <c r="E10" s="145">
        <v>441</v>
      </c>
      <c r="F10" s="103">
        <f>F35-F46</f>
        <v>437.04068023366517</v>
      </c>
      <c r="G10" s="103">
        <f t="shared" ref="G10:J10" si="26">G35-G46</f>
        <v>349.41983412156878</v>
      </c>
      <c r="H10" s="103">
        <f t="shared" si="26"/>
        <v>234.95182943414056</v>
      </c>
      <c r="I10" s="103">
        <f t="shared" si="26"/>
        <v>222.3803843171645</v>
      </c>
      <c r="J10" s="126">
        <f t="shared" si="26"/>
        <v>209.43179584667996</v>
      </c>
      <c r="K10" s="40">
        <f t="shared" si="1"/>
        <v>-3.0927835051546393E-2</v>
      </c>
      <c r="L10" s="40">
        <f t="shared" si="2"/>
        <v>-0.16039279869067102</v>
      </c>
      <c r="M10" s="40">
        <f t="shared" si="3"/>
        <v>-0.57017543859649122</v>
      </c>
      <c r="N10" s="40">
        <f t="shared" ref="N10:N15" si="27">F10/E10-1</f>
        <v>-8.9780493567682695E-3</v>
      </c>
      <c r="O10" s="40">
        <f t="shared" ref="O10:O15" si="28">G10/F10-1</f>
        <v>-0.20048670541435554</v>
      </c>
      <c r="P10" s="40">
        <f t="shared" ref="P10:P15" si="29">H10/G10-1</f>
        <v>-0.32759446805644976</v>
      </c>
      <c r="Q10" s="40">
        <f t="shared" ref="Q10:Q15" si="30">I10/H10-1</f>
        <v>-5.3506478954657211E-2</v>
      </c>
      <c r="R10" s="40">
        <f t="shared" ref="R10:R15" si="31">J10/I10-1</f>
        <v>-5.8227206101132301E-2</v>
      </c>
    </row>
    <row r="11" spans="1:18" x14ac:dyDescent="0.35">
      <c r="A11" s="22" t="s">
        <v>82</v>
      </c>
      <c r="B11" s="145">
        <v>277</v>
      </c>
      <c r="C11" s="145">
        <v>283</v>
      </c>
      <c r="D11" s="145">
        <v>307</v>
      </c>
      <c r="E11" s="145">
        <v>340</v>
      </c>
      <c r="F11" s="103">
        <f>(F54*F129)/365</f>
        <v>285.59999999999997</v>
      </c>
      <c r="G11" s="103">
        <f t="shared" ref="G11:H11" si="32">(G54*G129)/365</f>
        <v>291.31199999999995</v>
      </c>
      <c r="H11" s="103">
        <f t="shared" si="32"/>
        <v>302.96447999999998</v>
      </c>
      <c r="I11" s="103">
        <f>H11*$J2</f>
        <v>312.05341440000001</v>
      </c>
      <c r="J11" s="126">
        <f>I11*$J2</f>
        <v>321.41501683199999</v>
      </c>
      <c r="K11" s="40">
        <f t="shared" si="1"/>
        <v>2.1660649819494671E-2</v>
      </c>
      <c r="L11" s="40">
        <f t="shared" si="2"/>
        <v>8.4805653710247286E-2</v>
      </c>
      <c r="M11" s="40">
        <f t="shared" si="3"/>
        <v>0.10749185667752448</v>
      </c>
      <c r="N11" s="40">
        <f t="shared" si="27"/>
        <v>-0.16000000000000014</v>
      </c>
      <c r="O11" s="40">
        <f t="shared" si="28"/>
        <v>2.0000000000000018E-2</v>
      </c>
      <c r="P11" s="40">
        <f t="shared" si="29"/>
        <v>4.0000000000000036E-2</v>
      </c>
      <c r="Q11" s="40">
        <f t="shared" si="30"/>
        <v>3.0000000000000027E-2</v>
      </c>
      <c r="R11" s="40">
        <f t="shared" si="31"/>
        <v>3.0000000000000027E-2</v>
      </c>
    </row>
    <row r="12" spans="1:18" x14ac:dyDescent="0.35">
      <c r="A12" s="22" t="s">
        <v>83</v>
      </c>
      <c r="B12" s="145">
        <v>402</v>
      </c>
      <c r="C12" s="145">
        <v>426</v>
      </c>
      <c r="D12" s="145">
        <v>447</v>
      </c>
      <c r="E12" s="145">
        <v>507</v>
      </c>
      <c r="F12" s="103">
        <f>(F55*F128)/365</f>
        <v>440.38734401756307</v>
      </c>
      <c r="G12" s="103">
        <f t="shared" ref="G12:H12" si="33">(G55*G128)/365</f>
        <v>424.23980807025237</v>
      </c>
      <c r="H12" s="103">
        <f t="shared" si="33"/>
        <v>415.25590625229404</v>
      </c>
      <c r="I12" s="103">
        <f>H12*$J2</f>
        <v>427.71358343986287</v>
      </c>
      <c r="J12" s="126">
        <f>I12*$J2</f>
        <v>440.54499094305879</v>
      </c>
      <c r="K12" s="40">
        <f t="shared" si="1"/>
        <v>5.9701492537313383E-2</v>
      </c>
      <c r="L12" s="40">
        <f t="shared" si="2"/>
        <v>4.9295774647887258E-2</v>
      </c>
      <c r="M12" s="40">
        <f t="shared" si="3"/>
        <v>0.13422818791946312</v>
      </c>
      <c r="N12" s="40">
        <f t="shared" si="27"/>
        <v>-0.1313859092355758</v>
      </c>
      <c r="O12" s="40">
        <f t="shared" si="28"/>
        <v>-3.6666666666666736E-2</v>
      </c>
      <c r="P12" s="40">
        <f t="shared" si="29"/>
        <v>-2.1176470588235352E-2</v>
      </c>
      <c r="Q12" s="40">
        <f t="shared" si="30"/>
        <v>3.0000000000000027E-2</v>
      </c>
      <c r="R12" s="40">
        <f t="shared" si="31"/>
        <v>3.0000000000000027E-2</v>
      </c>
    </row>
    <row r="13" spans="1:18" x14ac:dyDescent="0.35">
      <c r="A13" s="22" t="s">
        <v>84</v>
      </c>
      <c r="B13" s="145">
        <v>42</v>
      </c>
      <c r="C13" s="145">
        <v>104</v>
      </c>
      <c r="D13" s="145">
        <v>83</v>
      </c>
      <c r="E13" s="145">
        <v>136</v>
      </c>
      <c r="F13" s="146">
        <f>E13*(1+F155)</f>
        <v>190.39999999999998</v>
      </c>
      <c r="G13" s="146">
        <f>F13*(1+G155)</f>
        <v>266.55999999999995</v>
      </c>
      <c r="H13" s="146">
        <f>G13*(1+H155)</f>
        <v>373.18399999999991</v>
      </c>
      <c r="I13" s="146">
        <f>H13*$J2</f>
        <v>384.3795199999999</v>
      </c>
      <c r="J13" s="147">
        <f>I13*$J2</f>
        <v>395.91090559999992</v>
      </c>
      <c r="K13" s="42">
        <f t="shared" si="1"/>
        <v>1.4761904761904763</v>
      </c>
      <c r="L13" s="42">
        <f t="shared" si="2"/>
        <v>-0.20192307692307687</v>
      </c>
      <c r="M13" s="42">
        <f t="shared" si="3"/>
        <v>0.63855421686746983</v>
      </c>
      <c r="N13" s="42">
        <f t="shared" si="27"/>
        <v>0.39999999999999991</v>
      </c>
      <c r="O13" s="42">
        <f t="shared" si="28"/>
        <v>0.39999999999999991</v>
      </c>
      <c r="P13" s="42">
        <f t="shared" si="29"/>
        <v>0.39999999999999991</v>
      </c>
      <c r="Q13" s="42">
        <f t="shared" si="30"/>
        <v>3.0000000000000027E-2</v>
      </c>
      <c r="R13" s="42">
        <f t="shared" si="31"/>
        <v>3.0000000000000027E-2</v>
      </c>
    </row>
    <row r="14" spans="1:18" x14ac:dyDescent="0.35">
      <c r="A14" s="24" t="s">
        <v>85</v>
      </c>
      <c r="B14" s="148">
        <f>SUM(B10:B13)</f>
        <v>1982</v>
      </c>
      <c r="C14" s="148">
        <f t="shared" ref="C14:J14" si="34">SUM(C10:C13)</f>
        <v>2035</v>
      </c>
      <c r="D14" s="148">
        <f t="shared" si="34"/>
        <v>1863</v>
      </c>
      <c r="E14" s="148">
        <f t="shared" si="34"/>
        <v>1424</v>
      </c>
      <c r="F14" s="148">
        <f t="shared" si="34"/>
        <v>1353.4280242512282</v>
      </c>
      <c r="G14" s="148">
        <f t="shared" si="34"/>
        <v>1331.531642191821</v>
      </c>
      <c r="H14" s="148">
        <f t="shared" si="34"/>
        <v>1326.3562156864346</v>
      </c>
      <c r="I14" s="148">
        <f t="shared" si="34"/>
        <v>1346.5269021570273</v>
      </c>
      <c r="J14" s="149">
        <f t="shared" si="34"/>
        <v>1367.3027092217387</v>
      </c>
      <c r="K14" s="42">
        <f t="shared" si="1"/>
        <v>2.6740665993945534E-2</v>
      </c>
      <c r="L14" s="42">
        <f t="shared" si="2"/>
        <v>-8.4520884520884576E-2</v>
      </c>
      <c r="M14" s="42">
        <f t="shared" si="3"/>
        <v>-0.23564143853998931</v>
      </c>
      <c r="N14" s="42">
        <f t="shared" si="27"/>
        <v>-4.9558971733688062E-2</v>
      </c>
      <c r="O14" s="42">
        <f t="shared" si="28"/>
        <v>-1.6178460669543981E-2</v>
      </c>
      <c r="P14" s="42">
        <f t="shared" si="29"/>
        <v>-3.8868220186395464E-3</v>
      </c>
      <c r="Q14" s="42">
        <f t="shared" si="30"/>
        <v>1.5207593730884428E-2</v>
      </c>
      <c r="R14" s="42">
        <f t="shared" si="31"/>
        <v>1.542918082916156E-2</v>
      </c>
    </row>
    <row r="15" spans="1:18" x14ac:dyDescent="0.35">
      <c r="A15" s="25" t="s">
        <v>86</v>
      </c>
      <c r="B15" s="148">
        <f>B9+B14</f>
        <v>3502</v>
      </c>
      <c r="C15" s="148">
        <f t="shared" ref="C15:J15" si="35">C9+C14</f>
        <v>3697</v>
      </c>
      <c r="D15" s="148">
        <f t="shared" si="35"/>
        <v>3686</v>
      </c>
      <c r="E15" s="148">
        <f t="shared" si="35"/>
        <v>3370</v>
      </c>
      <c r="F15" s="148">
        <f t="shared" si="35"/>
        <v>3346.3399280839808</v>
      </c>
      <c r="G15" s="148">
        <f t="shared" si="35"/>
        <v>3384.083242331194</v>
      </c>
      <c r="H15" s="148">
        <f t="shared" si="35"/>
        <v>3449.468996291313</v>
      </c>
      <c r="I15" s="148">
        <f t="shared" si="35"/>
        <v>3502.9430661800525</v>
      </c>
      <c r="J15" s="149">
        <f t="shared" si="35"/>
        <v>3558.0213581654543</v>
      </c>
      <c r="K15" s="40">
        <f t="shared" si="1"/>
        <v>5.568246716162184E-2</v>
      </c>
      <c r="L15" s="40">
        <f t="shared" si="2"/>
        <v>-2.9753854476602948E-3</v>
      </c>
      <c r="M15" s="40">
        <f t="shared" si="3"/>
        <v>-8.5729788388496986E-2</v>
      </c>
      <c r="N15" s="40">
        <f t="shared" si="27"/>
        <v>-7.0207928534181674E-3</v>
      </c>
      <c r="O15" s="40">
        <f t="shared" si="28"/>
        <v>1.1278983922241359E-2</v>
      </c>
      <c r="P15" s="40">
        <f t="shared" si="29"/>
        <v>1.9321556025045261E-2</v>
      </c>
      <c r="Q15" s="40">
        <f t="shared" si="30"/>
        <v>1.5502116397112742E-2</v>
      </c>
      <c r="R15" s="40">
        <f t="shared" si="31"/>
        <v>1.572343339438409E-2</v>
      </c>
    </row>
    <row r="16" spans="1:18" x14ac:dyDescent="0.35">
      <c r="A16" s="26"/>
      <c r="B16" s="150"/>
      <c r="C16" s="150"/>
      <c r="D16" s="150"/>
      <c r="E16" s="150"/>
      <c r="F16" s="103"/>
      <c r="G16" s="103"/>
      <c r="H16" s="103"/>
      <c r="I16" s="99"/>
      <c r="J16" s="130"/>
      <c r="K16" s="40"/>
      <c r="L16" s="40"/>
      <c r="M16" s="40"/>
      <c r="N16" s="41"/>
      <c r="O16" s="41"/>
      <c r="P16" s="41"/>
      <c r="Q16" s="40"/>
      <c r="R16" s="40"/>
    </row>
    <row r="17" spans="1:18" ht="15" thickBot="1" x14ac:dyDescent="0.4">
      <c r="A17" s="21" t="s">
        <v>107</v>
      </c>
      <c r="B17" s="195">
        <v>2021</v>
      </c>
      <c r="C17" s="195">
        <v>2022</v>
      </c>
      <c r="D17" s="195">
        <v>2023</v>
      </c>
      <c r="E17" s="195">
        <v>2024</v>
      </c>
      <c r="F17" s="104" t="s">
        <v>16</v>
      </c>
      <c r="G17" s="104" t="s">
        <v>17</v>
      </c>
      <c r="H17" s="104" t="s">
        <v>18</v>
      </c>
      <c r="I17" s="104" t="s">
        <v>68</v>
      </c>
      <c r="J17" s="151" t="s">
        <v>105</v>
      </c>
      <c r="K17" s="53">
        <v>2022</v>
      </c>
      <c r="L17" s="53">
        <v>2023</v>
      </c>
      <c r="M17" s="53">
        <v>2024</v>
      </c>
      <c r="N17" s="54" t="s">
        <v>16</v>
      </c>
      <c r="O17" s="54" t="s">
        <v>106</v>
      </c>
      <c r="P17" s="54" t="s">
        <v>18</v>
      </c>
      <c r="Q17" s="54" t="s">
        <v>68</v>
      </c>
      <c r="R17" s="54" t="s">
        <v>105</v>
      </c>
    </row>
    <row r="18" spans="1:18" x14ac:dyDescent="0.35">
      <c r="A18" s="22" t="s">
        <v>87</v>
      </c>
      <c r="B18" s="145">
        <v>210</v>
      </c>
      <c r="C18" s="145">
        <v>209</v>
      </c>
      <c r="D18" s="145">
        <v>221</v>
      </c>
      <c r="E18" s="145">
        <v>229</v>
      </c>
      <c r="F18" s="152">
        <f>E18</f>
        <v>229</v>
      </c>
      <c r="G18" s="152">
        <f t="shared" ref="G18:J18" si="36">F18</f>
        <v>229</v>
      </c>
      <c r="H18" s="152">
        <f t="shared" si="36"/>
        <v>229</v>
      </c>
      <c r="I18" s="152">
        <f t="shared" si="36"/>
        <v>229</v>
      </c>
      <c r="J18" s="153">
        <f t="shared" si="36"/>
        <v>229</v>
      </c>
      <c r="K18" s="40">
        <f t="shared" ref="K18:K28" si="37">C18/B18-1</f>
        <v>-4.761904761904745E-3</v>
      </c>
      <c r="L18" s="40">
        <f t="shared" ref="L18:L28" si="38">D18/C18-1</f>
        <v>5.741626794258381E-2</v>
      </c>
      <c r="M18" s="40">
        <f t="shared" ref="M18:M28" si="39">E18/D18-1</f>
        <v>3.6199095022624528E-2</v>
      </c>
      <c r="N18" s="40">
        <f t="shared" ref="N18:N28" si="40">F18/E18-1</f>
        <v>0</v>
      </c>
      <c r="O18" s="40">
        <f t="shared" ref="O18:O28" si="41">G18/F18-1</f>
        <v>0</v>
      </c>
      <c r="P18" s="40">
        <f t="shared" ref="P18:P28" si="42">H18/G18-1</f>
        <v>0</v>
      </c>
      <c r="Q18" s="40">
        <f t="shared" ref="Q18:Q28" si="43">I18/H18-1</f>
        <v>0</v>
      </c>
      <c r="R18" s="40">
        <f t="shared" ref="R18:R28" si="44">J18/I18-1</f>
        <v>0</v>
      </c>
    </row>
    <row r="19" spans="1:18" x14ac:dyDescent="0.35">
      <c r="A19" s="22" t="s">
        <v>88</v>
      </c>
      <c r="B19" s="145">
        <v>45</v>
      </c>
      <c r="C19" s="145">
        <v>45</v>
      </c>
      <c r="D19" s="145">
        <v>65</v>
      </c>
      <c r="E19" s="145">
        <v>79</v>
      </c>
      <c r="F19" s="103">
        <f>E19*(1+F158)</f>
        <v>83.740000000000009</v>
      </c>
      <c r="G19" s="103">
        <f>F19*(1+G158)</f>
        <v>89.601800000000011</v>
      </c>
      <c r="H19" s="103">
        <f>G19*(1+H158)</f>
        <v>96.769944000000024</v>
      </c>
      <c r="I19" s="103">
        <f>H19*$J2</f>
        <v>99.673042320000022</v>
      </c>
      <c r="J19" s="126">
        <f>I19*$J2</f>
        <v>102.66323358960003</v>
      </c>
      <c r="K19" s="40">
        <f t="shared" si="37"/>
        <v>0</v>
      </c>
      <c r="L19" s="40">
        <f t="shared" si="38"/>
        <v>0.44444444444444442</v>
      </c>
      <c r="M19" s="40">
        <f t="shared" si="39"/>
        <v>0.21538461538461529</v>
      </c>
      <c r="N19" s="40">
        <f t="shared" si="40"/>
        <v>6.0000000000000053E-2</v>
      </c>
      <c r="O19" s="40">
        <f t="shared" si="41"/>
        <v>7.0000000000000062E-2</v>
      </c>
      <c r="P19" s="40">
        <f t="shared" si="42"/>
        <v>8.0000000000000071E-2</v>
      </c>
      <c r="Q19" s="40">
        <f t="shared" si="43"/>
        <v>3.0000000000000027E-2</v>
      </c>
      <c r="R19" s="40">
        <f t="shared" si="44"/>
        <v>3.0000000000000027E-2</v>
      </c>
    </row>
    <row r="20" spans="1:18" x14ac:dyDescent="0.35">
      <c r="A20" s="22" t="s">
        <v>89</v>
      </c>
      <c r="B20" s="145">
        <v>393</v>
      </c>
      <c r="C20" s="145">
        <v>481</v>
      </c>
      <c r="D20" s="145">
        <v>477</v>
      </c>
      <c r="E20" s="145">
        <v>439</v>
      </c>
      <c r="F20" s="103">
        <f>(F55*F130)/365</f>
        <v>410.85785693430654</v>
      </c>
      <c r="G20" s="103">
        <f t="shared" ref="G20:H20" si="45">(G55*G130)/365</f>
        <v>395.79306884671524</v>
      </c>
      <c r="H20" s="103">
        <f t="shared" si="45"/>
        <v>387.41156856525538</v>
      </c>
      <c r="I20" s="103">
        <f>H20*$J2</f>
        <v>399.03391562221304</v>
      </c>
      <c r="J20" s="126">
        <f>I20*$J2</f>
        <v>411.00493309087943</v>
      </c>
      <c r="K20" s="40">
        <f t="shared" si="37"/>
        <v>0.22391857506361323</v>
      </c>
      <c r="L20" s="40">
        <f t="shared" si="38"/>
        <v>-8.3160083160083165E-3</v>
      </c>
      <c r="M20" s="40">
        <f t="shared" si="39"/>
        <v>-7.9664570230607912E-2</v>
      </c>
      <c r="N20" s="40">
        <f t="shared" si="40"/>
        <v>-6.4105109489051126E-2</v>
      </c>
      <c r="O20" s="40">
        <f t="shared" si="41"/>
        <v>-3.6666666666666847E-2</v>
      </c>
      <c r="P20" s="40">
        <f t="shared" si="42"/>
        <v>-2.1176470588235352E-2</v>
      </c>
      <c r="Q20" s="40">
        <f t="shared" si="43"/>
        <v>3.0000000000000027E-2</v>
      </c>
      <c r="R20" s="40">
        <f t="shared" si="44"/>
        <v>3.0000000000000027E-2</v>
      </c>
    </row>
    <row r="21" spans="1:18" x14ac:dyDescent="0.35">
      <c r="A21" s="22" t="s">
        <v>90</v>
      </c>
      <c r="B21" s="145">
        <v>54</v>
      </c>
      <c r="C21" s="145">
        <v>69</v>
      </c>
      <c r="D21" s="145">
        <v>66</v>
      </c>
      <c r="E21" s="145">
        <v>110</v>
      </c>
      <c r="F21" s="146">
        <f>E21*(1+F156)</f>
        <v>116.60000000000001</v>
      </c>
      <c r="G21" s="146">
        <f>F21*(1+G157)</f>
        <v>124.76200000000001</v>
      </c>
      <c r="H21" s="146">
        <f>G21*(1+H157)</f>
        <v>134.74296000000001</v>
      </c>
      <c r="I21" s="146">
        <f>H21*$J2</f>
        <v>138.78524880000001</v>
      </c>
      <c r="J21" s="147">
        <f>I21*$J2</f>
        <v>142.94880626400001</v>
      </c>
      <c r="K21" s="42">
        <f t="shared" si="37"/>
        <v>0.27777777777777768</v>
      </c>
      <c r="L21" s="42">
        <f t="shared" si="38"/>
        <v>-4.3478260869565188E-2</v>
      </c>
      <c r="M21" s="42">
        <f t="shared" si="39"/>
        <v>0.66666666666666674</v>
      </c>
      <c r="N21" s="42">
        <f t="shared" si="40"/>
        <v>6.0000000000000053E-2</v>
      </c>
      <c r="O21" s="42">
        <f t="shared" si="41"/>
        <v>7.0000000000000062E-2</v>
      </c>
      <c r="P21" s="42">
        <f t="shared" si="42"/>
        <v>7.9999999999999849E-2</v>
      </c>
      <c r="Q21" s="42">
        <f t="shared" si="43"/>
        <v>3.0000000000000027E-2</v>
      </c>
      <c r="R21" s="42">
        <f t="shared" si="44"/>
        <v>3.0000000000000027E-2</v>
      </c>
    </row>
    <row r="22" spans="1:18" x14ac:dyDescent="0.35">
      <c r="A22" s="23" t="s">
        <v>91</v>
      </c>
      <c r="B22" s="148">
        <f>SUM(B18:B21)</f>
        <v>702</v>
      </c>
      <c r="C22" s="148">
        <f t="shared" ref="C22:J22" si="46">SUM(C18:C21)</f>
        <v>804</v>
      </c>
      <c r="D22" s="148">
        <f t="shared" si="46"/>
        <v>829</v>
      </c>
      <c r="E22" s="148">
        <f t="shared" si="46"/>
        <v>857</v>
      </c>
      <c r="F22" s="148">
        <f t="shared" si="46"/>
        <v>840.19785693430651</v>
      </c>
      <c r="G22" s="148">
        <f t="shared" si="46"/>
        <v>839.15686884671538</v>
      </c>
      <c r="H22" s="148">
        <f t="shared" si="46"/>
        <v>847.92447256525543</v>
      </c>
      <c r="I22" s="148">
        <f t="shared" si="46"/>
        <v>866.49220674221306</v>
      </c>
      <c r="J22" s="149">
        <f t="shared" si="46"/>
        <v>885.61697294447958</v>
      </c>
      <c r="K22" s="40">
        <f t="shared" si="37"/>
        <v>0.14529914529914523</v>
      </c>
      <c r="L22" s="40">
        <f t="shared" si="38"/>
        <v>3.1094527363184188E-2</v>
      </c>
      <c r="M22" s="40">
        <f t="shared" si="39"/>
        <v>3.3775633293124274E-2</v>
      </c>
      <c r="N22" s="40">
        <f t="shared" si="40"/>
        <v>-1.9605767871287649E-2</v>
      </c>
      <c r="O22" s="40">
        <f t="shared" si="41"/>
        <v>-1.2389796986503887E-3</v>
      </c>
      <c r="P22" s="40">
        <f t="shared" si="42"/>
        <v>1.0448110530978161E-2</v>
      </c>
      <c r="Q22" s="40">
        <f t="shared" si="43"/>
        <v>2.1897863285846642E-2</v>
      </c>
      <c r="R22" s="40">
        <f t="shared" si="44"/>
        <v>2.2071480912875918E-2</v>
      </c>
    </row>
    <row r="23" spans="1:18" x14ac:dyDescent="0.35">
      <c r="A23" s="22" t="s">
        <v>92</v>
      </c>
      <c r="B23" s="145">
        <v>297</v>
      </c>
      <c r="C23" s="145">
        <v>298</v>
      </c>
      <c r="D23" s="145">
        <v>298</v>
      </c>
      <c r="E23" s="145">
        <v>299</v>
      </c>
      <c r="F23" s="103">
        <f>E23*(1+F158)</f>
        <v>316.94</v>
      </c>
      <c r="G23" s="103">
        <f>F23*(1+G158)</f>
        <v>339.12580000000003</v>
      </c>
      <c r="H23" s="103">
        <f>G23*(1+H158)</f>
        <v>366.25586400000003</v>
      </c>
      <c r="I23" s="103">
        <f>H23*$J2</f>
        <v>377.24353992000005</v>
      </c>
      <c r="J23" s="126">
        <f>I23*$J2</f>
        <v>388.56084611760008</v>
      </c>
      <c r="K23" s="40">
        <f t="shared" si="37"/>
        <v>3.3670033670034627E-3</v>
      </c>
      <c r="L23" s="40">
        <f t="shared" si="38"/>
        <v>0</v>
      </c>
      <c r="M23" s="40">
        <f t="shared" si="39"/>
        <v>3.3557046979866278E-3</v>
      </c>
      <c r="N23" s="40">
        <f t="shared" si="40"/>
        <v>6.0000000000000053E-2</v>
      </c>
      <c r="O23" s="40">
        <f t="shared" si="41"/>
        <v>7.0000000000000062E-2</v>
      </c>
      <c r="P23" s="40">
        <f t="shared" si="42"/>
        <v>8.0000000000000071E-2</v>
      </c>
      <c r="Q23" s="40">
        <f t="shared" si="43"/>
        <v>3.0000000000000027E-2</v>
      </c>
      <c r="R23" s="40">
        <f t="shared" si="44"/>
        <v>3.0000000000000027E-2</v>
      </c>
    </row>
    <row r="24" spans="1:18" x14ac:dyDescent="0.35">
      <c r="A24" s="22" t="s">
        <v>87</v>
      </c>
      <c r="B24" s="145">
        <v>810</v>
      </c>
      <c r="C24" s="145">
        <v>849</v>
      </c>
      <c r="D24" s="145">
        <v>902</v>
      </c>
      <c r="E24" s="145">
        <v>959</v>
      </c>
      <c r="F24" s="145">
        <f>E24</f>
        <v>959</v>
      </c>
      <c r="G24" s="145">
        <f t="shared" ref="G24:J24" si="47">F24</f>
        <v>959</v>
      </c>
      <c r="H24" s="145">
        <f t="shared" si="47"/>
        <v>959</v>
      </c>
      <c r="I24" s="145">
        <f t="shared" si="47"/>
        <v>959</v>
      </c>
      <c r="J24" s="154">
        <f t="shared" si="47"/>
        <v>959</v>
      </c>
      <c r="K24" s="40">
        <f t="shared" si="37"/>
        <v>4.8148148148148051E-2</v>
      </c>
      <c r="L24" s="40">
        <f t="shared" si="38"/>
        <v>6.2426383981154299E-2</v>
      </c>
      <c r="M24" s="40">
        <f t="shared" si="39"/>
        <v>6.3192904656319326E-2</v>
      </c>
      <c r="N24" s="40">
        <f t="shared" si="40"/>
        <v>0</v>
      </c>
      <c r="O24" s="40">
        <f t="shared" si="41"/>
        <v>0</v>
      </c>
      <c r="P24" s="40">
        <f t="shared" si="42"/>
        <v>0</v>
      </c>
      <c r="Q24" s="40">
        <f t="shared" si="43"/>
        <v>0</v>
      </c>
      <c r="R24" s="40">
        <f t="shared" si="44"/>
        <v>0</v>
      </c>
    </row>
    <row r="25" spans="1:18" x14ac:dyDescent="0.35">
      <c r="A25" s="22" t="s">
        <v>93</v>
      </c>
      <c r="B25" s="145">
        <v>133</v>
      </c>
      <c r="C25" s="145">
        <v>129</v>
      </c>
      <c r="D25" s="145">
        <v>118</v>
      </c>
      <c r="E25" s="145">
        <v>101</v>
      </c>
      <c r="F25" s="146">
        <f>E25*(1+F158)</f>
        <v>107.06</v>
      </c>
      <c r="G25" s="146">
        <f>F25*(1+G158)</f>
        <v>114.55420000000001</v>
      </c>
      <c r="H25" s="146">
        <f>G25*(1+H158)</f>
        <v>123.71853600000001</v>
      </c>
      <c r="I25" s="146">
        <f>H25*$J2</f>
        <v>127.43009208000002</v>
      </c>
      <c r="J25" s="147">
        <f>I25*$J2</f>
        <v>131.25299484240003</v>
      </c>
      <c r="K25" s="42">
        <f t="shared" si="37"/>
        <v>-3.007518796992481E-2</v>
      </c>
      <c r="L25" s="42">
        <f t="shared" si="38"/>
        <v>-8.5271317829457405E-2</v>
      </c>
      <c r="M25" s="42">
        <f t="shared" si="39"/>
        <v>-0.14406779661016944</v>
      </c>
      <c r="N25" s="42">
        <f t="shared" si="40"/>
        <v>6.0000000000000053E-2</v>
      </c>
      <c r="O25" s="42">
        <f t="shared" si="41"/>
        <v>7.0000000000000062E-2</v>
      </c>
      <c r="P25" s="42">
        <f t="shared" si="42"/>
        <v>8.0000000000000071E-2</v>
      </c>
      <c r="Q25" s="42">
        <f t="shared" si="43"/>
        <v>3.0000000000000027E-2</v>
      </c>
      <c r="R25" s="42">
        <f t="shared" si="44"/>
        <v>3.0000000000000027E-2</v>
      </c>
    </row>
    <row r="26" spans="1:18" x14ac:dyDescent="0.35">
      <c r="A26" s="23" t="s">
        <v>94</v>
      </c>
      <c r="B26" s="148">
        <f>SUM(B23:B25)</f>
        <v>1240</v>
      </c>
      <c r="C26" s="148">
        <f t="shared" ref="C26:J26" si="48">SUM(C23:C25)</f>
        <v>1276</v>
      </c>
      <c r="D26" s="148">
        <f t="shared" si="48"/>
        <v>1318</v>
      </c>
      <c r="E26" s="148">
        <f t="shared" si="48"/>
        <v>1359</v>
      </c>
      <c r="F26" s="148">
        <f t="shared" si="48"/>
        <v>1383</v>
      </c>
      <c r="G26" s="148">
        <f t="shared" si="48"/>
        <v>1412.68</v>
      </c>
      <c r="H26" s="148">
        <f t="shared" si="48"/>
        <v>1448.9744000000001</v>
      </c>
      <c r="I26" s="148">
        <f t="shared" si="48"/>
        <v>1463.6736320000002</v>
      </c>
      <c r="J26" s="149">
        <f t="shared" si="48"/>
        <v>1478.8138409600001</v>
      </c>
      <c r="K26" s="42">
        <f t="shared" si="37"/>
        <v>2.9032258064516148E-2</v>
      </c>
      <c r="L26" s="42">
        <f t="shared" si="38"/>
        <v>3.2915360501567292E-2</v>
      </c>
      <c r="M26" s="42">
        <f t="shared" si="39"/>
        <v>3.1107738998482626E-2</v>
      </c>
      <c r="N26" s="42">
        <f t="shared" si="40"/>
        <v>1.7660044150110465E-2</v>
      </c>
      <c r="O26" s="42">
        <f t="shared" si="41"/>
        <v>2.1460592913955301E-2</v>
      </c>
      <c r="P26" s="42">
        <f t="shared" si="42"/>
        <v>2.5691876433445726E-2</v>
      </c>
      <c r="Q26" s="42">
        <f t="shared" si="43"/>
        <v>1.0144576743384981E-2</v>
      </c>
      <c r="R26" s="42">
        <f t="shared" si="44"/>
        <v>1.0343978759330241E-2</v>
      </c>
    </row>
    <row r="27" spans="1:18" ht="15" thickBot="1" x14ac:dyDescent="0.4">
      <c r="A27" s="23" t="s">
        <v>95</v>
      </c>
      <c r="B27" s="148">
        <f>B22+B26</f>
        <v>1942</v>
      </c>
      <c r="C27" s="148">
        <f t="shared" ref="C27:I27" si="49">C22+C26</f>
        <v>2080</v>
      </c>
      <c r="D27" s="148">
        <f t="shared" si="49"/>
        <v>2147</v>
      </c>
      <c r="E27" s="148">
        <f t="shared" si="49"/>
        <v>2216</v>
      </c>
      <c r="F27" s="148">
        <f t="shared" si="49"/>
        <v>2223.1978569343064</v>
      </c>
      <c r="G27" s="148">
        <f t="shared" si="49"/>
        <v>2251.8368688467153</v>
      </c>
      <c r="H27" s="148">
        <f t="shared" si="49"/>
        <v>2296.8988725652553</v>
      </c>
      <c r="I27" s="148">
        <f t="shared" si="49"/>
        <v>2330.1658387422131</v>
      </c>
      <c r="J27" s="149">
        <f>J22+J26</f>
        <v>2364.4308139044797</v>
      </c>
      <c r="K27" s="42">
        <f t="shared" si="37"/>
        <v>7.1060762100926933E-2</v>
      </c>
      <c r="L27" s="42">
        <f t="shared" si="38"/>
        <v>3.2211538461538458E-2</v>
      </c>
      <c r="M27" s="42">
        <f t="shared" si="39"/>
        <v>3.2137866790870939E-2</v>
      </c>
      <c r="N27" s="42">
        <f t="shared" si="40"/>
        <v>3.2481303855174115E-3</v>
      </c>
      <c r="O27" s="42">
        <f t="shared" si="41"/>
        <v>1.2881899747735792E-2</v>
      </c>
      <c r="P27" s="42">
        <f t="shared" si="42"/>
        <v>2.0011220325039991E-2</v>
      </c>
      <c r="Q27" s="42">
        <f t="shared" si="43"/>
        <v>1.4483426577594161E-2</v>
      </c>
      <c r="R27" s="42">
        <f t="shared" si="44"/>
        <v>1.4704951292549451E-2</v>
      </c>
    </row>
    <row r="28" spans="1:18" x14ac:dyDescent="0.35">
      <c r="A28" s="27" t="s">
        <v>96</v>
      </c>
      <c r="B28" s="155">
        <f t="shared" ref="B28:J28" si="50">B15-B27</f>
        <v>1560</v>
      </c>
      <c r="C28" s="155">
        <f t="shared" si="50"/>
        <v>1617</v>
      </c>
      <c r="D28" s="155">
        <f t="shared" si="50"/>
        <v>1539</v>
      </c>
      <c r="E28" s="155">
        <f t="shared" si="50"/>
        <v>1154</v>
      </c>
      <c r="F28" s="155">
        <f t="shared" si="50"/>
        <v>1123.1420711496744</v>
      </c>
      <c r="G28" s="155">
        <f t="shared" si="50"/>
        <v>1132.2463734844787</v>
      </c>
      <c r="H28" s="155">
        <f t="shared" si="50"/>
        <v>1152.5701237260578</v>
      </c>
      <c r="I28" s="155">
        <f t="shared" si="50"/>
        <v>1172.7772274378394</v>
      </c>
      <c r="J28" s="156">
        <f t="shared" si="50"/>
        <v>1193.5905442609746</v>
      </c>
      <c r="K28" s="40">
        <f t="shared" si="37"/>
        <v>3.6538461538461631E-2</v>
      </c>
      <c r="L28" s="40">
        <f t="shared" si="38"/>
        <v>-4.8237476808905333E-2</v>
      </c>
      <c r="M28" s="40">
        <f t="shared" si="39"/>
        <v>-0.25016244314489933</v>
      </c>
      <c r="N28" s="40">
        <f t="shared" si="40"/>
        <v>-2.6739973007214535E-2</v>
      </c>
      <c r="O28" s="40">
        <f t="shared" si="41"/>
        <v>8.1061003488942518E-3</v>
      </c>
      <c r="P28" s="40">
        <f t="shared" si="42"/>
        <v>1.7949936266108635E-2</v>
      </c>
      <c r="Q28" s="40">
        <f t="shared" si="43"/>
        <v>1.7532211963342981E-2</v>
      </c>
      <c r="R28" s="40">
        <f t="shared" si="44"/>
        <v>1.7747033568008552E-2</v>
      </c>
    </row>
    <row r="29" spans="1:18" x14ac:dyDescent="0.35">
      <c r="A29" s="25"/>
      <c r="B29" s="157"/>
      <c r="C29" s="157"/>
      <c r="D29" s="157"/>
      <c r="E29" s="157"/>
      <c r="F29" s="103"/>
      <c r="G29" s="103"/>
      <c r="H29" s="103"/>
      <c r="I29" s="99"/>
      <c r="J29" s="130"/>
      <c r="K29" s="40"/>
      <c r="L29" s="40"/>
      <c r="M29" s="40"/>
      <c r="N29" s="41"/>
      <c r="O29" s="41"/>
      <c r="P29" s="41"/>
      <c r="Q29" s="40"/>
      <c r="R29" s="40"/>
    </row>
    <row r="30" spans="1:18" ht="15" thickBot="1" x14ac:dyDescent="0.4">
      <c r="A30" s="25" t="s">
        <v>97</v>
      </c>
      <c r="B30" s="157"/>
      <c r="C30" s="157"/>
      <c r="D30" s="157"/>
      <c r="E30" s="157"/>
      <c r="F30" s="103"/>
      <c r="G30" s="103"/>
      <c r="H30" s="103"/>
      <c r="I30" s="99"/>
      <c r="J30" s="130"/>
      <c r="K30" s="40"/>
      <c r="L30" s="40"/>
      <c r="M30" s="40"/>
      <c r="N30" s="41"/>
      <c r="O30" s="41"/>
      <c r="P30" s="41"/>
      <c r="Q30" s="40"/>
      <c r="R30" s="40"/>
    </row>
    <row r="31" spans="1:18" x14ac:dyDescent="0.35">
      <c r="A31" s="28" t="s">
        <v>98</v>
      </c>
      <c r="B31" s="158">
        <v>223</v>
      </c>
      <c r="C31" s="158">
        <v>227</v>
      </c>
      <c r="D31" s="158">
        <v>230</v>
      </c>
      <c r="E31" s="158">
        <v>231</v>
      </c>
      <c r="F31" s="152">
        <f>E31</f>
        <v>231</v>
      </c>
      <c r="G31" s="152">
        <f t="shared" ref="G31:J31" si="51">F31</f>
        <v>231</v>
      </c>
      <c r="H31" s="152">
        <f t="shared" si="51"/>
        <v>231</v>
      </c>
      <c r="I31" s="152">
        <f t="shared" si="51"/>
        <v>231</v>
      </c>
      <c r="J31" s="153">
        <f t="shared" si="51"/>
        <v>231</v>
      </c>
      <c r="K31" s="55">
        <f t="shared" ref="K31:M33" si="52">C31/B31-1</f>
        <v>1.7937219730941756E-2</v>
      </c>
      <c r="L31" s="55">
        <f t="shared" si="52"/>
        <v>1.3215859030837107E-2</v>
      </c>
      <c r="M31" s="55">
        <f t="shared" si="52"/>
        <v>4.3478260869564966E-3</v>
      </c>
      <c r="N31" s="55">
        <f t="shared" ref="N31:N35" si="53">F31/E31-1</f>
        <v>0</v>
      </c>
      <c r="O31" s="55">
        <f t="shared" ref="O31:O35" si="54">G31/F31-1</f>
        <v>0</v>
      </c>
      <c r="P31" s="55">
        <f t="shared" ref="P31:P35" si="55">H31/G31-1</f>
        <v>0</v>
      </c>
      <c r="Q31" s="55">
        <f t="shared" ref="Q31:Q35" si="56">I31/H31-1</f>
        <v>0</v>
      </c>
      <c r="R31" s="55">
        <f t="shared" ref="R31:R35" si="57">J31/I31-1</f>
        <v>0</v>
      </c>
    </row>
    <row r="32" spans="1:18" x14ac:dyDescent="0.35">
      <c r="A32" s="22" t="s">
        <v>99</v>
      </c>
      <c r="B32" s="145">
        <v>1092</v>
      </c>
      <c r="C32" s="145">
        <v>1123</v>
      </c>
      <c r="D32" s="145">
        <v>1026</v>
      </c>
      <c r="E32" s="145">
        <v>675</v>
      </c>
      <c r="F32" s="103">
        <f>E32+F68</f>
        <v>644.14207114967439</v>
      </c>
      <c r="G32" s="103">
        <f t="shared" ref="G32:H32" si="58">F32+G68</f>
        <v>653.24637348447891</v>
      </c>
      <c r="H32" s="103">
        <f t="shared" si="58"/>
        <v>673.57012372605766</v>
      </c>
      <c r="I32" s="103">
        <f>H32*$J2</f>
        <v>693.77722743783943</v>
      </c>
      <c r="J32" s="126">
        <f>I32*$J2</f>
        <v>714.59054426097464</v>
      </c>
      <c r="K32" s="40">
        <f t="shared" si="52"/>
        <v>2.8388278388278287E-2</v>
      </c>
      <c r="L32" s="40">
        <f t="shared" si="52"/>
        <v>-8.6375779162956356E-2</v>
      </c>
      <c r="M32" s="40">
        <f t="shared" si="52"/>
        <v>-0.34210526315789469</v>
      </c>
      <c r="N32" s="40">
        <f t="shared" si="53"/>
        <v>-4.5715450148630543E-2</v>
      </c>
      <c r="O32" s="40">
        <f t="shared" si="54"/>
        <v>1.413399736265486E-2</v>
      </c>
      <c r="P32" s="40">
        <f t="shared" si="55"/>
        <v>3.1111922035127249E-2</v>
      </c>
      <c r="Q32" s="40">
        <f t="shared" si="56"/>
        <v>3.0000000000000027E-2</v>
      </c>
      <c r="R32" s="40">
        <f t="shared" si="57"/>
        <v>3.0000000000000027E-2</v>
      </c>
    </row>
    <row r="33" spans="1:18" x14ac:dyDescent="0.35">
      <c r="A33" s="22" t="s">
        <v>100</v>
      </c>
      <c r="B33" s="145">
        <v>245</v>
      </c>
      <c r="C33" s="145">
        <v>267</v>
      </c>
      <c r="D33" s="145">
        <v>283</v>
      </c>
      <c r="E33" s="145">
        <v>248</v>
      </c>
      <c r="F33" s="146">
        <f>E33</f>
        <v>248</v>
      </c>
      <c r="G33" s="146">
        <f t="shared" ref="G33:J33" si="59">F33</f>
        <v>248</v>
      </c>
      <c r="H33" s="146">
        <f t="shared" si="59"/>
        <v>248</v>
      </c>
      <c r="I33" s="146">
        <f t="shared" si="59"/>
        <v>248</v>
      </c>
      <c r="J33" s="147">
        <f t="shared" si="59"/>
        <v>248</v>
      </c>
      <c r="K33" s="42">
        <f t="shared" si="52"/>
        <v>8.9795918367346905E-2</v>
      </c>
      <c r="L33" s="42">
        <f t="shared" si="52"/>
        <v>5.9925093632958726E-2</v>
      </c>
      <c r="M33" s="42">
        <f t="shared" si="52"/>
        <v>-0.12367491166077738</v>
      </c>
      <c r="N33" s="42">
        <f t="shared" si="53"/>
        <v>0</v>
      </c>
      <c r="O33" s="42">
        <f t="shared" si="54"/>
        <v>0</v>
      </c>
      <c r="P33" s="42">
        <f t="shared" si="55"/>
        <v>0</v>
      </c>
      <c r="Q33" s="42">
        <f t="shared" si="56"/>
        <v>0</v>
      </c>
      <c r="R33" s="42">
        <f t="shared" si="57"/>
        <v>0</v>
      </c>
    </row>
    <row r="34" spans="1:18" x14ac:dyDescent="0.35">
      <c r="A34" s="23" t="s">
        <v>101</v>
      </c>
      <c r="B34" s="148">
        <f>SUM(B31:B33)</f>
        <v>1560</v>
      </c>
      <c r="C34" s="148">
        <f t="shared" ref="C34:J34" si="60">SUM(C31:C33)</f>
        <v>1617</v>
      </c>
      <c r="D34" s="148">
        <f t="shared" si="60"/>
        <v>1539</v>
      </c>
      <c r="E34" s="148">
        <f t="shared" si="60"/>
        <v>1154</v>
      </c>
      <c r="F34" s="148">
        <f t="shared" si="60"/>
        <v>1123.1420711496744</v>
      </c>
      <c r="G34" s="148">
        <f t="shared" si="60"/>
        <v>1132.2463734844789</v>
      </c>
      <c r="H34" s="148">
        <f t="shared" si="60"/>
        <v>1152.5701237260578</v>
      </c>
      <c r="I34" s="148">
        <f t="shared" si="60"/>
        <v>1172.7772274378394</v>
      </c>
      <c r="J34" s="149">
        <f t="shared" si="60"/>
        <v>1193.5905442609746</v>
      </c>
      <c r="K34" s="51">
        <f>C34/B34-1</f>
        <v>3.6538461538461631E-2</v>
      </c>
      <c r="L34" s="51">
        <f t="shared" ref="L34:M35" si="61">D34/C34-1</f>
        <v>-4.8237476808905333E-2</v>
      </c>
      <c r="M34" s="51">
        <f t="shared" si="61"/>
        <v>-0.25016244314489933</v>
      </c>
      <c r="N34" s="51">
        <f t="shared" si="53"/>
        <v>-2.6739973007214535E-2</v>
      </c>
      <c r="O34" s="51">
        <f t="shared" si="54"/>
        <v>8.1061003488944738E-3</v>
      </c>
      <c r="P34" s="51">
        <f t="shared" si="55"/>
        <v>1.7949936266108413E-2</v>
      </c>
      <c r="Q34" s="51">
        <f t="shared" si="56"/>
        <v>1.7532211963342981E-2</v>
      </c>
      <c r="R34" s="51">
        <f t="shared" si="57"/>
        <v>1.7747033568008552E-2</v>
      </c>
    </row>
    <row r="35" spans="1:18" x14ac:dyDescent="0.35">
      <c r="A35" s="56" t="s">
        <v>108</v>
      </c>
      <c r="B35" s="159">
        <f>B34+B27</f>
        <v>3502</v>
      </c>
      <c r="C35" s="159">
        <f t="shared" ref="C35:J35" si="62">C34+C27</f>
        <v>3697</v>
      </c>
      <c r="D35" s="159">
        <f t="shared" si="62"/>
        <v>3686</v>
      </c>
      <c r="E35" s="159">
        <f t="shared" si="62"/>
        <v>3370</v>
      </c>
      <c r="F35" s="159">
        <f t="shared" si="62"/>
        <v>3346.3399280839808</v>
      </c>
      <c r="G35" s="159">
        <f t="shared" si="62"/>
        <v>3384.083242331194</v>
      </c>
      <c r="H35" s="159">
        <f t="shared" si="62"/>
        <v>3449.468996291313</v>
      </c>
      <c r="I35" s="159">
        <f t="shared" si="62"/>
        <v>3502.9430661800525</v>
      </c>
      <c r="J35" s="160">
        <f t="shared" si="62"/>
        <v>3558.0213581654543</v>
      </c>
      <c r="K35" s="51">
        <f>C35/B35-1</f>
        <v>5.568246716162184E-2</v>
      </c>
      <c r="L35" s="51">
        <f t="shared" si="61"/>
        <v>-2.9753854476602948E-3</v>
      </c>
      <c r="M35" s="51">
        <f t="shared" si="61"/>
        <v>-8.5729788388496986E-2</v>
      </c>
      <c r="N35" s="51">
        <f t="shared" si="53"/>
        <v>-7.0207928534181674E-3</v>
      </c>
      <c r="O35" s="51">
        <f t="shared" si="54"/>
        <v>1.1278983922241359E-2</v>
      </c>
      <c r="P35" s="51">
        <f t="shared" si="55"/>
        <v>1.9321556025045261E-2</v>
      </c>
      <c r="Q35" s="51">
        <f t="shared" si="56"/>
        <v>1.5502116397112742E-2</v>
      </c>
      <c r="R35" s="51">
        <f t="shared" si="57"/>
        <v>1.572343339438409E-2</v>
      </c>
    </row>
    <row r="36" spans="1:18" x14ac:dyDescent="0.35">
      <c r="B36" s="99"/>
      <c r="C36" s="99"/>
      <c r="D36" s="99"/>
      <c r="E36" s="99"/>
      <c r="F36" s="103"/>
      <c r="G36" s="103"/>
      <c r="H36" s="103"/>
      <c r="I36" s="99"/>
      <c r="J36" s="130"/>
      <c r="K36" s="40"/>
      <c r="L36" s="40"/>
      <c r="M36" s="40"/>
      <c r="N36" s="41"/>
      <c r="O36" s="41"/>
      <c r="P36" s="41"/>
      <c r="Q36" s="40"/>
      <c r="R36" s="40"/>
    </row>
    <row r="37" spans="1:18" x14ac:dyDescent="0.35">
      <c r="A37" s="2" t="s">
        <v>109</v>
      </c>
      <c r="B37" s="99"/>
      <c r="C37" s="99"/>
      <c r="D37" s="99"/>
      <c r="E37" s="99"/>
      <c r="F37" s="103"/>
      <c r="G37" s="103"/>
      <c r="H37" s="103"/>
      <c r="I37" s="99"/>
      <c r="J37" s="99"/>
      <c r="K37" s="40"/>
      <c r="L37" s="40"/>
      <c r="M37" s="40"/>
      <c r="N37" s="41"/>
      <c r="O37" s="41"/>
      <c r="P37" s="41"/>
      <c r="Q37" s="40"/>
      <c r="R37" s="40"/>
    </row>
    <row r="38" spans="1:18" x14ac:dyDescent="0.35">
      <c r="A38" t="s">
        <v>85</v>
      </c>
      <c r="B38" s="99">
        <f>SUM(B11:B13)</f>
        <v>721</v>
      </c>
      <c r="C38" s="99">
        <f>SUM(C11:C13)</f>
        <v>813</v>
      </c>
      <c r="D38" s="99">
        <f>SUM(D11:D13)</f>
        <v>837</v>
      </c>
      <c r="E38" s="99">
        <f>SUM(E11:E13)</f>
        <v>983</v>
      </c>
      <c r="F38" s="99">
        <f t="shared" ref="F38:J38" si="63">SUM(F11:F13)</f>
        <v>916.38734401756301</v>
      </c>
      <c r="G38" s="99">
        <f t="shared" si="63"/>
        <v>982.11180807025221</v>
      </c>
      <c r="H38" s="99">
        <f t="shared" si="63"/>
        <v>1091.404386252294</v>
      </c>
      <c r="I38" s="99">
        <f t="shared" si="63"/>
        <v>1124.1465178398628</v>
      </c>
      <c r="J38" s="99">
        <f t="shared" si="63"/>
        <v>1157.8709133750588</v>
      </c>
      <c r="K38" s="40">
        <f t="shared" ref="K38:M40" si="64">C38/B38-1</f>
        <v>0.12760055478502075</v>
      </c>
      <c r="L38" s="40">
        <f t="shared" si="64"/>
        <v>2.9520295202952074E-2</v>
      </c>
      <c r="M38" s="40">
        <f t="shared" si="64"/>
        <v>0.17443249701314212</v>
      </c>
      <c r="N38" s="41"/>
      <c r="O38" s="41"/>
      <c r="P38" s="41"/>
      <c r="Q38" s="40"/>
      <c r="R38" s="40"/>
    </row>
    <row r="39" spans="1:18" x14ac:dyDescent="0.35">
      <c r="A39" t="s">
        <v>110</v>
      </c>
      <c r="B39" s="99">
        <f>B20+B21+B18</f>
        <v>657</v>
      </c>
      <c r="C39" s="99">
        <f t="shared" ref="C39:J39" si="65">C20+C21+C18</f>
        <v>759</v>
      </c>
      <c r="D39" s="99">
        <f t="shared" si="65"/>
        <v>764</v>
      </c>
      <c r="E39" s="99">
        <f t="shared" si="65"/>
        <v>778</v>
      </c>
      <c r="F39" s="99">
        <f t="shared" si="65"/>
        <v>756.45785693430651</v>
      </c>
      <c r="G39" s="99">
        <f t="shared" si="65"/>
        <v>749.55506884671524</v>
      </c>
      <c r="H39" s="99">
        <f t="shared" si="65"/>
        <v>751.15452856525542</v>
      </c>
      <c r="I39" s="99">
        <f t="shared" si="65"/>
        <v>766.81916442221302</v>
      </c>
      <c r="J39" s="99">
        <f t="shared" si="65"/>
        <v>782.95373935487942</v>
      </c>
      <c r="K39" s="40">
        <f t="shared" si="64"/>
        <v>0.15525114155251152</v>
      </c>
      <c r="L39" s="40">
        <f t="shared" si="64"/>
        <v>6.5876152832675672E-3</v>
      </c>
      <c r="M39" s="40">
        <f t="shared" si="64"/>
        <v>1.8324607329842868E-2</v>
      </c>
      <c r="N39" s="41"/>
      <c r="O39" s="41"/>
      <c r="P39" s="41"/>
      <c r="Q39" s="40"/>
      <c r="R39" s="40"/>
    </row>
    <row r="40" spans="1:18" x14ac:dyDescent="0.35">
      <c r="A40" t="s">
        <v>109</v>
      </c>
      <c r="B40" s="98">
        <f>B38-B39</f>
        <v>64</v>
      </c>
      <c r="C40" s="98">
        <f t="shared" ref="C40:J40" si="66">C38-C39</f>
        <v>54</v>
      </c>
      <c r="D40" s="98">
        <f t="shared" si="66"/>
        <v>73</v>
      </c>
      <c r="E40" s="98">
        <f t="shared" si="66"/>
        <v>205</v>
      </c>
      <c r="F40" s="98">
        <f t="shared" si="66"/>
        <v>159.9294870832565</v>
      </c>
      <c r="G40" s="98">
        <f t="shared" si="66"/>
        <v>232.55673922353697</v>
      </c>
      <c r="H40" s="98">
        <f t="shared" si="66"/>
        <v>340.24985768703857</v>
      </c>
      <c r="I40" s="98">
        <f t="shared" si="66"/>
        <v>357.32735341764976</v>
      </c>
      <c r="J40" s="98">
        <f t="shared" si="66"/>
        <v>374.91717402017935</v>
      </c>
      <c r="K40" s="40">
        <f t="shared" si="64"/>
        <v>-0.15625</v>
      </c>
      <c r="L40" s="40">
        <f t="shared" si="64"/>
        <v>0.35185185185185186</v>
      </c>
      <c r="M40" s="40">
        <f t="shared" si="64"/>
        <v>1.8082191780821919</v>
      </c>
      <c r="N40" s="41"/>
      <c r="O40" s="41"/>
      <c r="P40" s="41"/>
      <c r="Q40" s="40"/>
      <c r="R40" s="40"/>
    </row>
    <row r="41" spans="1:18" x14ac:dyDescent="0.35">
      <c r="A41" t="s">
        <v>111</v>
      </c>
      <c r="B41" s="98"/>
      <c r="C41" s="98">
        <f>C40-B40</f>
        <v>-10</v>
      </c>
      <c r="D41" s="98">
        <f t="shared" ref="D41:H41" si="67">D40-C40</f>
        <v>19</v>
      </c>
      <c r="E41" s="98">
        <f t="shared" si="67"/>
        <v>132</v>
      </c>
      <c r="F41" s="98">
        <f t="shared" si="67"/>
        <v>-45.070512916743496</v>
      </c>
      <c r="G41" s="98">
        <f t="shared" si="67"/>
        <v>72.627252140280461</v>
      </c>
      <c r="H41" s="98">
        <f t="shared" si="67"/>
        <v>107.69311846350161</v>
      </c>
      <c r="I41" s="98">
        <f t="shared" ref="I41" si="68">I40-H40</f>
        <v>17.07749573061119</v>
      </c>
      <c r="J41" s="98">
        <f t="shared" ref="J41" si="69">J40-I40</f>
        <v>17.589820602529585</v>
      </c>
      <c r="K41" s="40"/>
      <c r="L41" s="40"/>
      <c r="M41" s="40"/>
      <c r="N41" s="41"/>
      <c r="O41" s="41"/>
      <c r="P41" s="41"/>
      <c r="Q41" s="40"/>
      <c r="R41" s="40"/>
    </row>
    <row r="42" spans="1:18" x14ac:dyDescent="0.35">
      <c r="F42" s="35"/>
      <c r="G42" s="35"/>
      <c r="H42" s="35"/>
      <c r="K42" s="40"/>
      <c r="L42" s="40"/>
      <c r="M42" s="40"/>
      <c r="N42" s="41"/>
      <c r="O42" s="41"/>
      <c r="P42" s="41"/>
      <c r="Q42" s="40"/>
      <c r="R42" s="40"/>
    </row>
    <row r="43" spans="1:18" x14ac:dyDescent="0.35">
      <c r="F43" s="35"/>
      <c r="G43" s="35"/>
      <c r="H43" s="35"/>
      <c r="K43" s="40"/>
      <c r="L43" s="40"/>
      <c r="M43" s="40"/>
      <c r="N43" s="41"/>
      <c r="O43" s="41"/>
      <c r="P43" s="41"/>
      <c r="Q43" s="40"/>
      <c r="R43" s="40"/>
    </row>
    <row r="44" spans="1:18" x14ac:dyDescent="0.35">
      <c r="A44" s="3" t="s">
        <v>112</v>
      </c>
      <c r="B44" s="3"/>
      <c r="C44" s="3"/>
      <c r="D44" s="3"/>
      <c r="E44" s="3"/>
      <c r="F44" s="36"/>
      <c r="G44" s="36"/>
      <c r="H44" s="36"/>
      <c r="K44" s="40"/>
      <c r="L44" s="40"/>
      <c r="M44" s="40"/>
      <c r="N44" s="41"/>
      <c r="O44" s="41"/>
      <c r="P44" s="41"/>
      <c r="Q44" s="40"/>
      <c r="R44" s="40"/>
    </row>
    <row r="45" spans="1:18" ht="15.75" customHeight="1" x14ac:dyDescent="0.35">
      <c r="A45" t="s">
        <v>113</v>
      </c>
      <c r="B45" s="35" t="str">
        <f t="shared" ref="B45:J45" si="70">IF(ROUND(B15-B35,0)=0,"Balance",+B15-B35)</f>
        <v>Balance</v>
      </c>
      <c r="C45" s="35" t="str">
        <f t="shared" si="70"/>
        <v>Balance</v>
      </c>
      <c r="D45" s="35" t="str">
        <f t="shared" si="70"/>
        <v>Balance</v>
      </c>
      <c r="E45" s="35" t="str">
        <f t="shared" si="70"/>
        <v>Balance</v>
      </c>
      <c r="F45" s="35" t="str">
        <f t="shared" si="70"/>
        <v>Balance</v>
      </c>
      <c r="G45" s="35" t="str">
        <f t="shared" si="70"/>
        <v>Balance</v>
      </c>
      <c r="H45" s="35" t="str">
        <f t="shared" si="70"/>
        <v>Balance</v>
      </c>
      <c r="I45" s="135" t="str">
        <f t="shared" si="70"/>
        <v>Balance</v>
      </c>
      <c r="J45" s="135" t="str">
        <f t="shared" si="70"/>
        <v>Balance</v>
      </c>
      <c r="K45" s="40"/>
      <c r="L45" s="40"/>
      <c r="M45" s="40"/>
      <c r="N45" s="41"/>
      <c r="O45" s="41"/>
      <c r="P45" s="41"/>
      <c r="Q45" s="40"/>
      <c r="R45" s="40"/>
    </row>
    <row r="46" spans="1:18" x14ac:dyDescent="0.35">
      <c r="A46" t="s">
        <v>114</v>
      </c>
      <c r="B46" s="17">
        <f t="shared" ref="B46:J46" si="71">B11+B12+B13+B9</f>
        <v>2241</v>
      </c>
      <c r="C46" s="17">
        <f t="shared" si="71"/>
        <v>2475</v>
      </c>
      <c r="D46" s="17">
        <f t="shared" si="71"/>
        <v>2660</v>
      </c>
      <c r="E46" s="17">
        <f t="shared" si="71"/>
        <v>2929</v>
      </c>
      <c r="F46" s="37">
        <f t="shared" si="71"/>
        <v>2909.2992478503156</v>
      </c>
      <c r="G46" s="37">
        <f t="shared" si="71"/>
        <v>3034.6634082096252</v>
      </c>
      <c r="H46" s="37">
        <f t="shared" si="71"/>
        <v>3214.5171668571725</v>
      </c>
      <c r="I46" s="37">
        <f t="shared" si="71"/>
        <v>3280.562681862888</v>
      </c>
      <c r="J46" s="37">
        <f t="shared" si="71"/>
        <v>3348.5895623187744</v>
      </c>
      <c r="K46" s="40"/>
      <c r="L46" s="40"/>
      <c r="M46" s="40"/>
      <c r="N46" s="41"/>
      <c r="O46" s="41"/>
      <c r="P46" s="41"/>
      <c r="Q46" s="40"/>
      <c r="R46" s="40"/>
    </row>
    <row r="47" spans="1:18" x14ac:dyDescent="0.35">
      <c r="A47" t="s">
        <v>115</v>
      </c>
      <c r="B47">
        <f>B22+B25</f>
        <v>835</v>
      </c>
      <c r="C47">
        <f t="shared" ref="C47:J47" si="72">C22+C25</f>
        <v>933</v>
      </c>
      <c r="D47">
        <f t="shared" si="72"/>
        <v>947</v>
      </c>
      <c r="E47">
        <f t="shared" si="72"/>
        <v>958</v>
      </c>
      <c r="F47" s="97">
        <f t="shared" si="72"/>
        <v>947.25785693430657</v>
      </c>
      <c r="G47" s="97">
        <f t="shared" si="72"/>
        <v>953.71106884671542</v>
      </c>
      <c r="H47" s="97">
        <f t="shared" si="72"/>
        <v>971.6430085652554</v>
      </c>
      <c r="I47" s="97">
        <f t="shared" si="72"/>
        <v>993.92229882221307</v>
      </c>
      <c r="J47" s="97">
        <f t="shared" si="72"/>
        <v>1016.8699677868797</v>
      </c>
      <c r="K47" s="40"/>
      <c r="L47" s="40"/>
      <c r="M47" s="40"/>
      <c r="N47" s="41"/>
      <c r="O47" s="41"/>
      <c r="P47" s="41"/>
      <c r="Q47" s="40"/>
      <c r="R47" s="40"/>
    </row>
    <row r="48" spans="1:18" x14ac:dyDescent="0.35">
      <c r="A48" t="s">
        <v>116</v>
      </c>
      <c r="B48" s="17">
        <f t="shared" ref="B48:J48" si="73">B19+B26</f>
        <v>1285</v>
      </c>
      <c r="C48" s="17">
        <f t="shared" si="73"/>
        <v>1321</v>
      </c>
      <c r="D48" s="17">
        <f t="shared" si="73"/>
        <v>1383</v>
      </c>
      <c r="E48" s="17">
        <f t="shared" si="73"/>
        <v>1438</v>
      </c>
      <c r="F48" s="37">
        <f t="shared" si="73"/>
        <v>1466.74</v>
      </c>
      <c r="G48" s="37">
        <f t="shared" si="73"/>
        <v>1502.2818</v>
      </c>
      <c r="H48" s="37">
        <f t="shared" si="73"/>
        <v>1545.7443440000002</v>
      </c>
      <c r="I48" s="37">
        <f t="shared" si="73"/>
        <v>1563.3466743200001</v>
      </c>
      <c r="J48" s="37">
        <f t="shared" si="73"/>
        <v>1581.4770745496</v>
      </c>
      <c r="K48" s="40"/>
      <c r="L48" s="40"/>
      <c r="M48" s="40"/>
      <c r="N48" s="41"/>
      <c r="O48" s="41"/>
      <c r="P48" s="41"/>
      <c r="Q48" s="40"/>
      <c r="R48" s="40"/>
    </row>
    <row r="49" spans="1:18" x14ac:dyDescent="0.35">
      <c r="A49" t="s">
        <v>117</v>
      </c>
      <c r="B49" s="17">
        <f t="shared" ref="B49:J49" si="74">B10</f>
        <v>1261</v>
      </c>
      <c r="C49" s="17">
        <f t="shared" si="74"/>
        <v>1222</v>
      </c>
      <c r="D49" s="17">
        <f t="shared" si="74"/>
        <v>1026</v>
      </c>
      <c r="E49" s="17">
        <f t="shared" si="74"/>
        <v>441</v>
      </c>
      <c r="F49" s="37">
        <f t="shared" si="74"/>
        <v>437.04068023366517</v>
      </c>
      <c r="G49" s="37">
        <f t="shared" si="74"/>
        <v>349.41983412156878</v>
      </c>
      <c r="H49" s="37">
        <f t="shared" si="74"/>
        <v>234.95182943414056</v>
      </c>
      <c r="I49" s="37">
        <f t="shared" si="74"/>
        <v>222.3803843171645</v>
      </c>
      <c r="J49" s="37">
        <f t="shared" si="74"/>
        <v>209.43179584667996</v>
      </c>
      <c r="K49" s="40"/>
      <c r="L49" s="40"/>
      <c r="M49" s="40"/>
      <c r="N49" s="41"/>
      <c r="O49" s="41"/>
      <c r="P49" s="41"/>
      <c r="Q49" s="40"/>
      <c r="R49" s="40"/>
    </row>
    <row r="50" spans="1:18" x14ac:dyDescent="0.35">
      <c r="F50" s="35"/>
      <c r="G50" s="35"/>
      <c r="H50" s="35"/>
      <c r="K50" s="40"/>
      <c r="L50" s="40"/>
      <c r="M50" s="40"/>
      <c r="N50" s="41"/>
      <c r="O50" s="41"/>
      <c r="P50" s="41"/>
      <c r="Q50" s="40"/>
      <c r="R50" s="40"/>
    </row>
    <row r="51" spans="1:18" ht="15" thickBot="1" x14ac:dyDescent="0.4">
      <c r="F51" s="35"/>
      <c r="G51" s="35"/>
      <c r="H51" s="35"/>
      <c r="K51" s="40"/>
      <c r="L51" s="40"/>
      <c r="M51" s="40"/>
      <c r="N51" s="41"/>
      <c r="O51" s="41"/>
      <c r="P51" s="41"/>
      <c r="Q51" s="40"/>
      <c r="R51" s="40"/>
    </row>
    <row r="52" spans="1:18" ht="15" thickBot="1" x14ac:dyDescent="0.4">
      <c r="A52" s="50" t="s">
        <v>67</v>
      </c>
      <c r="B52" s="46"/>
      <c r="C52" s="46"/>
      <c r="D52" s="46"/>
      <c r="E52" s="46"/>
      <c r="F52" s="58"/>
      <c r="G52" s="58"/>
      <c r="H52" s="58"/>
      <c r="I52" s="46"/>
      <c r="J52" s="119"/>
      <c r="K52" s="59"/>
      <c r="L52" s="59"/>
      <c r="M52" s="61" t="s">
        <v>104</v>
      </c>
      <c r="N52" s="60"/>
      <c r="O52" s="60"/>
      <c r="P52" s="60"/>
      <c r="Q52" s="59"/>
      <c r="R52" s="59"/>
    </row>
    <row r="53" spans="1:18" x14ac:dyDescent="0.35">
      <c r="A53" s="3"/>
      <c r="B53" s="3">
        <v>2021</v>
      </c>
      <c r="C53" s="3">
        <v>2022</v>
      </c>
      <c r="D53" s="3">
        <v>2023</v>
      </c>
      <c r="E53" s="3">
        <v>2024</v>
      </c>
      <c r="F53" s="12" t="s">
        <v>16</v>
      </c>
      <c r="G53" s="12" t="s">
        <v>17</v>
      </c>
      <c r="H53" s="19" t="s">
        <v>18</v>
      </c>
      <c r="I53" s="19" t="s">
        <v>68</v>
      </c>
      <c r="J53" s="120" t="s">
        <v>105</v>
      </c>
      <c r="K53" s="3">
        <v>2022</v>
      </c>
      <c r="L53" s="3">
        <v>2023</v>
      </c>
      <c r="M53" s="3">
        <v>2024</v>
      </c>
      <c r="N53" s="43" t="s">
        <v>16</v>
      </c>
      <c r="O53" s="43" t="s">
        <v>106</v>
      </c>
      <c r="P53" s="43" t="s">
        <v>18</v>
      </c>
      <c r="Q53" s="44" t="s">
        <v>68</v>
      </c>
      <c r="R53" s="44" t="s">
        <v>105</v>
      </c>
    </row>
    <row r="54" spans="1:18" x14ac:dyDescent="0.35">
      <c r="A54" t="s">
        <v>62</v>
      </c>
      <c r="B54" s="99">
        <v>2344</v>
      </c>
      <c r="C54" s="99">
        <v>2826</v>
      </c>
      <c r="D54" s="99">
        <v>3094</v>
      </c>
      <c r="E54" s="99">
        <v>2968</v>
      </c>
      <c r="F54" s="103">
        <f>E54*(1+F151)</f>
        <v>2493.12</v>
      </c>
      <c r="G54" s="103">
        <f>F54*(1+G151)</f>
        <v>2542.9823999999999</v>
      </c>
      <c r="H54" s="140">
        <f t="shared" ref="H54" si="75">G54*(1+H151)</f>
        <v>2644.7016960000001</v>
      </c>
      <c r="I54" s="141">
        <f>H54*$J2</f>
        <v>2724.0427468800003</v>
      </c>
      <c r="J54" s="142">
        <f>I54*$J2</f>
        <v>2805.7640292864003</v>
      </c>
      <c r="K54" s="40">
        <f>C54/B54-1</f>
        <v>0.20563139931740615</v>
      </c>
      <c r="L54" s="40">
        <f>D54/C54-1</f>
        <v>9.4833687190374993E-2</v>
      </c>
      <c r="M54" s="40">
        <f t="shared" ref="M54:N65" si="76">E54/D54-1</f>
        <v>-4.0723981900452455E-2</v>
      </c>
      <c r="N54" s="40">
        <f>F54/E54-1</f>
        <v>-0.16000000000000003</v>
      </c>
      <c r="O54" s="40">
        <v>2.5000000000000001E-2</v>
      </c>
      <c r="P54" s="40">
        <f t="shared" ref="P54:P65" si="77">H54/G54-1</f>
        <v>4.0000000000000036E-2</v>
      </c>
      <c r="Q54" s="136">
        <f t="shared" ref="Q54:Q65" si="78">I54/H54-1</f>
        <v>3.0000000000000027E-2</v>
      </c>
      <c r="R54" s="136">
        <f t="shared" ref="R54:R65" si="79">J54/I54-1</f>
        <v>3.0000000000000027E-2</v>
      </c>
    </row>
    <row r="55" spans="1:18" x14ac:dyDescent="0.35">
      <c r="A55" t="s">
        <v>63</v>
      </c>
      <c r="B55" s="99">
        <v>682</v>
      </c>
      <c r="C55" s="99">
        <v>815</v>
      </c>
      <c r="D55" s="99">
        <v>911</v>
      </c>
      <c r="E55" s="99">
        <v>959</v>
      </c>
      <c r="F55" s="103">
        <f>F54*(1-F117)</f>
        <v>897.52319999999997</v>
      </c>
      <c r="G55" s="103">
        <f t="shared" ref="G55:H55" si="80">G54*(1-G117)</f>
        <v>864.61401599999988</v>
      </c>
      <c r="H55" s="103">
        <f t="shared" si="80"/>
        <v>846.30454271999986</v>
      </c>
      <c r="I55" s="99">
        <f>H55*$J2</f>
        <v>871.69367900159989</v>
      </c>
      <c r="J55" s="130">
        <f>I55*$J2</f>
        <v>897.84448937164791</v>
      </c>
      <c r="K55" s="40">
        <f>C55/B55-1</f>
        <v>0.19501466275659829</v>
      </c>
      <c r="L55" s="40">
        <f t="shared" ref="L55:L60" si="81">D55/C55-1</f>
        <v>0.11779141104294477</v>
      </c>
      <c r="M55" s="40">
        <f t="shared" si="76"/>
        <v>5.2689352360044017E-2</v>
      </c>
      <c r="N55" s="40">
        <f t="shared" si="76"/>
        <v>-6.4105109489051126E-2</v>
      </c>
      <c r="O55" s="40">
        <f t="shared" ref="O55:O65" si="82">G55/F55-1</f>
        <v>-3.6666666666666736E-2</v>
      </c>
      <c r="P55" s="40">
        <f t="shared" si="77"/>
        <v>-2.1176470588235352E-2</v>
      </c>
      <c r="Q55" s="40">
        <f t="shared" si="78"/>
        <v>3.0000000000000027E-2</v>
      </c>
      <c r="R55" s="40">
        <f t="shared" si="79"/>
        <v>3.0000000000000027E-2</v>
      </c>
    </row>
    <row r="56" spans="1:18" x14ac:dyDescent="0.35">
      <c r="A56" s="6" t="s">
        <v>69</v>
      </c>
      <c r="B56" s="143">
        <f>B54-B55</f>
        <v>1662</v>
      </c>
      <c r="C56" s="143">
        <f t="shared" ref="C56:J56" si="83">C54-C55</f>
        <v>2011</v>
      </c>
      <c r="D56" s="143">
        <f t="shared" si="83"/>
        <v>2183</v>
      </c>
      <c r="E56" s="143">
        <f t="shared" si="83"/>
        <v>2009</v>
      </c>
      <c r="F56" s="143">
        <f t="shared" si="83"/>
        <v>1595.5967999999998</v>
      </c>
      <c r="G56" s="143">
        <f t="shared" si="83"/>
        <v>1678.3683839999999</v>
      </c>
      <c r="H56" s="143">
        <f t="shared" si="83"/>
        <v>1798.3971532800001</v>
      </c>
      <c r="I56" s="143">
        <f t="shared" si="83"/>
        <v>1852.3490678784005</v>
      </c>
      <c r="J56" s="134">
        <f t="shared" si="83"/>
        <v>1907.9195399147525</v>
      </c>
      <c r="K56" s="45">
        <f t="shared" ref="K56:K57" si="84">C56/B56-1</f>
        <v>0.20998796630565586</v>
      </c>
      <c r="L56" s="45">
        <f t="shared" si="81"/>
        <v>8.5529587270015028E-2</v>
      </c>
      <c r="M56" s="45">
        <f t="shared" si="76"/>
        <v>-7.9706825469537335E-2</v>
      </c>
      <c r="N56" s="45">
        <f>F56/E56-1</f>
        <v>-0.20577560975609765</v>
      </c>
      <c r="O56" s="45">
        <f t="shared" si="82"/>
        <v>5.1875000000000115E-2</v>
      </c>
      <c r="P56" s="45">
        <f t="shared" si="77"/>
        <v>7.1515151515151754E-2</v>
      </c>
      <c r="Q56" s="45">
        <f t="shared" si="78"/>
        <v>3.0000000000000249E-2</v>
      </c>
      <c r="R56" s="45">
        <f t="shared" si="79"/>
        <v>3.0000000000000027E-2</v>
      </c>
    </row>
    <row r="57" spans="1:18" x14ac:dyDescent="0.35">
      <c r="A57" t="s">
        <v>70</v>
      </c>
      <c r="B57" s="99">
        <v>1238</v>
      </c>
      <c r="C57" s="99">
        <v>1498</v>
      </c>
      <c r="D57" s="99">
        <v>1572</v>
      </c>
      <c r="E57" s="99">
        <v>1604</v>
      </c>
      <c r="F57" s="103">
        <f>E57*(1+F152)</f>
        <v>1587.96</v>
      </c>
      <c r="G57" s="103">
        <f t="shared" ref="G57" si="85">F57*(1+G152)</f>
        <v>1556.2008000000001</v>
      </c>
      <c r="H57" s="103">
        <f>G57*(1+H152)</f>
        <v>1571.7628080000002</v>
      </c>
      <c r="I57" s="99">
        <f>H57*$J2</f>
        <v>1618.9156922400002</v>
      </c>
      <c r="J57" s="130">
        <f>I57*$J2</f>
        <v>1667.4831630072003</v>
      </c>
      <c r="K57" s="40">
        <f t="shared" si="84"/>
        <v>0.21001615508885307</v>
      </c>
      <c r="L57" s="40">
        <f t="shared" si="81"/>
        <v>4.9399198931909138E-2</v>
      </c>
      <c r="M57" s="40">
        <f t="shared" si="76"/>
        <v>2.0356234096692072E-2</v>
      </c>
      <c r="N57" s="40">
        <f t="shared" si="76"/>
        <v>-1.0000000000000009E-2</v>
      </c>
      <c r="O57" s="40">
        <f>G57/F57-1</f>
        <v>-2.0000000000000018E-2</v>
      </c>
      <c r="P57" s="40">
        <f t="shared" si="77"/>
        <v>1.0000000000000009E-2</v>
      </c>
      <c r="Q57" s="40">
        <f t="shared" si="78"/>
        <v>3.0000000000000027E-2</v>
      </c>
      <c r="R57" s="40">
        <f t="shared" si="79"/>
        <v>3.0000000000000027E-2</v>
      </c>
    </row>
    <row r="58" spans="1:18" x14ac:dyDescent="0.35">
      <c r="A58" s="6" t="s">
        <v>65</v>
      </c>
      <c r="B58" s="143">
        <f>B56-B57</f>
        <v>424</v>
      </c>
      <c r="C58" s="143">
        <f t="shared" ref="C58:J58" si="86">C56-C57</f>
        <v>513</v>
      </c>
      <c r="D58" s="143">
        <f t="shared" si="86"/>
        <v>611</v>
      </c>
      <c r="E58" s="143">
        <f t="shared" si="86"/>
        <v>405</v>
      </c>
      <c r="F58" s="143">
        <f t="shared" si="86"/>
        <v>7.6367999999997664</v>
      </c>
      <c r="G58" s="143">
        <f t="shared" si="86"/>
        <v>122.16758399999981</v>
      </c>
      <c r="H58" s="143">
        <f t="shared" si="86"/>
        <v>226.63434527999993</v>
      </c>
      <c r="I58" s="143">
        <f t="shared" si="86"/>
        <v>233.43337563840032</v>
      </c>
      <c r="J58" s="134">
        <f t="shared" si="86"/>
        <v>240.43637690755213</v>
      </c>
      <c r="K58" s="45">
        <f>C58/B58-1</f>
        <v>0.20990566037735858</v>
      </c>
      <c r="L58" s="45">
        <f t="shared" si="81"/>
        <v>0.19103313840155955</v>
      </c>
      <c r="M58" s="45">
        <f t="shared" si="76"/>
        <v>-0.33715220949263502</v>
      </c>
      <c r="N58" s="45">
        <f t="shared" si="76"/>
        <v>-0.9811437037037043</v>
      </c>
      <c r="O58" s="45">
        <f t="shared" si="82"/>
        <v>14.99722187303629</v>
      </c>
      <c r="P58" s="45">
        <f t="shared" si="77"/>
        <v>0.85511031535174098</v>
      </c>
      <c r="Q58" s="45">
        <f t="shared" si="78"/>
        <v>3.0000000000001803E-2</v>
      </c>
      <c r="R58" s="45">
        <f t="shared" si="79"/>
        <v>2.9999999999999138E-2</v>
      </c>
    </row>
    <row r="59" spans="1:18" x14ac:dyDescent="0.35">
      <c r="A59" t="s">
        <v>118</v>
      </c>
      <c r="B59" s="99">
        <v>97</v>
      </c>
      <c r="C59" s="99">
        <v>30</v>
      </c>
      <c r="D59" s="99">
        <v>46</v>
      </c>
      <c r="E59" s="99">
        <v>13</v>
      </c>
      <c r="F59" s="99">
        <f>E59*(1+F153)</f>
        <v>16.900000000000002</v>
      </c>
      <c r="G59" s="99">
        <f t="shared" ref="G59:H59" si="87">F59*(1+G153)</f>
        <v>23.66</v>
      </c>
      <c r="H59" s="99">
        <f t="shared" si="87"/>
        <v>33.123999999999995</v>
      </c>
      <c r="I59" s="99">
        <f>H59*$J2</f>
        <v>34.117719999999998</v>
      </c>
      <c r="J59" s="130">
        <f>I59*$J2</f>
        <v>35.141251599999997</v>
      </c>
      <c r="K59" s="40">
        <f>C59/B59-1</f>
        <v>-0.69072164948453607</v>
      </c>
      <c r="L59" s="40">
        <f t="shared" si="81"/>
        <v>0.53333333333333344</v>
      </c>
      <c r="M59" s="40">
        <f t="shared" si="76"/>
        <v>-0.71739130434782616</v>
      </c>
      <c r="N59" s="40">
        <f t="shared" si="76"/>
        <v>0.30000000000000027</v>
      </c>
      <c r="O59" s="40">
        <f t="shared" si="82"/>
        <v>0.39999999999999991</v>
      </c>
      <c r="P59" s="40">
        <f t="shared" si="77"/>
        <v>0.39999999999999969</v>
      </c>
      <c r="Q59" s="40">
        <f t="shared" si="78"/>
        <v>3.0000000000000027E-2</v>
      </c>
      <c r="R59" s="40">
        <f t="shared" si="79"/>
        <v>3.0000000000000027E-2</v>
      </c>
    </row>
    <row r="60" spans="1:18" x14ac:dyDescent="0.35">
      <c r="A60" t="s">
        <v>64</v>
      </c>
      <c r="B60" s="99">
        <v>3</v>
      </c>
      <c r="C60" s="99">
        <v>3</v>
      </c>
      <c r="D60" s="99">
        <v>21</v>
      </c>
      <c r="E60" s="99">
        <v>31</v>
      </c>
      <c r="F60" s="103">
        <f>E49*F134</f>
        <v>13.229999999999999</v>
      </c>
      <c r="G60" s="103">
        <f>F49*G134</f>
        <v>13.111220407009954</v>
      </c>
      <c r="H60" s="103">
        <f>G49*H134</f>
        <v>10.482595023647063</v>
      </c>
      <c r="I60" s="99">
        <f>H10*I134</f>
        <v>7.0485548830242166</v>
      </c>
      <c r="J60" s="130">
        <f>I10*J134</f>
        <v>6.671411529514935</v>
      </c>
      <c r="K60" s="40">
        <f>C60/B60-1</f>
        <v>0</v>
      </c>
      <c r="L60" s="40">
        <f t="shared" si="81"/>
        <v>6</v>
      </c>
      <c r="M60" s="40">
        <f t="shared" si="76"/>
        <v>0.47619047619047628</v>
      </c>
      <c r="N60" s="40">
        <f t="shared" si="76"/>
        <v>-0.57322580645161292</v>
      </c>
      <c r="O60" s="40">
        <f t="shared" si="82"/>
        <v>-8.9780493567682695E-3</v>
      </c>
      <c r="P60" s="40">
        <f t="shared" si="77"/>
        <v>-0.20048670541435554</v>
      </c>
      <c r="Q60" s="40">
        <f t="shared" si="78"/>
        <v>-0.32759446805644965</v>
      </c>
      <c r="R60" s="40">
        <f t="shared" si="79"/>
        <v>-5.3506478954657211E-2</v>
      </c>
    </row>
    <row r="61" spans="1:18" x14ac:dyDescent="0.35">
      <c r="A61" s="6" t="s">
        <v>71</v>
      </c>
      <c r="B61" s="143">
        <f>B58+B59+B60</f>
        <v>524</v>
      </c>
      <c r="C61" s="143">
        <f t="shared" ref="C61:J61" si="88">C58+C59+C60</f>
        <v>546</v>
      </c>
      <c r="D61" s="143">
        <f t="shared" si="88"/>
        <v>678</v>
      </c>
      <c r="E61" s="143">
        <f t="shared" si="88"/>
        <v>449</v>
      </c>
      <c r="F61" s="143">
        <f t="shared" si="88"/>
        <v>37.766799999999769</v>
      </c>
      <c r="G61" s="143">
        <f t="shared" si="88"/>
        <v>158.93880440700977</v>
      </c>
      <c r="H61" s="143">
        <f t="shared" si="88"/>
        <v>270.24094030364699</v>
      </c>
      <c r="I61" s="143">
        <f t="shared" si="88"/>
        <v>274.59965052142456</v>
      </c>
      <c r="J61" s="134">
        <f t="shared" si="88"/>
        <v>282.24904003706706</v>
      </c>
      <c r="K61" s="45">
        <f t="shared" ref="K61:M65" si="89">C61/B61-1</f>
        <v>4.1984732824427384E-2</v>
      </c>
      <c r="L61" s="45">
        <f t="shared" si="89"/>
        <v>0.24175824175824179</v>
      </c>
      <c r="M61" s="45">
        <f t="shared" si="89"/>
        <v>-0.33775811209439532</v>
      </c>
      <c r="N61" s="45">
        <f t="shared" si="76"/>
        <v>-0.9158868596881965</v>
      </c>
      <c r="O61" s="45">
        <f t="shared" si="82"/>
        <v>3.2084265653169117</v>
      </c>
      <c r="P61" s="45">
        <f t="shared" si="77"/>
        <v>0.70028295677634023</v>
      </c>
      <c r="Q61" s="45">
        <f t="shared" si="78"/>
        <v>1.6128978136621619E-2</v>
      </c>
      <c r="R61" s="45">
        <f t="shared" si="79"/>
        <v>2.7856515844493668E-2</v>
      </c>
    </row>
    <row r="62" spans="1:18" x14ac:dyDescent="0.35">
      <c r="A62" t="s">
        <v>72</v>
      </c>
      <c r="B62" s="99">
        <v>34</v>
      </c>
      <c r="C62" s="99">
        <v>35</v>
      </c>
      <c r="D62" s="99">
        <v>44</v>
      </c>
      <c r="E62" s="99">
        <v>66</v>
      </c>
      <c r="F62" s="103">
        <f>E48*F135</f>
        <v>68.624728850325383</v>
      </c>
      <c r="G62" s="103">
        <f t="shared" ref="G62:J62" si="90">F48*G135</f>
        <v>69.996268980477225</v>
      </c>
      <c r="H62" s="103">
        <f t="shared" si="90"/>
        <v>71.69240694143167</v>
      </c>
      <c r="I62" s="103">
        <f t="shared" si="90"/>
        <v>73.766541362255978</v>
      </c>
      <c r="J62" s="126">
        <f t="shared" si="90"/>
        <v>74.606565802689815</v>
      </c>
      <c r="K62" s="40">
        <f t="shared" si="89"/>
        <v>2.9411764705882248E-2</v>
      </c>
      <c r="L62" s="40">
        <f t="shared" si="89"/>
        <v>0.25714285714285712</v>
      </c>
      <c r="M62" s="40">
        <f t="shared" si="89"/>
        <v>0.5</v>
      </c>
      <c r="N62" s="40">
        <f t="shared" si="76"/>
        <v>3.9768618944324041E-2</v>
      </c>
      <c r="O62" s="40">
        <f t="shared" si="82"/>
        <v>1.9986091794158556E-2</v>
      </c>
      <c r="P62" s="40">
        <f t="shared" si="77"/>
        <v>2.4231833862852215E-2</v>
      </c>
      <c r="Q62" s="40">
        <f t="shared" si="78"/>
        <v>2.8931019466521102E-2</v>
      </c>
      <c r="R62" s="40">
        <f t="shared" si="79"/>
        <v>1.1387607781536246E-2</v>
      </c>
    </row>
    <row r="63" spans="1:18" x14ac:dyDescent="0.35">
      <c r="A63" s="6" t="s">
        <v>73</v>
      </c>
      <c r="B63" s="143">
        <f>B61-B62</f>
        <v>490</v>
      </c>
      <c r="C63" s="143">
        <f t="shared" ref="C63:J63" si="91">C61-C62</f>
        <v>511</v>
      </c>
      <c r="D63" s="143">
        <f t="shared" si="91"/>
        <v>634</v>
      </c>
      <c r="E63" s="143">
        <f t="shared" si="91"/>
        <v>383</v>
      </c>
      <c r="F63" s="143">
        <f t="shared" si="91"/>
        <v>-30.857928850325614</v>
      </c>
      <c r="G63" s="143">
        <f t="shared" si="91"/>
        <v>88.942535426532544</v>
      </c>
      <c r="H63" s="143">
        <f t="shared" si="91"/>
        <v>198.54853336221532</v>
      </c>
      <c r="I63" s="143">
        <f t="shared" si="91"/>
        <v>200.8331091591686</v>
      </c>
      <c r="J63" s="134">
        <f t="shared" si="91"/>
        <v>207.64247423437723</v>
      </c>
      <c r="K63" s="45">
        <f t="shared" si="89"/>
        <v>4.2857142857142927E-2</v>
      </c>
      <c r="L63" s="45">
        <f t="shared" si="89"/>
        <v>0.24070450097847362</v>
      </c>
      <c r="M63" s="45">
        <f t="shared" si="89"/>
        <v>-0.39589905362776023</v>
      </c>
      <c r="N63" s="45">
        <f t="shared" si="76"/>
        <v>-1.0805690048311374</v>
      </c>
      <c r="O63" s="45">
        <f t="shared" si="82"/>
        <v>-3.8823235628658863</v>
      </c>
      <c r="P63" s="45">
        <f t="shared" si="77"/>
        <v>1.2323237403797473</v>
      </c>
      <c r="Q63" s="45">
        <f t="shared" si="78"/>
        <v>1.1506384651985835E-2</v>
      </c>
      <c r="R63" s="45">
        <f t="shared" si="79"/>
        <v>3.3905590087797366E-2</v>
      </c>
    </row>
    <row r="64" spans="1:18" x14ac:dyDescent="0.35">
      <c r="A64" t="s">
        <v>74</v>
      </c>
      <c r="B64" s="99">
        <v>114</v>
      </c>
      <c r="C64" s="99">
        <v>114</v>
      </c>
      <c r="D64" s="99">
        <v>142</v>
      </c>
      <c r="E64" s="99">
        <v>112</v>
      </c>
      <c r="F64" s="103">
        <f>IF(F63&lt;0,0,F63*F133)</f>
        <v>0</v>
      </c>
      <c r="G64" s="103">
        <f>IF(G63&lt;0,0,G63*G133)</f>
        <v>24.014484565163787</v>
      </c>
      <c r="H64" s="103">
        <f>IF(H63&lt;0,0,H63*H133)</f>
        <v>53.60810400779814</v>
      </c>
      <c r="I64" s="103">
        <f t="shared" ref="I64:J64" si="92">IF(I63&lt;0,0,I63*I133)</f>
        <v>54.224939472975528</v>
      </c>
      <c r="J64" s="126">
        <f t="shared" si="92"/>
        <v>56.063468043281858</v>
      </c>
      <c r="K64" s="40">
        <f t="shared" si="89"/>
        <v>0</v>
      </c>
      <c r="L64" s="40">
        <f t="shared" si="89"/>
        <v>0.2456140350877194</v>
      </c>
      <c r="M64" s="40">
        <f t="shared" si="89"/>
        <v>-0.21126760563380287</v>
      </c>
      <c r="N64" s="40">
        <f t="shared" si="76"/>
        <v>-1</v>
      </c>
      <c r="O64" s="40" t="e">
        <f t="shared" si="82"/>
        <v>#DIV/0!</v>
      </c>
      <c r="P64" s="40">
        <f t="shared" si="77"/>
        <v>1.2323237403797473</v>
      </c>
      <c r="Q64" s="40">
        <f t="shared" si="78"/>
        <v>1.1506384651985835E-2</v>
      </c>
      <c r="R64" s="40">
        <f t="shared" si="79"/>
        <v>3.3905590087797366E-2</v>
      </c>
    </row>
    <row r="65" spans="1:18" x14ac:dyDescent="0.35">
      <c r="A65" s="6" t="s">
        <v>75</v>
      </c>
      <c r="B65" s="143">
        <f>B63-B64</f>
        <v>376</v>
      </c>
      <c r="C65" s="143">
        <f t="shared" ref="C65:J65" si="93">C63-C64</f>
        <v>397</v>
      </c>
      <c r="D65" s="143">
        <f t="shared" si="93"/>
        <v>492</v>
      </c>
      <c r="E65" s="143">
        <f t="shared" si="93"/>
        <v>271</v>
      </c>
      <c r="F65" s="143">
        <f>F63-F64</f>
        <v>-30.857928850325614</v>
      </c>
      <c r="G65" s="143">
        <f t="shared" si="93"/>
        <v>64.92805086136876</v>
      </c>
      <c r="H65" s="143">
        <f t="shared" si="93"/>
        <v>144.94042935441718</v>
      </c>
      <c r="I65" s="143">
        <f t="shared" si="93"/>
        <v>146.60816968619307</v>
      </c>
      <c r="J65" s="134">
        <f t="shared" si="93"/>
        <v>151.57900619109537</v>
      </c>
      <c r="K65" s="45">
        <f t="shared" si="89"/>
        <v>5.5851063829787329E-2</v>
      </c>
      <c r="L65" s="45">
        <f t="shared" si="89"/>
        <v>0.23929471032745586</v>
      </c>
      <c r="M65" s="45">
        <f t="shared" si="89"/>
        <v>-0.44918699186991873</v>
      </c>
      <c r="N65" s="45">
        <f t="shared" si="76"/>
        <v>-1.1138668961266629</v>
      </c>
      <c r="O65" s="45">
        <f t="shared" si="82"/>
        <v>-3.1040962008920969</v>
      </c>
      <c r="P65" s="45">
        <f t="shared" si="77"/>
        <v>1.2323237403797473</v>
      </c>
      <c r="Q65" s="45">
        <f t="shared" si="78"/>
        <v>1.1506384651985835E-2</v>
      </c>
      <c r="R65" s="45">
        <f t="shared" si="79"/>
        <v>3.3905590087797366E-2</v>
      </c>
    </row>
    <row r="66" spans="1:18" x14ac:dyDescent="0.35">
      <c r="A66" s="47"/>
      <c r="B66" s="141"/>
      <c r="C66" s="141"/>
      <c r="D66" s="141"/>
      <c r="E66" s="141"/>
      <c r="F66" s="140"/>
      <c r="G66" s="140"/>
      <c r="H66" s="140"/>
      <c r="I66" s="141"/>
      <c r="J66" s="144"/>
      <c r="K66" s="51"/>
      <c r="L66" s="51"/>
      <c r="M66" s="51"/>
      <c r="N66" s="57"/>
      <c r="O66" s="57"/>
      <c r="P66" s="57"/>
      <c r="Q66" s="51"/>
      <c r="R66" s="51"/>
    </row>
    <row r="67" spans="1:18" x14ac:dyDescent="0.35">
      <c r="A67" s="47" t="s">
        <v>119</v>
      </c>
      <c r="B67" s="141">
        <v>0</v>
      </c>
      <c r="C67" s="141">
        <v>219</v>
      </c>
      <c r="D67" s="141">
        <v>203</v>
      </c>
      <c r="E67" s="141">
        <v>233</v>
      </c>
      <c r="F67" s="140">
        <v>0</v>
      </c>
      <c r="G67" s="140">
        <f t="shared" ref="G67:J67" si="94">G65*G136</f>
        <v>55.823748526564287</v>
      </c>
      <c r="H67" s="140">
        <f t="shared" si="94"/>
        <v>124.61667911283838</v>
      </c>
      <c r="I67" s="140">
        <f t="shared" si="94"/>
        <v>112.03106597441132</v>
      </c>
      <c r="J67" s="140">
        <f t="shared" si="94"/>
        <v>116.3956893679602</v>
      </c>
      <c r="K67" s="114" t="e">
        <f>C67/B67-1</f>
        <v>#DIV/0!</v>
      </c>
      <c r="L67" s="51">
        <f t="shared" ref="L67:O68" si="95">D67/C67-1</f>
        <v>-7.3059360730593603E-2</v>
      </c>
      <c r="M67" s="51">
        <f t="shared" si="95"/>
        <v>0.14778325123152714</v>
      </c>
      <c r="N67" s="51">
        <f t="shared" si="95"/>
        <v>-1</v>
      </c>
      <c r="O67" s="51" t="e">
        <f t="shared" si="95"/>
        <v>#DIV/0!</v>
      </c>
      <c r="P67" s="51">
        <f t="shared" ref="P67:R68" si="96">H67/G67-1</f>
        <v>1.2323237403797469</v>
      </c>
      <c r="Q67" s="51">
        <f t="shared" si="96"/>
        <v>-0.10099461186115377</v>
      </c>
      <c r="R67" s="51">
        <f t="shared" si="96"/>
        <v>3.8959045471778309E-2</v>
      </c>
    </row>
    <row r="68" spans="1:18" x14ac:dyDescent="0.35">
      <c r="A68" t="s">
        <v>120</v>
      </c>
      <c r="B68" s="103">
        <f>B65-B67</f>
        <v>376</v>
      </c>
      <c r="C68" s="103">
        <f>C65-C67</f>
        <v>178</v>
      </c>
      <c r="D68" s="103">
        <f>D65-D67</f>
        <v>289</v>
      </c>
      <c r="E68" s="103">
        <f>E65-E67</f>
        <v>38</v>
      </c>
      <c r="F68" s="103">
        <f>F65-F67</f>
        <v>-30.857928850325614</v>
      </c>
      <c r="G68" s="103">
        <f t="shared" ref="G68:H68" si="97">G65-G67</f>
        <v>9.1043023348044727</v>
      </c>
      <c r="H68" s="103">
        <f t="shared" si="97"/>
        <v>20.323750241578793</v>
      </c>
      <c r="I68" s="103">
        <f t="shared" ref="I68" si="98">I65-I67</f>
        <v>34.577103711781746</v>
      </c>
      <c r="J68" s="103">
        <f t="shared" ref="J68" si="99">J65-J67</f>
        <v>35.183316823135172</v>
      </c>
      <c r="K68" s="40">
        <f>C68/B68-1</f>
        <v>-0.52659574468085113</v>
      </c>
      <c r="L68" s="40">
        <f t="shared" si="95"/>
        <v>0.62359550561797761</v>
      </c>
      <c r="M68" s="40">
        <f t="shared" si="95"/>
        <v>-0.86851211072664358</v>
      </c>
      <c r="N68" s="40">
        <f t="shared" si="95"/>
        <v>-1.8120507592190951</v>
      </c>
      <c r="O68" s="40">
        <f t="shared" si="95"/>
        <v>-1.2950393196822865</v>
      </c>
      <c r="P68" s="40">
        <f t="shared" si="96"/>
        <v>1.2323237403797478</v>
      </c>
      <c r="Q68" s="40">
        <f t="shared" si="96"/>
        <v>0.70131512642992022</v>
      </c>
      <c r="R68" s="40">
        <f t="shared" si="96"/>
        <v>1.7532211963342315E-2</v>
      </c>
    </row>
    <row r="69" spans="1:18" x14ac:dyDescent="0.35">
      <c r="F69" s="35"/>
      <c r="G69" s="35"/>
      <c r="H69" s="35"/>
      <c r="K69" s="40"/>
      <c r="L69" s="40"/>
      <c r="M69" s="40"/>
      <c r="N69" s="41"/>
      <c r="O69" s="41"/>
      <c r="P69" s="41"/>
      <c r="Q69" s="40"/>
      <c r="R69" s="40"/>
    </row>
    <row r="70" spans="1:18" x14ac:dyDescent="0.35">
      <c r="A70" t="s">
        <v>121</v>
      </c>
      <c r="B70" s="62">
        <v>405</v>
      </c>
      <c r="C70" s="62">
        <v>405</v>
      </c>
      <c r="D70" s="62">
        <v>384</v>
      </c>
      <c r="E70" s="62">
        <v>364</v>
      </c>
      <c r="F70" s="62">
        <v>364</v>
      </c>
      <c r="G70" s="62">
        <v>364</v>
      </c>
      <c r="H70" s="62">
        <v>364</v>
      </c>
      <c r="I70" s="62">
        <v>364</v>
      </c>
      <c r="J70" s="62">
        <v>364</v>
      </c>
      <c r="K70" s="40"/>
      <c r="L70" s="40"/>
      <c r="M70" s="40"/>
      <c r="N70" s="41"/>
      <c r="O70" s="41"/>
      <c r="P70" s="41"/>
      <c r="Q70" s="40"/>
      <c r="R70" s="40"/>
    </row>
    <row r="71" spans="1:18" x14ac:dyDescent="0.35">
      <c r="A71" t="s">
        <v>122</v>
      </c>
      <c r="B71" s="99">
        <f>B65/B70</f>
        <v>0.92839506172839503</v>
      </c>
      <c r="C71" s="99">
        <f t="shared" ref="C71:J71" si="100">C65/C70</f>
        <v>0.98024691358024696</v>
      </c>
      <c r="D71" s="99">
        <f t="shared" si="100"/>
        <v>1.28125</v>
      </c>
      <c r="E71" s="99">
        <f>E65/E70</f>
        <v>0.74450549450549453</v>
      </c>
      <c r="F71" s="99">
        <f>F65/F70</f>
        <v>-8.4774529808586851E-2</v>
      </c>
      <c r="G71" s="99">
        <f t="shared" si="100"/>
        <v>0.17837376610266142</v>
      </c>
      <c r="H71" s="99">
        <f t="shared" si="100"/>
        <v>0.3981879927319153</v>
      </c>
      <c r="I71" s="99">
        <f t="shared" si="100"/>
        <v>0.40276969694009085</v>
      </c>
      <c r="J71" s="99">
        <f t="shared" si="100"/>
        <v>0.41642584118432796</v>
      </c>
      <c r="K71" s="40"/>
      <c r="L71" s="40"/>
      <c r="M71" s="40"/>
      <c r="N71" s="41"/>
      <c r="O71" s="41"/>
      <c r="P71" s="41"/>
      <c r="Q71" s="40"/>
      <c r="R71" s="40"/>
    </row>
    <row r="72" spans="1:18" x14ac:dyDescent="0.35">
      <c r="A72" t="s">
        <v>123</v>
      </c>
      <c r="B72" s="99">
        <f>B67/B70</f>
        <v>0</v>
      </c>
      <c r="C72" s="99">
        <f t="shared" ref="C72:J72" si="101">C67/C70</f>
        <v>0.54074074074074074</v>
      </c>
      <c r="D72" s="99">
        <f t="shared" si="101"/>
        <v>0.52864583333333337</v>
      </c>
      <c r="E72" s="99">
        <f t="shared" si="101"/>
        <v>0.64010989010989006</v>
      </c>
      <c r="F72" s="99">
        <f t="shared" si="101"/>
        <v>0</v>
      </c>
      <c r="G72" s="99">
        <f t="shared" si="101"/>
        <v>0.15336194650155024</v>
      </c>
      <c r="H72" s="99">
        <f t="shared" si="101"/>
        <v>0.3423535140462593</v>
      </c>
      <c r="I72" s="99">
        <f t="shared" si="101"/>
        <v>0.30777765377585525</v>
      </c>
      <c r="J72" s="99">
        <f t="shared" si="101"/>
        <v>0.31976837738450603</v>
      </c>
      <c r="K72" s="40"/>
      <c r="L72" s="40"/>
      <c r="M72" s="40"/>
      <c r="N72" s="41"/>
      <c r="O72" s="41"/>
      <c r="P72" s="41"/>
      <c r="Q72" s="40"/>
      <c r="R72" s="40"/>
    </row>
    <row r="73" spans="1:18" x14ac:dyDescent="0.35">
      <c r="A73" t="s">
        <v>124</v>
      </c>
      <c r="B73" s="99">
        <f>B34/B70</f>
        <v>3.8518518518518516</v>
      </c>
      <c r="C73" s="99">
        <f>C34/C70</f>
        <v>3.9925925925925925</v>
      </c>
      <c r="D73" s="99">
        <f>D34/D70</f>
        <v>4.0078125</v>
      </c>
      <c r="E73" s="99">
        <f>E34/E70</f>
        <v>3.1703296703296702</v>
      </c>
      <c r="F73" s="99">
        <f t="shared" ref="F73:J73" si="102">F34/F70</f>
        <v>3.0855551405210835</v>
      </c>
      <c r="G73" s="99">
        <f t="shared" si="102"/>
        <v>3.110566960122195</v>
      </c>
      <c r="H73" s="99">
        <f t="shared" si="102"/>
        <v>3.166401438807851</v>
      </c>
      <c r="I73" s="99">
        <f t="shared" si="102"/>
        <v>3.2219154599940643</v>
      </c>
      <c r="J73" s="99">
        <f t="shared" si="102"/>
        <v>3.2790949018158644</v>
      </c>
      <c r="K73" s="40"/>
      <c r="L73" s="40"/>
      <c r="M73" s="40"/>
      <c r="N73" s="41"/>
      <c r="O73" s="41"/>
      <c r="P73" s="41"/>
      <c r="Q73" s="40"/>
      <c r="R73" s="40"/>
    </row>
    <row r="74" spans="1:18" x14ac:dyDescent="0.35">
      <c r="B74" s="99"/>
      <c r="C74" s="99"/>
      <c r="D74" s="99"/>
      <c r="E74" s="99"/>
      <c r="F74" s="103"/>
      <c r="G74" s="103"/>
      <c r="H74" s="103"/>
      <c r="I74" s="99"/>
      <c r="J74" s="99"/>
      <c r="K74" s="40"/>
      <c r="L74" s="40"/>
      <c r="M74" s="40"/>
      <c r="N74" s="41"/>
      <c r="O74" s="41"/>
      <c r="P74" s="41"/>
      <c r="Q74" s="40"/>
      <c r="R74" s="40"/>
    </row>
    <row r="75" spans="1:18" ht="15" thickBot="1" x14ac:dyDescent="0.4">
      <c r="F75" s="35"/>
      <c r="G75" s="35"/>
      <c r="H75" s="35"/>
      <c r="K75" s="40"/>
      <c r="L75" s="40"/>
      <c r="M75" s="40"/>
      <c r="N75" s="41"/>
      <c r="O75" s="41"/>
      <c r="P75" s="41"/>
      <c r="Q75" s="40"/>
      <c r="R75" s="40"/>
    </row>
    <row r="76" spans="1:18" ht="15" thickBot="1" x14ac:dyDescent="0.4">
      <c r="A76" s="50" t="s">
        <v>54</v>
      </c>
      <c r="B76" s="46"/>
      <c r="C76" s="46"/>
      <c r="D76" s="46"/>
      <c r="E76" s="46"/>
      <c r="F76" s="58"/>
      <c r="G76" s="58"/>
      <c r="H76" s="58"/>
      <c r="I76" s="46"/>
      <c r="J76" s="46"/>
      <c r="K76" s="59"/>
      <c r="L76" s="59"/>
      <c r="M76" s="61" t="s">
        <v>104</v>
      </c>
      <c r="N76" s="60"/>
      <c r="O76" s="60"/>
      <c r="P76" s="60"/>
      <c r="Q76" s="59"/>
      <c r="R76" s="59"/>
    </row>
    <row r="77" spans="1:18" x14ac:dyDescent="0.35">
      <c r="A77" s="74"/>
      <c r="B77" s="70">
        <v>2021</v>
      </c>
      <c r="C77" s="70">
        <v>2022</v>
      </c>
      <c r="D77" s="70">
        <v>2023</v>
      </c>
      <c r="E77" s="70">
        <v>2024</v>
      </c>
      <c r="F77" s="69" t="s">
        <v>16</v>
      </c>
      <c r="G77" s="69" t="s">
        <v>17</v>
      </c>
      <c r="H77" s="69" t="s">
        <v>18</v>
      </c>
      <c r="I77" s="69" t="s">
        <v>68</v>
      </c>
      <c r="J77" s="121" t="s">
        <v>105</v>
      </c>
      <c r="K77" s="70">
        <v>2022</v>
      </c>
      <c r="L77" s="70">
        <v>2023</v>
      </c>
      <c r="M77" s="70">
        <v>2024</v>
      </c>
      <c r="N77" s="71" t="s">
        <v>16</v>
      </c>
      <c r="O77" s="71" t="s">
        <v>106</v>
      </c>
      <c r="P77" s="71" t="s">
        <v>18</v>
      </c>
      <c r="Q77" s="71" t="s">
        <v>68</v>
      </c>
      <c r="R77" s="71" t="s">
        <v>105</v>
      </c>
    </row>
    <row r="78" spans="1:18" ht="15" thickBot="1" x14ac:dyDescent="0.4">
      <c r="A78" s="87" t="s">
        <v>31</v>
      </c>
      <c r="B78" s="88"/>
      <c r="C78" s="88"/>
      <c r="D78" s="88"/>
      <c r="E78" s="88"/>
      <c r="F78" s="89"/>
      <c r="G78" s="89"/>
      <c r="H78" s="89"/>
      <c r="I78" s="89"/>
      <c r="J78" s="122"/>
      <c r="K78" s="88"/>
      <c r="L78" s="88"/>
      <c r="M78" s="88"/>
      <c r="N78" s="90"/>
      <c r="O78" s="90"/>
      <c r="P78" s="90"/>
      <c r="Q78" s="90"/>
      <c r="R78" s="90"/>
    </row>
    <row r="79" spans="1:18" x14ac:dyDescent="0.35">
      <c r="A79" s="76" t="s">
        <v>55</v>
      </c>
      <c r="B79" s="197">
        <v>524</v>
      </c>
      <c r="C79" s="197">
        <v>546</v>
      </c>
      <c r="D79" s="197">
        <v>678</v>
      </c>
      <c r="E79" s="197">
        <v>449</v>
      </c>
      <c r="F79" s="103">
        <f>F61</f>
        <v>37.766799999999769</v>
      </c>
      <c r="G79" s="103">
        <f t="shared" ref="G79:J79" si="103">G61</f>
        <v>158.93880440700977</v>
      </c>
      <c r="H79" s="103">
        <f t="shared" si="103"/>
        <v>270.24094030364699</v>
      </c>
      <c r="I79" s="103">
        <f t="shared" si="103"/>
        <v>274.59965052142456</v>
      </c>
      <c r="J79" s="126">
        <f t="shared" si="103"/>
        <v>282.24904003706706</v>
      </c>
      <c r="K79" s="40">
        <f t="shared" ref="K79:K84" si="104">(C79/B79)-1</f>
        <v>4.1984732824427384E-2</v>
      </c>
      <c r="L79" s="40">
        <f t="shared" ref="L79:O84" si="105">(D79/C79)-1</f>
        <v>0.24175824175824179</v>
      </c>
      <c r="M79" s="40">
        <f t="shared" si="105"/>
        <v>-0.33775811209439532</v>
      </c>
      <c r="N79" s="40">
        <f t="shared" si="105"/>
        <v>-0.9158868596881965</v>
      </c>
      <c r="O79" s="40">
        <f t="shared" si="105"/>
        <v>3.2084265653169117</v>
      </c>
      <c r="P79" s="40">
        <f>(H79/G79)-1</f>
        <v>0.70028295677634023</v>
      </c>
      <c r="Q79" s="40">
        <f>(I79/H79)-1</f>
        <v>1.6128978136621619E-2</v>
      </c>
      <c r="R79" s="40">
        <f>(J79/I79)-1</f>
        <v>2.7856515844493668E-2</v>
      </c>
    </row>
    <row r="80" spans="1:18" x14ac:dyDescent="0.35">
      <c r="A80" s="75" t="s">
        <v>38</v>
      </c>
      <c r="B80" s="197">
        <v>-58</v>
      </c>
      <c r="C80" s="197">
        <v>-180</v>
      </c>
      <c r="D80" s="197">
        <v>-140</v>
      </c>
      <c r="E80" s="197">
        <v>-139</v>
      </c>
      <c r="F80" s="103">
        <f>-F64</f>
        <v>0</v>
      </c>
      <c r="G80" s="103">
        <f t="shared" ref="G80:J80" si="106">-G64</f>
        <v>-24.014484565163787</v>
      </c>
      <c r="H80" s="103">
        <f t="shared" si="106"/>
        <v>-53.60810400779814</v>
      </c>
      <c r="I80" s="103">
        <f t="shared" si="106"/>
        <v>-54.224939472975528</v>
      </c>
      <c r="J80" s="126">
        <f t="shared" si="106"/>
        <v>-56.063468043281858</v>
      </c>
      <c r="K80" s="40">
        <f t="shared" si="104"/>
        <v>2.103448275862069</v>
      </c>
      <c r="L80" s="40">
        <f t="shared" si="105"/>
        <v>-0.22222222222222221</v>
      </c>
      <c r="M80" s="40">
        <f t="shared" si="105"/>
        <v>-7.1428571428571175E-3</v>
      </c>
      <c r="N80" s="40">
        <f t="shared" si="105"/>
        <v>-1</v>
      </c>
      <c r="O80" s="40" t="e">
        <f t="shared" si="105"/>
        <v>#DIV/0!</v>
      </c>
      <c r="P80" s="40">
        <f t="shared" ref="P80:Q84" si="107">(H80/G80)-1</f>
        <v>1.2323237403797473</v>
      </c>
      <c r="Q80" s="40">
        <f t="shared" si="107"/>
        <v>1.1506384651985835E-2</v>
      </c>
      <c r="R80" s="40">
        <f t="shared" ref="R80:R84" si="108">(J80/I80)-1</f>
        <v>3.3905590087797366E-2</v>
      </c>
    </row>
    <row r="81" spans="1:18" x14ac:dyDescent="0.35">
      <c r="A81" s="76" t="s">
        <v>56</v>
      </c>
      <c r="B81" s="99">
        <v>83</v>
      </c>
      <c r="C81" s="99">
        <v>123</v>
      </c>
      <c r="D81" s="99">
        <v>113</v>
      </c>
      <c r="E81" s="99">
        <v>153</v>
      </c>
      <c r="F81" s="103">
        <v>130</v>
      </c>
      <c r="G81" s="103">
        <f>F81*1.04</f>
        <v>135.20000000000002</v>
      </c>
      <c r="H81" s="103">
        <f t="shared" ref="H81:J81" si="109">G81*1.04</f>
        <v>140.60800000000003</v>
      </c>
      <c r="I81" s="103">
        <f t="shared" si="109"/>
        <v>146.23232000000004</v>
      </c>
      <c r="J81" s="103">
        <f t="shared" si="109"/>
        <v>152.08161280000004</v>
      </c>
      <c r="K81" s="40">
        <f t="shared" si="104"/>
        <v>0.48192771084337349</v>
      </c>
      <c r="L81" s="40">
        <f t="shared" si="105"/>
        <v>-8.1300813008130079E-2</v>
      </c>
      <c r="M81" s="40">
        <f t="shared" si="105"/>
        <v>0.35398230088495586</v>
      </c>
      <c r="N81" s="40">
        <f t="shared" si="105"/>
        <v>-0.15032679738562094</v>
      </c>
      <c r="O81" s="40">
        <f t="shared" si="105"/>
        <v>4.0000000000000036E-2</v>
      </c>
      <c r="P81" s="40">
        <f t="shared" si="107"/>
        <v>4.0000000000000036E-2</v>
      </c>
      <c r="Q81" s="40">
        <f t="shared" si="107"/>
        <v>4.0000000000000036E-2</v>
      </c>
      <c r="R81" s="40">
        <f t="shared" si="108"/>
        <v>4.0000000000000036E-2</v>
      </c>
    </row>
    <row r="82" spans="1:18" x14ac:dyDescent="0.35">
      <c r="A82" s="76" t="s">
        <v>32</v>
      </c>
      <c r="B82" s="99">
        <v>137</v>
      </c>
      <c r="C82" s="99">
        <v>195</v>
      </c>
      <c r="D82" s="99">
        <v>212</v>
      </c>
      <c r="E82" s="99">
        <v>239</v>
      </c>
      <c r="F82" s="99">
        <v>239</v>
      </c>
      <c r="G82" s="99">
        <v>239</v>
      </c>
      <c r="H82" s="99">
        <v>239</v>
      </c>
      <c r="I82" s="99">
        <v>239</v>
      </c>
      <c r="J82" s="99">
        <v>239</v>
      </c>
      <c r="K82" s="40">
        <f t="shared" si="104"/>
        <v>0.42335766423357657</v>
      </c>
      <c r="L82" s="40">
        <f t="shared" si="105"/>
        <v>8.7179487179487092E-2</v>
      </c>
      <c r="M82" s="40">
        <f t="shared" si="105"/>
        <v>0.12735849056603765</v>
      </c>
      <c r="N82" s="40">
        <f t="shared" si="105"/>
        <v>0</v>
      </c>
      <c r="O82" s="40">
        <f t="shared" si="105"/>
        <v>0</v>
      </c>
      <c r="P82" s="40">
        <f t="shared" si="107"/>
        <v>0</v>
      </c>
      <c r="Q82" s="40">
        <f t="shared" si="107"/>
        <v>0</v>
      </c>
      <c r="R82" s="40">
        <f t="shared" si="108"/>
        <v>0</v>
      </c>
    </row>
    <row r="83" spans="1:18" x14ac:dyDescent="0.35">
      <c r="A83" s="76" t="s">
        <v>39</v>
      </c>
      <c r="B83" s="99">
        <v>-39</v>
      </c>
      <c r="C83" s="99">
        <v>-6</v>
      </c>
      <c r="D83" s="99">
        <v>4</v>
      </c>
      <c r="E83" s="99">
        <v>21</v>
      </c>
      <c r="F83" s="103">
        <f>F173</f>
        <v>101.29529616724739</v>
      </c>
      <c r="G83" s="103">
        <f t="shared" ref="G83:J83" si="110">G173</f>
        <v>106.6128236933798</v>
      </c>
      <c r="H83" s="103">
        <f t="shared" si="110"/>
        <v>109.49177633449479</v>
      </c>
      <c r="I83" s="103">
        <f t="shared" si="110"/>
        <v>112.77652962452963</v>
      </c>
      <c r="J83" s="126">
        <f t="shared" si="110"/>
        <v>116.15982551326552</v>
      </c>
      <c r="K83" s="40">
        <f t="shared" si="104"/>
        <v>-0.84615384615384615</v>
      </c>
      <c r="L83" s="40">
        <f t="shared" si="105"/>
        <v>-1.6666666666666665</v>
      </c>
      <c r="M83" s="40">
        <f t="shared" si="105"/>
        <v>4.25</v>
      </c>
      <c r="N83" s="40">
        <f t="shared" si="105"/>
        <v>3.8235855317736851</v>
      </c>
      <c r="O83" s="40">
        <f t="shared" si="105"/>
        <v>5.2495305580159579E-2</v>
      </c>
      <c r="P83" s="40">
        <f t="shared" si="107"/>
        <v>2.7003811937247768E-2</v>
      </c>
      <c r="Q83" s="40">
        <f t="shared" si="107"/>
        <v>3.0000000000000027E-2</v>
      </c>
      <c r="R83" s="40">
        <f t="shared" si="108"/>
        <v>3.0000000000000027E-2</v>
      </c>
    </row>
    <row r="84" spans="1:18" ht="15" thickBot="1" x14ac:dyDescent="0.4">
      <c r="A84" s="77" t="s">
        <v>57</v>
      </c>
      <c r="B84" s="198">
        <v>-25</v>
      </c>
      <c r="C84" s="198">
        <v>54</v>
      </c>
      <c r="D84" s="198">
        <v>-76</v>
      </c>
      <c r="E84" s="198">
        <v>-166</v>
      </c>
      <c r="F84" s="103">
        <f>-F41</f>
        <v>45.070512916743496</v>
      </c>
      <c r="G84" s="103">
        <f t="shared" ref="G84:J84" si="111">-G41</f>
        <v>-72.627252140280461</v>
      </c>
      <c r="H84" s="103">
        <f t="shared" si="111"/>
        <v>-107.69311846350161</v>
      </c>
      <c r="I84" s="103">
        <f t="shared" si="111"/>
        <v>-17.07749573061119</v>
      </c>
      <c r="J84" s="126">
        <f t="shared" si="111"/>
        <v>-17.589820602529585</v>
      </c>
      <c r="K84" s="40">
        <f t="shared" si="104"/>
        <v>-3.16</v>
      </c>
      <c r="L84" s="40">
        <f t="shared" si="105"/>
        <v>-2.4074074074074074</v>
      </c>
      <c r="M84" s="40">
        <f t="shared" si="105"/>
        <v>1.1842105263157894</v>
      </c>
      <c r="N84" s="40">
        <f t="shared" si="105"/>
        <v>-1.2715091139562862</v>
      </c>
      <c r="O84" s="40">
        <f t="shared" si="105"/>
        <v>-2.6114139254292743</v>
      </c>
      <c r="P84" s="40">
        <f t="shared" si="107"/>
        <v>0.48281967567065576</v>
      </c>
      <c r="Q84" s="40">
        <f t="shared" si="107"/>
        <v>-0.84142444778030134</v>
      </c>
      <c r="R84" s="40">
        <f t="shared" si="108"/>
        <v>3.0000000000003357E-2</v>
      </c>
    </row>
    <row r="85" spans="1:18" x14ac:dyDescent="0.35">
      <c r="A85" s="78" t="s">
        <v>40</v>
      </c>
      <c r="B85" s="98">
        <f>SUM(B79:B84)</f>
        <v>622</v>
      </c>
      <c r="C85" s="98">
        <f>SUM(C79:C84)</f>
        <v>732</v>
      </c>
      <c r="D85" s="98">
        <f>SUM(D79:D84)</f>
        <v>791</v>
      </c>
      <c r="E85" s="98">
        <f>SUM(E79:E84)</f>
        <v>557</v>
      </c>
      <c r="F85" s="101">
        <f t="shared" ref="F85:G85" si="112">SUM(F79:F84)</f>
        <v>553.1326090839907</v>
      </c>
      <c r="G85" s="101">
        <f t="shared" si="112"/>
        <v>543.10989139494529</v>
      </c>
      <c r="H85" s="101">
        <f>SUM(H79:H84)</f>
        <v>598.03949416684213</v>
      </c>
      <c r="I85" s="101">
        <f t="shared" ref="I85:J85" si="113">SUM(I79:I84)</f>
        <v>701.30606494236747</v>
      </c>
      <c r="J85" s="127">
        <f t="shared" si="113"/>
        <v>715.83718970452117</v>
      </c>
      <c r="K85" s="80">
        <f>C85/B85-1</f>
        <v>0.17684887459807075</v>
      </c>
      <c r="L85" s="80">
        <f t="shared" ref="L85:O85" si="114">D85/C85-1</f>
        <v>8.0601092896174897E-2</v>
      </c>
      <c r="M85" s="80">
        <f t="shared" si="114"/>
        <v>-0.29582806573957021</v>
      </c>
      <c r="N85" s="80">
        <f t="shared" si="114"/>
        <v>-6.9432511957079335E-3</v>
      </c>
      <c r="O85" s="80">
        <f t="shared" si="114"/>
        <v>-1.8119918306106375E-2</v>
      </c>
      <c r="P85" s="80">
        <f>H85/G85-1</f>
        <v>0.10113902111194006</v>
      </c>
      <c r="Q85" s="80">
        <f>I85/H85-1</f>
        <v>0.17267516908626757</v>
      </c>
      <c r="R85" s="80">
        <f>J85/I85-1</f>
        <v>2.0720089970058808E-2</v>
      </c>
    </row>
    <row r="86" spans="1:18" ht="15" thickBot="1" x14ac:dyDescent="0.4">
      <c r="A86" s="79" t="s">
        <v>35</v>
      </c>
      <c r="B86" s="198"/>
      <c r="C86" s="198"/>
      <c r="D86" s="198"/>
      <c r="E86" s="198"/>
      <c r="F86" s="104"/>
      <c r="G86" s="104"/>
      <c r="H86" s="104"/>
      <c r="I86" s="66"/>
      <c r="J86" s="128"/>
      <c r="K86" s="40"/>
      <c r="L86" s="40"/>
      <c r="M86" s="40"/>
      <c r="N86" s="41"/>
      <c r="O86" s="41"/>
      <c r="P86" s="41"/>
      <c r="Q86" s="40"/>
      <c r="R86" s="40"/>
    </row>
    <row r="87" spans="1:18" x14ac:dyDescent="0.35">
      <c r="A87" s="76" t="s">
        <v>41</v>
      </c>
      <c r="B87" s="197">
        <v>-73</v>
      </c>
      <c r="C87" s="197">
        <v>-124</v>
      </c>
      <c r="D87" s="197">
        <v>-136</v>
      </c>
      <c r="E87" s="197">
        <v>-158</v>
      </c>
      <c r="F87" s="199">
        <f>-F163</f>
        <v>-149.5872</v>
      </c>
      <c r="G87" s="199">
        <f t="shared" ref="G87:J87" si="115">-G163</f>
        <v>-127.14912</v>
      </c>
      <c r="H87" s="199">
        <f t="shared" si="115"/>
        <v>-132.23508480000001</v>
      </c>
      <c r="I87" s="199">
        <f t="shared" si="115"/>
        <v>-126.71367488267606</v>
      </c>
      <c r="J87" s="200">
        <f t="shared" si="115"/>
        <v>-130.51508512915615</v>
      </c>
      <c r="K87" s="80">
        <f>C87/B87-1</f>
        <v>0.69863013698630128</v>
      </c>
      <c r="L87" s="80">
        <f t="shared" ref="L87:O89" si="116">D87/C87-1</f>
        <v>9.6774193548387011E-2</v>
      </c>
      <c r="M87" s="80">
        <f t="shared" si="116"/>
        <v>0.16176470588235303</v>
      </c>
      <c r="N87" s="80">
        <f t="shared" si="116"/>
        <v>-5.3245569620253175E-2</v>
      </c>
      <c r="O87" s="80">
        <f t="shared" si="116"/>
        <v>-0.15000000000000002</v>
      </c>
      <c r="P87" s="80">
        <f t="shared" ref="P87:R89" si="117">H87/G87-1</f>
        <v>4.0000000000000036E-2</v>
      </c>
      <c r="Q87" s="80">
        <f t="shared" si="117"/>
        <v>-4.1754500522118265E-2</v>
      </c>
      <c r="R87" s="80">
        <f t="shared" si="117"/>
        <v>2.9999999999998472E-2</v>
      </c>
    </row>
    <row r="88" spans="1:18" x14ac:dyDescent="0.35">
      <c r="A88" s="76" t="s">
        <v>42</v>
      </c>
      <c r="B88" s="197">
        <v>27</v>
      </c>
      <c r="C88" s="197">
        <v>8</v>
      </c>
      <c r="D88" s="197">
        <v>32</v>
      </c>
      <c r="E88" s="197">
        <v>0</v>
      </c>
      <c r="F88" s="103">
        <f>E88</f>
        <v>0</v>
      </c>
      <c r="G88" s="103">
        <f t="shared" ref="G88:J88" si="118">F88</f>
        <v>0</v>
      </c>
      <c r="H88" s="103">
        <f t="shared" si="118"/>
        <v>0</v>
      </c>
      <c r="I88" s="103">
        <f t="shared" si="118"/>
        <v>0</v>
      </c>
      <c r="J88" s="126">
        <f t="shared" si="118"/>
        <v>0</v>
      </c>
      <c r="K88" s="40">
        <f t="shared" ref="K88:K89" si="119">C88/B88-1</f>
        <v>-0.70370370370370372</v>
      </c>
      <c r="L88" s="40">
        <f t="shared" si="116"/>
        <v>3</v>
      </c>
      <c r="M88" s="40">
        <f t="shared" si="116"/>
        <v>-1</v>
      </c>
      <c r="N88" s="40" t="e">
        <f t="shared" si="116"/>
        <v>#DIV/0!</v>
      </c>
      <c r="O88" s="40" t="e">
        <f t="shared" si="116"/>
        <v>#DIV/0!</v>
      </c>
      <c r="P88" s="40" t="e">
        <f t="shared" si="117"/>
        <v>#DIV/0!</v>
      </c>
      <c r="Q88" s="40" t="e">
        <f t="shared" si="117"/>
        <v>#DIV/0!</v>
      </c>
      <c r="R88" s="40" t="e">
        <f t="shared" si="117"/>
        <v>#DIV/0!</v>
      </c>
    </row>
    <row r="89" spans="1:18" x14ac:dyDescent="0.35">
      <c r="A89" s="76" t="s">
        <v>36</v>
      </c>
      <c r="B89" s="197">
        <v>-42</v>
      </c>
      <c r="C89" s="197">
        <v>-37</v>
      </c>
      <c r="D89" s="197">
        <v>-43</v>
      </c>
      <c r="E89" s="197">
        <v>-50</v>
      </c>
      <c r="F89" s="103">
        <f>E89</f>
        <v>-50</v>
      </c>
      <c r="G89" s="103">
        <f t="shared" ref="G89:J89" si="120">F89</f>
        <v>-50</v>
      </c>
      <c r="H89" s="103">
        <f t="shared" si="120"/>
        <v>-50</v>
      </c>
      <c r="I89" s="103">
        <f t="shared" si="120"/>
        <v>-50</v>
      </c>
      <c r="J89" s="126">
        <f t="shared" si="120"/>
        <v>-50</v>
      </c>
      <c r="K89" s="40">
        <f t="shared" si="119"/>
        <v>-0.11904761904761907</v>
      </c>
      <c r="L89" s="40">
        <f t="shared" si="116"/>
        <v>0.16216216216216206</v>
      </c>
      <c r="M89" s="40">
        <f t="shared" si="116"/>
        <v>0.16279069767441867</v>
      </c>
      <c r="N89" s="40">
        <f t="shared" si="116"/>
        <v>0</v>
      </c>
      <c r="O89" s="40">
        <f t="shared" si="116"/>
        <v>0</v>
      </c>
      <c r="P89" s="40">
        <f t="shared" si="117"/>
        <v>0</v>
      </c>
      <c r="Q89" s="40">
        <f t="shared" si="117"/>
        <v>0</v>
      </c>
      <c r="R89" s="40">
        <f t="shared" si="117"/>
        <v>0</v>
      </c>
    </row>
    <row r="90" spans="1:18" x14ac:dyDescent="0.35">
      <c r="A90" s="76" t="s">
        <v>33</v>
      </c>
      <c r="B90" s="197">
        <v>3</v>
      </c>
      <c r="C90" s="197">
        <v>2</v>
      </c>
      <c r="D90" s="197">
        <v>18</v>
      </c>
      <c r="E90" s="197">
        <v>32</v>
      </c>
      <c r="F90" s="103">
        <f>F60</f>
        <v>13.229999999999999</v>
      </c>
      <c r="G90" s="103">
        <f t="shared" ref="G90:J90" si="121">G60</f>
        <v>13.111220407009954</v>
      </c>
      <c r="H90" s="103">
        <f t="shared" si="121"/>
        <v>10.482595023647063</v>
      </c>
      <c r="I90" s="103">
        <f t="shared" si="121"/>
        <v>7.0485548830242166</v>
      </c>
      <c r="J90" s="126">
        <f t="shared" si="121"/>
        <v>6.671411529514935</v>
      </c>
      <c r="K90" s="40">
        <f>(C90/B90)-1</f>
        <v>-0.33333333333333337</v>
      </c>
      <c r="L90" s="40">
        <f t="shared" ref="L90:O91" si="122">(D90/C90)-1</f>
        <v>8</v>
      </c>
      <c r="M90" s="40">
        <f t="shared" si="122"/>
        <v>0.77777777777777768</v>
      </c>
      <c r="N90" s="40">
        <f t="shared" si="122"/>
        <v>-0.5865625000000001</v>
      </c>
      <c r="O90" s="40">
        <f t="shared" si="122"/>
        <v>-8.9780493567682695E-3</v>
      </c>
      <c r="P90" s="40">
        <f t="shared" ref="P90:R91" si="123">(H90/G90)-1</f>
        <v>-0.20048670541435554</v>
      </c>
      <c r="Q90" s="40">
        <f t="shared" si="123"/>
        <v>-0.32759446805644965</v>
      </c>
      <c r="R90" s="40">
        <f t="shared" si="123"/>
        <v>-5.3506478954657211E-2</v>
      </c>
    </row>
    <row r="91" spans="1:18" ht="15" thickBot="1" x14ac:dyDescent="0.4">
      <c r="A91" s="77" t="s">
        <v>58</v>
      </c>
      <c r="B91" s="201">
        <v>-3</v>
      </c>
      <c r="C91" s="201">
        <v>-11</v>
      </c>
      <c r="D91" s="201">
        <v>0</v>
      </c>
      <c r="E91" s="201">
        <v>-23</v>
      </c>
      <c r="F91" s="103">
        <f>-F186</f>
        <v>-31.620000000000005</v>
      </c>
      <c r="G91" s="103">
        <f t="shared" ref="G91:J91" si="124">-G186</f>
        <v>-39.103400000000079</v>
      </c>
      <c r="H91" s="103">
        <f t="shared" si="124"/>
        <v>-47.817872000000079</v>
      </c>
      <c r="I91" s="103">
        <f t="shared" si="124"/>
        <v>-19.366238159999966</v>
      </c>
      <c r="J91" s="126">
        <f t="shared" si="124"/>
        <v>-19.947225304799986</v>
      </c>
      <c r="K91" s="40">
        <f>(C91/B91)-1</f>
        <v>2.6666666666666665</v>
      </c>
      <c r="L91" s="40">
        <f t="shared" si="122"/>
        <v>-1</v>
      </c>
      <c r="M91" s="40" t="e">
        <f t="shared" si="122"/>
        <v>#DIV/0!</v>
      </c>
      <c r="N91" s="40">
        <f t="shared" si="122"/>
        <v>0.37478260869565228</v>
      </c>
      <c r="O91" s="40">
        <f t="shared" si="122"/>
        <v>0.23666666666666902</v>
      </c>
      <c r="P91" s="40">
        <f t="shared" si="123"/>
        <v>0.22285714285714242</v>
      </c>
      <c r="Q91" s="40">
        <f t="shared" si="123"/>
        <v>-0.59500000000000131</v>
      </c>
      <c r="R91" s="40">
        <f t="shared" si="123"/>
        <v>3.0000000000001137E-2</v>
      </c>
    </row>
    <row r="92" spans="1:18" x14ac:dyDescent="0.35">
      <c r="A92" s="78" t="s">
        <v>43</v>
      </c>
      <c r="B92" s="202">
        <v>-91</v>
      </c>
      <c r="C92" s="202">
        <v>-164</v>
      </c>
      <c r="D92" s="202">
        <v>-147</v>
      </c>
      <c r="E92" s="202">
        <v>-231</v>
      </c>
      <c r="F92" s="199">
        <f>SUM(F87:F91)</f>
        <v>-217.97720000000001</v>
      </c>
      <c r="G92" s="199">
        <f t="shared" ref="G92:H92" si="125">SUM(G87:G91)</f>
        <v>-203.14129959299009</v>
      </c>
      <c r="H92" s="199">
        <f t="shared" si="125"/>
        <v>-219.57036177635302</v>
      </c>
      <c r="I92" s="199">
        <f t="shared" ref="I92" si="126">SUM(I87:I91)</f>
        <v>-189.0313581596518</v>
      </c>
      <c r="J92" s="200">
        <f t="shared" ref="J92" si="127">SUM(J87:J91)</f>
        <v>-193.79089890444121</v>
      </c>
      <c r="K92" s="80">
        <f t="shared" ref="K92:M92" si="128">C92/B92-1</f>
        <v>0.80219780219780223</v>
      </c>
      <c r="L92" s="80">
        <f t="shared" si="128"/>
        <v>-0.10365853658536583</v>
      </c>
      <c r="M92" s="80">
        <f t="shared" si="128"/>
        <v>0.5714285714285714</v>
      </c>
      <c r="N92" s="81"/>
      <c r="O92" s="81"/>
      <c r="P92" s="81"/>
      <c r="Q92" s="80"/>
      <c r="R92" s="80"/>
    </row>
    <row r="93" spans="1:18" ht="15" thickBot="1" x14ac:dyDescent="0.4">
      <c r="A93" s="79" t="s">
        <v>37</v>
      </c>
      <c r="B93" s="198"/>
      <c r="C93" s="198"/>
      <c r="D93" s="198"/>
      <c r="E93" s="198"/>
      <c r="F93" s="104"/>
      <c r="G93" s="104"/>
      <c r="H93" s="104"/>
      <c r="I93" s="66"/>
      <c r="J93" s="128"/>
      <c r="K93" s="85"/>
      <c r="L93" s="85"/>
      <c r="M93" s="85"/>
      <c r="N93" s="86"/>
      <c r="O93" s="86"/>
      <c r="P93" s="86"/>
      <c r="Q93" s="40"/>
      <c r="R93" s="40"/>
    </row>
    <row r="94" spans="1:18" x14ac:dyDescent="0.35">
      <c r="A94" s="76" t="s">
        <v>44</v>
      </c>
      <c r="B94" s="197">
        <v>0</v>
      </c>
      <c r="C94" s="197">
        <v>-153</v>
      </c>
      <c r="D94" s="197">
        <v>-404</v>
      </c>
      <c r="E94" s="197">
        <v>-402</v>
      </c>
      <c r="F94" s="199">
        <v>0</v>
      </c>
      <c r="G94" s="199">
        <v>-50</v>
      </c>
      <c r="H94" s="199">
        <v>-60</v>
      </c>
      <c r="I94" s="203">
        <v>-75</v>
      </c>
      <c r="J94" s="204">
        <v>-90</v>
      </c>
      <c r="K94" s="40" t="e">
        <f>(C94/B94)-1</f>
        <v>#DIV/0!</v>
      </c>
      <c r="L94" s="40">
        <f t="shared" ref="L94:O94" si="129">(D94/C94)-1</f>
        <v>1.6405228758169934</v>
      </c>
      <c r="M94" s="40">
        <f t="shared" si="129"/>
        <v>-4.9504950495049549E-3</v>
      </c>
      <c r="N94" s="40">
        <f t="shared" si="129"/>
        <v>-1</v>
      </c>
      <c r="O94" s="40" t="e">
        <f t="shared" si="129"/>
        <v>#DIV/0!</v>
      </c>
      <c r="P94" s="40">
        <f>(H94/G94)-1</f>
        <v>0.19999999999999996</v>
      </c>
      <c r="Q94" s="55">
        <f>(I94/H94)-1</f>
        <v>0.25</v>
      </c>
      <c r="R94" s="55">
        <f>(J94/I94)-1</f>
        <v>0.19999999999999996</v>
      </c>
    </row>
    <row r="95" spans="1:18" x14ac:dyDescent="0.35">
      <c r="A95" s="76" t="s">
        <v>45</v>
      </c>
      <c r="B95" s="197">
        <v>0</v>
      </c>
      <c r="C95" s="197">
        <v>-8</v>
      </c>
      <c r="D95" s="197">
        <v>-1</v>
      </c>
      <c r="E95" s="197">
        <v>0</v>
      </c>
      <c r="F95" s="197">
        <v>0</v>
      </c>
      <c r="G95" s="197">
        <v>0</v>
      </c>
      <c r="H95" s="197">
        <v>0</v>
      </c>
      <c r="I95" s="197">
        <v>0</v>
      </c>
      <c r="J95" s="197">
        <v>0</v>
      </c>
      <c r="K95" s="40" t="e">
        <f t="shared" ref="K95:K104" si="130">C95/B95-1</f>
        <v>#DIV/0!</v>
      </c>
      <c r="L95" s="40">
        <f t="shared" ref="L95:L106" si="131">D95/C95-1</f>
        <v>-0.875</v>
      </c>
      <c r="M95" s="40">
        <f t="shared" ref="M95:M106" si="132">E95/D95-1</f>
        <v>-1</v>
      </c>
      <c r="N95" s="40" t="e">
        <f t="shared" ref="N95:N106" si="133">F95/E95-1</f>
        <v>#DIV/0!</v>
      </c>
      <c r="O95" s="40" t="e">
        <f t="shared" ref="O95:O106" si="134">G95/F95-1</f>
        <v>#DIV/0!</v>
      </c>
      <c r="P95" s="40" t="e">
        <f t="shared" ref="P95:P106" si="135">H95/G95-1</f>
        <v>#DIV/0!</v>
      </c>
      <c r="Q95" s="40" t="e">
        <f t="shared" ref="Q95:Q106" si="136">I95/H95-1</f>
        <v>#DIV/0!</v>
      </c>
      <c r="R95" s="40" t="e">
        <f t="shared" ref="R95:R106" si="137">J95/I95-1</f>
        <v>#DIV/0!</v>
      </c>
    </row>
    <row r="96" spans="1:18" x14ac:dyDescent="0.35">
      <c r="A96" s="76" t="s">
        <v>46</v>
      </c>
      <c r="B96" s="197">
        <v>0</v>
      </c>
      <c r="C96" s="197">
        <v>-219</v>
      </c>
      <c r="D96" s="197">
        <v>-203</v>
      </c>
      <c r="E96" s="197">
        <v>-233</v>
      </c>
      <c r="F96" s="103">
        <f>-F67</f>
        <v>0</v>
      </c>
      <c r="G96" s="103">
        <f t="shared" ref="G96:J96" si="138">-G67</f>
        <v>-55.823748526564287</v>
      </c>
      <c r="H96" s="103">
        <f t="shared" si="138"/>
        <v>-124.61667911283838</v>
      </c>
      <c r="I96" s="103">
        <f t="shared" si="138"/>
        <v>-112.03106597441132</v>
      </c>
      <c r="J96" s="126">
        <f t="shared" si="138"/>
        <v>-116.3956893679602</v>
      </c>
      <c r="K96" s="40" t="e">
        <f t="shared" si="130"/>
        <v>#DIV/0!</v>
      </c>
      <c r="L96" s="40">
        <f t="shared" si="131"/>
        <v>-7.3059360730593603E-2</v>
      </c>
      <c r="M96" s="40">
        <f t="shared" si="132"/>
        <v>0.14778325123152714</v>
      </c>
      <c r="N96" s="40">
        <f t="shared" si="133"/>
        <v>-1</v>
      </c>
      <c r="O96" s="40" t="e">
        <f t="shared" si="134"/>
        <v>#DIV/0!</v>
      </c>
      <c r="P96" s="40">
        <f t="shared" si="135"/>
        <v>1.2323237403797469</v>
      </c>
      <c r="Q96" s="40">
        <f t="shared" si="136"/>
        <v>-0.10099461186115377</v>
      </c>
      <c r="R96" s="40">
        <f t="shared" si="137"/>
        <v>3.8959045471778309E-2</v>
      </c>
    </row>
    <row r="97" spans="1:18" x14ac:dyDescent="0.35">
      <c r="A97" s="76" t="s">
        <v>47</v>
      </c>
      <c r="B97" s="197">
        <v>-151</v>
      </c>
      <c r="C97" s="197">
        <v>-202</v>
      </c>
      <c r="D97" s="197">
        <v>-210</v>
      </c>
      <c r="E97" s="197">
        <v>-231</v>
      </c>
      <c r="F97" s="197">
        <v>-231</v>
      </c>
      <c r="G97" s="197">
        <v>-231</v>
      </c>
      <c r="H97" s="197">
        <v>-231</v>
      </c>
      <c r="I97" s="197">
        <v>-231</v>
      </c>
      <c r="J97" s="197">
        <v>-231</v>
      </c>
      <c r="K97" s="40">
        <f t="shared" si="130"/>
        <v>0.33774834437086088</v>
      </c>
      <c r="L97" s="40">
        <f t="shared" si="131"/>
        <v>3.9603960396039639E-2</v>
      </c>
      <c r="M97" s="40">
        <f t="shared" si="132"/>
        <v>0.10000000000000009</v>
      </c>
      <c r="N97" s="40">
        <f t="shared" si="133"/>
        <v>0</v>
      </c>
      <c r="O97" s="40">
        <f t="shared" si="134"/>
        <v>0</v>
      </c>
      <c r="P97" s="40">
        <f t="shared" si="135"/>
        <v>0</v>
      </c>
      <c r="Q97" s="40">
        <f t="shared" si="136"/>
        <v>0</v>
      </c>
      <c r="R97" s="40">
        <f t="shared" si="137"/>
        <v>0</v>
      </c>
    </row>
    <row r="98" spans="1:18" x14ac:dyDescent="0.35">
      <c r="A98" s="76" t="s">
        <v>34</v>
      </c>
      <c r="B98" s="197">
        <v>-30</v>
      </c>
      <c r="C98" s="197">
        <v>-32</v>
      </c>
      <c r="D98" s="197">
        <v>-40</v>
      </c>
      <c r="E98" s="197">
        <v>-52</v>
      </c>
      <c r="F98" s="103">
        <f>-F62</f>
        <v>-68.624728850325383</v>
      </c>
      <c r="G98" s="103">
        <f t="shared" ref="G98:J98" si="139">-G62</f>
        <v>-69.996268980477225</v>
      </c>
      <c r="H98" s="103">
        <f t="shared" si="139"/>
        <v>-71.69240694143167</v>
      </c>
      <c r="I98" s="103">
        <f t="shared" si="139"/>
        <v>-73.766541362255978</v>
      </c>
      <c r="J98" s="126">
        <f t="shared" si="139"/>
        <v>-74.606565802689815</v>
      </c>
      <c r="K98" s="40">
        <f t="shared" si="130"/>
        <v>6.6666666666666652E-2</v>
      </c>
      <c r="L98" s="40">
        <f t="shared" si="131"/>
        <v>0.25</v>
      </c>
      <c r="M98" s="40">
        <f t="shared" si="132"/>
        <v>0.30000000000000004</v>
      </c>
      <c r="N98" s="40">
        <f t="shared" si="133"/>
        <v>0.31970632404471888</v>
      </c>
      <c r="O98" s="40">
        <f t="shared" si="134"/>
        <v>1.9986091794158556E-2</v>
      </c>
      <c r="P98" s="40">
        <f t="shared" si="135"/>
        <v>2.4231833862852215E-2</v>
      </c>
      <c r="Q98" s="40">
        <f t="shared" si="136"/>
        <v>2.8931019466521102E-2</v>
      </c>
      <c r="R98" s="40">
        <f t="shared" si="137"/>
        <v>1.1387607781536246E-2</v>
      </c>
    </row>
    <row r="99" spans="1:18" ht="15" thickBot="1" x14ac:dyDescent="0.4">
      <c r="A99" s="77" t="s">
        <v>59</v>
      </c>
      <c r="B99" s="201">
        <v>-8</v>
      </c>
      <c r="C99" s="201">
        <v>1</v>
      </c>
      <c r="D99" s="201">
        <v>-3</v>
      </c>
      <c r="E99" s="201">
        <v>1</v>
      </c>
      <c r="F99" s="201">
        <v>1</v>
      </c>
      <c r="G99" s="201">
        <v>1</v>
      </c>
      <c r="H99" s="201">
        <v>1</v>
      </c>
      <c r="I99" s="201">
        <v>1</v>
      </c>
      <c r="J99" s="201">
        <v>1</v>
      </c>
      <c r="K99" s="73">
        <f t="shared" si="130"/>
        <v>-1.125</v>
      </c>
      <c r="L99" s="73">
        <f t="shared" si="131"/>
        <v>-4</v>
      </c>
      <c r="M99" s="73">
        <f t="shared" si="132"/>
        <v>-1.3333333333333333</v>
      </c>
      <c r="N99" s="73">
        <f t="shared" si="133"/>
        <v>0</v>
      </c>
      <c r="O99" s="73">
        <f t="shared" si="134"/>
        <v>0</v>
      </c>
      <c r="P99" s="73">
        <f t="shared" si="135"/>
        <v>0</v>
      </c>
      <c r="Q99" s="73">
        <f t="shared" si="136"/>
        <v>0</v>
      </c>
      <c r="R99" s="73">
        <f t="shared" si="137"/>
        <v>0</v>
      </c>
    </row>
    <row r="100" spans="1:18" ht="15" thickBot="1" x14ac:dyDescent="0.4">
      <c r="A100" s="79" t="s">
        <v>49</v>
      </c>
      <c r="B100" s="105">
        <f>SUM(B94:B99)</f>
        <v>-189</v>
      </c>
      <c r="C100" s="105">
        <f>SUM(C94:C99)</f>
        <v>-613</v>
      </c>
      <c r="D100" s="105">
        <f>SUM(D94:D99)</f>
        <v>-861</v>
      </c>
      <c r="E100" s="105">
        <f>SUM(E94:E99)</f>
        <v>-917</v>
      </c>
      <c r="F100" s="106">
        <f>SUM(F94:F99)</f>
        <v>-298.62472885032537</v>
      </c>
      <c r="G100" s="106">
        <f t="shared" ref="G100:H100" si="140">SUM(G94:G99)</f>
        <v>-405.82001750704148</v>
      </c>
      <c r="H100" s="106">
        <f t="shared" si="140"/>
        <v>-486.30908605427004</v>
      </c>
      <c r="I100" s="106">
        <f t="shared" ref="I100" si="141">SUM(I94:I99)</f>
        <v>-490.79760733666728</v>
      </c>
      <c r="J100" s="129">
        <f t="shared" ref="J100" si="142">SUM(J94:J99)</f>
        <v>-511.00225517064996</v>
      </c>
      <c r="K100" s="73">
        <f t="shared" si="130"/>
        <v>2.2433862433862433</v>
      </c>
      <c r="L100" s="73">
        <f t="shared" si="131"/>
        <v>0.40456769983686791</v>
      </c>
      <c r="M100" s="73">
        <f t="shared" si="132"/>
        <v>6.5040650406503975E-2</v>
      </c>
      <c r="N100" s="73">
        <f t="shared" si="133"/>
        <v>-0.67434598816758418</v>
      </c>
      <c r="O100" s="73">
        <f t="shared" si="134"/>
        <v>0.35896320130421544</v>
      </c>
      <c r="P100" s="73">
        <f t="shared" si="135"/>
        <v>0.19833686135463235</v>
      </c>
      <c r="Q100" s="73">
        <f t="shared" si="136"/>
        <v>9.2297705535699937E-3</v>
      </c>
      <c r="R100" s="73">
        <f t="shared" si="137"/>
        <v>4.116696481799087E-2</v>
      </c>
    </row>
    <row r="101" spans="1:18" x14ac:dyDescent="0.35">
      <c r="A101" s="78" t="s">
        <v>50</v>
      </c>
      <c r="B101" s="202">
        <f>B85+B92+B100</f>
        <v>342</v>
      </c>
      <c r="C101" s="202">
        <f>C85+C92+C100</f>
        <v>-45</v>
      </c>
      <c r="D101" s="202">
        <f>D85+D92+D100</f>
        <v>-217</v>
      </c>
      <c r="E101" s="202">
        <f>E85+E92+E100</f>
        <v>-591</v>
      </c>
      <c r="F101" s="202">
        <f t="shared" ref="F101:H101" si="143">F85+F92+F100</f>
        <v>36.530680233665294</v>
      </c>
      <c r="G101" s="202">
        <f t="shared" si="143"/>
        <v>-65.851425705086285</v>
      </c>
      <c r="H101" s="202">
        <f t="shared" si="143"/>
        <v>-107.83995366378093</v>
      </c>
      <c r="I101" s="202">
        <f t="shared" ref="I101" si="144">I85+I92+I100</f>
        <v>21.477099446048328</v>
      </c>
      <c r="J101" s="205">
        <f t="shared" ref="J101" si="145">J85+J92+J100</f>
        <v>11.044035629430027</v>
      </c>
      <c r="K101" s="40">
        <f t="shared" si="130"/>
        <v>-1.131578947368421</v>
      </c>
      <c r="L101" s="40">
        <f t="shared" si="131"/>
        <v>3.822222222222222</v>
      </c>
      <c r="M101" s="40">
        <f t="shared" si="132"/>
        <v>1.7235023041474653</v>
      </c>
      <c r="N101" s="40">
        <f t="shared" si="133"/>
        <v>-1.0618116416813288</v>
      </c>
      <c r="O101" s="40">
        <f t="shared" si="134"/>
        <v>-2.8026334380820015</v>
      </c>
      <c r="P101" s="40">
        <f t="shared" si="135"/>
        <v>0.63762519200023182</v>
      </c>
      <c r="Q101" s="40">
        <f t="shared" si="136"/>
        <v>-1.1991571650059194</v>
      </c>
      <c r="R101" s="40">
        <f t="shared" si="137"/>
        <v>-0.48577620282602585</v>
      </c>
    </row>
    <row r="102" spans="1:18" x14ac:dyDescent="0.35">
      <c r="A102" s="76" t="s">
        <v>51</v>
      </c>
      <c r="B102" s="197">
        <v>929</v>
      </c>
      <c r="C102" s="197">
        <v>1261</v>
      </c>
      <c r="D102" s="197">
        <v>1222</v>
      </c>
      <c r="E102" s="197">
        <v>1026</v>
      </c>
      <c r="F102" s="103">
        <f>E106</f>
        <v>441</v>
      </c>
      <c r="G102" s="103">
        <f>F106</f>
        <v>437.04068023366517</v>
      </c>
      <c r="H102" s="103">
        <f>G106</f>
        <v>349.41983412156878</v>
      </c>
      <c r="I102" s="103">
        <f t="shared" ref="I102:J102" si="146">H106</f>
        <v>234.95182943414056</v>
      </c>
      <c r="J102" s="126">
        <f t="shared" si="146"/>
        <v>222.3803843171645</v>
      </c>
      <c r="K102" s="40">
        <f t="shared" si="130"/>
        <v>0.35737351991388588</v>
      </c>
      <c r="L102" s="40">
        <f t="shared" si="131"/>
        <v>-3.0927835051546393E-2</v>
      </c>
      <c r="M102" s="40">
        <f t="shared" si="132"/>
        <v>-0.16039279869067102</v>
      </c>
      <c r="N102" s="40">
        <f t="shared" si="133"/>
        <v>-0.57017543859649122</v>
      </c>
      <c r="O102" s="40">
        <f t="shared" si="134"/>
        <v>-8.9780493567682695E-3</v>
      </c>
      <c r="P102" s="40">
        <f t="shared" si="135"/>
        <v>-0.20048670541435554</v>
      </c>
      <c r="Q102" s="40">
        <f t="shared" si="136"/>
        <v>-0.32759446805644976</v>
      </c>
      <c r="R102" s="40">
        <f t="shared" si="137"/>
        <v>-5.3506478954657211E-2</v>
      </c>
    </row>
    <row r="103" spans="1:18" ht="15" thickBot="1" x14ac:dyDescent="0.4">
      <c r="A103" s="77" t="s">
        <v>52</v>
      </c>
      <c r="B103" s="201">
        <v>-13</v>
      </c>
      <c r="C103" s="201">
        <v>7</v>
      </c>
      <c r="D103" s="201">
        <v>2</v>
      </c>
      <c r="E103" s="201">
        <v>-9</v>
      </c>
      <c r="F103" s="206"/>
      <c r="G103" s="206"/>
      <c r="H103" s="206"/>
      <c r="I103" s="72"/>
      <c r="J103" s="207"/>
      <c r="K103" s="73">
        <f t="shared" si="130"/>
        <v>-1.5384615384615383</v>
      </c>
      <c r="L103" s="73">
        <f t="shared" si="131"/>
        <v>-0.7142857142857143</v>
      </c>
      <c r="M103" s="73">
        <f t="shared" si="132"/>
        <v>-5.5</v>
      </c>
      <c r="N103" s="73">
        <f t="shared" si="133"/>
        <v>-1</v>
      </c>
      <c r="O103" s="73" t="e">
        <f t="shared" si="134"/>
        <v>#DIV/0!</v>
      </c>
      <c r="P103" s="73" t="e">
        <f t="shared" si="135"/>
        <v>#DIV/0!</v>
      </c>
      <c r="Q103" s="73" t="e">
        <f t="shared" si="136"/>
        <v>#DIV/0!</v>
      </c>
      <c r="R103" s="73" t="e">
        <f t="shared" si="137"/>
        <v>#DIV/0!</v>
      </c>
    </row>
    <row r="104" spans="1:18" x14ac:dyDescent="0.35">
      <c r="A104" s="78" t="s">
        <v>60</v>
      </c>
      <c r="B104" s="202">
        <f>SUM(B101:B103)</f>
        <v>1258</v>
      </c>
      <c r="C104" s="202">
        <f>SUM(C101:C103)</f>
        <v>1223</v>
      </c>
      <c r="D104" s="202">
        <f>SUM(D101:D103)</f>
        <v>1007</v>
      </c>
      <c r="E104" s="202">
        <f>SUM(E101:E103)</f>
        <v>426</v>
      </c>
      <c r="F104" s="103">
        <f>SUM(F101:F103)</f>
        <v>477.53068023366529</v>
      </c>
      <c r="G104" s="103">
        <f t="shared" ref="G104:H104" si="147">SUM(G101:G103)</f>
        <v>371.18925452857889</v>
      </c>
      <c r="H104" s="103">
        <f t="shared" si="147"/>
        <v>241.57988045778785</v>
      </c>
      <c r="I104" s="103">
        <f t="shared" ref="I104" si="148">SUM(I101:I103)</f>
        <v>256.42892888018889</v>
      </c>
      <c r="J104" s="126">
        <f t="shared" ref="J104" si="149">SUM(J101:J103)</f>
        <v>233.42441994659453</v>
      </c>
      <c r="K104" s="40">
        <f t="shared" si="130"/>
        <v>-2.7821939586645472E-2</v>
      </c>
      <c r="L104" s="40">
        <f t="shared" si="131"/>
        <v>-0.17661488143908421</v>
      </c>
      <c r="M104" s="40">
        <f t="shared" si="132"/>
        <v>-0.57696127110228401</v>
      </c>
      <c r="N104" s="40">
        <f t="shared" si="133"/>
        <v>0.12096403810719547</v>
      </c>
      <c r="O104" s="40">
        <f t="shared" si="134"/>
        <v>-0.2226902482015426</v>
      </c>
      <c r="P104" s="40">
        <f t="shared" si="135"/>
        <v>-0.34917329230179006</v>
      </c>
      <c r="Q104" s="40">
        <f t="shared" si="136"/>
        <v>6.146641183140944E-2</v>
      </c>
      <c r="R104" s="40">
        <f t="shared" si="137"/>
        <v>-8.9711051846037004E-2</v>
      </c>
    </row>
    <row r="105" spans="1:18" ht="15" thickBot="1" x14ac:dyDescent="0.4">
      <c r="A105" s="68" t="s">
        <v>61</v>
      </c>
      <c r="B105" s="198">
        <f>B106-B104</f>
        <v>3</v>
      </c>
      <c r="C105" s="198">
        <f>C106-C104</f>
        <v>-1</v>
      </c>
      <c r="D105" s="198">
        <f>D106-D104</f>
        <v>19</v>
      </c>
      <c r="E105" s="198">
        <f>E106-E104</f>
        <v>15</v>
      </c>
      <c r="F105" s="198">
        <f t="shared" ref="F105:H105" si="150">F106-F104</f>
        <v>-40.490000000000123</v>
      </c>
      <c r="G105" s="198">
        <f t="shared" si="150"/>
        <v>-21.769420407010102</v>
      </c>
      <c r="H105" s="198">
        <f t="shared" si="150"/>
        <v>-6.6280510236472878</v>
      </c>
      <c r="I105" s="198">
        <f t="shared" ref="I105" si="151">I106-I104</f>
        <v>-34.048544563024393</v>
      </c>
      <c r="J105" s="208">
        <f t="shared" ref="J105" si="152">J106-J104</f>
        <v>-23.992624099914565</v>
      </c>
      <c r="K105" s="115">
        <f>C105/B105-1</f>
        <v>-1.3333333333333333</v>
      </c>
      <c r="L105" s="115">
        <f t="shared" si="131"/>
        <v>-20</v>
      </c>
      <c r="M105" s="115">
        <f t="shared" si="132"/>
        <v>-0.21052631578947367</v>
      </c>
      <c r="N105" s="115">
        <f t="shared" si="133"/>
        <v>-3.6993333333333416</v>
      </c>
      <c r="O105" s="115">
        <f t="shared" si="134"/>
        <v>-0.46235069382538807</v>
      </c>
      <c r="P105" s="115">
        <f t="shared" si="135"/>
        <v>-0.6955338773505908</v>
      </c>
      <c r="Q105" s="115">
        <f t="shared" si="136"/>
        <v>4.1370371835623168</v>
      </c>
      <c r="R105" s="115">
        <f t="shared" si="137"/>
        <v>-0.29534068466557095</v>
      </c>
    </row>
    <row r="106" spans="1:18" x14ac:dyDescent="0.35">
      <c r="A106" s="4" t="s">
        <v>53</v>
      </c>
      <c r="B106" s="202">
        <v>1261</v>
      </c>
      <c r="C106" s="202">
        <v>1222</v>
      </c>
      <c r="D106" s="202">
        <v>1026</v>
      </c>
      <c r="E106" s="202">
        <v>441</v>
      </c>
      <c r="F106" s="103">
        <f>F10</f>
        <v>437.04068023366517</v>
      </c>
      <c r="G106" s="103">
        <f>G10</f>
        <v>349.41983412156878</v>
      </c>
      <c r="H106" s="103">
        <f>H10</f>
        <v>234.95182943414056</v>
      </c>
      <c r="I106" s="103">
        <f t="shared" ref="I106:J106" si="153">I10</f>
        <v>222.3803843171645</v>
      </c>
      <c r="J106" s="126">
        <f t="shared" si="153"/>
        <v>209.43179584667996</v>
      </c>
      <c r="K106" s="40">
        <f t="shared" ref="K106" si="154">C106/B106-1</f>
        <v>-3.0927835051546393E-2</v>
      </c>
      <c r="L106" s="40">
        <f t="shared" si="131"/>
        <v>-0.16039279869067102</v>
      </c>
      <c r="M106" s="40">
        <f t="shared" si="132"/>
        <v>-0.57017543859649122</v>
      </c>
      <c r="N106" s="40">
        <f t="shared" si="133"/>
        <v>-8.9780493567682695E-3</v>
      </c>
      <c r="O106" s="40">
        <f t="shared" si="134"/>
        <v>-0.20048670541435554</v>
      </c>
      <c r="P106" s="40">
        <f t="shared" si="135"/>
        <v>-0.32759446805644976</v>
      </c>
      <c r="Q106" s="40">
        <f t="shared" si="136"/>
        <v>-5.3506478954657211E-2</v>
      </c>
      <c r="R106" s="40">
        <f t="shared" si="137"/>
        <v>-5.8227206101132301E-2</v>
      </c>
    </row>
    <row r="107" spans="1:18" x14ac:dyDescent="0.35">
      <c r="F107" s="35"/>
      <c r="G107" s="35"/>
      <c r="H107" s="35"/>
      <c r="N107" s="35"/>
      <c r="O107" s="35"/>
      <c r="P107" s="35"/>
    </row>
    <row r="108" spans="1:18" ht="15" thickBot="1" x14ac:dyDescent="0.4">
      <c r="F108" s="35"/>
      <c r="G108" s="35"/>
      <c r="H108" s="35"/>
      <c r="N108" s="35"/>
      <c r="O108" s="35"/>
      <c r="P108" s="35"/>
    </row>
    <row r="109" spans="1:18" ht="15" thickBot="1" x14ac:dyDescent="0.4">
      <c r="A109" s="31" t="s">
        <v>125</v>
      </c>
      <c r="B109" s="91">
        <v>2021</v>
      </c>
      <c r="C109" s="50">
        <v>2022</v>
      </c>
      <c r="D109" s="50">
        <v>2023</v>
      </c>
      <c r="E109" s="50">
        <v>2024</v>
      </c>
      <c r="F109" s="52" t="s">
        <v>16</v>
      </c>
      <c r="G109" s="52" t="s">
        <v>17</v>
      </c>
      <c r="H109" s="52" t="s">
        <v>18</v>
      </c>
      <c r="I109" s="52" t="s">
        <v>68</v>
      </c>
      <c r="J109" s="123" t="s">
        <v>105</v>
      </c>
      <c r="N109" s="35"/>
      <c r="O109" s="35"/>
      <c r="P109" s="35"/>
    </row>
    <row r="110" spans="1:18" x14ac:dyDescent="0.35">
      <c r="A110" s="30"/>
      <c r="B110" s="84"/>
      <c r="F110" s="35"/>
      <c r="G110" s="35"/>
      <c r="H110" s="35"/>
      <c r="N110" s="35"/>
      <c r="O110" s="35"/>
      <c r="P110" s="35"/>
    </row>
    <row r="111" spans="1:18" x14ac:dyDescent="0.35">
      <c r="A111" s="30" t="s">
        <v>126</v>
      </c>
      <c r="B111" s="107">
        <f>B14-B22+B19</f>
        <v>1325</v>
      </c>
      <c r="C111" s="107">
        <f t="shared" ref="C111:J111" si="155">C14-C22+C19</f>
        <v>1276</v>
      </c>
      <c r="D111" s="107">
        <f t="shared" si="155"/>
        <v>1099</v>
      </c>
      <c r="E111" s="107">
        <f t="shared" si="155"/>
        <v>646</v>
      </c>
      <c r="F111" s="107">
        <f t="shared" si="155"/>
        <v>596.97016731692167</v>
      </c>
      <c r="G111" s="107">
        <f>G14-G22+G19</f>
        <v>581.97657334510563</v>
      </c>
      <c r="H111" s="107">
        <f t="shared" si="155"/>
        <v>575.20168712117913</v>
      </c>
      <c r="I111" s="107">
        <f t="shared" si="155"/>
        <v>579.70773773481426</v>
      </c>
      <c r="J111" s="107">
        <f t="shared" si="155"/>
        <v>584.34896986685919</v>
      </c>
      <c r="N111" s="35"/>
      <c r="O111" s="35"/>
      <c r="P111" s="35"/>
    </row>
    <row r="112" spans="1:18" x14ac:dyDescent="0.35">
      <c r="A112" s="30" t="s">
        <v>127</v>
      </c>
      <c r="B112" s="92">
        <f>B26+B34+B19</f>
        <v>2845</v>
      </c>
      <c r="C112" s="17">
        <f t="shared" ref="C112:J112" si="156">C26+C34+C19</f>
        <v>2938</v>
      </c>
      <c r="D112" s="17">
        <f t="shared" si="156"/>
        <v>2922</v>
      </c>
      <c r="E112" s="17">
        <f t="shared" si="156"/>
        <v>2592</v>
      </c>
      <c r="F112" s="17">
        <f t="shared" si="156"/>
        <v>2589.8820711496746</v>
      </c>
      <c r="G112" s="17">
        <f t="shared" si="156"/>
        <v>2634.5281734844789</v>
      </c>
      <c r="H112" s="17">
        <f t="shared" si="156"/>
        <v>2698.314467726058</v>
      </c>
      <c r="I112" s="17">
        <f t="shared" si="156"/>
        <v>2736.1239017578396</v>
      </c>
      <c r="J112" s="17">
        <f t="shared" si="156"/>
        <v>2775.0676188105749</v>
      </c>
      <c r="N112" s="35"/>
      <c r="O112" s="35"/>
      <c r="P112" s="35"/>
    </row>
    <row r="113" spans="1:16" x14ac:dyDescent="0.35">
      <c r="A113" s="30" t="s">
        <v>128</v>
      </c>
      <c r="B113" s="107">
        <f t="shared" ref="B113:J113" si="157">B9+B111</f>
        <v>2845</v>
      </c>
      <c r="C113" s="107">
        <f t="shared" si="157"/>
        <v>2938</v>
      </c>
      <c r="D113" s="107">
        <f t="shared" si="157"/>
        <v>2922</v>
      </c>
      <c r="E113" s="107">
        <f t="shared" si="157"/>
        <v>2592</v>
      </c>
      <c r="F113" s="107">
        <f t="shared" si="157"/>
        <v>2589.8820711496742</v>
      </c>
      <c r="G113" s="107">
        <f t="shared" si="157"/>
        <v>2634.5281734844784</v>
      </c>
      <c r="H113" s="107">
        <f t="shared" si="157"/>
        <v>2698.3144677260575</v>
      </c>
      <c r="I113" s="107">
        <f t="shared" si="157"/>
        <v>2736.1239017578391</v>
      </c>
      <c r="J113" s="107">
        <f t="shared" si="157"/>
        <v>2775.0676188105745</v>
      </c>
      <c r="N113" s="35"/>
      <c r="O113" s="35"/>
      <c r="P113" s="35"/>
    </row>
    <row r="114" spans="1:16" x14ac:dyDescent="0.35">
      <c r="A114" s="30"/>
      <c r="B114" s="92">
        <f>B112-B113</f>
        <v>0</v>
      </c>
      <c r="C114" s="17">
        <f>C112-C113</f>
        <v>0</v>
      </c>
      <c r="D114" s="17">
        <f>D112-D113</f>
        <v>0</v>
      </c>
      <c r="E114" s="17">
        <f>E112-E113</f>
        <v>0</v>
      </c>
      <c r="F114" s="17">
        <f t="shared" ref="F114:H114" si="158">F112-F113</f>
        <v>0</v>
      </c>
      <c r="G114" s="17">
        <f t="shared" si="158"/>
        <v>0</v>
      </c>
      <c r="H114" s="17">
        <f t="shared" si="158"/>
        <v>0</v>
      </c>
      <c r="I114" s="17">
        <f t="shared" ref="I114" si="159">I112-I113</f>
        <v>0</v>
      </c>
      <c r="J114" s="17">
        <f t="shared" ref="J114" si="160">J112-J113</f>
        <v>0</v>
      </c>
      <c r="N114" s="35"/>
      <c r="O114" s="35"/>
      <c r="P114" s="35"/>
    </row>
    <row r="115" spans="1:16" x14ac:dyDescent="0.35">
      <c r="A115" s="30"/>
      <c r="B115" s="84"/>
      <c r="F115" s="35"/>
      <c r="G115" s="35"/>
      <c r="H115" s="35"/>
      <c r="N115" s="35"/>
      <c r="O115" s="35"/>
      <c r="P115" s="35"/>
    </row>
    <row r="116" spans="1:16" ht="15" thickBot="1" x14ac:dyDescent="0.4">
      <c r="A116" s="96" t="s">
        <v>129</v>
      </c>
      <c r="B116" s="88">
        <v>2021</v>
      </c>
      <c r="C116" s="88">
        <v>2022</v>
      </c>
      <c r="D116" s="88">
        <v>2023</v>
      </c>
      <c r="E116" s="88">
        <v>2024</v>
      </c>
      <c r="F116" s="89" t="s">
        <v>16</v>
      </c>
      <c r="G116" s="89" t="s">
        <v>17</v>
      </c>
      <c r="H116" s="89" t="s">
        <v>18</v>
      </c>
      <c r="I116" s="89" t="s">
        <v>68</v>
      </c>
      <c r="J116" s="122" t="s">
        <v>105</v>
      </c>
      <c r="N116" s="35"/>
      <c r="O116" s="35"/>
      <c r="P116" s="35"/>
    </row>
    <row r="117" spans="1:16" x14ac:dyDescent="0.35">
      <c r="A117" s="30" t="s">
        <v>130</v>
      </c>
      <c r="B117" s="93">
        <f>B56/B54</f>
        <v>0.70904436860068254</v>
      </c>
      <c r="C117" s="40">
        <f>C56/C54</f>
        <v>0.71160651096956828</v>
      </c>
      <c r="D117" s="40">
        <f>D56/D54</f>
        <v>0.70555914673561737</v>
      </c>
      <c r="E117" s="40">
        <f>E56/E54</f>
        <v>0.67688679245283023</v>
      </c>
      <c r="F117" s="41">
        <v>0.64</v>
      </c>
      <c r="G117" s="41">
        <v>0.66</v>
      </c>
      <c r="H117" s="41">
        <v>0.68</v>
      </c>
      <c r="I117" s="40">
        <f>I56/I54</f>
        <v>0.68000000000000016</v>
      </c>
      <c r="J117" s="40">
        <f>J56/J54</f>
        <v>0.68</v>
      </c>
      <c r="N117" s="35"/>
      <c r="O117" s="35"/>
      <c r="P117" s="35"/>
    </row>
    <row r="118" spans="1:16" x14ac:dyDescent="0.35">
      <c r="A118" s="30" t="s">
        <v>131</v>
      </c>
      <c r="B118" s="93">
        <f>B58/B54</f>
        <v>0.18088737201365188</v>
      </c>
      <c r="C118" s="93">
        <f t="shared" ref="C118:G118" si="161">C58/C54</f>
        <v>0.18152866242038215</v>
      </c>
      <c r="D118" s="93">
        <f t="shared" si="161"/>
        <v>0.19747899159663865</v>
      </c>
      <c r="E118" s="93">
        <f t="shared" si="161"/>
        <v>0.13645552560646901</v>
      </c>
      <c r="F118" s="93">
        <f t="shared" si="161"/>
        <v>3.06314978821708E-3</v>
      </c>
      <c r="G118" s="93">
        <f t="shared" si="161"/>
        <v>4.8041065482796817E-2</v>
      </c>
      <c r="H118" s="41">
        <f t="shared" ref="H118:J118" si="162">H61/H54</f>
        <v>0.10218201194954238</v>
      </c>
      <c r="I118" s="41">
        <f t="shared" si="162"/>
        <v>0.10080592561770149</v>
      </c>
      <c r="J118" s="41">
        <f t="shared" si="162"/>
        <v>0.10059614318630082</v>
      </c>
      <c r="N118" s="35"/>
      <c r="O118" s="35"/>
      <c r="P118" s="35"/>
    </row>
    <row r="119" spans="1:16" x14ac:dyDescent="0.35">
      <c r="A119" s="30" t="s">
        <v>132</v>
      </c>
      <c r="B119" s="93">
        <f>B65/B54</f>
        <v>0.16040955631399317</v>
      </c>
      <c r="C119" s="40">
        <f>C65/C54</f>
        <v>0.14048124557678698</v>
      </c>
      <c r="D119" s="40">
        <f>D65/D54</f>
        <v>0.15901745313510018</v>
      </c>
      <c r="E119" s="40">
        <f>E65/E54</f>
        <v>9.1307277628032341E-2</v>
      </c>
      <c r="F119" s="40">
        <f t="shared" ref="F119:J119" si="163">F65/F54</f>
        <v>-1.2377233687237523E-2</v>
      </c>
      <c r="G119" s="40">
        <f t="shared" si="163"/>
        <v>2.5532245469480547E-2</v>
      </c>
      <c r="H119" s="40">
        <f t="shared" si="163"/>
        <v>5.4804074718004483E-2</v>
      </c>
      <c r="I119" s="40">
        <f t="shared" si="163"/>
        <v>5.3820069400200003E-2</v>
      </c>
      <c r="J119" s="40">
        <f t="shared" si="163"/>
        <v>5.4024146225029122E-2</v>
      </c>
    </row>
    <row r="120" spans="1:16" x14ac:dyDescent="0.35">
      <c r="A120" s="30"/>
      <c r="B120" s="84"/>
      <c r="F120" s="35"/>
      <c r="G120" s="35"/>
      <c r="H120" s="35"/>
    </row>
    <row r="121" spans="1:16" ht="15" thickBot="1" x14ac:dyDescent="0.4">
      <c r="A121" s="96" t="s">
        <v>133</v>
      </c>
      <c r="B121" s="88">
        <v>2021</v>
      </c>
      <c r="C121" s="88">
        <v>2022</v>
      </c>
      <c r="D121" s="88">
        <v>2023</v>
      </c>
      <c r="E121" s="88">
        <v>2024</v>
      </c>
      <c r="F121" s="89" t="s">
        <v>16</v>
      </c>
      <c r="G121" s="89" t="s">
        <v>17</v>
      </c>
      <c r="H121" s="89" t="s">
        <v>18</v>
      </c>
      <c r="I121" s="89" t="s">
        <v>68</v>
      </c>
      <c r="J121" s="122" t="s">
        <v>105</v>
      </c>
    </row>
    <row r="122" spans="1:16" x14ac:dyDescent="0.35">
      <c r="A122" s="30" t="s">
        <v>134</v>
      </c>
      <c r="B122" s="84"/>
      <c r="C122" s="32">
        <f>B112/B34</f>
        <v>1.8237179487179487</v>
      </c>
      <c r="D122" s="32">
        <f>C112/C34</f>
        <v>1.8169449598021026</v>
      </c>
      <c r="E122" s="32">
        <f>D112/D34</f>
        <v>1.898635477582846</v>
      </c>
      <c r="F122" s="32">
        <f t="shared" ref="F122:J122" si="164">E112/E34</f>
        <v>2.2461005199306761</v>
      </c>
      <c r="G122" s="32">
        <f t="shared" si="164"/>
        <v>2.3059256150013248</v>
      </c>
      <c r="H122" s="32">
        <f t="shared" si="164"/>
        <v>2.3268152896588576</v>
      </c>
      <c r="I122" s="32">
        <f t="shared" si="164"/>
        <v>2.341128242160988</v>
      </c>
      <c r="J122" s="32">
        <f t="shared" si="164"/>
        <v>2.3330295283234959</v>
      </c>
    </row>
    <row r="123" spans="1:16" x14ac:dyDescent="0.35">
      <c r="A123" s="210" t="s">
        <v>135</v>
      </c>
      <c r="C123" s="32">
        <f>C54/B112</f>
        <v>0.99332161687170473</v>
      </c>
      <c r="D123" s="32">
        <f>D54/C112</f>
        <v>1.0530973451327434</v>
      </c>
      <c r="E123" s="32">
        <f>E54/D112</f>
        <v>1.0157426420260096</v>
      </c>
      <c r="F123" s="32">
        <f t="shared" ref="F123:J123" si="165">F54/E112</f>
        <v>0.96185185185185185</v>
      </c>
      <c r="G123" s="32">
        <f t="shared" si="165"/>
        <v>0.98189119432420502</v>
      </c>
      <c r="H123" s="32">
        <f t="shared" si="165"/>
        <v>1.003861610825769</v>
      </c>
      <c r="I123" s="32">
        <f t="shared" si="165"/>
        <v>1.0095349446707094</v>
      </c>
      <c r="J123" s="32">
        <f t="shared" si="165"/>
        <v>1.0254521103681817</v>
      </c>
    </row>
    <row r="124" spans="1:16" x14ac:dyDescent="0.35">
      <c r="A124" s="210" t="s">
        <v>136</v>
      </c>
      <c r="C124" s="29">
        <f t="shared" ref="C124:J124" si="166">C10/C54</f>
        <v>0.43241330502476999</v>
      </c>
      <c r="D124" s="29">
        <f t="shared" si="166"/>
        <v>0.33160956690368454</v>
      </c>
      <c r="E124" s="29">
        <f t="shared" si="166"/>
        <v>0.14858490566037735</v>
      </c>
      <c r="F124" s="29">
        <f t="shared" si="166"/>
        <v>0.17529869409962825</v>
      </c>
      <c r="G124" s="29">
        <f t="shared" si="166"/>
        <v>0.13740552593740674</v>
      </c>
      <c r="H124" s="29">
        <f t="shared" si="166"/>
        <v>8.8838688230697363E-2</v>
      </c>
      <c r="I124" s="116">
        <f t="shared" si="166"/>
        <v>8.1636158085943877E-2</v>
      </c>
      <c r="J124" s="116">
        <f t="shared" si="166"/>
        <v>7.4643410372591271E-2</v>
      </c>
    </row>
    <row r="125" spans="1:16" x14ac:dyDescent="0.35">
      <c r="A125" s="210"/>
      <c r="F125" s="35"/>
      <c r="G125" s="35"/>
      <c r="H125" s="35"/>
    </row>
    <row r="126" spans="1:16" ht="15" thickBot="1" x14ac:dyDescent="0.4">
      <c r="A126" s="212" t="s">
        <v>126</v>
      </c>
      <c r="B126" s="166"/>
      <c r="C126" s="166"/>
      <c r="D126" s="166"/>
      <c r="E126" s="166"/>
      <c r="F126" s="167"/>
      <c r="G126" s="167"/>
      <c r="H126" s="167"/>
      <c r="I126" s="166"/>
      <c r="J126" s="166"/>
    </row>
    <row r="127" spans="1:16" x14ac:dyDescent="0.35">
      <c r="A127" s="213" t="s">
        <v>137</v>
      </c>
      <c r="B127" s="165">
        <f>B14/(B22-B19)</f>
        <v>3.0167427701674279</v>
      </c>
      <c r="C127" s="165">
        <f>C14/(C22-C19)</f>
        <v>2.681159420289855</v>
      </c>
      <c r="D127" s="165">
        <f>D14/(D22-D19)</f>
        <v>2.4384816753926701</v>
      </c>
      <c r="E127" s="165">
        <f>E14/(E22-E19)</f>
        <v>1.8303341902313626</v>
      </c>
      <c r="F127" s="165">
        <f t="shared" ref="F127:J127" si="167">F14/(F22-F19)</f>
        <v>1.7891651356973937</v>
      </c>
      <c r="G127" s="165">
        <f t="shared" si="167"/>
        <v>1.7764293746162636</v>
      </c>
      <c r="H127" s="165">
        <f t="shared" si="167"/>
        <v>1.7657567986973925</v>
      </c>
      <c r="I127" s="165">
        <f t="shared" si="167"/>
        <v>1.7559901533911395</v>
      </c>
      <c r="J127" s="165">
        <f t="shared" si="167"/>
        <v>1.7463390753435035</v>
      </c>
    </row>
    <row r="128" spans="1:16" x14ac:dyDescent="0.35">
      <c r="A128" s="210" t="s">
        <v>138</v>
      </c>
      <c r="B128" s="15">
        <f>(B12/B55)*365</f>
        <v>215.14662756598241</v>
      </c>
      <c r="C128" s="15">
        <f>(C12/C55)*365</f>
        <v>190.78527607361963</v>
      </c>
      <c r="D128" s="15">
        <f>(D12/D55)*365</f>
        <v>179.09440175631173</v>
      </c>
      <c r="E128" s="15">
        <f>(E12/E55)*365</f>
        <v>192.96663190823776</v>
      </c>
      <c r="F128" s="97">
        <f>$D$128</f>
        <v>179.09440175631173</v>
      </c>
      <c r="G128" s="97">
        <f>$D$128</f>
        <v>179.09440175631173</v>
      </c>
      <c r="H128" s="97">
        <f>$D$128</f>
        <v>179.09440175631173</v>
      </c>
      <c r="I128" s="97">
        <f t="shared" ref="I128:J128" si="168">$D$128</f>
        <v>179.09440175631173</v>
      </c>
      <c r="J128" s="97">
        <f t="shared" si="168"/>
        <v>179.09440175631173</v>
      </c>
    </row>
    <row r="129" spans="1:10" x14ac:dyDescent="0.35">
      <c r="A129" s="30" t="s">
        <v>139</v>
      </c>
      <c r="B129" s="94">
        <f>(B11/B54)*365</f>
        <v>43.133532423208187</v>
      </c>
      <c r="C129" s="15">
        <f>(C11/C54)*365</f>
        <v>36.551663128096251</v>
      </c>
      <c r="D129" s="15">
        <f>(D11/D54)*365</f>
        <v>36.216871363930188</v>
      </c>
      <c r="E129" s="15">
        <f>(E11/E54)*365</f>
        <v>41.812668463611857</v>
      </c>
      <c r="F129" s="97">
        <f>E129</f>
        <v>41.812668463611857</v>
      </c>
      <c r="G129" s="97">
        <f t="shared" ref="G129:J129" si="169">F129</f>
        <v>41.812668463611857</v>
      </c>
      <c r="H129" s="97">
        <f t="shared" si="169"/>
        <v>41.812668463611857</v>
      </c>
      <c r="I129" s="97">
        <f t="shared" si="169"/>
        <v>41.812668463611857</v>
      </c>
      <c r="J129" s="97">
        <f t="shared" si="169"/>
        <v>41.812668463611857</v>
      </c>
    </row>
    <row r="130" spans="1:10" x14ac:dyDescent="0.35">
      <c r="A130" s="30" t="s">
        <v>140</v>
      </c>
      <c r="B130" s="94">
        <f>(B20/B55)*365</f>
        <v>210.32991202346042</v>
      </c>
      <c r="C130" s="15">
        <f>(C20/C55)*365</f>
        <v>215.41717791411045</v>
      </c>
      <c r="D130" s="15">
        <f>(D20/D55)*365</f>
        <v>191.11416026344673</v>
      </c>
      <c r="E130" s="15">
        <f>(E20/E55)*365</f>
        <v>167.08550573514077</v>
      </c>
      <c r="F130" s="97">
        <f>E130</f>
        <v>167.08550573514077</v>
      </c>
      <c r="G130" s="97">
        <f t="shared" ref="G130:J130" si="170">F130</f>
        <v>167.08550573514077</v>
      </c>
      <c r="H130" s="97">
        <f t="shared" si="170"/>
        <v>167.08550573514077</v>
      </c>
      <c r="I130" s="97">
        <f t="shared" si="170"/>
        <v>167.08550573514077</v>
      </c>
      <c r="J130" s="97">
        <f t="shared" si="170"/>
        <v>167.08550573514077</v>
      </c>
    </row>
    <row r="131" spans="1:10" x14ac:dyDescent="0.35">
      <c r="A131" s="30"/>
      <c r="B131" s="84"/>
      <c r="F131" s="35"/>
      <c r="G131" s="35"/>
      <c r="H131" s="35"/>
    </row>
    <row r="132" spans="1:10" ht="15" thickBot="1" x14ac:dyDescent="0.4">
      <c r="A132" s="96" t="s">
        <v>141</v>
      </c>
      <c r="B132" s="88">
        <v>2021</v>
      </c>
      <c r="C132" s="88">
        <v>2022</v>
      </c>
      <c r="D132" s="88">
        <v>2023</v>
      </c>
      <c r="E132" s="88">
        <v>2024</v>
      </c>
      <c r="F132" s="89" t="s">
        <v>16</v>
      </c>
      <c r="G132" s="89" t="s">
        <v>17</v>
      </c>
      <c r="H132" s="89" t="s">
        <v>18</v>
      </c>
      <c r="I132" s="89" t="s">
        <v>68</v>
      </c>
      <c r="J132" s="122" t="s">
        <v>105</v>
      </c>
    </row>
    <row r="133" spans="1:10" x14ac:dyDescent="0.35">
      <c r="A133" s="30" t="s">
        <v>142</v>
      </c>
      <c r="B133" s="95">
        <f>B64/B63</f>
        <v>0.23265306122448978</v>
      </c>
      <c r="C133" s="11">
        <f>C64/C63</f>
        <v>0.22309197651663404</v>
      </c>
      <c r="D133" s="11">
        <f>D64/D63</f>
        <v>0.22397476340694006</v>
      </c>
      <c r="E133" s="11">
        <f>E64/E63</f>
        <v>0.29242819843342038</v>
      </c>
      <c r="F133" s="41">
        <v>0.27</v>
      </c>
      <c r="G133" s="41">
        <v>0.27</v>
      </c>
      <c r="H133" s="41">
        <v>0.27</v>
      </c>
      <c r="I133" s="40">
        <f t="shared" ref="I133:J134" si="171">H133</f>
        <v>0.27</v>
      </c>
      <c r="J133" s="40">
        <f t="shared" si="171"/>
        <v>0.27</v>
      </c>
    </row>
    <row r="134" spans="1:10" x14ac:dyDescent="0.35">
      <c r="A134" s="30" t="s">
        <v>143</v>
      </c>
      <c r="B134" s="84"/>
      <c r="C134" s="40">
        <f>C60/B49</f>
        <v>2.3790642347343376E-3</v>
      </c>
      <c r="D134" s="40">
        <f>D60/C49</f>
        <v>1.718494271685761E-2</v>
      </c>
      <c r="E134" s="40">
        <f>E60/D49</f>
        <v>3.0214424951267055E-2</v>
      </c>
      <c r="F134" s="41">
        <v>0.03</v>
      </c>
      <c r="G134" s="41">
        <v>0.03</v>
      </c>
      <c r="H134" s="41">
        <v>0.03</v>
      </c>
      <c r="I134" s="40">
        <f t="shared" si="171"/>
        <v>0.03</v>
      </c>
      <c r="J134" s="40">
        <f t="shared" si="171"/>
        <v>0.03</v>
      </c>
    </row>
    <row r="135" spans="1:10" x14ac:dyDescent="0.35">
      <c r="A135" s="30" t="s">
        <v>144</v>
      </c>
      <c r="B135" s="84"/>
      <c r="C135" s="29">
        <f>C62/B48</f>
        <v>2.7237354085603113E-2</v>
      </c>
      <c r="D135" s="29">
        <f>D62/C48</f>
        <v>3.3308099924299776E-2</v>
      </c>
      <c r="E135" s="29">
        <f>E62/D48</f>
        <v>4.7722342733188719E-2</v>
      </c>
      <c r="F135" s="29">
        <f>E135</f>
        <v>4.7722342733188719E-2</v>
      </c>
      <c r="G135" s="29">
        <f>F135</f>
        <v>4.7722342733188719E-2</v>
      </c>
      <c r="H135" s="29">
        <f>G135</f>
        <v>4.7722342733188719E-2</v>
      </c>
      <c r="I135" s="40">
        <f>H135</f>
        <v>4.7722342733188719E-2</v>
      </c>
      <c r="J135" s="40">
        <f>I135</f>
        <v>4.7722342733188719E-2</v>
      </c>
    </row>
    <row r="136" spans="1:10" x14ac:dyDescent="0.35">
      <c r="A136" s="30" t="s">
        <v>145</v>
      </c>
      <c r="B136" s="84"/>
      <c r="C136" s="29">
        <f>C67/C65</f>
        <v>0.55163727959697728</v>
      </c>
      <c r="D136" s="29">
        <f>D67/D65</f>
        <v>0.41260162601626016</v>
      </c>
      <c r="E136" s="29">
        <f>E67/E65</f>
        <v>0.85977859778597787</v>
      </c>
      <c r="F136" s="41">
        <f>E136</f>
        <v>0.85977859778597787</v>
      </c>
      <c r="G136" s="41">
        <f t="shared" ref="G136:H136" si="172">F136</f>
        <v>0.85977859778597787</v>
      </c>
      <c r="H136" s="41">
        <f t="shared" si="172"/>
        <v>0.85977859778597787</v>
      </c>
      <c r="I136" s="40">
        <f>1-$I$2/I147</f>
        <v>0.76415295419216966</v>
      </c>
      <c r="J136" s="40">
        <f>1-$I$2/J147</f>
        <v>0.76788793047778903</v>
      </c>
    </row>
    <row r="137" spans="1:10" x14ac:dyDescent="0.35">
      <c r="A137" s="30"/>
      <c r="B137" s="84"/>
      <c r="F137" s="35"/>
      <c r="G137" s="35"/>
      <c r="H137" s="35"/>
    </row>
    <row r="138" spans="1:10" ht="15" thickBot="1" x14ac:dyDescent="0.4">
      <c r="A138" s="4" t="s">
        <v>146</v>
      </c>
      <c r="B138" s="108"/>
      <c r="C138" s="109"/>
      <c r="D138" s="109"/>
      <c r="E138" s="109"/>
      <c r="F138" s="109"/>
      <c r="G138" s="109"/>
      <c r="H138" s="109"/>
    </row>
    <row r="139" spans="1:10" x14ac:dyDescent="0.35">
      <c r="A139" s="209" t="s">
        <v>135</v>
      </c>
      <c r="C139" s="32">
        <f>C123</f>
        <v>0.99332161687170473</v>
      </c>
      <c r="D139" s="32">
        <f t="shared" ref="D139:J139" si="173">D123</f>
        <v>1.0530973451327434</v>
      </c>
      <c r="E139" s="32">
        <f t="shared" si="173"/>
        <v>1.0157426420260096</v>
      </c>
      <c r="F139" s="32">
        <f t="shared" si="173"/>
        <v>0.96185185185185185</v>
      </c>
      <c r="G139" s="32">
        <f t="shared" si="173"/>
        <v>0.98189119432420502</v>
      </c>
      <c r="H139" s="32">
        <f t="shared" si="173"/>
        <v>1.003861610825769</v>
      </c>
      <c r="I139" s="32">
        <f t="shared" si="173"/>
        <v>1.0095349446707094</v>
      </c>
      <c r="J139" s="32">
        <f t="shared" si="173"/>
        <v>1.0254521103681817</v>
      </c>
    </row>
    <row r="140" spans="1:10" x14ac:dyDescent="0.35">
      <c r="A140" s="210" t="s">
        <v>131</v>
      </c>
      <c r="B140" s="110">
        <f>B118</f>
        <v>0.18088737201365188</v>
      </c>
      <c r="C140" s="110">
        <f>C118</f>
        <v>0.18152866242038215</v>
      </c>
      <c r="D140" s="110">
        <f t="shared" ref="D140:J140" si="174">D118</f>
        <v>0.19747899159663865</v>
      </c>
      <c r="E140" s="110">
        <f t="shared" si="174"/>
        <v>0.13645552560646901</v>
      </c>
      <c r="F140" s="110">
        <f t="shared" si="174"/>
        <v>3.06314978821708E-3</v>
      </c>
      <c r="G140" s="110">
        <f t="shared" si="174"/>
        <v>4.8041065482796817E-2</v>
      </c>
      <c r="H140" s="110">
        <f t="shared" si="174"/>
        <v>0.10218201194954238</v>
      </c>
      <c r="I140" s="110">
        <f t="shared" si="174"/>
        <v>0.10080592561770149</v>
      </c>
      <c r="J140" s="110">
        <f t="shared" si="174"/>
        <v>0.10059614318630082</v>
      </c>
    </row>
    <row r="141" spans="1:10" x14ac:dyDescent="0.35">
      <c r="A141" s="211" t="s">
        <v>147</v>
      </c>
      <c r="B141" s="2"/>
      <c r="C141" s="113">
        <f>C139*C140</f>
        <v>0.18031634446397188</v>
      </c>
      <c r="D141" s="113">
        <f t="shared" ref="D141:J141" si="175">D139*D140</f>
        <v>0.20796460176991152</v>
      </c>
      <c r="E141" s="113">
        <f t="shared" si="175"/>
        <v>0.13860369609856263</v>
      </c>
      <c r="F141" s="113">
        <f t="shared" si="175"/>
        <v>2.946296296296206E-3</v>
      </c>
      <c r="G141" s="113">
        <f t="shared" si="175"/>
        <v>4.7171099163510706E-2</v>
      </c>
      <c r="H141" s="113">
        <f t="shared" si="175"/>
        <v>0.10257659911308559</v>
      </c>
      <c r="I141" s="117">
        <f t="shared" si="175"/>
        <v>0.10176710454094592</v>
      </c>
      <c r="J141" s="117">
        <f t="shared" si="175"/>
        <v>0.10315652732529196</v>
      </c>
    </row>
    <row r="142" spans="1:10" ht="15" thickBot="1" x14ac:dyDescent="0.4">
      <c r="A142" s="210" t="s">
        <v>148</v>
      </c>
      <c r="B142" s="109"/>
      <c r="C142" s="111">
        <f>C61/B112</f>
        <v>0.19191564147627416</v>
      </c>
      <c r="D142" s="111">
        <f>D61/C112</f>
        <v>0.23076923076923078</v>
      </c>
      <c r="E142" s="111">
        <f>E61/D112</f>
        <v>0.1536618754277892</v>
      </c>
      <c r="F142" s="111">
        <f t="shared" ref="F142:J142" si="176">F61/E112</f>
        <v>1.4570524691357936E-2</v>
      </c>
      <c r="G142" s="111">
        <f t="shared" si="176"/>
        <v>6.1369128030009198E-2</v>
      </c>
      <c r="H142" s="111">
        <f t="shared" si="176"/>
        <v>0.10257659911308559</v>
      </c>
      <c r="I142" s="118">
        <f t="shared" si="176"/>
        <v>0.10176710454094591</v>
      </c>
      <c r="J142" s="118">
        <f t="shared" si="176"/>
        <v>0.10315652732529197</v>
      </c>
    </row>
    <row r="143" spans="1:10" x14ac:dyDescent="0.35">
      <c r="A143" s="209" t="s">
        <v>135</v>
      </c>
      <c r="C143" s="32">
        <f>C123</f>
        <v>0.99332161687170473</v>
      </c>
      <c r="D143" s="32">
        <f t="shared" ref="D143:J143" si="177">D123</f>
        <v>1.0530973451327434</v>
      </c>
      <c r="E143" s="32">
        <f t="shared" si="177"/>
        <v>1.0157426420260096</v>
      </c>
      <c r="F143" s="32">
        <f t="shared" si="177"/>
        <v>0.96185185185185185</v>
      </c>
      <c r="G143" s="32">
        <f t="shared" si="177"/>
        <v>0.98189119432420502</v>
      </c>
      <c r="H143" s="32">
        <f t="shared" si="177"/>
        <v>1.003861610825769</v>
      </c>
      <c r="I143" s="32">
        <f t="shared" si="177"/>
        <v>1.0095349446707094</v>
      </c>
      <c r="J143" s="32">
        <f t="shared" si="177"/>
        <v>1.0254521103681817</v>
      </c>
    </row>
    <row r="144" spans="1:10" x14ac:dyDescent="0.35">
      <c r="A144" s="210" t="s">
        <v>134</v>
      </c>
      <c r="C144" s="32">
        <f>C122</f>
        <v>1.8237179487179487</v>
      </c>
      <c r="D144" s="32">
        <f t="shared" ref="D144:J144" si="178">D122</f>
        <v>1.8169449598021026</v>
      </c>
      <c r="E144" s="32">
        <f t="shared" si="178"/>
        <v>1.898635477582846</v>
      </c>
      <c r="F144" s="32">
        <f t="shared" si="178"/>
        <v>2.2461005199306761</v>
      </c>
      <c r="G144" s="32">
        <f t="shared" si="178"/>
        <v>2.3059256150013248</v>
      </c>
      <c r="H144" s="32">
        <f t="shared" si="178"/>
        <v>2.3268152896588576</v>
      </c>
      <c r="I144" s="32">
        <f t="shared" si="178"/>
        <v>2.341128242160988</v>
      </c>
      <c r="J144" s="32">
        <f t="shared" si="178"/>
        <v>2.3330295283234959</v>
      </c>
    </row>
    <row r="145" spans="1:18" x14ac:dyDescent="0.35">
      <c r="A145" s="30" t="s">
        <v>132</v>
      </c>
      <c r="B145" s="108"/>
      <c r="C145" s="164">
        <f>C119</f>
        <v>0.14048124557678698</v>
      </c>
      <c r="D145" s="164">
        <f>D119</f>
        <v>0.15901745313510018</v>
      </c>
      <c r="E145" s="164">
        <f>E119</f>
        <v>9.1307277628032341E-2</v>
      </c>
      <c r="F145" s="164">
        <f t="shared" ref="F145:J145" si="179">F119</f>
        <v>-1.2377233687237523E-2</v>
      </c>
      <c r="G145" s="164">
        <f t="shared" si="179"/>
        <v>2.5532245469480547E-2</v>
      </c>
      <c r="H145" s="164">
        <f t="shared" si="179"/>
        <v>5.4804074718004483E-2</v>
      </c>
      <c r="I145" s="164">
        <f t="shared" si="179"/>
        <v>5.3820069400200003E-2</v>
      </c>
      <c r="J145" s="164">
        <f t="shared" si="179"/>
        <v>5.4024146225029122E-2</v>
      </c>
    </row>
    <row r="146" spans="1:18" x14ac:dyDescent="0.35">
      <c r="A146" s="33" t="s">
        <v>149</v>
      </c>
      <c r="B146" s="112"/>
      <c r="C146" s="162">
        <f>C143*C144*C145</f>
        <v>0.25448717948717947</v>
      </c>
      <c r="D146" s="162">
        <f t="shared" ref="D146:J146" si="180">D143*D144*D145</f>
        <v>0.30426716141001853</v>
      </c>
      <c r="E146" s="162">
        <f t="shared" si="180"/>
        <v>0.1760883690708252</v>
      </c>
      <c r="F146" s="162">
        <f t="shared" si="180"/>
        <v>-2.6739973007214569E-2</v>
      </c>
      <c r="G146" s="162">
        <f t="shared" si="180"/>
        <v>5.7809294593431884E-2</v>
      </c>
      <c r="H146" s="162">
        <f t="shared" si="180"/>
        <v>0.12801138758198377</v>
      </c>
      <c r="I146" s="163">
        <f t="shared" si="180"/>
        <v>0.12720108448780063</v>
      </c>
      <c r="J146" s="163">
        <f t="shared" si="180"/>
        <v>0.12924791055352369</v>
      </c>
      <c r="K146" s="40"/>
    </row>
    <row r="147" spans="1:18" x14ac:dyDescent="0.35">
      <c r="A147" s="34" t="s">
        <v>150</v>
      </c>
      <c r="B147" s="84"/>
      <c r="C147" s="67">
        <f>C65/B34</f>
        <v>0.25448717948717947</v>
      </c>
      <c r="D147" s="67">
        <f>D65/C34</f>
        <v>0.30426716141001853</v>
      </c>
      <c r="E147" s="67">
        <f t="shared" ref="E147:J147" si="181">E65/D34</f>
        <v>0.1760883690708252</v>
      </c>
      <c r="F147" s="67">
        <f t="shared" si="181"/>
        <v>-2.6739973007214569E-2</v>
      </c>
      <c r="G147" s="67">
        <f t="shared" si="181"/>
        <v>5.7809294593431884E-2</v>
      </c>
      <c r="H147" s="67">
        <f t="shared" si="181"/>
        <v>0.12801138758198377</v>
      </c>
      <c r="I147" s="139">
        <f t="shared" si="181"/>
        <v>0.1272010844878006</v>
      </c>
      <c r="J147" s="139">
        <f t="shared" si="181"/>
        <v>0.12924791055352369</v>
      </c>
      <c r="K147" s="40"/>
    </row>
    <row r="148" spans="1:18" x14ac:dyDescent="0.35">
      <c r="A148" s="30"/>
    </row>
    <row r="149" spans="1:18" x14ac:dyDescent="0.35">
      <c r="A149" s="30"/>
    </row>
    <row r="150" spans="1:18" x14ac:dyDescent="0.35">
      <c r="A150" s="4" t="s">
        <v>151</v>
      </c>
    </row>
    <row r="151" spans="1:18" x14ac:dyDescent="0.35">
      <c r="A151" s="30" t="s">
        <v>62</v>
      </c>
      <c r="C151" s="67">
        <f>C54/B54-1</f>
        <v>0.20563139931740615</v>
      </c>
      <c r="D151" s="67">
        <f>D54/C54-1</f>
        <v>9.4833687190374993E-2</v>
      </c>
      <c r="E151" s="67">
        <f>E54/D54-1</f>
        <v>-4.0723981900452455E-2</v>
      </c>
      <c r="F151" s="40">
        <v>-0.16</v>
      </c>
      <c r="G151" s="40">
        <v>0.02</v>
      </c>
      <c r="H151" s="40">
        <v>0.04</v>
      </c>
      <c r="I151" s="139">
        <f>I54/H54-1</f>
        <v>3.0000000000000027E-2</v>
      </c>
      <c r="J151" s="139">
        <f>J54/I54-1</f>
        <v>3.0000000000000027E-2</v>
      </c>
      <c r="K151" s="40"/>
    </row>
    <row r="152" spans="1:18" x14ac:dyDescent="0.35">
      <c r="A152" s="30" t="s">
        <v>152</v>
      </c>
      <c r="C152" s="67">
        <f>C57/B57-1</f>
        <v>0.21001615508885307</v>
      </c>
      <c r="D152" s="67">
        <f>D57/C57-1</f>
        <v>4.9399198931909138E-2</v>
      </c>
      <c r="E152" s="67">
        <f>E57/D57-1</f>
        <v>2.0356234096692072E-2</v>
      </c>
      <c r="F152" s="67">
        <v>-0.01</v>
      </c>
      <c r="G152" s="67">
        <v>-0.02</v>
      </c>
      <c r="H152" s="67">
        <v>0.01</v>
      </c>
      <c r="I152" s="139">
        <f>I56/H56-1</f>
        <v>3.0000000000000249E-2</v>
      </c>
      <c r="J152" s="139">
        <f>J56/I56-1</f>
        <v>3.0000000000000027E-2</v>
      </c>
      <c r="K152" s="40"/>
    </row>
    <row r="153" spans="1:18" x14ac:dyDescent="0.35">
      <c r="A153" s="30" t="s">
        <v>66</v>
      </c>
      <c r="C153" s="67">
        <f>C59/B59-1</f>
        <v>-0.69072164948453607</v>
      </c>
      <c r="D153" s="67">
        <f t="shared" ref="D153:E153" si="182">D59/C59-1</f>
        <v>0.53333333333333344</v>
      </c>
      <c r="E153" s="67">
        <f t="shared" si="182"/>
        <v>-0.71739130434782616</v>
      </c>
      <c r="F153" s="40">
        <v>0.3</v>
      </c>
      <c r="G153" s="40">
        <v>0.4</v>
      </c>
      <c r="H153" s="40">
        <v>0.4</v>
      </c>
      <c r="I153" s="139">
        <f>I55/H55-1</f>
        <v>3.0000000000000027E-2</v>
      </c>
      <c r="J153" s="139">
        <f>J55/I55-1</f>
        <v>3.0000000000000027E-2</v>
      </c>
      <c r="K153" s="40"/>
    </row>
    <row r="154" spans="1:18" x14ac:dyDescent="0.35">
      <c r="A154" s="4" t="s">
        <v>153</v>
      </c>
      <c r="C154" s="40"/>
      <c r="D154" s="40"/>
      <c r="E154" s="40"/>
      <c r="F154" s="40"/>
      <c r="G154" s="40"/>
      <c r="H154" s="40"/>
      <c r="I154" s="139"/>
      <c r="J154" s="139"/>
      <c r="K154" s="40"/>
    </row>
    <row r="155" spans="1:18" x14ac:dyDescent="0.35">
      <c r="A155" s="30" t="s">
        <v>84</v>
      </c>
      <c r="C155" s="67">
        <f>C13/B13-1</f>
        <v>1.4761904761904763</v>
      </c>
      <c r="D155" s="67">
        <f>D13/C13-1</f>
        <v>-0.20192307692307687</v>
      </c>
      <c r="E155" s="67">
        <f>E13/D13-1</f>
        <v>0.63855421686746983</v>
      </c>
      <c r="F155" s="40">
        <v>0.4</v>
      </c>
      <c r="G155" s="40">
        <f>F155</f>
        <v>0.4</v>
      </c>
      <c r="H155" s="40">
        <f>G155</f>
        <v>0.4</v>
      </c>
      <c r="I155" s="139">
        <f>I13/H13-1</f>
        <v>3.0000000000000027E-2</v>
      </c>
      <c r="J155" s="139">
        <f>J13/I13-1</f>
        <v>3.0000000000000027E-2</v>
      </c>
      <c r="K155" s="40"/>
    </row>
    <row r="156" spans="1:18" x14ac:dyDescent="0.35">
      <c r="A156" s="30" t="s">
        <v>79</v>
      </c>
      <c r="C156" s="67">
        <f>C151/2</f>
        <v>0.10281569965870307</v>
      </c>
      <c r="D156" s="67">
        <f t="shared" ref="D156:E156" si="183">D151/2</f>
        <v>4.7416843595187497E-2</v>
      </c>
      <c r="E156" s="67">
        <f t="shared" si="183"/>
        <v>-2.0361990950226228E-2</v>
      </c>
      <c r="F156" s="40">
        <v>0.06</v>
      </c>
      <c r="G156" s="40">
        <v>7.0000000000000007E-2</v>
      </c>
      <c r="H156" s="40">
        <v>0.08</v>
      </c>
      <c r="I156" s="139">
        <f>I8/H8-1</f>
        <v>3.0000000000000027E-2</v>
      </c>
      <c r="J156" s="139">
        <f>J8/I8-1</f>
        <v>3.0000000000000027E-2</v>
      </c>
      <c r="K156" s="40"/>
    </row>
    <row r="157" spans="1:18" x14ac:dyDescent="0.35">
      <c r="A157" s="30" t="s">
        <v>90</v>
      </c>
      <c r="C157" s="67">
        <f>C151/2</f>
        <v>0.10281569965870307</v>
      </c>
      <c r="D157" s="67">
        <f t="shared" ref="D157:E157" si="184">D151/2</f>
        <v>4.7416843595187497E-2</v>
      </c>
      <c r="E157" s="67">
        <f t="shared" si="184"/>
        <v>-2.0361990950226228E-2</v>
      </c>
      <c r="F157" s="40">
        <v>0.06</v>
      </c>
      <c r="G157" s="40">
        <v>7.0000000000000007E-2</v>
      </c>
      <c r="H157" s="40">
        <v>0.08</v>
      </c>
      <c r="I157" s="139">
        <f>I21/H21-1</f>
        <v>3.0000000000000027E-2</v>
      </c>
      <c r="J157" s="139">
        <f>J21/I21-1</f>
        <v>3.0000000000000027E-2</v>
      </c>
      <c r="K157" s="40"/>
    </row>
    <row r="158" spans="1:18" x14ac:dyDescent="0.35">
      <c r="A158" s="30" t="s">
        <v>93</v>
      </c>
      <c r="C158" s="67">
        <f>C25/B25-1</f>
        <v>-3.007518796992481E-2</v>
      </c>
      <c r="D158" s="67">
        <f>D25/C25-1</f>
        <v>-8.5271317829457405E-2</v>
      </c>
      <c r="E158" s="67">
        <f>E25/D25-1</f>
        <v>-0.14406779661016944</v>
      </c>
      <c r="F158" s="40">
        <v>0.06</v>
      </c>
      <c r="G158" s="40">
        <v>7.0000000000000007E-2</v>
      </c>
      <c r="H158" s="40">
        <v>0.08</v>
      </c>
      <c r="I158" s="139">
        <f>I25/H25-1</f>
        <v>3.0000000000000027E-2</v>
      </c>
      <c r="J158" s="139">
        <f>J25/I25-1</f>
        <v>3.0000000000000027E-2</v>
      </c>
      <c r="K158" s="40"/>
    </row>
    <row r="159" spans="1:18" ht="15" thickBot="1" x14ac:dyDescent="0.4">
      <c r="A159" s="30"/>
    </row>
    <row r="160" spans="1:18" ht="15" thickBot="1" x14ac:dyDescent="0.4">
      <c r="A160" s="31" t="s">
        <v>154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82"/>
      <c r="L160" s="59"/>
      <c r="M160" s="61" t="s">
        <v>104</v>
      </c>
      <c r="N160" s="60"/>
      <c r="O160" s="60"/>
      <c r="P160" s="60"/>
      <c r="Q160" s="59"/>
      <c r="R160" s="59"/>
    </row>
    <row r="161" spans="1:18" x14ac:dyDescent="0.35">
      <c r="A161" s="63"/>
      <c r="B161" s="64">
        <v>2021</v>
      </c>
      <c r="C161" s="64">
        <v>2022</v>
      </c>
      <c r="D161" s="64">
        <v>2023</v>
      </c>
      <c r="E161" s="64">
        <v>2024</v>
      </c>
      <c r="F161" s="65" t="s">
        <v>16</v>
      </c>
      <c r="G161" s="65" t="s">
        <v>17</v>
      </c>
      <c r="H161" s="65" t="s">
        <v>18</v>
      </c>
      <c r="I161" s="65" t="s">
        <v>68</v>
      </c>
      <c r="J161" s="19" t="s">
        <v>105</v>
      </c>
      <c r="K161" s="83">
        <v>2022</v>
      </c>
      <c r="L161" s="70">
        <v>2023</v>
      </c>
      <c r="M161" s="70">
        <v>2024</v>
      </c>
      <c r="N161" s="71" t="s">
        <v>16</v>
      </c>
      <c r="O161" s="71" t="s">
        <v>106</v>
      </c>
      <c r="P161" s="71" t="s">
        <v>18</v>
      </c>
      <c r="Q161" s="71" t="s">
        <v>68</v>
      </c>
      <c r="R161" s="71" t="s">
        <v>105</v>
      </c>
    </row>
    <row r="162" spans="1:18" x14ac:dyDescent="0.35">
      <c r="A162" s="4" t="s">
        <v>155</v>
      </c>
      <c r="B162" s="98">
        <v>1041</v>
      </c>
      <c r="C162" s="98">
        <v>968</v>
      </c>
      <c r="D162" s="98">
        <v>1061</v>
      </c>
      <c r="E162" s="98">
        <v>1148</v>
      </c>
      <c r="F162" s="98">
        <f>E166</f>
        <v>1129</v>
      </c>
      <c r="G162" s="98">
        <f>F166</f>
        <v>1188.2672</v>
      </c>
      <c r="H162" s="98">
        <f>G166</f>
        <v>1220.3549440000002</v>
      </c>
      <c r="I162" s="98">
        <f t="shared" ref="I162:J162" si="185">H166</f>
        <v>1254.9616332800003</v>
      </c>
      <c r="J162" s="134">
        <f t="shared" si="185"/>
        <v>1281.1180607770764</v>
      </c>
      <c r="K162" s="51">
        <f t="shared" ref="K162:M164" si="186">(C162/B162)-1</f>
        <v>-7.0124879923150862E-2</v>
      </c>
      <c r="L162" s="51">
        <f t="shared" si="186"/>
        <v>9.6074380165289242E-2</v>
      </c>
      <c r="M162" s="51">
        <f t="shared" si="186"/>
        <v>8.1998114985862403E-2</v>
      </c>
      <c r="N162" s="51">
        <f>(F162/E162)-1</f>
        <v>-1.6550522648083654E-2</v>
      </c>
      <c r="O162" s="51">
        <f>(G162/F162)-1</f>
        <v>5.2495305580159357E-2</v>
      </c>
      <c r="P162" s="51">
        <f>(H162/G162)-1</f>
        <v>2.700381193724799E-2</v>
      </c>
      <c r="Q162" s="51">
        <f>(I162/H162)-1</f>
        <v>2.8357888375138307E-2</v>
      </c>
      <c r="R162" s="51">
        <f>(J162/I162)-1</f>
        <v>2.0842412073357908E-2</v>
      </c>
    </row>
    <row r="163" spans="1:18" x14ac:dyDescent="0.35">
      <c r="A163" s="30" t="s">
        <v>156</v>
      </c>
      <c r="B163" s="99">
        <v>70</v>
      </c>
      <c r="C163" s="99">
        <v>136</v>
      </c>
      <c r="D163" s="99">
        <v>147</v>
      </c>
      <c r="E163" s="99">
        <v>164</v>
      </c>
      <c r="F163" s="99">
        <f>F54*F169</f>
        <v>149.5872</v>
      </c>
      <c r="G163" s="99">
        <f>G54*G169</f>
        <v>127.14912</v>
      </c>
      <c r="H163" s="99">
        <f>H54*H169</f>
        <v>132.23508480000001</v>
      </c>
      <c r="I163" s="62">
        <f>I166-I162-I164</f>
        <v>126.71367488267606</v>
      </c>
      <c r="J163" s="124">
        <f>J166-J162-J164</f>
        <v>130.51508512915615</v>
      </c>
      <c r="K163" s="40">
        <f t="shared" si="186"/>
        <v>0.94285714285714284</v>
      </c>
      <c r="L163" s="40">
        <f t="shared" si="186"/>
        <v>8.0882352941176405E-2</v>
      </c>
      <c r="M163" s="40">
        <f t="shared" si="186"/>
        <v>0.11564625850340127</v>
      </c>
      <c r="N163" s="40">
        <f t="shared" ref="N163:R164" si="187">(F163/E163)-1</f>
        <v>-8.7882926829268349E-2</v>
      </c>
      <c r="O163" s="40">
        <f t="shared" si="187"/>
        <v>-0.15000000000000002</v>
      </c>
      <c r="P163" s="40">
        <f t="shared" si="187"/>
        <v>4.0000000000000036E-2</v>
      </c>
      <c r="Q163" s="40">
        <f t="shared" si="187"/>
        <v>-4.1754500522118265E-2</v>
      </c>
      <c r="R163" s="40">
        <f t="shared" si="187"/>
        <v>2.9999999999998472E-2</v>
      </c>
    </row>
    <row r="164" spans="1:18" x14ac:dyDescent="0.35">
      <c r="A164" s="30" t="s">
        <v>5</v>
      </c>
      <c r="B164" s="99">
        <v>-78</v>
      </c>
      <c r="C164" s="99">
        <v>-57</v>
      </c>
      <c r="D164" s="99">
        <v>-82</v>
      </c>
      <c r="E164" s="99">
        <v>-116</v>
      </c>
      <c r="F164" s="99">
        <f>-F162*F170</f>
        <v>-90.320000000000007</v>
      </c>
      <c r="G164" s="99">
        <f>-G162*G170</f>
        <v>-95.061375999999996</v>
      </c>
      <c r="H164" s="99">
        <f>-H162*H170</f>
        <v>-97.628395520000012</v>
      </c>
      <c r="I164" s="62">
        <f>H164*$J2</f>
        <v>-100.55724738560002</v>
      </c>
      <c r="J164" s="124">
        <f>I164*$J2</f>
        <v>-103.57396480716803</v>
      </c>
      <c r="K164" s="40">
        <f t="shared" si="186"/>
        <v>-0.26923076923076927</v>
      </c>
      <c r="L164" s="40">
        <f t="shared" si="186"/>
        <v>0.43859649122807021</v>
      </c>
      <c r="M164" s="40">
        <f t="shared" si="186"/>
        <v>0.41463414634146334</v>
      </c>
      <c r="N164" s="40">
        <f t="shared" si="187"/>
        <v>-0.2213793103448275</v>
      </c>
      <c r="O164" s="40">
        <f t="shared" si="187"/>
        <v>5.2495305580159357E-2</v>
      </c>
      <c r="P164" s="40">
        <f t="shared" si="187"/>
        <v>2.700381193724799E-2</v>
      </c>
      <c r="Q164" s="40">
        <f t="shared" ref="Q164" si="188">(I164/H164)-1</f>
        <v>3.0000000000000027E-2</v>
      </c>
      <c r="R164" s="40">
        <f t="shared" ref="R164" si="189">(J164/I164)-1</f>
        <v>3.0000000000000027E-2</v>
      </c>
    </row>
    <row r="165" spans="1:18" ht="15" thickBot="1" x14ac:dyDescent="0.4">
      <c r="A165" s="30" t="s">
        <v>48</v>
      </c>
      <c r="B165" s="99">
        <f>B166-SUM(B162:B164)</f>
        <v>-65</v>
      </c>
      <c r="C165" s="99">
        <f>C166-SUM(C162:C164)</f>
        <v>14</v>
      </c>
      <c r="D165" s="99">
        <f>D166-SUM(D162:D164)</f>
        <v>22</v>
      </c>
      <c r="E165" s="99">
        <f>E166-SUM(E162:E164)</f>
        <v>-67</v>
      </c>
      <c r="F165" s="99">
        <v>0</v>
      </c>
      <c r="G165" s="99">
        <v>0</v>
      </c>
      <c r="H165" s="99">
        <v>0</v>
      </c>
      <c r="I165" s="99">
        <v>0</v>
      </c>
      <c r="J165" s="130">
        <v>0</v>
      </c>
      <c r="K165" s="40">
        <f>(C165/B165)-1</f>
        <v>-1.2153846153846155</v>
      </c>
      <c r="L165" s="40">
        <f>(D165/C165)-1</f>
        <v>0.5714285714285714</v>
      </c>
      <c r="M165" s="40">
        <f>(E165/D165)-1</f>
        <v>-4.045454545454545</v>
      </c>
      <c r="N165" s="40"/>
      <c r="O165" s="40"/>
      <c r="P165" s="40"/>
      <c r="Q165" s="40"/>
      <c r="R165" s="40"/>
    </row>
    <row r="166" spans="1:18" x14ac:dyDescent="0.35">
      <c r="A166" s="74" t="s">
        <v>157</v>
      </c>
      <c r="B166" s="100">
        <v>968</v>
      </c>
      <c r="C166" s="100">
        <v>1061</v>
      </c>
      <c r="D166" s="100">
        <v>1148</v>
      </c>
      <c r="E166" s="100">
        <v>1129</v>
      </c>
      <c r="F166" s="100">
        <f>SUM(F162:F165)</f>
        <v>1188.2672</v>
      </c>
      <c r="G166" s="100">
        <f>SUM(G162:G165)</f>
        <v>1220.3549440000002</v>
      </c>
      <c r="H166" s="100">
        <f>SUM(H162:H165)</f>
        <v>1254.9616332800003</v>
      </c>
      <c r="I166" s="100">
        <f>I181+I176</f>
        <v>1281.1180607770764</v>
      </c>
      <c r="J166" s="131">
        <f>J181+J176</f>
        <v>1308.0591810990645</v>
      </c>
      <c r="K166" s="55">
        <f t="shared" ref="K166:O166" si="190">(C166/B166)-1</f>
        <v>9.6074380165289242E-2</v>
      </c>
      <c r="L166" s="55">
        <f t="shared" si="190"/>
        <v>8.1998114985862403E-2</v>
      </c>
      <c r="M166" s="55">
        <f t="shared" si="190"/>
        <v>-1.6550522648083654E-2</v>
      </c>
      <c r="N166" s="55">
        <f t="shared" si="190"/>
        <v>5.2495305580159357E-2</v>
      </c>
      <c r="O166" s="55">
        <f t="shared" si="190"/>
        <v>2.700381193724799E-2</v>
      </c>
      <c r="P166" s="55">
        <f>(H166/G166)-1</f>
        <v>2.8357888375138307E-2</v>
      </c>
      <c r="Q166" s="55">
        <f t="shared" ref="Q166:R166" si="191">(I166/H166)-1</f>
        <v>2.0842412073357908E-2</v>
      </c>
      <c r="R166" s="55">
        <f t="shared" si="191"/>
        <v>2.1029381402715375E-2</v>
      </c>
    </row>
    <row r="167" spans="1:18" x14ac:dyDescent="0.35">
      <c r="A167" s="30"/>
      <c r="J167" s="125"/>
    </row>
    <row r="168" spans="1:18" x14ac:dyDescent="0.35">
      <c r="A168" s="30" t="s">
        <v>158</v>
      </c>
      <c r="B168" s="67">
        <f>B163/B162</f>
        <v>6.7243035542747354E-2</v>
      </c>
      <c r="C168" s="67">
        <f>C163/C162</f>
        <v>0.14049586776859505</v>
      </c>
      <c r="D168" s="67">
        <f t="shared" ref="D168:E168" si="192">D163/D162</f>
        <v>0.13854853911404336</v>
      </c>
      <c r="E168" s="67">
        <f t="shared" si="192"/>
        <v>0.14285714285714285</v>
      </c>
      <c r="F168" s="40">
        <f>F163/F162</f>
        <v>0.13249530558015943</v>
      </c>
      <c r="G168" s="40">
        <v>0.13</v>
      </c>
      <c r="H168" s="40">
        <v>0.13</v>
      </c>
      <c r="I168" s="40">
        <f>I163/I162</f>
        <v>0.10097015838762649</v>
      </c>
      <c r="J168" s="132">
        <f>J163/J162</f>
        <v>0.10187592316822915</v>
      </c>
      <c r="K168" s="40">
        <f t="shared" ref="K168:M170" si="193">(C168/B168)-1</f>
        <v>1.089374262101535</v>
      </c>
      <c r="L168" s="40">
        <f t="shared" si="193"/>
        <v>-1.3860398070632662E-2</v>
      </c>
      <c r="M168" s="40">
        <f t="shared" si="193"/>
        <v>3.1098153547133078E-2</v>
      </c>
      <c r="N168" s="40">
        <f t="shared" ref="N168" si="194">(F168/E168)-1</f>
        <v>-7.2532860938884003E-2</v>
      </c>
      <c r="O168" s="40">
        <f t="shared" ref="O168" si="195">(G168/F168)-1</f>
        <v>-1.8833162195695863E-2</v>
      </c>
      <c r="P168" s="40">
        <f t="shared" ref="P168" si="196">(H168/G168)-1</f>
        <v>0</v>
      </c>
      <c r="Q168" s="40">
        <f t="shared" ref="Q168" si="197">(I168/H168)-1</f>
        <v>-0.22330647394133474</v>
      </c>
      <c r="R168" s="40">
        <f t="shared" ref="R168" si="198">(J168/I168)-1</f>
        <v>8.9706185972830976E-3</v>
      </c>
    </row>
    <row r="169" spans="1:18" x14ac:dyDescent="0.35">
      <c r="A169" s="30" t="s">
        <v>159</v>
      </c>
      <c r="B169" s="67">
        <f>B163/B54</f>
        <v>2.9863481228668942E-2</v>
      </c>
      <c r="C169" s="67">
        <f>C163/C54</f>
        <v>4.8124557678697805E-2</v>
      </c>
      <c r="D169" s="67">
        <f>D163/D54</f>
        <v>4.7511312217194568E-2</v>
      </c>
      <c r="E169" s="67">
        <f>E163/E54</f>
        <v>5.5256064690026953E-2</v>
      </c>
      <c r="F169" s="40">
        <v>0.06</v>
      </c>
      <c r="G169" s="40">
        <v>0.05</v>
      </c>
      <c r="H169" s="40">
        <v>0.05</v>
      </c>
      <c r="I169" s="40"/>
      <c r="J169" s="132"/>
      <c r="K169" s="40"/>
      <c r="L169" s="40"/>
      <c r="M169" s="40"/>
      <c r="N169" s="40"/>
      <c r="O169" s="40"/>
      <c r="P169" s="40"/>
    </row>
    <row r="170" spans="1:18" x14ac:dyDescent="0.35">
      <c r="A170" s="30" t="s">
        <v>160</v>
      </c>
      <c r="B170" s="67">
        <f>-B164/B162</f>
        <v>7.492795389048991E-2</v>
      </c>
      <c r="C170" s="67">
        <f>-C164/C162</f>
        <v>5.8884297520661155E-2</v>
      </c>
      <c r="D170" s="67">
        <f t="shared" ref="D170:E170" si="199">-D164/D162</f>
        <v>7.7285579641847318E-2</v>
      </c>
      <c r="E170" s="67">
        <f t="shared" si="199"/>
        <v>0.10104529616724739</v>
      </c>
      <c r="F170" s="67">
        <v>0.08</v>
      </c>
      <c r="G170" s="67">
        <v>0.08</v>
      </c>
      <c r="H170" s="67">
        <v>0.08</v>
      </c>
      <c r="I170" s="40">
        <f>-I164/I162</f>
        <v>8.0127746314268583E-2</v>
      </c>
      <c r="J170" s="132">
        <f>-J164/J162</f>
        <v>8.0846541765513855E-2</v>
      </c>
      <c r="K170" s="40">
        <f t="shared" si="193"/>
        <v>-0.21412110616656066</v>
      </c>
      <c r="L170" s="40">
        <f t="shared" si="193"/>
        <v>0.31249896654926679</v>
      </c>
      <c r="M170" s="40">
        <f t="shared" si="193"/>
        <v>0.30742755162743252</v>
      </c>
      <c r="N170" s="40">
        <f t="shared" ref="N170" si="200">(F170/E170)-1</f>
        <v>-0.20827586206896553</v>
      </c>
      <c r="O170" s="40">
        <f t="shared" ref="O170" si="201">(G170/F170)-1</f>
        <v>0</v>
      </c>
      <c r="P170" s="40">
        <f t="shared" ref="P170" si="202">(H170/G170)-1</f>
        <v>0</v>
      </c>
      <c r="Q170" s="40">
        <f t="shared" ref="Q170" si="203">(I170/H170)-1</f>
        <v>1.596828928357219E-3</v>
      </c>
      <c r="R170" s="40">
        <f t="shared" ref="R170" si="204">(J170/I170)-1</f>
        <v>8.9706185972844299E-3</v>
      </c>
    </row>
    <row r="171" spans="1:18" ht="15" thickBot="1" x14ac:dyDescent="0.4">
      <c r="A171" s="30"/>
      <c r="J171" s="125"/>
    </row>
    <row r="172" spans="1:18" x14ac:dyDescent="0.35">
      <c r="A172" s="74" t="s">
        <v>161</v>
      </c>
      <c r="B172" s="101">
        <v>746</v>
      </c>
      <c r="C172" s="101">
        <v>688</v>
      </c>
      <c r="D172" s="101">
        <v>739</v>
      </c>
      <c r="E172" s="101">
        <v>772</v>
      </c>
      <c r="F172" s="101">
        <f>E176</f>
        <v>723</v>
      </c>
      <c r="G172" s="101">
        <f t="shared" ref="G172:H172" si="205">F176</f>
        <v>766.97529616724739</v>
      </c>
      <c r="H172" s="101">
        <f t="shared" si="205"/>
        <v>778.52674386062722</v>
      </c>
      <c r="I172" s="101">
        <f>H176</f>
        <v>790.39012467512202</v>
      </c>
      <c r="J172" s="133">
        <f>I176</f>
        <v>802.60940691405165</v>
      </c>
      <c r="K172" s="55">
        <f t="shared" ref="K172:M176" si="206">(C172/B172)-1</f>
        <v>-7.7747989276139462E-2</v>
      </c>
      <c r="L172" s="55">
        <f t="shared" si="206"/>
        <v>7.4127906976744207E-2</v>
      </c>
      <c r="M172" s="55">
        <f t="shared" si="206"/>
        <v>4.4654939106901326E-2</v>
      </c>
      <c r="N172" s="55">
        <f t="shared" ref="N172:N176" si="207">(F172/E172)-1</f>
        <v>-6.3471502590673579E-2</v>
      </c>
      <c r="O172" s="55">
        <f t="shared" ref="O172:O176" si="208">(G172/F172)-1</f>
        <v>6.0823369525929927E-2</v>
      </c>
      <c r="P172" s="55">
        <f t="shared" ref="P172:P176" si="209">(H172/G172)-1</f>
        <v>1.5061042710378114E-2</v>
      </c>
      <c r="Q172" s="55">
        <f t="shared" ref="Q172:Q176" si="210">(I172/H172)-1</f>
        <v>1.5238244425189063E-2</v>
      </c>
      <c r="R172" s="55">
        <f t="shared" ref="R172:R176" si="211">(J172/I172)-1</f>
        <v>1.5459811373468524E-2</v>
      </c>
    </row>
    <row r="173" spans="1:18" x14ac:dyDescent="0.35">
      <c r="A173" s="30" t="s">
        <v>162</v>
      </c>
      <c r="B173" s="99">
        <v>71</v>
      </c>
      <c r="C173" s="99">
        <v>86</v>
      </c>
      <c r="D173" s="99">
        <v>95</v>
      </c>
      <c r="E173" s="99">
        <v>103</v>
      </c>
      <c r="F173" s="99">
        <f>F162*F179</f>
        <v>101.29529616724739</v>
      </c>
      <c r="G173" s="99">
        <f>G162*G179</f>
        <v>106.6128236933798</v>
      </c>
      <c r="H173" s="99">
        <f>H162*H179</f>
        <v>109.49177633449479</v>
      </c>
      <c r="I173" s="62">
        <f>H173*$J2</f>
        <v>112.77652962452963</v>
      </c>
      <c r="J173" s="124">
        <f>I173*$J2</f>
        <v>116.15982551326552</v>
      </c>
      <c r="K173" s="40">
        <f t="shared" si="206"/>
        <v>0.21126760563380276</v>
      </c>
      <c r="L173" s="40">
        <f t="shared" si="206"/>
        <v>0.10465116279069764</v>
      </c>
      <c r="M173" s="40">
        <f t="shared" si="206"/>
        <v>8.4210526315789513E-2</v>
      </c>
      <c r="N173" s="40">
        <f t="shared" si="207"/>
        <v>-1.6550522648083654E-2</v>
      </c>
      <c r="O173" s="40">
        <f t="shared" si="208"/>
        <v>5.2495305580159579E-2</v>
      </c>
      <c r="P173" s="40">
        <f t="shared" si="209"/>
        <v>2.7003811937247768E-2</v>
      </c>
      <c r="Q173" s="40">
        <f t="shared" si="210"/>
        <v>3.0000000000000027E-2</v>
      </c>
      <c r="R173" s="40">
        <f t="shared" si="211"/>
        <v>3.0000000000000027E-2</v>
      </c>
    </row>
    <row r="174" spans="1:18" x14ac:dyDescent="0.35">
      <c r="A174" s="30" t="s">
        <v>163</v>
      </c>
      <c r="B174" s="99">
        <f t="shared" ref="B174:J174" si="212">B164</f>
        <v>-78</v>
      </c>
      <c r="C174" s="99">
        <f t="shared" si="212"/>
        <v>-57</v>
      </c>
      <c r="D174" s="99">
        <f t="shared" si="212"/>
        <v>-82</v>
      </c>
      <c r="E174" s="99">
        <f t="shared" si="212"/>
        <v>-116</v>
      </c>
      <c r="F174" s="99">
        <f t="shared" si="212"/>
        <v>-90.320000000000007</v>
      </c>
      <c r="G174" s="99">
        <f t="shared" si="212"/>
        <v>-95.061375999999996</v>
      </c>
      <c r="H174" s="99">
        <f t="shared" si="212"/>
        <v>-97.628395520000012</v>
      </c>
      <c r="I174" s="62">
        <f t="shared" si="212"/>
        <v>-100.55724738560002</v>
      </c>
      <c r="J174" s="124">
        <f t="shared" si="212"/>
        <v>-103.57396480716803</v>
      </c>
      <c r="K174" s="40">
        <f t="shared" si="206"/>
        <v>-0.26923076923076927</v>
      </c>
      <c r="L174" s="40">
        <f t="shared" si="206"/>
        <v>0.43859649122807021</v>
      </c>
      <c r="M174" s="40">
        <f t="shared" si="206"/>
        <v>0.41463414634146334</v>
      </c>
      <c r="N174" s="40">
        <f t="shared" si="207"/>
        <v>-0.2213793103448275</v>
      </c>
      <c r="O174" s="40">
        <f t="shared" si="208"/>
        <v>5.2495305580159357E-2</v>
      </c>
      <c r="P174" s="40">
        <f t="shared" si="209"/>
        <v>2.700381193724799E-2</v>
      </c>
      <c r="Q174" s="40">
        <f t="shared" si="210"/>
        <v>3.0000000000000027E-2</v>
      </c>
      <c r="R174" s="40">
        <f t="shared" si="211"/>
        <v>3.0000000000000027E-2</v>
      </c>
    </row>
    <row r="175" spans="1:18" x14ac:dyDescent="0.35">
      <c r="A175" s="30" t="s">
        <v>48</v>
      </c>
      <c r="B175" s="99">
        <v>-51</v>
      </c>
      <c r="C175" s="99">
        <v>22</v>
      </c>
      <c r="D175" s="99">
        <v>20</v>
      </c>
      <c r="E175" s="99">
        <v>-36</v>
      </c>
      <c r="F175" s="99">
        <v>33</v>
      </c>
      <c r="G175" s="99">
        <v>0</v>
      </c>
      <c r="H175" s="99">
        <v>0</v>
      </c>
      <c r="I175" s="99">
        <v>0</v>
      </c>
      <c r="J175" s="130">
        <v>0</v>
      </c>
      <c r="K175" s="40">
        <f t="shared" si="206"/>
        <v>-1.4313725490196079</v>
      </c>
      <c r="L175" s="40">
        <f t="shared" si="206"/>
        <v>-9.0909090909090939E-2</v>
      </c>
      <c r="M175" s="40">
        <f t="shared" si="206"/>
        <v>-2.8</v>
      </c>
      <c r="N175" s="40">
        <f t="shared" si="207"/>
        <v>-1.9166666666666665</v>
      </c>
      <c r="O175" s="40">
        <f t="shared" si="208"/>
        <v>-1</v>
      </c>
      <c r="P175" s="40" t="e">
        <f t="shared" si="209"/>
        <v>#DIV/0!</v>
      </c>
      <c r="Q175" s="40" t="e">
        <f t="shared" si="210"/>
        <v>#DIV/0!</v>
      </c>
      <c r="R175" s="40" t="e">
        <f t="shared" si="211"/>
        <v>#DIV/0!</v>
      </c>
    </row>
    <row r="176" spans="1:18" x14ac:dyDescent="0.35">
      <c r="A176" s="4" t="s">
        <v>164</v>
      </c>
      <c r="B176" s="98">
        <f t="shared" ref="B176:J176" si="213">SUM(B172:B175)</f>
        <v>688</v>
      </c>
      <c r="C176" s="98">
        <f t="shared" si="213"/>
        <v>739</v>
      </c>
      <c r="D176" s="98">
        <f t="shared" si="213"/>
        <v>772</v>
      </c>
      <c r="E176" s="98">
        <f t="shared" si="213"/>
        <v>723</v>
      </c>
      <c r="F176" s="98">
        <f t="shared" si="213"/>
        <v>766.97529616724739</v>
      </c>
      <c r="G176" s="98">
        <f t="shared" si="213"/>
        <v>778.52674386062722</v>
      </c>
      <c r="H176" s="98">
        <f t="shared" si="213"/>
        <v>790.39012467512202</v>
      </c>
      <c r="I176" s="98">
        <f t="shared" si="213"/>
        <v>802.60940691405165</v>
      </c>
      <c r="J176" s="137">
        <f t="shared" si="213"/>
        <v>815.19526762014914</v>
      </c>
      <c r="K176" s="40">
        <f t="shared" si="206"/>
        <v>7.4127906976744207E-2</v>
      </c>
      <c r="L176" s="40">
        <f t="shared" si="206"/>
        <v>4.4654939106901326E-2</v>
      </c>
      <c r="M176" s="40">
        <f t="shared" si="206"/>
        <v>-6.3471502590673579E-2</v>
      </c>
      <c r="N176" s="40">
        <f t="shared" si="207"/>
        <v>6.0823369525929927E-2</v>
      </c>
      <c r="O176" s="40">
        <f t="shared" si="208"/>
        <v>1.5061042710378114E-2</v>
      </c>
      <c r="P176" s="40">
        <f t="shared" si="209"/>
        <v>1.5238244425189063E-2</v>
      </c>
      <c r="Q176" s="40">
        <f t="shared" si="210"/>
        <v>1.5459811373468524E-2</v>
      </c>
      <c r="R176" s="40">
        <f t="shared" si="211"/>
        <v>1.5681177665844759E-2</v>
      </c>
    </row>
    <row r="177" spans="1:18" x14ac:dyDescent="0.35">
      <c r="A177" s="30"/>
      <c r="J177" s="125"/>
    </row>
    <row r="178" spans="1:18" x14ac:dyDescent="0.35">
      <c r="A178" s="4" t="s">
        <v>165</v>
      </c>
      <c r="J178" s="125"/>
    </row>
    <row r="179" spans="1:18" x14ac:dyDescent="0.35">
      <c r="A179" s="30" t="s">
        <v>166</v>
      </c>
      <c r="B179" s="40">
        <f>B173/B162</f>
        <v>6.8203650336215171E-2</v>
      </c>
      <c r="C179" s="40">
        <f>C173/C162</f>
        <v>8.8842975206611566E-2</v>
      </c>
      <c r="D179" s="40">
        <f>D173/D162</f>
        <v>8.9538171536286529E-2</v>
      </c>
      <c r="E179" s="40">
        <f>E173/E162</f>
        <v>8.9721254355400695E-2</v>
      </c>
      <c r="F179" s="40">
        <f>E179</f>
        <v>8.9721254355400695E-2</v>
      </c>
      <c r="G179" s="40">
        <f t="shared" ref="G179:H179" si="214">F179</f>
        <v>8.9721254355400695E-2</v>
      </c>
      <c r="H179" s="40">
        <f t="shared" si="214"/>
        <v>8.9721254355400695E-2</v>
      </c>
      <c r="I179" s="40">
        <f>I173/H172</f>
        <v>0.14485890242547533</v>
      </c>
      <c r="J179" s="132">
        <f>J173/I172</f>
        <v>0.14696517819097407</v>
      </c>
      <c r="K179" s="40">
        <f t="shared" ref="K179:O179" si="215">(C179/B179)-1</f>
        <v>0.30261319986031898</v>
      </c>
      <c r="L179" s="40">
        <f t="shared" si="215"/>
        <v>7.8250005479694185E-3</v>
      </c>
      <c r="M179" s="40">
        <f t="shared" si="215"/>
        <v>2.0447460113697247E-3</v>
      </c>
      <c r="N179" s="40">
        <f t="shared" si="215"/>
        <v>0</v>
      </c>
      <c r="O179" s="40">
        <f t="shared" si="215"/>
        <v>0</v>
      </c>
      <c r="P179" s="40">
        <f>(H179/G179)-1</f>
        <v>0</v>
      </c>
      <c r="Q179" s="40">
        <f t="shared" ref="Q179:R179" si="216">(I179/H179)-1</f>
        <v>0.61454388334413279</v>
      </c>
      <c r="R179" s="40">
        <f t="shared" si="216"/>
        <v>1.4540188626531503E-2</v>
      </c>
    </row>
    <row r="180" spans="1:18" ht="15" thickBot="1" x14ac:dyDescent="0.4">
      <c r="A180" s="30"/>
      <c r="J180" s="125"/>
    </row>
    <row r="181" spans="1:18" x14ac:dyDescent="0.35">
      <c r="A181" s="74" t="s">
        <v>167</v>
      </c>
      <c r="B181" s="101">
        <f t="shared" ref="B181:H181" si="217">B166-B176</f>
        <v>280</v>
      </c>
      <c r="C181" s="101">
        <f t="shared" si="217"/>
        <v>322</v>
      </c>
      <c r="D181" s="101">
        <f t="shared" si="217"/>
        <v>376</v>
      </c>
      <c r="E181" s="101">
        <f t="shared" si="217"/>
        <v>406</v>
      </c>
      <c r="F181" s="102">
        <f t="shared" si="217"/>
        <v>421.29190383275261</v>
      </c>
      <c r="G181" s="102">
        <f t="shared" si="217"/>
        <v>441.82820013937294</v>
      </c>
      <c r="H181" s="102">
        <f t="shared" si="217"/>
        <v>464.57150860487832</v>
      </c>
      <c r="I181" s="102">
        <f>H181*$J2</f>
        <v>478.50865386302468</v>
      </c>
      <c r="J181" s="138">
        <f>I181*$J2</f>
        <v>492.86391347891544</v>
      </c>
      <c r="K181" s="55">
        <f t="shared" ref="K181:M181" si="218">(C181/B181)-1</f>
        <v>0.14999999999999991</v>
      </c>
      <c r="L181" s="55">
        <f t="shared" si="218"/>
        <v>0.16770186335403725</v>
      </c>
      <c r="M181" s="55">
        <f t="shared" si="218"/>
        <v>7.9787234042553168E-2</v>
      </c>
      <c r="N181" s="55">
        <f>(F181/E181)-1</f>
        <v>3.7664787765400609E-2</v>
      </c>
      <c r="O181" s="55">
        <f>(G181/F181)-1</f>
        <v>4.8746002759105789E-2</v>
      </c>
      <c r="P181" s="55">
        <f>(H181/G181)-1</f>
        <v>5.1475456881953319E-2</v>
      </c>
      <c r="Q181" s="55">
        <f t="shared" ref="Q181:R181" si="219">(I181/H181)-1</f>
        <v>3.0000000000000027E-2</v>
      </c>
      <c r="R181" s="55">
        <f t="shared" si="219"/>
        <v>3.0000000000000027E-2</v>
      </c>
    </row>
    <row r="182" spans="1:18" x14ac:dyDescent="0.35">
      <c r="A182" s="4"/>
      <c r="B182" s="2"/>
      <c r="C182" s="2"/>
      <c r="D182" s="2"/>
      <c r="E182" s="2"/>
    </row>
    <row r="183" spans="1:18" x14ac:dyDescent="0.35">
      <c r="A183" s="30" t="s">
        <v>168</v>
      </c>
    </row>
    <row r="184" spans="1:18" x14ac:dyDescent="0.35">
      <c r="A184" s="20" t="s">
        <v>169</v>
      </c>
    </row>
    <row r="185" spans="1:18" x14ac:dyDescent="0.35">
      <c r="A185" s="30" t="s">
        <v>170</v>
      </c>
      <c r="B185" s="15">
        <f t="shared" ref="B185:J185" si="220">B8</f>
        <v>422</v>
      </c>
      <c r="C185" s="15">
        <f t="shared" si="220"/>
        <v>460</v>
      </c>
      <c r="D185" s="15">
        <f t="shared" si="220"/>
        <v>497</v>
      </c>
      <c r="E185" s="15">
        <f t="shared" si="220"/>
        <v>527</v>
      </c>
      <c r="F185" s="15">
        <f t="shared" si="220"/>
        <v>558.62</v>
      </c>
      <c r="G185" s="15">
        <f t="shared" si="220"/>
        <v>597.72340000000008</v>
      </c>
      <c r="H185" s="15">
        <f t="shared" si="220"/>
        <v>645.54127200000016</v>
      </c>
      <c r="I185" s="15">
        <f t="shared" si="220"/>
        <v>664.90751016000013</v>
      </c>
      <c r="J185" s="15">
        <f t="shared" si="220"/>
        <v>684.85473546480011</v>
      </c>
    </row>
    <row r="186" spans="1:18" x14ac:dyDescent="0.35">
      <c r="A186" s="30" t="s">
        <v>171</v>
      </c>
      <c r="B186" s="15"/>
      <c r="C186" s="15">
        <f>C185-B185</f>
        <v>38</v>
      </c>
      <c r="D186" s="15">
        <f>D185-C185</f>
        <v>37</v>
      </c>
      <c r="E186" s="15">
        <f t="shared" ref="E186" si="221">E185-D185</f>
        <v>30</v>
      </c>
      <c r="F186" s="15">
        <f t="shared" ref="F186" si="222">F185-E185</f>
        <v>31.620000000000005</v>
      </c>
      <c r="G186" s="15">
        <f t="shared" ref="G186" si="223">G185-F185</f>
        <v>39.103400000000079</v>
      </c>
      <c r="H186" s="15">
        <f t="shared" ref="H186" si="224">H185-G185</f>
        <v>47.817872000000079</v>
      </c>
      <c r="I186" s="15">
        <f t="shared" ref="I186" si="225">I185-H185</f>
        <v>19.366238159999966</v>
      </c>
      <c r="J186" s="15">
        <f t="shared" ref="J186" si="226">J185-I185</f>
        <v>19.947225304799986</v>
      </c>
    </row>
    <row r="189" spans="1:18" x14ac:dyDescent="0.35">
      <c r="A189" s="2" t="s">
        <v>172</v>
      </c>
      <c r="F189" s="11">
        <f>'COE and WACC'!$G$4</f>
        <v>8.2109999999999989E-2</v>
      </c>
      <c r="G189" s="11">
        <f>'COE and WACC'!$G$4</f>
        <v>8.2109999999999989E-2</v>
      </c>
      <c r="H189" s="11">
        <f>'COE and WACC'!$G$4</f>
        <v>8.2109999999999989E-2</v>
      </c>
      <c r="I189" s="11">
        <f>'COE and WACC'!$G$4</f>
        <v>8.2109999999999989E-2</v>
      </c>
      <c r="J189" s="11">
        <f>'COE and WACC'!$G$4</f>
        <v>8.2109999999999989E-2</v>
      </c>
      <c r="L189" s="11">
        <v>6.5299999999999997E-2</v>
      </c>
    </row>
    <row r="190" spans="1:18" x14ac:dyDescent="0.35">
      <c r="A190" s="171" t="s">
        <v>173</v>
      </c>
      <c r="C190" s="19"/>
      <c r="D190" s="19"/>
      <c r="F190" s="11">
        <f>G190</f>
        <v>5.9614261033510446E-2</v>
      </c>
      <c r="G190" s="11">
        <f t="shared" ref="G190:H190" si="227">H190</f>
        <v>5.9614261033510446E-2</v>
      </c>
      <c r="H190" s="11">
        <f t="shared" si="227"/>
        <v>5.9614261033510446E-2</v>
      </c>
      <c r="I190" s="11">
        <f>J190</f>
        <v>5.9614261033510446E-2</v>
      </c>
      <c r="J190" s="11">
        <f>'COE and WACC'!J17</f>
        <v>5.9614261033510446E-2</v>
      </c>
    </row>
    <row r="191" spans="1:18" x14ac:dyDescent="0.35">
      <c r="C191" s="38"/>
      <c r="D191" s="38"/>
    </row>
    <row r="192" spans="1:18" x14ac:dyDescent="0.35">
      <c r="A192" s="2" t="s">
        <v>174</v>
      </c>
    </row>
    <row r="193" spans="1:12" x14ac:dyDescent="0.35">
      <c r="F193" s="64" t="s">
        <v>16</v>
      </c>
      <c r="G193" s="64" t="s">
        <v>17</v>
      </c>
      <c r="H193" s="64" t="s">
        <v>175</v>
      </c>
      <c r="I193" s="64" t="s">
        <v>68</v>
      </c>
      <c r="J193" s="64" t="s">
        <v>105</v>
      </c>
      <c r="K193" s="2" t="s">
        <v>176</v>
      </c>
      <c r="L193" s="2" t="s">
        <v>177</v>
      </c>
    </row>
    <row r="194" spans="1:12" x14ac:dyDescent="0.35">
      <c r="A194" t="s">
        <v>119</v>
      </c>
      <c r="F194" s="99">
        <f>F67</f>
        <v>0</v>
      </c>
      <c r="G194" s="99">
        <f>G67</f>
        <v>55.823748526564287</v>
      </c>
      <c r="H194" s="99">
        <f>H67</f>
        <v>124.61667911283838</v>
      </c>
      <c r="I194" s="99">
        <f>I67</f>
        <v>112.03106597441132</v>
      </c>
      <c r="J194" s="99">
        <f>J67</f>
        <v>116.3956893679602</v>
      </c>
      <c r="K194" s="99">
        <f>J194*$J$2</f>
        <v>119.88756004899901</v>
      </c>
      <c r="L194" s="8">
        <f>1/(F189-I2)</f>
        <v>19.190174630589141</v>
      </c>
    </row>
    <row r="195" spans="1:12" x14ac:dyDescent="0.35">
      <c r="A195" t="s">
        <v>178</v>
      </c>
      <c r="J195" s="15">
        <f>K194*L194</f>
        <v>2300.6632133755329</v>
      </c>
    </row>
    <row r="196" spans="1:12" x14ac:dyDescent="0.35">
      <c r="A196" t="s">
        <v>157</v>
      </c>
      <c r="F196" s="99">
        <f>SUM(F194:F195)</f>
        <v>0</v>
      </c>
      <c r="G196" s="99">
        <f t="shared" ref="G196:J196" si="228">SUM(G194:G195)</f>
        <v>55.823748526564287</v>
      </c>
      <c r="H196" s="99">
        <f t="shared" si="228"/>
        <v>124.61667911283838</v>
      </c>
      <c r="I196" s="99">
        <f t="shared" si="228"/>
        <v>112.03106597441132</v>
      </c>
      <c r="J196" s="99">
        <f t="shared" si="228"/>
        <v>2417.058902743493</v>
      </c>
    </row>
    <row r="197" spans="1:12" x14ac:dyDescent="0.35">
      <c r="A197" t="s">
        <v>179</v>
      </c>
      <c r="F197" s="8">
        <f>1+F189</f>
        <v>1.0821099999999999</v>
      </c>
      <c r="G197" s="8">
        <f>F197*(1+G189)</f>
        <v>1.1709620520999997</v>
      </c>
      <c r="H197" s="8">
        <f>G197*(1+H189)</f>
        <v>1.2671097461979306</v>
      </c>
      <c r="I197" s="8">
        <f>H197*(1+I189)</f>
        <v>1.3711521274582426</v>
      </c>
      <c r="J197" s="8">
        <f>I197*(1+J189)</f>
        <v>1.4837374286438387</v>
      </c>
    </row>
    <row r="198" spans="1:12" x14ac:dyDescent="0.35">
      <c r="A198" t="s">
        <v>180</v>
      </c>
      <c r="F198">
        <f>F196/F197</f>
        <v>0</v>
      </c>
      <c r="G198" s="15">
        <f>G196/G197</f>
        <v>47.673405322102582</v>
      </c>
      <c r="H198" s="15">
        <f>H196/H197</f>
        <v>98.347186963687406</v>
      </c>
      <c r="I198" s="15">
        <f>I196/I197</f>
        <v>81.705788680128165</v>
      </c>
      <c r="J198" s="15">
        <f>J196/J197</f>
        <v>1629.0341242875609</v>
      </c>
    </row>
    <row r="199" spans="1:12" x14ac:dyDescent="0.35">
      <c r="A199" t="s">
        <v>157</v>
      </c>
      <c r="B199" s="15"/>
      <c r="C199" s="15"/>
      <c r="D199" s="15"/>
      <c r="E199" s="15"/>
      <c r="F199" s="15">
        <f>SUM(F198:J198)</f>
        <v>1856.7605052534791</v>
      </c>
    </row>
    <row r="200" spans="1:12" x14ac:dyDescent="0.35">
      <c r="A200" t="s">
        <v>181</v>
      </c>
      <c r="B200" s="15"/>
      <c r="C200" s="15"/>
      <c r="D200" s="15"/>
      <c r="E200" s="15"/>
      <c r="F200" s="15">
        <f>F70</f>
        <v>364</v>
      </c>
    </row>
    <row r="201" spans="1:12" x14ac:dyDescent="0.35">
      <c r="A201" t="s">
        <v>182</v>
      </c>
      <c r="B201" s="8"/>
      <c r="C201" s="8"/>
      <c r="D201" s="8"/>
      <c r="E201" s="8"/>
      <c r="F201" s="8">
        <f>F199/F200</f>
        <v>5.1009903990480199</v>
      </c>
    </row>
    <row r="205" spans="1:12" x14ac:dyDescent="0.35">
      <c r="F205" s="179" t="s">
        <v>183</v>
      </c>
      <c r="G205" s="172"/>
      <c r="H205" s="173"/>
    </row>
    <row r="206" spans="1:12" x14ac:dyDescent="0.35">
      <c r="F206" s="176">
        <f>J195</f>
        <v>2300.6632133755329</v>
      </c>
      <c r="G206" s="124">
        <f>F70</f>
        <v>364</v>
      </c>
      <c r="H206" s="174">
        <f>F206/G206</f>
        <v>6.320503333449266</v>
      </c>
    </row>
    <row r="207" spans="1:12" x14ac:dyDescent="0.35">
      <c r="F207" s="177" t="s">
        <v>184</v>
      </c>
      <c r="H207" s="130">
        <f>H71</f>
        <v>0.3981879927319153</v>
      </c>
    </row>
    <row r="208" spans="1:12" x14ac:dyDescent="0.35">
      <c r="F208" s="178" t="s">
        <v>185</v>
      </c>
      <c r="G208" s="18"/>
      <c r="H208" s="175">
        <f>H206/H207</f>
        <v>15.873164055212028</v>
      </c>
    </row>
    <row r="210" spans="1:12" ht="43.5" x14ac:dyDescent="0.35">
      <c r="B210" s="11"/>
      <c r="F210" s="1" t="s">
        <v>186</v>
      </c>
    </row>
    <row r="211" spans="1:12" x14ac:dyDescent="0.35">
      <c r="F211" s="8">
        <f>F201/E71</f>
        <v>6.8515147795331339</v>
      </c>
    </row>
    <row r="213" spans="1:12" x14ac:dyDescent="0.35">
      <c r="A213" t="s">
        <v>187</v>
      </c>
      <c r="F213" s="3" t="s">
        <v>16</v>
      </c>
      <c r="G213" s="3" t="s">
        <v>106</v>
      </c>
      <c r="H213" s="3" t="s">
        <v>175</v>
      </c>
      <c r="I213" s="3" t="s">
        <v>68</v>
      </c>
      <c r="J213" s="3" t="s">
        <v>105</v>
      </c>
    </row>
    <row r="214" spans="1:12" x14ac:dyDescent="0.35">
      <c r="A214" t="s">
        <v>188</v>
      </c>
      <c r="F214" s="181">
        <f>F85</f>
        <v>553.1326090839907</v>
      </c>
      <c r="G214" s="181">
        <f t="shared" ref="G214:J214" si="229">G85</f>
        <v>543.10989139494529</v>
      </c>
      <c r="H214" s="181">
        <f t="shared" si="229"/>
        <v>598.03949416684213</v>
      </c>
      <c r="I214" s="181">
        <f t="shared" si="229"/>
        <v>701.30606494236747</v>
      </c>
      <c r="J214" s="181">
        <f t="shared" si="229"/>
        <v>715.83718970452117</v>
      </c>
    </row>
    <row r="215" spans="1:12" x14ac:dyDescent="0.35">
      <c r="A215" t="s">
        <v>189</v>
      </c>
      <c r="F215" s="99">
        <f>F92</f>
        <v>-217.97720000000001</v>
      </c>
      <c r="G215" s="99">
        <f t="shared" ref="G215:J215" si="230">G92</f>
        <v>-203.14129959299009</v>
      </c>
      <c r="H215" s="99">
        <f t="shared" si="230"/>
        <v>-219.57036177635302</v>
      </c>
      <c r="I215" s="99">
        <f t="shared" si="230"/>
        <v>-189.0313581596518</v>
      </c>
      <c r="J215" s="99">
        <f t="shared" si="230"/>
        <v>-193.79089890444121</v>
      </c>
    </row>
    <row r="216" spans="1:12" ht="29" x14ac:dyDescent="0.35">
      <c r="A216" t="s">
        <v>190</v>
      </c>
      <c r="F216" s="182">
        <f>F94+F95+F97+F98+F99</f>
        <v>-298.62472885032537</v>
      </c>
      <c r="G216" s="182">
        <f t="shared" ref="G216:J216" si="231">G94+G95+G97+G98+G99</f>
        <v>-349.99626898047723</v>
      </c>
      <c r="H216" s="182">
        <f t="shared" si="231"/>
        <v>-361.69240694143167</v>
      </c>
      <c r="I216" s="182">
        <f t="shared" si="231"/>
        <v>-378.76654136225596</v>
      </c>
      <c r="J216" s="182">
        <f t="shared" si="231"/>
        <v>-394.60656580268983</v>
      </c>
      <c r="K216" s="2" t="s">
        <v>191</v>
      </c>
      <c r="L216" s="186" t="s">
        <v>177</v>
      </c>
    </row>
    <row r="217" spans="1:12" x14ac:dyDescent="0.35">
      <c r="A217" s="2" t="s">
        <v>187</v>
      </c>
      <c r="F217" s="98">
        <f>SUM(F214:F216)</f>
        <v>36.530680233665294</v>
      </c>
      <c r="G217" s="98">
        <f t="shared" ref="G217:J217" si="232">SUM(G214:G216)</f>
        <v>-10.027677178522026</v>
      </c>
      <c r="H217" s="98">
        <f t="shared" si="232"/>
        <v>16.776725449057437</v>
      </c>
      <c r="I217" s="98">
        <f t="shared" si="232"/>
        <v>133.50816542045965</v>
      </c>
      <c r="J217" s="98">
        <f t="shared" si="232"/>
        <v>127.43972499739016</v>
      </c>
      <c r="K217" s="184">
        <f>J217*(1+$I$2)</f>
        <v>131.26291674731186</v>
      </c>
      <c r="L217" s="185">
        <f>1/($J$189-$I$2)</f>
        <v>19.190174630589141</v>
      </c>
    </row>
    <row r="218" spans="1:12" x14ac:dyDescent="0.35">
      <c r="A218" t="s">
        <v>178</v>
      </c>
      <c r="B218" s="11"/>
      <c r="C218" s="168"/>
      <c r="F218" s="18"/>
      <c r="G218" s="18"/>
      <c r="H218" s="18"/>
      <c r="I218" s="18"/>
      <c r="J218" s="183">
        <f>L217*K217</f>
        <v>2518.9582949013984</v>
      </c>
    </row>
    <row r="219" spans="1:12" x14ac:dyDescent="0.35">
      <c r="A219" s="2" t="s">
        <v>192</v>
      </c>
      <c r="F219" s="181">
        <f>SUM(F217:F218)</f>
        <v>36.530680233665294</v>
      </c>
      <c r="G219" s="98">
        <f t="shared" ref="G219:J219" si="233">SUM(G217:G218)</f>
        <v>-10.027677178522026</v>
      </c>
      <c r="H219" s="98">
        <f t="shared" si="233"/>
        <v>16.776725449057437</v>
      </c>
      <c r="I219" s="98">
        <f t="shared" si="233"/>
        <v>133.50816542045965</v>
      </c>
      <c r="J219" s="98">
        <f t="shared" si="233"/>
        <v>2646.3980198987883</v>
      </c>
    </row>
    <row r="220" spans="1:12" x14ac:dyDescent="0.35">
      <c r="A220" s="2" t="s">
        <v>193</v>
      </c>
      <c r="F220" s="187">
        <f>F197</f>
        <v>1.0821099999999999</v>
      </c>
      <c r="G220" s="183">
        <f t="shared" ref="G220:J220" si="234">G197</f>
        <v>1.1709620520999997</v>
      </c>
      <c r="H220" s="183">
        <f t="shared" si="234"/>
        <v>1.2671097461979306</v>
      </c>
      <c r="I220" s="183">
        <f t="shared" si="234"/>
        <v>1.3711521274582426</v>
      </c>
      <c r="J220" s="183">
        <f t="shared" si="234"/>
        <v>1.4837374286438387</v>
      </c>
    </row>
    <row r="221" spans="1:12" x14ac:dyDescent="0.35">
      <c r="A221" s="2" t="s">
        <v>180</v>
      </c>
      <c r="F221" s="188">
        <f>F219/F220</f>
        <v>33.75874932646893</v>
      </c>
      <c r="G221" s="15">
        <f t="shared" ref="G221:J221" si="235">G219/G220</f>
        <v>-8.5636226729452254</v>
      </c>
      <c r="H221" s="15">
        <f t="shared" si="235"/>
        <v>13.240151849038659</v>
      </c>
      <c r="I221" s="15">
        <f t="shared" si="235"/>
        <v>97.369331051506933</v>
      </c>
      <c r="J221" s="15">
        <f t="shared" si="235"/>
        <v>1783.6026569186445</v>
      </c>
    </row>
    <row r="222" spans="1:12" x14ac:dyDescent="0.35">
      <c r="A222" s="2" t="s">
        <v>157</v>
      </c>
      <c r="F222" s="184">
        <f>SUM(F221:J221)</f>
        <v>1919.4072664727137</v>
      </c>
    </row>
    <row r="223" spans="1:12" x14ac:dyDescent="0.35">
      <c r="A223" t="s">
        <v>181</v>
      </c>
      <c r="F223" s="190">
        <f>E70</f>
        <v>364</v>
      </c>
      <c r="G223" s="18"/>
      <c r="H223" s="18"/>
      <c r="I223" s="18"/>
      <c r="J223" s="18"/>
    </row>
    <row r="224" spans="1:12" x14ac:dyDescent="0.35">
      <c r="A224" s="2" t="s">
        <v>194</v>
      </c>
      <c r="F224" s="185">
        <f>F222/F223</f>
        <v>5.2730968859140486</v>
      </c>
    </row>
    <row r="228" spans="1:12" x14ac:dyDescent="0.35">
      <c r="A228" s="2" t="s">
        <v>195</v>
      </c>
    </row>
    <row r="229" spans="1:12" x14ac:dyDescent="0.35">
      <c r="A229" s="18"/>
      <c r="B229" s="18"/>
      <c r="C229" s="18"/>
      <c r="D229" s="18"/>
      <c r="E229" s="18"/>
      <c r="F229" s="18" t="s">
        <v>16</v>
      </c>
      <c r="G229" s="18" t="s">
        <v>106</v>
      </c>
      <c r="H229" s="18" t="s">
        <v>175</v>
      </c>
      <c r="I229" s="18" t="s">
        <v>68</v>
      </c>
      <c r="J229" s="18" t="s">
        <v>105</v>
      </c>
    </row>
    <row r="230" spans="1:12" x14ac:dyDescent="0.35">
      <c r="A230" t="s">
        <v>196</v>
      </c>
      <c r="F230" s="180">
        <f>F10-E10</f>
        <v>-3.9593197663348292</v>
      </c>
      <c r="G230" s="180">
        <f t="shared" ref="G230:J230" si="236">G10-F10</f>
        <v>-87.620846112096388</v>
      </c>
      <c r="H230" s="180">
        <f t="shared" si="236"/>
        <v>-114.46800468742822</v>
      </c>
      <c r="I230" s="180">
        <f t="shared" si="236"/>
        <v>-12.571445116976065</v>
      </c>
      <c r="J230" s="180">
        <f t="shared" si="236"/>
        <v>-12.948588470484538</v>
      </c>
      <c r="K230" s="15">
        <f>J230*(1+I2)</f>
        <v>-13.337046124599073</v>
      </c>
      <c r="L230" s="8">
        <f>L217</f>
        <v>19.190174630589141</v>
      </c>
    </row>
    <row r="231" spans="1:12" x14ac:dyDescent="0.35">
      <c r="A231" s="18" t="s">
        <v>178</v>
      </c>
      <c r="B231" s="18"/>
      <c r="C231" s="18"/>
      <c r="D231" s="18"/>
      <c r="E231" s="18"/>
      <c r="F231" s="18"/>
      <c r="G231" s="18"/>
      <c r="H231" s="18"/>
      <c r="I231" s="18"/>
      <c r="J231" s="183">
        <f>L230*K230</f>
        <v>-255.94024418727835</v>
      </c>
    </row>
    <row r="232" spans="1:12" x14ac:dyDescent="0.35">
      <c r="A232" s="3" t="s">
        <v>157</v>
      </c>
      <c r="B232" s="3"/>
      <c r="C232" s="3"/>
      <c r="D232" s="3"/>
      <c r="E232" s="3"/>
      <c r="F232" s="194">
        <f>SUM(F230:F231)</f>
        <v>-3.9593197663348292</v>
      </c>
      <c r="G232" s="194">
        <f t="shared" ref="G232:J232" si="237">SUM(G230:G231)</f>
        <v>-87.620846112096388</v>
      </c>
      <c r="H232" s="194">
        <f t="shared" si="237"/>
        <v>-114.46800468742822</v>
      </c>
      <c r="I232" s="194">
        <f t="shared" si="237"/>
        <v>-12.571445116976065</v>
      </c>
      <c r="J232" s="194">
        <f t="shared" si="237"/>
        <v>-268.88883265776292</v>
      </c>
    </row>
    <row r="233" spans="1:12" x14ac:dyDescent="0.35">
      <c r="A233" t="s">
        <v>179</v>
      </c>
      <c r="B233" s="18"/>
      <c r="C233" s="18"/>
      <c r="D233" s="18"/>
      <c r="E233" s="18"/>
      <c r="F233" s="183">
        <f>F220</f>
        <v>1.0821099999999999</v>
      </c>
      <c r="G233" s="183">
        <f t="shared" ref="G233:J233" si="238">G220</f>
        <v>1.1709620520999997</v>
      </c>
      <c r="H233" s="183">
        <f t="shared" si="238"/>
        <v>1.2671097461979306</v>
      </c>
      <c r="I233" s="183">
        <f t="shared" si="238"/>
        <v>1.3711521274582426</v>
      </c>
      <c r="J233" s="183">
        <f t="shared" si="238"/>
        <v>1.4837374286438387</v>
      </c>
    </row>
    <row r="234" spans="1:12" x14ac:dyDescent="0.35">
      <c r="A234" s="18" t="s">
        <v>180</v>
      </c>
      <c r="B234" s="18"/>
      <c r="C234" s="18"/>
      <c r="D234" s="18"/>
      <c r="E234" s="18"/>
      <c r="F234" s="188">
        <f>F232/F233</f>
        <v>-3.6588884367900025</v>
      </c>
      <c r="G234" s="15">
        <f t="shared" ref="G234:J234" si="239">G232/G233</f>
        <v>-74.828083416501357</v>
      </c>
      <c r="H234" s="15">
        <f t="shared" si="239"/>
        <v>-90.337877228787093</v>
      </c>
      <c r="I234" s="15">
        <f t="shared" si="239"/>
        <v>-9.1685268652722272</v>
      </c>
      <c r="J234" s="15">
        <f t="shared" si="239"/>
        <v>-181.22400059930541</v>
      </c>
    </row>
    <row r="235" spans="1:12" x14ac:dyDescent="0.35">
      <c r="A235" s="2" t="s">
        <v>157</v>
      </c>
      <c r="B235" s="2"/>
      <c r="C235" s="2"/>
      <c r="D235" s="2"/>
      <c r="E235" s="2"/>
      <c r="F235" s="184">
        <f>SUM(F234:J234)</f>
        <v>-359.21737654665606</v>
      </c>
    </row>
    <row r="236" spans="1:12" x14ac:dyDescent="0.35">
      <c r="A236" t="s">
        <v>181</v>
      </c>
      <c r="F236" s="189">
        <f>F223</f>
        <v>364</v>
      </c>
    </row>
    <row r="237" spans="1:12" x14ac:dyDescent="0.35">
      <c r="A237" s="2" t="s">
        <v>197</v>
      </c>
      <c r="F237" s="8">
        <f>F235/F236</f>
        <v>-0.98686092457872543</v>
      </c>
    </row>
    <row r="238" spans="1:12" x14ac:dyDescent="0.35">
      <c r="A238" t="s">
        <v>198</v>
      </c>
      <c r="F238" s="183">
        <f>F201</f>
        <v>5.1009903990480199</v>
      </c>
    </row>
    <row r="239" spans="1:12" x14ac:dyDescent="0.35">
      <c r="A239" s="2" t="s">
        <v>199</v>
      </c>
      <c r="B239" s="2"/>
      <c r="C239" s="2"/>
      <c r="D239" s="2"/>
      <c r="E239" s="2"/>
      <c r="F239" s="185">
        <f>SUM(F237:F238)</f>
        <v>4.1141294744692942</v>
      </c>
    </row>
    <row r="242" spans="1:12" x14ac:dyDescent="0.35">
      <c r="A242" t="s">
        <v>200</v>
      </c>
    </row>
    <row r="243" spans="1:12" x14ac:dyDescent="0.35">
      <c r="A243" t="s">
        <v>31</v>
      </c>
      <c r="F243" s="99">
        <f>F85</f>
        <v>553.1326090839907</v>
      </c>
      <c r="G243" s="99">
        <f t="shared" ref="G243:J243" si="240">G85</f>
        <v>543.10989139494529</v>
      </c>
      <c r="H243" s="99">
        <f t="shared" si="240"/>
        <v>598.03949416684213</v>
      </c>
      <c r="I243" s="99">
        <f t="shared" si="240"/>
        <v>701.30606494236747</v>
      </c>
      <c r="J243" s="99">
        <f t="shared" si="240"/>
        <v>715.83718970452117</v>
      </c>
    </row>
    <row r="244" spans="1:12" x14ac:dyDescent="0.35">
      <c r="A244" s="18" t="s">
        <v>201</v>
      </c>
      <c r="B244" s="18"/>
      <c r="C244" s="18"/>
      <c r="D244" s="18"/>
      <c r="E244" s="18"/>
      <c r="F244" s="188">
        <f>-E62*F133</f>
        <v>-17.82</v>
      </c>
      <c r="G244" s="188">
        <f t="shared" ref="G244:J244" si="241">-F62*G133</f>
        <v>-18.528676789587855</v>
      </c>
      <c r="H244" s="188">
        <f t="shared" si="241"/>
        <v>-18.898992624728852</v>
      </c>
      <c r="I244" s="188">
        <f t="shared" si="241"/>
        <v>-19.356949874186551</v>
      </c>
      <c r="J244" s="188">
        <f t="shared" si="241"/>
        <v>-19.916966167809115</v>
      </c>
    </row>
    <row r="245" spans="1:12" x14ac:dyDescent="0.35">
      <c r="A245" s="2" t="s">
        <v>192</v>
      </c>
      <c r="B245" s="2"/>
      <c r="C245" s="2"/>
      <c r="D245" s="2"/>
      <c r="E245" s="2"/>
      <c r="F245" s="98">
        <f>SUM(F243:F244)</f>
        <v>535.31260908399065</v>
      </c>
      <c r="G245" s="98">
        <f t="shared" ref="G245:J245" si="242">SUM(G243:G244)</f>
        <v>524.58121460535745</v>
      </c>
      <c r="H245" s="98">
        <f t="shared" si="242"/>
        <v>579.14050154211327</v>
      </c>
      <c r="I245" s="98">
        <f t="shared" si="242"/>
        <v>681.94911506818096</v>
      </c>
      <c r="J245" s="98">
        <f t="shared" si="242"/>
        <v>695.920223536712</v>
      </c>
    </row>
    <row r="246" spans="1:12" x14ac:dyDescent="0.35">
      <c r="A246" s="18" t="s">
        <v>35</v>
      </c>
      <c r="B246" s="18"/>
      <c r="C246" s="18"/>
      <c r="D246" s="18"/>
      <c r="E246" s="18"/>
      <c r="F246" s="192">
        <f>F92</f>
        <v>-217.97720000000001</v>
      </c>
      <c r="G246" s="192">
        <f t="shared" ref="G246:J246" si="243">G92</f>
        <v>-203.14129959299009</v>
      </c>
      <c r="H246" s="192">
        <f t="shared" si="243"/>
        <v>-219.57036177635302</v>
      </c>
      <c r="I246" s="192">
        <f t="shared" si="243"/>
        <v>-189.0313581596518</v>
      </c>
      <c r="J246" s="192">
        <f t="shared" si="243"/>
        <v>-193.79089890444121</v>
      </c>
      <c r="K246" s="3" t="s">
        <v>202</v>
      </c>
      <c r="L246" s="3" t="s">
        <v>203</v>
      </c>
    </row>
    <row r="247" spans="1:12" x14ac:dyDescent="0.35">
      <c r="A247" s="2" t="s">
        <v>200</v>
      </c>
      <c r="B247" s="2"/>
      <c r="C247" s="2"/>
      <c r="D247" s="2"/>
      <c r="E247" s="2"/>
      <c r="F247" s="98">
        <f>SUM(F245:F246)</f>
        <v>317.33540908399061</v>
      </c>
      <c r="G247" s="98">
        <f t="shared" ref="G247:J247" si="244">SUM(G245:G246)</f>
        <v>321.43991501236735</v>
      </c>
      <c r="H247" s="98">
        <f t="shared" si="244"/>
        <v>359.57013976576025</v>
      </c>
      <c r="I247" s="98">
        <f t="shared" si="244"/>
        <v>492.91775690852916</v>
      </c>
      <c r="J247" s="98">
        <f t="shared" si="244"/>
        <v>502.12932463227082</v>
      </c>
      <c r="K247" s="184">
        <f>J247*(1+I2)</f>
        <v>517.19320437123895</v>
      </c>
      <c r="L247" s="185">
        <f>1/(J190-I2)</f>
        <v>33.767514876310287</v>
      </c>
    </row>
    <row r="248" spans="1:12" x14ac:dyDescent="0.35">
      <c r="A248" s="18"/>
      <c r="B248" s="18"/>
      <c r="C248" s="18"/>
      <c r="D248" s="18"/>
      <c r="E248" s="18"/>
      <c r="F248" s="18"/>
      <c r="G248" s="18"/>
      <c r="H248" s="18"/>
      <c r="I248" s="18"/>
      <c r="J248" s="188">
        <f>K247*L247</f>
        <v>17464.329222532397</v>
      </c>
    </row>
    <row r="249" spans="1:12" x14ac:dyDescent="0.35">
      <c r="A249" s="2" t="s">
        <v>192</v>
      </c>
      <c r="B249" s="2"/>
      <c r="C249" s="2"/>
      <c r="D249" s="2"/>
      <c r="E249" s="2"/>
      <c r="F249" s="98">
        <f>SUM(F247:F248)</f>
        <v>317.33540908399061</v>
      </c>
      <c r="G249" s="98">
        <f t="shared" ref="G249:J249" si="245">SUM(G247:G248)</f>
        <v>321.43991501236735</v>
      </c>
      <c r="H249" s="98">
        <f t="shared" si="245"/>
        <v>359.57013976576025</v>
      </c>
      <c r="I249" s="98">
        <f t="shared" si="245"/>
        <v>492.91775690852916</v>
      </c>
      <c r="J249" s="98">
        <f t="shared" si="245"/>
        <v>17966.458547164668</v>
      </c>
    </row>
    <row r="250" spans="1:12" x14ac:dyDescent="0.35">
      <c r="A250" t="s">
        <v>179</v>
      </c>
      <c r="F250" s="8">
        <f>(1+F190)</f>
        <v>1.0596142610335104</v>
      </c>
      <c r="G250" s="8">
        <f>(1+G190)*F250</f>
        <v>1.1227823821855925</v>
      </c>
      <c r="H250" s="8">
        <f t="shared" ref="H250:J250" si="246">(1+H190)*G250</f>
        <v>1.1897162242010311</v>
      </c>
      <c r="I250" s="8">
        <f t="shared" si="246"/>
        <v>1.2606402777463537</v>
      </c>
      <c r="J250" s="8">
        <f t="shared" si="246"/>
        <v>1.3357924163332819</v>
      </c>
    </row>
    <row r="251" spans="1:12" x14ac:dyDescent="0.35">
      <c r="A251" s="18" t="s">
        <v>180</v>
      </c>
      <c r="B251" s="18"/>
      <c r="C251" s="18"/>
      <c r="D251" s="18"/>
      <c r="E251" s="18"/>
      <c r="F251" s="188">
        <f>F249/F250</f>
        <v>299.48201034447465</v>
      </c>
      <c r="G251" s="15">
        <f t="shared" ref="G251:J251" si="247">G249/G250</f>
        <v>286.288705730007</v>
      </c>
      <c r="H251" s="15">
        <f t="shared" si="247"/>
        <v>302.23185365672737</v>
      </c>
      <c r="I251" s="15">
        <f t="shared" si="247"/>
        <v>391.00587662462931</v>
      </c>
      <c r="J251" s="15">
        <f t="shared" si="247"/>
        <v>13450.037840821229</v>
      </c>
    </row>
    <row r="252" spans="1:12" x14ac:dyDescent="0.35">
      <c r="A252" s="2" t="s">
        <v>192</v>
      </c>
      <c r="B252" s="2"/>
      <c r="C252" s="2"/>
      <c r="D252" s="2"/>
      <c r="E252" s="2"/>
      <c r="F252" s="184">
        <f>SUM(F251:J251)</f>
        <v>14729.046287177067</v>
      </c>
    </row>
    <row r="253" spans="1:12" x14ac:dyDescent="0.35">
      <c r="A253" s="193" t="s">
        <v>204</v>
      </c>
      <c r="B253" s="18"/>
      <c r="C253" s="18"/>
      <c r="D253" s="18"/>
      <c r="E253" s="18"/>
      <c r="F253" s="192">
        <f>-(E26+E23)</f>
        <v>-1658</v>
      </c>
    </row>
    <row r="254" spans="1:12" x14ac:dyDescent="0.35">
      <c r="A254" s="2" t="s">
        <v>205</v>
      </c>
      <c r="B254" s="2"/>
      <c r="C254" s="2"/>
      <c r="D254" s="2"/>
      <c r="E254" s="2"/>
      <c r="F254" s="184">
        <f>SUM(F252:F253)</f>
        <v>13071.046287177067</v>
      </c>
    </row>
    <row r="255" spans="1:12" x14ac:dyDescent="0.35">
      <c r="A255" s="18" t="s">
        <v>181</v>
      </c>
      <c r="B255" s="18"/>
      <c r="C255" s="18"/>
      <c r="D255" s="18"/>
      <c r="E255" s="18"/>
      <c r="F255" s="189">
        <f>E70</f>
        <v>364</v>
      </c>
    </row>
    <row r="256" spans="1:12" x14ac:dyDescent="0.35">
      <c r="A256" s="2" t="s">
        <v>206</v>
      </c>
      <c r="B256" s="2"/>
      <c r="C256" s="2"/>
      <c r="D256" s="2"/>
      <c r="E256" s="2"/>
      <c r="F256" s="185">
        <f>F254/F255</f>
        <v>35.909467821915023</v>
      </c>
    </row>
    <row r="258" spans="3:6" x14ac:dyDescent="0.35">
      <c r="C258" s="2" t="s">
        <v>207</v>
      </c>
      <c r="D258" s="2"/>
      <c r="E258" s="2"/>
      <c r="F258" s="191">
        <f>F256/F224-1</f>
        <v>5.8099389407843978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6EB-10ED-48FD-98A3-4393218450E2}">
  <dimension ref="B3:K33"/>
  <sheetViews>
    <sheetView tabSelected="1" zoomScale="47" workbookViewId="0">
      <selection activeCell="J31" sqref="J31"/>
    </sheetView>
  </sheetViews>
  <sheetFormatPr defaultRowHeight="14.5" x14ac:dyDescent="0.35"/>
  <cols>
    <col min="2" max="2" width="18" bestFit="1" customWidth="1"/>
    <col min="3" max="3" width="13.81640625" customWidth="1"/>
    <col min="6" max="6" width="15" bestFit="1" customWidth="1"/>
    <col min="11" max="11" width="20.1796875" bestFit="1" customWidth="1"/>
  </cols>
  <sheetData>
    <row r="3" spans="2:10" x14ac:dyDescent="0.35">
      <c r="C3" t="s">
        <v>208</v>
      </c>
      <c r="D3" t="s">
        <v>209</v>
      </c>
      <c r="E3" t="s">
        <v>210</v>
      </c>
      <c r="F3" t="s">
        <v>211</v>
      </c>
      <c r="G3" t="s">
        <v>172</v>
      </c>
    </row>
    <row r="4" spans="2:10" x14ac:dyDescent="0.35">
      <c r="B4" t="s">
        <v>212</v>
      </c>
      <c r="C4" s="168">
        <v>4.2549999999999998E-2</v>
      </c>
      <c r="D4">
        <v>0.92</v>
      </c>
      <c r="E4" s="11">
        <v>4.2999999999999997E-2</v>
      </c>
      <c r="F4">
        <f>D4*E4</f>
        <v>3.9559999999999998E-2</v>
      </c>
      <c r="G4" s="168">
        <f>C4+F4</f>
        <v>8.2109999999999989E-2</v>
      </c>
    </row>
    <row r="6" spans="2:10" x14ac:dyDescent="0.35">
      <c r="C6" t="s">
        <v>208</v>
      </c>
      <c r="D6" t="s">
        <v>209</v>
      </c>
      <c r="E6" t="s">
        <v>210</v>
      </c>
      <c r="F6" t="s">
        <v>211</v>
      </c>
      <c r="G6" t="s">
        <v>172</v>
      </c>
    </row>
    <row r="7" spans="2:10" x14ac:dyDescent="0.35">
      <c r="B7" t="s">
        <v>213</v>
      </c>
      <c r="C7" s="11">
        <v>4.53E-2</v>
      </c>
      <c r="D7">
        <v>0.92</v>
      </c>
      <c r="E7" s="11">
        <v>3.4000000000000002E-2</v>
      </c>
      <c r="F7">
        <f>D7*E7</f>
        <v>3.1280000000000002E-2</v>
      </c>
      <c r="G7" s="11">
        <f>C7+F7</f>
        <v>7.6580000000000009E-2</v>
      </c>
    </row>
    <row r="10" spans="2:10" x14ac:dyDescent="0.35">
      <c r="C10">
        <v>2024</v>
      </c>
    </row>
    <row r="11" spans="2:10" x14ac:dyDescent="0.35">
      <c r="B11" t="s">
        <v>214</v>
      </c>
      <c r="C11">
        <f>Statements!D26+Statements!D23</f>
        <v>1616</v>
      </c>
    </row>
    <row r="12" spans="2:10" x14ac:dyDescent="0.35">
      <c r="B12" t="s">
        <v>215</v>
      </c>
      <c r="C12" s="15">
        <f>Statements!F199</f>
        <v>1856.7605052534791</v>
      </c>
    </row>
    <row r="13" spans="2:10" x14ac:dyDescent="0.35">
      <c r="B13" t="s">
        <v>216</v>
      </c>
      <c r="C13" s="15">
        <f>SUM(C11:C12)</f>
        <v>3472.7605052534791</v>
      </c>
    </row>
    <row r="16" spans="2:10" x14ac:dyDescent="0.35">
      <c r="C16" t="s">
        <v>217</v>
      </c>
      <c r="D16" t="s">
        <v>218</v>
      </c>
      <c r="E16" t="s">
        <v>219</v>
      </c>
      <c r="F16" s="169" t="s">
        <v>220</v>
      </c>
      <c r="G16" t="s">
        <v>221</v>
      </c>
      <c r="H16" t="s">
        <v>222</v>
      </c>
      <c r="I16" t="s">
        <v>223</v>
      </c>
      <c r="J16" t="s">
        <v>173</v>
      </c>
    </row>
    <row r="17" spans="2:11" x14ac:dyDescent="0.35">
      <c r="C17" s="11">
        <f>C11/C13</f>
        <v>0.46533586106941949</v>
      </c>
      <c r="D17" s="11">
        <f>1-Statements!E133</f>
        <v>0.70757180156657962</v>
      </c>
      <c r="E17" s="170">
        <f>Statements!E135</f>
        <v>4.7722342733188719E-2</v>
      </c>
      <c r="F17" s="11">
        <f>C17*D17*E17</f>
        <v>1.5712988585920486E-2</v>
      </c>
      <c r="G17" s="11">
        <f>C12/C13</f>
        <v>0.53466413893058051</v>
      </c>
      <c r="H17" s="168">
        <f>G4</f>
        <v>8.2109999999999989E-2</v>
      </c>
      <c r="I17" s="11">
        <f>G17*H17</f>
        <v>4.3901272447589963E-2</v>
      </c>
      <c r="J17" s="11">
        <f>F17+I17</f>
        <v>5.9614261033510446E-2</v>
      </c>
      <c r="K17" s="196"/>
    </row>
    <row r="21" spans="2:11" x14ac:dyDescent="0.35">
      <c r="C21" t="s">
        <v>224</v>
      </c>
      <c r="D21" t="s">
        <v>225</v>
      </c>
      <c r="E21" t="s">
        <v>226</v>
      </c>
      <c r="F21" t="s">
        <v>227</v>
      </c>
      <c r="G21" t="s">
        <v>228</v>
      </c>
    </row>
    <row r="22" spans="2:11" x14ac:dyDescent="0.35">
      <c r="B22" t="s">
        <v>229</v>
      </c>
      <c r="C22">
        <v>0.92</v>
      </c>
      <c r="D22">
        <v>0.92</v>
      </c>
      <c r="E22">
        <v>1.8065</v>
      </c>
      <c r="F22">
        <v>0.95</v>
      </c>
      <c r="G22">
        <v>1.28</v>
      </c>
    </row>
    <row r="25" spans="2:11" x14ac:dyDescent="0.35">
      <c r="C25" t="s">
        <v>230</v>
      </c>
      <c r="D25" t="s">
        <v>231</v>
      </c>
    </row>
    <row r="26" spans="2:11" x14ac:dyDescent="0.35">
      <c r="B26" t="s">
        <v>232</v>
      </c>
      <c r="C26" s="11">
        <v>4.53E-2</v>
      </c>
      <c r="D26" s="168">
        <v>4.2549999999999998E-2</v>
      </c>
    </row>
    <row r="28" spans="2:11" x14ac:dyDescent="0.35">
      <c r="B28" s="2" t="s">
        <v>233</v>
      </c>
      <c r="D28" t="s">
        <v>234</v>
      </c>
    </row>
    <row r="29" spans="2:11" x14ac:dyDescent="0.35">
      <c r="D29" s="19" t="s">
        <v>235</v>
      </c>
      <c r="E29" s="19" t="s">
        <v>236</v>
      </c>
    </row>
    <row r="30" spans="2:11" x14ac:dyDescent="0.35">
      <c r="B30" t="s">
        <v>237</v>
      </c>
      <c r="D30" s="38">
        <v>4.2999999999999997E-2</v>
      </c>
      <c r="E30" s="38">
        <v>3.4000000000000002E-2</v>
      </c>
    </row>
    <row r="31" spans="2:11" x14ac:dyDescent="0.35">
      <c r="B31" t="s">
        <v>238</v>
      </c>
      <c r="D31" s="11">
        <v>6.0999999999999999E-2</v>
      </c>
      <c r="E31" s="11">
        <v>4.8000000000000001E-2</v>
      </c>
    </row>
    <row r="32" spans="2:11" x14ac:dyDescent="0.35">
      <c r="B32" t="s">
        <v>239</v>
      </c>
      <c r="D32" s="11">
        <v>5.7000000000000002E-2</v>
      </c>
      <c r="E32" s="11">
        <v>2.5999999999999999E-2</v>
      </c>
    </row>
    <row r="33" spans="2:5" x14ac:dyDescent="0.35">
      <c r="B33" t="s">
        <v>240</v>
      </c>
      <c r="D33" s="11">
        <v>3.5999999999999997E-2</v>
      </c>
      <c r="E33" s="11"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PP&amp;E</vt:lpstr>
      <vt:lpstr>Statements</vt:lpstr>
      <vt:lpstr>COE and 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Dylan Lunt</cp:lastModifiedBy>
  <cp:revision/>
  <dcterms:created xsi:type="dcterms:W3CDTF">2025-03-06T11:34:58Z</dcterms:created>
  <dcterms:modified xsi:type="dcterms:W3CDTF">2025-09-05T13:00:10Z</dcterms:modified>
  <cp:category/>
  <cp:contentStatus/>
</cp:coreProperties>
</file>