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ylanrosser/Documents/Grad_School_Stuff/S20/digital/ECE725/"/>
    </mc:Choice>
  </mc:AlternateContent>
  <xr:revisionPtr revIDLastSave="0" documentId="13_ncr:1_{BA86EAFD-0312-A945-83A2-E2C81073A19F}" xr6:coauthVersionLast="44" xr6:coauthVersionMax="45" xr10:uidLastSave="{00000000-0000-0000-0000-000000000000}"/>
  <bookViews>
    <workbookView xWindow="0" yWindow="460" windowWidth="28800" windowHeight="16680" activeTab="1" xr2:uid="{2CB1362F-ACA9-48D4-AFEA-23BD9C03D6CB}"/>
  </bookViews>
  <sheets>
    <sheet name="Model" sheetId="2" r:id="rId1"/>
    <sheet name="SNDR sim" sheetId="1" r:id="rId2"/>
    <sheet name="tra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6" i="1" l="1"/>
  <c r="D29" i="2" l="1"/>
  <c r="D26" i="2"/>
  <c r="D25" i="2"/>
  <c r="B27" i="2"/>
  <c r="B6" i="2"/>
  <c r="B5" i="2"/>
  <c r="M12" i="2"/>
  <c r="N12" i="2" s="1"/>
  <c r="M10" i="2"/>
  <c r="N10" i="2" s="1"/>
  <c r="L6" i="2"/>
  <c r="L7" i="2"/>
  <c r="L8" i="2"/>
  <c r="L9" i="2"/>
  <c r="L10" i="2"/>
  <c r="L11" i="2"/>
  <c r="L12" i="2"/>
  <c r="L13" i="2"/>
  <c r="L14" i="2"/>
  <c r="L15" i="2"/>
  <c r="L5" i="2"/>
  <c r="I2" i="2"/>
  <c r="M11" i="2" l="1"/>
  <c r="N11" i="2" s="1"/>
  <c r="M9" i="2"/>
  <c r="N9" i="2" s="1"/>
  <c r="M5" i="2"/>
  <c r="N5" i="2" s="1"/>
  <c r="M8" i="2"/>
  <c r="N8" i="2" s="1"/>
  <c r="M15" i="2"/>
  <c r="N15" i="2" s="1"/>
  <c r="M7" i="2"/>
  <c r="N7" i="2" s="1"/>
  <c r="M14" i="2"/>
  <c r="N14" i="2" s="1"/>
  <c r="M6" i="2"/>
  <c r="N6" i="2" s="1"/>
  <c r="M13" i="2"/>
  <c r="N13" i="2" s="1"/>
  <c r="B8" i="2"/>
  <c r="R2" i="2"/>
  <c r="B22" i="2"/>
  <c r="M25" i="1"/>
  <c r="C18" i="2"/>
  <c r="B18" i="2"/>
  <c r="C17" i="2"/>
  <c r="B16" i="2"/>
  <c r="B13" i="2"/>
  <c r="I11" i="3"/>
  <c r="E7" i="3"/>
  <c r="Q2" i="2"/>
  <c r="B10" i="2"/>
  <c r="C9" i="2" s="1"/>
  <c r="P2" i="2"/>
  <c r="B7" i="2"/>
  <c r="M24" i="1"/>
  <c r="M2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" i="1"/>
  <c r="C6" i="2" l="1"/>
  <c r="G7" i="2"/>
  <c r="G13" i="2" s="1"/>
  <c r="B14" i="2"/>
  <c r="B15" i="2" s="1"/>
  <c r="B12" i="2"/>
  <c r="B17" i="2"/>
  <c r="B9" i="2"/>
  <c r="B11" i="2" s="1"/>
</calcChain>
</file>

<file path=xl/sharedStrings.xml><?xml version="1.0" encoding="utf-8"?>
<sst xmlns="http://schemas.openxmlformats.org/spreadsheetml/2006/main" count="102" uniqueCount="80">
  <si>
    <t>sndr</t>
  </si>
  <si>
    <t>s1</t>
  </si>
  <si>
    <t>s3</t>
  </si>
  <si>
    <t>m5</t>
  </si>
  <si>
    <t>m6</t>
  </si>
  <si>
    <t>s4</t>
  </si>
  <si>
    <t>s2</t>
  </si>
  <si>
    <t>m3</t>
  </si>
  <si>
    <t>m4</t>
  </si>
  <si>
    <t>m1</t>
  </si>
  <si>
    <t>m2</t>
  </si>
  <si>
    <t>m7</t>
  </si>
  <si>
    <t>ENOB</t>
  </si>
  <si>
    <t>Vcm</t>
  </si>
  <si>
    <t>Av</t>
  </si>
  <si>
    <t>Vthn</t>
  </si>
  <si>
    <t>Icm</t>
  </si>
  <si>
    <t>tau</t>
  </si>
  <si>
    <t>Cx,y</t>
  </si>
  <si>
    <t>gm3,4</t>
  </si>
  <si>
    <t>gm1,2</t>
  </si>
  <si>
    <t>Cp,q</t>
  </si>
  <si>
    <t>p</t>
  </si>
  <si>
    <t>fck</t>
  </si>
  <si>
    <t>vdd</t>
  </si>
  <si>
    <t>FMAX</t>
  </si>
  <si>
    <t>gamma</t>
  </si>
  <si>
    <t>boltzmann</t>
  </si>
  <si>
    <t>vid_min</t>
  </si>
  <si>
    <t>T_max</t>
  </si>
  <si>
    <t>Temp</t>
  </si>
  <si>
    <t>Vfs</t>
  </si>
  <si>
    <t>P_meta</t>
  </si>
  <si>
    <t>calc</t>
  </si>
  <si>
    <t>target</t>
  </si>
  <si>
    <t>gm1,2_calc</t>
  </si>
  <si>
    <t>m12_d</t>
  </si>
  <si>
    <t>m5_s</t>
  </si>
  <si>
    <t>m11_d</t>
  </si>
  <si>
    <t>C_p</t>
  </si>
  <si>
    <t>m0_d</t>
  </si>
  <si>
    <t>m7_d</t>
  </si>
  <si>
    <t>m5_d</t>
  </si>
  <si>
    <t>m6_g</t>
  </si>
  <si>
    <t>m4_g</t>
  </si>
  <si>
    <t>m0_g</t>
  </si>
  <si>
    <t>m1_g</t>
  </si>
  <si>
    <t>C_X</t>
  </si>
  <si>
    <t>Fmax_meta</t>
  </si>
  <si>
    <t>FMAX_noise</t>
  </si>
  <si>
    <t>Power</t>
  </si>
  <si>
    <t>J/s</t>
  </si>
  <si>
    <t>fs</t>
  </si>
  <si>
    <t>J/sample</t>
  </si>
  <si>
    <t>J/conv step</t>
  </si>
  <si>
    <t>LSB (V)</t>
  </si>
  <si>
    <t>vid_max</t>
  </si>
  <si>
    <t>Vn^2</t>
  </si>
  <si>
    <t>Vgs</t>
  </si>
  <si>
    <t>sigma^2+2kt/C</t>
  </si>
  <si>
    <t>15G</t>
  </si>
  <si>
    <t>2G</t>
  </si>
  <si>
    <t>sigma_erf</t>
  </si>
  <si>
    <t>sigma^2_erf</t>
  </si>
  <si>
    <t>s</t>
  </si>
  <si>
    <t>V/V</t>
  </si>
  <si>
    <t>fclk</t>
  </si>
  <si>
    <t>Tmx</t>
  </si>
  <si>
    <t>Vid_min</t>
  </si>
  <si>
    <t>.noise</t>
  </si>
  <si>
    <t>erf</t>
  </si>
  <si>
    <t>V^2</t>
  </si>
  <si>
    <t>noise typical - rf input and latch</t>
  </si>
  <si>
    <t>pre simu, tran noise,  rf input &amp; latch, FMAX = 50G</t>
  </si>
  <si>
    <t>pre simu, tran noise, nch for all, 50G</t>
  </si>
  <si>
    <t>ummmmmmmm</t>
  </si>
  <si>
    <t>100G</t>
  </si>
  <si>
    <t>500G</t>
  </si>
  <si>
    <t>pre simu, tran noise, nch, 200G</t>
  </si>
  <si>
    <t>pre simu, tran noise, nch, 100G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</si>
</sst>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1" xfId="0" applyBorder="1"/>
    <xf numFmtId="11" fontId="0" fillId="0" borderId="1" xfId="0" applyNumberFormat="1" applyBorder="1"/>
    <xf numFmtId="2" fontId="0" fillId="0" borderId="1" xfId="0" applyNumberFormat="1" applyBorder="1"/>
    <xf numFmtId="0" fontId="0" fillId="0" borderId="2" xfId="0" applyFill="1" applyBorder="1"/>
    <xf numFmtId="0" fontId="2" fillId="0" borderId="1" xfId="1" applyNumberFormat="1" applyFont="1" applyFill="1" applyBorder="1"/>
    <xf numFmtId="0" fontId="0" fillId="0" borderId="1" xfId="0" applyFill="1" applyBorder="1"/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96E93-05FB-40DC-85F9-46A7B1BA943B}">
  <dimension ref="A1:R29"/>
  <sheetViews>
    <sheetView topLeftCell="A20" zoomScale="189" zoomScaleNormal="55" workbookViewId="0">
      <selection activeCell="B30" sqref="B30"/>
    </sheetView>
  </sheetViews>
  <sheetFormatPr baseColWidth="10" defaultColWidth="8.83203125" defaultRowHeight="15" x14ac:dyDescent="0.2"/>
  <cols>
    <col min="1" max="1" width="13.33203125" customWidth="1"/>
    <col min="2" max="2" width="11.1640625" customWidth="1"/>
    <col min="3" max="3" width="9.6640625" bestFit="1" customWidth="1"/>
    <col min="6" max="6" width="11.6640625" bestFit="1" customWidth="1"/>
    <col min="11" max="11" width="9.83203125" customWidth="1"/>
  </cols>
  <sheetData>
    <row r="1" spans="1:18" x14ac:dyDescent="0.2">
      <c r="A1" s="2" t="s">
        <v>35</v>
      </c>
      <c r="B1" s="2" t="s">
        <v>20</v>
      </c>
      <c r="C1" s="2" t="s">
        <v>19</v>
      </c>
      <c r="D1" s="2" t="s">
        <v>15</v>
      </c>
      <c r="E1" s="2" t="s">
        <v>31</v>
      </c>
      <c r="F1" s="2" t="s">
        <v>13</v>
      </c>
      <c r="G1" s="5" t="s">
        <v>58</v>
      </c>
      <c r="H1" s="2" t="s">
        <v>16</v>
      </c>
      <c r="I1" s="2" t="s">
        <v>21</v>
      </c>
      <c r="J1" s="2" t="s">
        <v>18</v>
      </c>
      <c r="K1" s="2" t="s">
        <v>23</v>
      </c>
      <c r="L1" s="2" t="s">
        <v>24</v>
      </c>
      <c r="M1" s="2" t="s">
        <v>26</v>
      </c>
      <c r="N1" s="2" t="s">
        <v>27</v>
      </c>
      <c r="O1" s="2" t="s">
        <v>30</v>
      </c>
      <c r="P1" s="2" t="s">
        <v>29</v>
      </c>
      <c r="Q1" s="2" t="s">
        <v>55</v>
      </c>
      <c r="R1" s="2" t="s">
        <v>52</v>
      </c>
    </row>
    <row r="2" spans="1:18" x14ac:dyDescent="0.2">
      <c r="A2" s="2"/>
      <c r="B2" s="3">
        <v>2.2000000000000001E-3</v>
      </c>
      <c r="C2" s="3">
        <v>5.5000000000000003E-4</v>
      </c>
      <c r="D2" s="2">
        <v>0.42</v>
      </c>
      <c r="E2" s="2">
        <v>0.9</v>
      </c>
      <c r="F2" s="2">
        <v>0.5</v>
      </c>
      <c r="G2" s="5">
        <v>0.6</v>
      </c>
      <c r="H2" s="3">
        <v>1.13E-4</v>
      </c>
      <c r="I2" s="3">
        <f>0.000000000000003305+0.000000000000000424</f>
        <v>3.7289999999999997E-15</v>
      </c>
      <c r="J2" s="3">
        <v>3.0200000000000003E-17</v>
      </c>
      <c r="K2" s="3">
        <v>380000000</v>
      </c>
      <c r="L2" s="2">
        <v>0.9</v>
      </c>
      <c r="M2" s="4">
        <v>0.66</v>
      </c>
      <c r="N2" s="3">
        <v>1.3800000000000001E-23</v>
      </c>
      <c r="O2" s="3">
        <v>300</v>
      </c>
      <c r="P2" s="3">
        <f>1/(2*K2)</f>
        <v>1.3157894736842105E-9</v>
      </c>
      <c r="Q2" s="2">
        <f>E2/2^10</f>
        <v>8.7890625000000002E-4</v>
      </c>
      <c r="R2" s="3">
        <f>K2/10</f>
        <v>38000000</v>
      </c>
    </row>
    <row r="4" spans="1:18" x14ac:dyDescent="0.2">
      <c r="A4" s="2"/>
      <c r="B4" s="2" t="s">
        <v>33</v>
      </c>
      <c r="C4" s="2" t="s">
        <v>34</v>
      </c>
      <c r="K4" t="s">
        <v>66</v>
      </c>
      <c r="L4" t="s">
        <v>67</v>
      </c>
      <c r="M4" t="s">
        <v>68</v>
      </c>
      <c r="N4" t="s">
        <v>32</v>
      </c>
    </row>
    <row r="5" spans="1:18" x14ac:dyDescent="0.2">
      <c r="A5" s="2" t="s">
        <v>14</v>
      </c>
      <c r="B5" s="4">
        <f>B2*D2/H2</f>
        <v>8.176991150442479</v>
      </c>
      <c r="C5" s="2"/>
      <c r="K5" s="1">
        <v>2000000000</v>
      </c>
      <c r="L5" s="1">
        <f>1/(2*K5)</f>
        <v>2.5000000000000002E-10</v>
      </c>
      <c r="M5" s="1">
        <f>$L$2*EXP(-L5/$G$12)/$B$5</f>
        <v>9.0346800433447044E-3</v>
      </c>
      <c r="N5" s="1">
        <f>M5/$B$10</f>
        <v>1.0038533381494116E-2</v>
      </c>
    </row>
    <row r="6" spans="1:18" x14ac:dyDescent="0.2">
      <c r="A6" s="2" t="s">
        <v>17</v>
      </c>
      <c r="B6" s="3">
        <f>J2/(C2*(1-J2/I2))</f>
        <v>5.5357413215096787E-14</v>
      </c>
      <c r="C6" s="3">
        <f>P2/20</f>
        <v>6.5789473684210521E-11</v>
      </c>
      <c r="F6" s="1"/>
      <c r="K6" s="1">
        <v>1000000000</v>
      </c>
      <c r="L6" s="1">
        <f t="shared" ref="L6:L15" si="0">1/(2*K6)</f>
        <v>5.0000000000000003E-10</v>
      </c>
      <c r="M6" s="1">
        <f t="shared" ref="M6:M15" si="1">$L$2*EXP(-L6/$G$12)/$B$5</f>
        <v>7.4161169892531594E-4</v>
      </c>
      <c r="N6" s="1">
        <f t="shared" ref="N6:N15" si="2">M6/$B$10</f>
        <v>8.2401299880590652E-4</v>
      </c>
    </row>
    <row r="7" spans="1:18" x14ac:dyDescent="0.2">
      <c r="A7" s="2" t="s">
        <v>22</v>
      </c>
      <c r="B7" s="3">
        <f>K2*(2*I2+J2)*L2^2</f>
        <v>2.30486796E-6</v>
      </c>
      <c r="C7" s="2"/>
      <c r="F7" t="s">
        <v>28</v>
      </c>
      <c r="G7" s="1">
        <f>L2*(EXP(-P2/G12))/B5</f>
        <v>2.1244567986389459E-7</v>
      </c>
      <c r="K7" s="1">
        <v>100000000</v>
      </c>
      <c r="L7" s="1">
        <f t="shared" si="0"/>
        <v>5.0000000000000001E-9</v>
      </c>
      <c r="M7" s="1">
        <f t="shared" si="1"/>
        <v>2.1228772677265194E-23</v>
      </c>
      <c r="N7" s="1">
        <f t="shared" si="2"/>
        <v>2.3587525196961325E-23</v>
      </c>
    </row>
    <row r="8" spans="1:18" x14ac:dyDescent="0.2">
      <c r="A8" s="2" t="s">
        <v>49</v>
      </c>
      <c r="B8" s="3">
        <f>10/(2*PI()*B6)</f>
        <v>28750429951176.156</v>
      </c>
      <c r="C8" s="2"/>
      <c r="K8" s="1">
        <v>10000000</v>
      </c>
      <c r="L8" s="1">
        <f t="shared" si="0"/>
        <v>4.9999999999999998E-8</v>
      </c>
      <c r="M8" s="1">
        <f t="shared" si="1"/>
        <v>7.8416603957319234E-219</v>
      </c>
      <c r="N8" s="1">
        <f t="shared" si="2"/>
        <v>8.7129559952576928E-219</v>
      </c>
    </row>
    <row r="9" spans="1:18" x14ac:dyDescent="0.2">
      <c r="A9" s="2" t="s">
        <v>28</v>
      </c>
      <c r="B9" s="3" t="e">
        <f>L2/(B5*(EXP(P2/B6)))</f>
        <v>#NUM!</v>
      </c>
      <c r="C9" s="3">
        <f>C11*B10</f>
        <v>9.0000000000000012E-9</v>
      </c>
      <c r="K9" s="1">
        <v>1000000</v>
      </c>
      <c r="L9" s="1">
        <f t="shared" si="0"/>
        <v>4.9999999999999998E-7</v>
      </c>
      <c r="M9" s="1">
        <f t="shared" si="1"/>
        <v>0</v>
      </c>
      <c r="N9" s="1">
        <f t="shared" si="2"/>
        <v>0</v>
      </c>
    </row>
    <row r="10" spans="1:18" x14ac:dyDescent="0.2">
      <c r="A10" s="2" t="s">
        <v>56</v>
      </c>
      <c r="B10" s="2">
        <f>E2</f>
        <v>0.9</v>
      </c>
      <c r="C10" s="2"/>
      <c r="K10" s="1">
        <v>100000</v>
      </c>
      <c r="L10" s="1">
        <f t="shared" si="0"/>
        <v>5.0000000000000004E-6</v>
      </c>
      <c r="M10" s="1">
        <f t="shared" si="1"/>
        <v>0</v>
      </c>
      <c r="N10" s="1">
        <f t="shared" si="2"/>
        <v>0</v>
      </c>
    </row>
    <row r="11" spans="1:18" x14ac:dyDescent="0.2">
      <c r="A11" s="2" t="s">
        <v>32</v>
      </c>
      <c r="B11" s="3" t="e">
        <f>B9/B10</f>
        <v>#NUM!</v>
      </c>
      <c r="C11" s="3">
        <v>1E-8</v>
      </c>
      <c r="F11" t="s">
        <v>14</v>
      </c>
      <c r="G11">
        <v>8.18</v>
      </c>
      <c r="H11" t="s">
        <v>65</v>
      </c>
      <c r="K11" s="1">
        <v>10000</v>
      </c>
      <c r="L11" s="1">
        <f t="shared" si="0"/>
        <v>5.0000000000000002E-5</v>
      </c>
      <c r="M11" s="1">
        <f t="shared" si="1"/>
        <v>0</v>
      </c>
      <c r="N11" s="1">
        <f t="shared" si="2"/>
        <v>0</v>
      </c>
    </row>
    <row r="12" spans="1:18" x14ac:dyDescent="0.2">
      <c r="A12" s="2" t="s">
        <v>48</v>
      </c>
      <c r="B12" s="3">
        <f>-1/(LN((C11*B10*B5)/L2)*B6)</f>
        <v>1106932611856.9382</v>
      </c>
      <c r="C12" s="2"/>
      <c r="F12" t="s">
        <v>17</v>
      </c>
      <c r="G12" s="1">
        <v>1E-10</v>
      </c>
      <c r="H12" t="s">
        <v>64</v>
      </c>
      <c r="K12" s="1">
        <v>1000</v>
      </c>
      <c r="L12" s="1">
        <f t="shared" si="0"/>
        <v>5.0000000000000001E-4</v>
      </c>
      <c r="M12" s="1">
        <f t="shared" si="1"/>
        <v>0</v>
      </c>
      <c r="N12" s="1">
        <f t="shared" si="2"/>
        <v>0</v>
      </c>
    </row>
    <row r="13" spans="1:18" x14ac:dyDescent="0.2">
      <c r="A13" s="2" t="s">
        <v>50</v>
      </c>
      <c r="B13" s="3">
        <f>K2*(2*I2+J2)*L2^2</f>
        <v>2.30486796E-6</v>
      </c>
      <c r="C13" s="2" t="s">
        <v>51</v>
      </c>
      <c r="F13" t="s">
        <v>32</v>
      </c>
      <c r="G13" s="1">
        <f>G7/B10</f>
        <v>2.3605075540432732E-7</v>
      </c>
      <c r="K13" s="1">
        <v>100</v>
      </c>
      <c r="L13" s="1">
        <f t="shared" si="0"/>
        <v>5.0000000000000001E-3</v>
      </c>
      <c r="M13" s="1">
        <f t="shared" si="1"/>
        <v>0</v>
      </c>
      <c r="N13" s="1">
        <f t="shared" si="2"/>
        <v>0</v>
      </c>
    </row>
    <row r="14" spans="1:18" x14ac:dyDescent="0.2">
      <c r="A14" s="2" t="s">
        <v>50</v>
      </c>
      <c r="B14" s="3">
        <f>B13/R2</f>
        <v>6.0654419999999998E-14</v>
      </c>
      <c r="C14" s="2" t="s">
        <v>53</v>
      </c>
      <c r="F14" t="s">
        <v>57</v>
      </c>
      <c r="G14" s="1"/>
      <c r="K14" s="1">
        <v>10</v>
      </c>
      <c r="L14" s="1">
        <f t="shared" si="0"/>
        <v>0.05</v>
      </c>
      <c r="M14" s="1">
        <f t="shared" si="1"/>
        <v>0</v>
      </c>
      <c r="N14" s="1">
        <f t="shared" si="2"/>
        <v>0</v>
      </c>
    </row>
    <row r="15" spans="1:18" x14ac:dyDescent="0.2">
      <c r="A15" s="2" t="s">
        <v>50</v>
      </c>
      <c r="B15" s="3">
        <f>B14/10</f>
        <v>6.0654419999999998E-15</v>
      </c>
      <c r="C15" s="2" t="s">
        <v>54</v>
      </c>
      <c r="K15" s="1">
        <v>1</v>
      </c>
      <c r="L15" s="1">
        <f t="shared" si="0"/>
        <v>0.5</v>
      </c>
      <c r="M15" s="1">
        <f t="shared" si="1"/>
        <v>0</v>
      </c>
      <c r="N15" s="1">
        <f t="shared" si="2"/>
        <v>0</v>
      </c>
    </row>
    <row r="16" spans="1:18" x14ac:dyDescent="0.2">
      <c r="A16" s="6" t="s">
        <v>59</v>
      </c>
      <c r="B16" s="3">
        <f>8*N2*O2*M2*B2*D2/(I2*H2)+2*N2*O2/(I2)</f>
        <v>5.015352238019637E-5</v>
      </c>
      <c r="C16" s="2"/>
    </row>
    <row r="17" spans="1:4" x14ac:dyDescent="0.2">
      <c r="A17" s="7" t="s">
        <v>57</v>
      </c>
      <c r="B17" s="3">
        <f>B16/(B5^2)</f>
        <v>7.500917421814706E-7</v>
      </c>
      <c r="C17" s="2">
        <f>Q2/6</f>
        <v>1.4648437499999999E-4</v>
      </c>
    </row>
    <row r="18" spans="1:4" x14ac:dyDescent="0.2">
      <c r="A18" s="7" t="s">
        <v>57</v>
      </c>
      <c r="B18" s="3">
        <f>((G2-D2)/D2)*((4*N2*O2*M2/I2)+((G2-D2)/D2)*(N2*O2/(2*I2)))</f>
        <v>1.3580902030965242E-6</v>
      </c>
      <c r="C18" s="2">
        <f>(0.00047)^2</f>
        <v>2.209E-7</v>
      </c>
    </row>
    <row r="19" spans="1:4" x14ac:dyDescent="0.2">
      <c r="A19" s="2"/>
      <c r="B19" s="2"/>
      <c r="C19" s="2"/>
    </row>
    <row r="21" spans="1:4" x14ac:dyDescent="0.2">
      <c r="A21" t="s">
        <v>62</v>
      </c>
      <c r="B21" s="1">
        <v>4.0000000000000002E-4</v>
      </c>
      <c r="C21" s="1"/>
    </row>
    <row r="22" spans="1:4" x14ac:dyDescent="0.2">
      <c r="A22" t="s">
        <v>63</v>
      </c>
      <c r="B22" s="1">
        <f>B21^2</f>
        <v>1.6E-7</v>
      </c>
    </row>
    <row r="25" spans="1:4" x14ac:dyDescent="0.2">
      <c r="A25" t="s">
        <v>69</v>
      </c>
      <c r="B25" s="1">
        <v>1.122E-6</v>
      </c>
      <c r="D25">
        <f>SQRT(B25)</f>
        <v>1.0592450141492288E-3</v>
      </c>
    </row>
    <row r="26" spans="1:4" x14ac:dyDescent="0.2">
      <c r="A26" t="s">
        <v>69</v>
      </c>
      <c r="B26" s="1">
        <v>3.2000000000000001E-7</v>
      </c>
      <c r="C26" t="s">
        <v>71</v>
      </c>
      <c r="D26">
        <f>SQRT(B26)</f>
        <v>5.6568542494923803E-4</v>
      </c>
    </row>
    <row r="27" spans="1:4" x14ac:dyDescent="0.2">
      <c r="A27" t="s">
        <v>70</v>
      </c>
      <c r="B27" s="1">
        <f>(0.0006)^2</f>
        <v>3.5999999999999994E-7</v>
      </c>
    </row>
    <row r="28" spans="1:4" x14ac:dyDescent="0.2">
      <c r="B28" s="1">
        <v>9.9669999999999992E-7</v>
      </c>
    </row>
    <row r="29" spans="1:4" x14ac:dyDescent="0.2">
      <c r="B29" s="1">
        <v>5.3099999999999998E-7</v>
      </c>
      <c r="D29">
        <f>SQRT(B29)</f>
        <v>7.2869746808946719E-4</v>
      </c>
    </row>
  </sheetData>
  <conditionalFormatting sqref="B11">
    <cfRule type="cellIs" dxfId="1" priority="1" operator="greaterThan">
      <formula>$C$11</formula>
    </cfRule>
    <cfRule type="cellIs" dxfId="0" priority="2" operator="lessThan">
      <formula>$C$11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17737-4689-4D57-98F3-165EFA539F96}">
  <dimension ref="A1:Y54"/>
  <sheetViews>
    <sheetView tabSelected="1" topLeftCell="A39" zoomScaleNormal="40" workbookViewId="0">
      <selection activeCell="D54" sqref="D54"/>
    </sheetView>
  </sheetViews>
  <sheetFormatPr baseColWidth="10" defaultColWidth="8.83203125" defaultRowHeight="15" x14ac:dyDescent="0.2"/>
  <sheetData>
    <row r="1" spans="1:15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0</v>
      </c>
      <c r="M1" t="s">
        <v>12</v>
      </c>
      <c r="O1" t="s">
        <v>25</v>
      </c>
    </row>
    <row r="2" spans="1:15" x14ac:dyDescent="0.2">
      <c r="A2">
        <v>0.1</v>
      </c>
      <c r="B2">
        <v>0.1</v>
      </c>
      <c r="C2">
        <v>0.2</v>
      </c>
      <c r="D2">
        <v>0.2</v>
      </c>
      <c r="E2">
        <v>0.1</v>
      </c>
      <c r="F2">
        <v>0.1</v>
      </c>
      <c r="G2">
        <v>0.1</v>
      </c>
      <c r="H2">
        <v>0.1</v>
      </c>
      <c r="I2">
        <v>8</v>
      </c>
      <c r="J2">
        <v>8</v>
      </c>
      <c r="K2">
        <v>16</v>
      </c>
      <c r="L2">
        <v>52.803400000000003</v>
      </c>
      <c r="M2">
        <f>(L2-1.76)/6.02</f>
        <v>8.4789700996677748</v>
      </c>
      <c r="O2" t="s">
        <v>61</v>
      </c>
    </row>
    <row r="3" spans="1:15" x14ac:dyDescent="0.2">
      <c r="A3">
        <v>0.2</v>
      </c>
      <c r="B3">
        <v>0.2</v>
      </c>
      <c r="C3">
        <v>0.2</v>
      </c>
      <c r="D3">
        <v>0.2</v>
      </c>
      <c r="E3">
        <v>0.2</v>
      </c>
      <c r="F3">
        <v>0.2</v>
      </c>
      <c r="G3">
        <v>0.1</v>
      </c>
      <c r="H3">
        <v>0.1</v>
      </c>
      <c r="I3">
        <v>8</v>
      </c>
      <c r="J3">
        <v>8</v>
      </c>
      <c r="K3">
        <v>16</v>
      </c>
      <c r="L3">
        <v>52.935499999999998</v>
      </c>
      <c r="M3">
        <f t="shared" ref="M3:M25" si="0">(L3-1.76)/6.02</f>
        <v>8.500913621262459</v>
      </c>
    </row>
    <row r="4" spans="1:15" x14ac:dyDescent="0.2">
      <c r="A4">
        <v>0.4</v>
      </c>
      <c r="B4">
        <v>0.4</v>
      </c>
      <c r="C4">
        <v>0.4</v>
      </c>
      <c r="D4">
        <v>0.4</v>
      </c>
      <c r="E4">
        <v>0.4</v>
      </c>
      <c r="F4">
        <v>0.4</v>
      </c>
      <c r="G4">
        <v>0.2</v>
      </c>
      <c r="H4">
        <v>0.2</v>
      </c>
      <c r="I4">
        <v>16</v>
      </c>
      <c r="J4">
        <v>16</v>
      </c>
      <c r="K4">
        <v>32</v>
      </c>
      <c r="L4">
        <v>48.690899999999999</v>
      </c>
      <c r="M4">
        <f t="shared" si="0"/>
        <v>7.7958305647840538</v>
      </c>
    </row>
    <row r="5" spans="1:15" x14ac:dyDescent="0.2">
      <c r="A5">
        <v>0.2</v>
      </c>
      <c r="B5">
        <v>0.2</v>
      </c>
      <c r="C5">
        <v>0.2</v>
      </c>
      <c r="D5">
        <v>0.2</v>
      </c>
      <c r="E5">
        <v>0.2</v>
      </c>
      <c r="F5">
        <v>0.2</v>
      </c>
      <c r="G5">
        <v>0.1</v>
      </c>
      <c r="H5">
        <v>0.1</v>
      </c>
      <c r="I5">
        <v>16</v>
      </c>
      <c r="J5">
        <v>16</v>
      </c>
      <c r="K5">
        <v>32</v>
      </c>
      <c r="L5">
        <v>48.335099999999997</v>
      </c>
      <c r="M5">
        <f t="shared" si="0"/>
        <v>7.7367275747508311</v>
      </c>
    </row>
    <row r="6" spans="1:15" x14ac:dyDescent="0.2">
      <c r="A6">
        <v>0.2</v>
      </c>
      <c r="B6">
        <v>0.2</v>
      </c>
      <c r="C6">
        <v>0.2</v>
      </c>
      <c r="D6">
        <v>0.2</v>
      </c>
      <c r="E6">
        <v>0.2</v>
      </c>
      <c r="F6">
        <v>0.2</v>
      </c>
      <c r="G6">
        <v>0.1</v>
      </c>
      <c r="H6">
        <v>0.1</v>
      </c>
      <c r="I6">
        <v>10</v>
      </c>
      <c r="J6">
        <v>10</v>
      </c>
      <c r="K6">
        <v>20</v>
      </c>
      <c r="L6">
        <v>52.605200000000004</v>
      </c>
      <c r="M6">
        <f t="shared" si="0"/>
        <v>8.4460465116279089</v>
      </c>
    </row>
    <row r="7" spans="1:15" x14ac:dyDescent="0.2">
      <c r="A7">
        <v>0.2</v>
      </c>
      <c r="B7">
        <v>0.2</v>
      </c>
      <c r="C7">
        <v>0.2</v>
      </c>
      <c r="D7">
        <v>0.2</v>
      </c>
      <c r="E7">
        <v>0.2</v>
      </c>
      <c r="F7">
        <v>0.2</v>
      </c>
      <c r="G7">
        <v>0.1</v>
      </c>
      <c r="H7">
        <v>0.1</v>
      </c>
      <c r="I7">
        <v>10</v>
      </c>
      <c r="J7">
        <v>10</v>
      </c>
      <c r="K7">
        <v>16</v>
      </c>
      <c r="L7">
        <v>52.847499999999997</v>
      </c>
      <c r="M7">
        <f t="shared" si="0"/>
        <v>8.4862956810631225</v>
      </c>
    </row>
    <row r="8" spans="1:15" x14ac:dyDescent="0.2">
      <c r="A8">
        <v>0.4</v>
      </c>
      <c r="B8">
        <v>0.4</v>
      </c>
      <c r="C8">
        <v>0.2</v>
      </c>
      <c r="D8">
        <v>0.2</v>
      </c>
      <c r="E8">
        <v>0.4</v>
      </c>
      <c r="F8">
        <v>0.4</v>
      </c>
      <c r="G8">
        <v>0.1</v>
      </c>
      <c r="H8">
        <v>0.1</v>
      </c>
      <c r="I8">
        <v>10</v>
      </c>
      <c r="J8">
        <v>10</v>
      </c>
      <c r="K8">
        <v>20</v>
      </c>
      <c r="L8">
        <v>53.495399999999997</v>
      </c>
      <c r="M8">
        <f t="shared" si="0"/>
        <v>8.5939202657807314</v>
      </c>
    </row>
    <row r="9" spans="1:15" x14ac:dyDescent="0.2">
      <c r="A9">
        <v>0.5</v>
      </c>
      <c r="B9">
        <v>0.5</v>
      </c>
      <c r="C9">
        <v>0.2</v>
      </c>
      <c r="D9">
        <v>0.2</v>
      </c>
      <c r="E9">
        <v>0.5</v>
      </c>
      <c r="F9">
        <v>0.5</v>
      </c>
      <c r="G9">
        <v>0.1</v>
      </c>
      <c r="H9">
        <v>0.1</v>
      </c>
      <c r="I9">
        <v>12</v>
      </c>
      <c r="J9">
        <v>12</v>
      </c>
      <c r="K9">
        <v>24</v>
      </c>
      <c r="L9">
        <v>51.773699999999998</v>
      </c>
      <c r="M9">
        <f t="shared" si="0"/>
        <v>8.3079235880398681</v>
      </c>
    </row>
    <row r="10" spans="1:15" x14ac:dyDescent="0.2">
      <c r="A10">
        <v>0.4</v>
      </c>
      <c r="B10">
        <v>0.4</v>
      </c>
      <c r="C10">
        <v>0.2</v>
      </c>
      <c r="D10">
        <v>0.2</v>
      </c>
      <c r="E10">
        <v>0.4</v>
      </c>
      <c r="F10">
        <v>0.4</v>
      </c>
      <c r="G10">
        <v>0.1</v>
      </c>
      <c r="H10">
        <v>0.1</v>
      </c>
      <c r="I10">
        <v>12</v>
      </c>
      <c r="J10">
        <v>12</v>
      </c>
      <c r="K10">
        <v>24</v>
      </c>
      <c r="L10">
        <v>51.773400000000002</v>
      </c>
      <c r="M10">
        <f t="shared" si="0"/>
        <v>8.3078737541528245</v>
      </c>
    </row>
    <row r="11" spans="1:15" x14ac:dyDescent="0.2">
      <c r="A11">
        <v>0.4</v>
      </c>
      <c r="B11">
        <v>0.4</v>
      </c>
      <c r="C11">
        <v>0.2</v>
      </c>
      <c r="D11">
        <v>0.2</v>
      </c>
      <c r="E11">
        <v>0.4</v>
      </c>
      <c r="F11">
        <v>0.4</v>
      </c>
      <c r="G11">
        <v>0.1</v>
      </c>
      <c r="H11">
        <v>0.1</v>
      </c>
      <c r="I11">
        <v>10</v>
      </c>
      <c r="J11">
        <v>10</v>
      </c>
      <c r="K11">
        <v>18</v>
      </c>
      <c r="L11">
        <v>53.4955</v>
      </c>
      <c r="M11">
        <f t="shared" si="0"/>
        <v>8.5939368770764126</v>
      </c>
    </row>
    <row r="12" spans="1:15" x14ac:dyDescent="0.2">
      <c r="A12">
        <v>0.4</v>
      </c>
      <c r="B12">
        <v>0.4</v>
      </c>
      <c r="C12">
        <v>0.2</v>
      </c>
      <c r="D12">
        <v>0.2</v>
      </c>
      <c r="E12">
        <v>0.4</v>
      </c>
      <c r="F12">
        <v>0.4</v>
      </c>
      <c r="G12">
        <v>0.1</v>
      </c>
      <c r="H12">
        <v>0.1</v>
      </c>
      <c r="I12">
        <v>10</v>
      </c>
      <c r="J12">
        <v>10</v>
      </c>
      <c r="K12">
        <v>10</v>
      </c>
      <c r="L12">
        <v>53.152900000000002</v>
      </c>
      <c r="M12">
        <f t="shared" si="0"/>
        <v>8.5370265780730907</v>
      </c>
    </row>
    <row r="13" spans="1:15" x14ac:dyDescent="0.2">
      <c r="A13">
        <v>0.4</v>
      </c>
      <c r="B13">
        <v>0.4</v>
      </c>
      <c r="C13">
        <v>0.4</v>
      </c>
      <c r="D13">
        <v>0.4</v>
      </c>
      <c r="E13">
        <v>0.4</v>
      </c>
      <c r="F13">
        <v>0.4</v>
      </c>
      <c r="G13">
        <v>0.2</v>
      </c>
      <c r="H13">
        <v>0.2</v>
      </c>
      <c r="I13">
        <v>10</v>
      </c>
      <c r="J13">
        <v>10</v>
      </c>
      <c r="K13">
        <v>20</v>
      </c>
      <c r="L13">
        <v>53.411000000000001</v>
      </c>
      <c r="M13">
        <f t="shared" si="0"/>
        <v>8.5799003322259146</v>
      </c>
    </row>
    <row r="14" spans="1:15" x14ac:dyDescent="0.2">
      <c r="A14">
        <v>0.5</v>
      </c>
      <c r="B14">
        <v>0.5</v>
      </c>
      <c r="C14">
        <v>0.2</v>
      </c>
      <c r="D14">
        <v>0.2</v>
      </c>
      <c r="E14">
        <v>0.5</v>
      </c>
      <c r="F14">
        <v>0.5</v>
      </c>
      <c r="G14">
        <v>0.1</v>
      </c>
      <c r="H14">
        <v>0.1</v>
      </c>
      <c r="I14">
        <v>10</v>
      </c>
      <c r="J14">
        <v>10</v>
      </c>
      <c r="K14">
        <v>36</v>
      </c>
      <c r="L14">
        <v>53.305300000000003</v>
      </c>
      <c r="M14">
        <f t="shared" si="0"/>
        <v>8.5623421926910321</v>
      </c>
    </row>
    <row r="15" spans="1:15" x14ac:dyDescent="0.2">
      <c r="A15">
        <v>0.5</v>
      </c>
      <c r="B15">
        <v>0.5</v>
      </c>
      <c r="C15">
        <v>0.2</v>
      </c>
      <c r="D15">
        <v>0.2</v>
      </c>
      <c r="E15">
        <v>0.5</v>
      </c>
      <c r="F15">
        <v>0.5</v>
      </c>
      <c r="G15">
        <v>0.1</v>
      </c>
      <c r="H15">
        <v>0.1</v>
      </c>
      <c r="I15">
        <v>10</v>
      </c>
      <c r="J15">
        <v>10</v>
      </c>
      <c r="K15">
        <v>18</v>
      </c>
      <c r="L15">
        <v>53.496600000000001</v>
      </c>
      <c r="M15">
        <f t="shared" si="0"/>
        <v>8.5941196013289041</v>
      </c>
    </row>
    <row r="16" spans="1:15" x14ac:dyDescent="0.2">
      <c r="A16">
        <v>0.5</v>
      </c>
      <c r="B16">
        <v>0.5</v>
      </c>
      <c r="C16">
        <v>0.2</v>
      </c>
      <c r="D16">
        <v>0.2</v>
      </c>
      <c r="E16">
        <v>0.5</v>
      </c>
      <c r="F16">
        <v>0.5</v>
      </c>
      <c r="G16">
        <v>0.1</v>
      </c>
      <c r="H16">
        <v>0.1</v>
      </c>
      <c r="I16">
        <v>10</v>
      </c>
      <c r="J16">
        <v>10</v>
      </c>
      <c r="K16">
        <v>16</v>
      </c>
      <c r="L16">
        <v>53.496899999999997</v>
      </c>
      <c r="M16">
        <f t="shared" si="0"/>
        <v>8.5941694352159477</v>
      </c>
    </row>
    <row r="17" spans="1:15" x14ac:dyDescent="0.2">
      <c r="A17">
        <v>0.5</v>
      </c>
      <c r="B17">
        <v>0.5</v>
      </c>
      <c r="C17">
        <v>0.2</v>
      </c>
      <c r="D17">
        <v>0.2</v>
      </c>
      <c r="E17">
        <v>0.5</v>
      </c>
      <c r="F17">
        <v>0.5</v>
      </c>
      <c r="G17">
        <v>0.1</v>
      </c>
      <c r="H17">
        <v>0.1</v>
      </c>
      <c r="I17">
        <v>10</v>
      </c>
      <c r="J17">
        <v>10</v>
      </c>
      <c r="K17">
        <v>14</v>
      </c>
      <c r="L17">
        <v>53.4968</v>
      </c>
      <c r="M17">
        <f t="shared" si="0"/>
        <v>8.5941528239202665</v>
      </c>
    </row>
    <row r="18" spans="1:15" x14ac:dyDescent="0.2">
      <c r="A18">
        <v>0.6</v>
      </c>
      <c r="B18">
        <v>0.6</v>
      </c>
      <c r="C18">
        <v>0.2</v>
      </c>
      <c r="D18">
        <v>0.2</v>
      </c>
      <c r="E18">
        <v>0.6</v>
      </c>
      <c r="F18">
        <v>0.6</v>
      </c>
      <c r="G18">
        <v>0.1</v>
      </c>
      <c r="H18">
        <v>0.1</v>
      </c>
      <c r="I18">
        <v>10</v>
      </c>
      <c r="J18">
        <v>10</v>
      </c>
      <c r="K18">
        <v>14</v>
      </c>
      <c r="L18">
        <v>53.498100000000001</v>
      </c>
      <c r="M18">
        <f t="shared" si="0"/>
        <v>8.5943687707641203</v>
      </c>
    </row>
    <row r="19" spans="1:15" x14ac:dyDescent="0.2">
      <c r="A19">
        <v>0.8</v>
      </c>
      <c r="B19">
        <v>0.8</v>
      </c>
      <c r="C19">
        <v>0.2</v>
      </c>
      <c r="D19">
        <v>0.2</v>
      </c>
      <c r="E19">
        <v>0.8</v>
      </c>
      <c r="F19">
        <v>0.8</v>
      </c>
      <c r="G19">
        <v>0.1</v>
      </c>
      <c r="H19">
        <v>0.1</v>
      </c>
      <c r="I19">
        <v>10</v>
      </c>
      <c r="J19">
        <v>10</v>
      </c>
      <c r="K19">
        <v>14</v>
      </c>
      <c r="L19">
        <v>53.747</v>
      </c>
      <c r="M19">
        <f t="shared" si="0"/>
        <v>8.6357142857142861</v>
      </c>
    </row>
    <row r="20" spans="1:15" x14ac:dyDescent="0.2">
      <c r="A20">
        <v>1</v>
      </c>
      <c r="B20">
        <v>1</v>
      </c>
      <c r="C20">
        <v>0.2</v>
      </c>
      <c r="D20">
        <v>0.2</v>
      </c>
      <c r="E20">
        <v>1</v>
      </c>
      <c r="F20">
        <v>1</v>
      </c>
      <c r="G20">
        <v>0.1</v>
      </c>
      <c r="H20">
        <v>0.1</v>
      </c>
      <c r="I20">
        <v>10</v>
      </c>
      <c r="J20">
        <v>10</v>
      </c>
      <c r="K20">
        <v>14</v>
      </c>
      <c r="L20">
        <v>53.749299999999998</v>
      </c>
      <c r="M20">
        <f t="shared" si="0"/>
        <v>8.6360963455149502</v>
      </c>
    </row>
    <row r="21" spans="1:15" x14ac:dyDescent="0.2">
      <c r="A21">
        <v>1</v>
      </c>
      <c r="B21">
        <v>1</v>
      </c>
      <c r="C21">
        <v>0.4</v>
      </c>
      <c r="D21">
        <v>0.4</v>
      </c>
      <c r="E21">
        <v>1</v>
      </c>
      <c r="F21">
        <v>1</v>
      </c>
      <c r="G21">
        <v>0.2</v>
      </c>
      <c r="H21">
        <v>0.2</v>
      </c>
      <c r="I21">
        <v>10</v>
      </c>
      <c r="J21">
        <v>10</v>
      </c>
      <c r="K21">
        <v>14</v>
      </c>
      <c r="L21">
        <v>53.927500000000002</v>
      </c>
      <c r="M21">
        <f t="shared" si="0"/>
        <v>8.6656976744186061</v>
      </c>
    </row>
    <row r="22" spans="1:15" x14ac:dyDescent="0.2">
      <c r="A22">
        <v>1.2</v>
      </c>
      <c r="B22">
        <v>1.2</v>
      </c>
      <c r="C22">
        <v>0.6</v>
      </c>
      <c r="D22">
        <v>0.6</v>
      </c>
      <c r="E22">
        <v>1.2</v>
      </c>
      <c r="F22">
        <v>1.2</v>
      </c>
      <c r="G22">
        <v>0.3</v>
      </c>
      <c r="H22">
        <v>0.3</v>
      </c>
      <c r="I22">
        <v>10</v>
      </c>
      <c r="J22">
        <v>10</v>
      </c>
      <c r="K22">
        <v>14</v>
      </c>
      <c r="L22">
        <v>54.399799999999999</v>
      </c>
      <c r="M22">
        <f t="shared" si="0"/>
        <v>8.7441528239202668</v>
      </c>
    </row>
    <row r="23" spans="1:15" x14ac:dyDescent="0.2">
      <c r="A23">
        <v>1.4</v>
      </c>
      <c r="B23">
        <v>1.4</v>
      </c>
      <c r="C23">
        <v>0.8</v>
      </c>
      <c r="D23">
        <v>0.8</v>
      </c>
      <c r="E23">
        <v>1.4</v>
      </c>
      <c r="F23">
        <v>1.4</v>
      </c>
      <c r="G23">
        <v>0.4</v>
      </c>
      <c r="H23">
        <v>0.4</v>
      </c>
      <c r="I23">
        <v>10</v>
      </c>
      <c r="J23">
        <v>10</v>
      </c>
      <c r="K23">
        <v>14</v>
      </c>
      <c r="L23">
        <v>54.732100000000003</v>
      </c>
      <c r="M23">
        <f t="shared" si="0"/>
        <v>8.7993521594684392</v>
      </c>
    </row>
    <row r="24" spans="1:15" x14ac:dyDescent="0.2">
      <c r="A24">
        <v>1.6</v>
      </c>
      <c r="B24">
        <v>1.6</v>
      </c>
      <c r="C24">
        <v>0.8</v>
      </c>
      <c r="D24">
        <v>0.8</v>
      </c>
      <c r="E24">
        <v>1.6</v>
      </c>
      <c r="F24">
        <v>1.6</v>
      </c>
      <c r="G24">
        <v>0.4</v>
      </c>
      <c r="H24">
        <v>0.4</v>
      </c>
      <c r="I24">
        <v>10</v>
      </c>
      <c r="J24">
        <v>10</v>
      </c>
      <c r="K24">
        <v>14</v>
      </c>
      <c r="L24">
        <v>55.0764</v>
      </c>
      <c r="M24">
        <f t="shared" si="0"/>
        <v>8.8565448504983397</v>
      </c>
    </row>
    <row r="25" spans="1:15" x14ac:dyDescent="0.2">
      <c r="A25">
        <v>2</v>
      </c>
      <c r="B25">
        <v>2</v>
      </c>
      <c r="C25">
        <v>1.6</v>
      </c>
      <c r="D25">
        <v>1.6</v>
      </c>
      <c r="E25">
        <v>2</v>
      </c>
      <c r="F25">
        <v>2</v>
      </c>
      <c r="G25">
        <v>0.8</v>
      </c>
      <c r="H25">
        <v>0.8</v>
      </c>
      <c r="I25">
        <v>12</v>
      </c>
      <c r="J25">
        <v>12</v>
      </c>
      <c r="K25">
        <v>1</v>
      </c>
      <c r="L25">
        <v>54.3</v>
      </c>
      <c r="M25">
        <f t="shared" si="0"/>
        <v>8.7275747508305646</v>
      </c>
      <c r="N25" t="s">
        <v>60</v>
      </c>
      <c r="O25" t="s">
        <v>60</v>
      </c>
    </row>
    <row r="28" spans="1:15" x14ac:dyDescent="0.2">
      <c r="B28" t="s">
        <v>72</v>
      </c>
    </row>
    <row r="29" spans="1:15" x14ac:dyDescent="0.2">
      <c r="A29">
        <v>0.2</v>
      </c>
      <c r="B29">
        <v>0.2</v>
      </c>
      <c r="C29">
        <v>2.4</v>
      </c>
      <c r="D29">
        <v>2.4</v>
      </c>
      <c r="E29">
        <v>0.2</v>
      </c>
      <c r="F29">
        <v>0.2</v>
      </c>
      <c r="G29">
        <v>2.4</v>
      </c>
      <c r="H29">
        <v>2.4</v>
      </c>
      <c r="I29">
        <v>12</v>
      </c>
      <c r="J29">
        <v>12</v>
      </c>
      <c r="K29">
        <v>0.2</v>
      </c>
      <c r="L29">
        <v>58.097000000000001</v>
      </c>
    </row>
    <row r="32" spans="1:15" x14ac:dyDescent="0.2">
      <c r="B32" t="s">
        <v>73</v>
      </c>
    </row>
    <row r="33" spans="1:25" x14ac:dyDescent="0.2">
      <c r="A33">
        <v>0.2</v>
      </c>
      <c r="B33">
        <v>0.2</v>
      </c>
      <c r="C33">
        <v>2.4</v>
      </c>
      <c r="D33">
        <v>2.4</v>
      </c>
      <c r="E33">
        <v>0.2</v>
      </c>
      <c r="F33">
        <v>0.2</v>
      </c>
      <c r="G33">
        <v>2.4</v>
      </c>
      <c r="H33">
        <v>2.4</v>
      </c>
      <c r="I33">
        <v>12</v>
      </c>
      <c r="J33">
        <v>12</v>
      </c>
      <c r="K33">
        <v>0.2</v>
      </c>
      <c r="L33">
        <v>54.09</v>
      </c>
    </row>
    <row r="34" spans="1:25" x14ac:dyDescent="0.2">
      <c r="A34">
        <v>0.2</v>
      </c>
      <c r="B34">
        <v>0.2</v>
      </c>
      <c r="C34">
        <v>3</v>
      </c>
      <c r="D34">
        <v>3</v>
      </c>
      <c r="E34">
        <v>0.2</v>
      </c>
      <c r="F34">
        <v>0.2</v>
      </c>
      <c r="G34">
        <v>0.3</v>
      </c>
      <c r="H34">
        <v>0.3</v>
      </c>
      <c r="I34">
        <v>13</v>
      </c>
      <c r="J34">
        <v>13</v>
      </c>
      <c r="K34">
        <v>0.2</v>
      </c>
      <c r="L34">
        <v>53.805599999999998</v>
      </c>
      <c r="W34">
        <v>-2.008</v>
      </c>
      <c r="X34">
        <v>5.7960000000000003</v>
      </c>
      <c r="Y34">
        <v>9.1769999999999996</v>
      </c>
    </row>
    <row r="36" spans="1:25" x14ac:dyDescent="0.2">
      <c r="W36">
        <f>W34-X34-Y34</f>
        <v>-16.981000000000002</v>
      </c>
    </row>
    <row r="37" spans="1:25" x14ac:dyDescent="0.2">
      <c r="B37" t="s">
        <v>74</v>
      </c>
    </row>
    <row r="38" spans="1:25" x14ac:dyDescent="0.2">
      <c r="A38">
        <v>0.2</v>
      </c>
      <c r="B38">
        <v>0.2</v>
      </c>
      <c r="C38">
        <v>2.4</v>
      </c>
      <c r="D38">
        <v>2.4</v>
      </c>
      <c r="E38">
        <v>0.2</v>
      </c>
      <c r="F38">
        <v>0.2</v>
      </c>
      <c r="G38">
        <v>2.4</v>
      </c>
      <c r="H38">
        <v>2.4</v>
      </c>
      <c r="I38">
        <v>12</v>
      </c>
      <c r="J38">
        <v>12</v>
      </c>
      <c r="K38">
        <v>0.2</v>
      </c>
      <c r="L38">
        <v>52.573</v>
      </c>
    </row>
    <row r="39" spans="1:25" x14ac:dyDescent="0.2">
      <c r="L39">
        <v>52.659199999999998</v>
      </c>
    </row>
    <row r="41" spans="1:25" x14ac:dyDescent="0.2">
      <c r="L41">
        <v>53.386899999999997</v>
      </c>
      <c r="M41" t="s">
        <v>75</v>
      </c>
    </row>
    <row r="42" spans="1:25" x14ac:dyDescent="0.2">
      <c r="M42" t="s">
        <v>76</v>
      </c>
    </row>
    <row r="43" spans="1:25" x14ac:dyDescent="0.2">
      <c r="L43">
        <v>52.652000000000001</v>
      </c>
      <c r="M43" t="s">
        <v>77</v>
      </c>
    </row>
    <row r="45" spans="1:25" x14ac:dyDescent="0.2">
      <c r="B45" t="s">
        <v>78</v>
      </c>
    </row>
    <row r="46" spans="1:25" x14ac:dyDescent="0.2">
      <c r="L46">
        <v>52.894599999999997</v>
      </c>
    </row>
    <row r="49" spans="1:12" x14ac:dyDescent="0.2">
      <c r="B49" t="s">
        <v>79</v>
      </c>
    </row>
    <row r="50" spans="1:12" x14ac:dyDescent="0.2">
      <c r="A50">
        <v>0.2</v>
      </c>
      <c r="B50">
        <v>0.2</v>
      </c>
      <c r="C50">
        <v>2</v>
      </c>
      <c r="D50">
        <v>2</v>
      </c>
      <c r="E50">
        <v>0.2</v>
      </c>
      <c r="F50">
        <v>0.2</v>
      </c>
      <c r="G50">
        <v>2</v>
      </c>
      <c r="H50">
        <v>2</v>
      </c>
      <c r="I50">
        <v>14</v>
      </c>
      <c r="J50">
        <v>14</v>
      </c>
      <c r="K50">
        <v>0.2</v>
      </c>
      <c r="L50">
        <v>53.972499999999997</v>
      </c>
    </row>
    <row r="52" spans="1:12" x14ac:dyDescent="0.2">
      <c r="A52">
        <v>0.2</v>
      </c>
      <c r="B52">
        <v>0.2</v>
      </c>
      <c r="C52">
        <v>2</v>
      </c>
      <c r="D52">
        <v>2</v>
      </c>
      <c r="E52">
        <v>0.2</v>
      </c>
      <c r="F52">
        <v>0.2</v>
      </c>
      <c r="G52">
        <v>2</v>
      </c>
      <c r="H52">
        <v>2</v>
      </c>
      <c r="I52">
        <v>16</v>
      </c>
      <c r="J52">
        <v>16</v>
      </c>
      <c r="K52">
        <v>0.2</v>
      </c>
      <c r="L52">
        <v>53.748699999999999</v>
      </c>
    </row>
    <row r="54" spans="1:12" x14ac:dyDescent="0.2">
      <c r="A54">
        <v>0.2</v>
      </c>
      <c r="B54">
        <v>0.2</v>
      </c>
      <c r="C54">
        <v>4</v>
      </c>
      <c r="D54">
        <v>4</v>
      </c>
      <c r="E54">
        <v>0.2</v>
      </c>
      <c r="F54">
        <v>0.2</v>
      </c>
      <c r="G54">
        <v>4</v>
      </c>
      <c r="H54">
        <v>4</v>
      </c>
      <c r="I54">
        <v>16</v>
      </c>
      <c r="J54">
        <v>16</v>
      </c>
      <c r="K54">
        <v>0.2</v>
      </c>
      <c r="L54">
        <v>55.118600000000001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AD09-A206-4759-A3F5-537B3D7273C6}">
  <dimension ref="A1:K11"/>
  <sheetViews>
    <sheetView zoomScale="70" zoomScaleNormal="70" workbookViewId="0">
      <selection activeCell="I12" sqref="I12"/>
    </sheetView>
  </sheetViews>
  <sheetFormatPr baseColWidth="10" defaultColWidth="8.83203125" defaultRowHeight="15" x14ac:dyDescent="0.2"/>
  <sheetData>
    <row r="1" spans="1:11" x14ac:dyDescent="0.2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</row>
    <row r="2" spans="1:11" x14ac:dyDescent="0.2">
      <c r="A2" s="2">
        <v>0.1</v>
      </c>
      <c r="B2" s="2">
        <v>0.1</v>
      </c>
      <c r="C2" s="2">
        <v>0.2</v>
      </c>
      <c r="D2" s="2">
        <v>0.2</v>
      </c>
      <c r="E2" s="2">
        <v>0.1</v>
      </c>
      <c r="F2" s="2">
        <v>0.1</v>
      </c>
      <c r="G2" s="2">
        <v>0.1</v>
      </c>
      <c r="H2" s="2">
        <v>0.1</v>
      </c>
      <c r="I2" s="2">
        <v>2</v>
      </c>
      <c r="J2" s="2">
        <v>2</v>
      </c>
      <c r="K2" s="2">
        <v>4</v>
      </c>
    </row>
    <row r="6" spans="1:11" x14ac:dyDescent="0.2">
      <c r="A6" s="2" t="s">
        <v>36</v>
      </c>
      <c r="B6" s="2" t="s">
        <v>37</v>
      </c>
      <c r="C6" s="2" t="s">
        <v>38</v>
      </c>
      <c r="D6" s="2"/>
      <c r="E6" s="2" t="s">
        <v>39</v>
      </c>
    </row>
    <row r="7" spans="1:11" x14ac:dyDescent="0.2">
      <c r="A7" s="3">
        <v>6.3400000000000005E-17</v>
      </c>
      <c r="B7" s="3">
        <v>1.12E-16</v>
      </c>
      <c r="C7" s="3">
        <v>1.49E-15</v>
      </c>
      <c r="D7" s="2"/>
      <c r="E7" s="3">
        <f>SUM(A7:C7)</f>
        <v>1.6654E-15</v>
      </c>
    </row>
    <row r="10" spans="1:11" x14ac:dyDescent="0.2">
      <c r="A10" t="s">
        <v>40</v>
      </c>
      <c r="B10" t="s">
        <v>41</v>
      </c>
      <c r="C10" t="s">
        <v>42</v>
      </c>
      <c r="D10" t="s">
        <v>43</v>
      </c>
      <c r="E10" t="s">
        <v>44</v>
      </c>
      <c r="F10" t="s">
        <v>45</v>
      </c>
      <c r="G10" t="s">
        <v>46</v>
      </c>
      <c r="I10" t="s">
        <v>47</v>
      </c>
    </row>
    <row r="11" spans="1:11" x14ac:dyDescent="0.2">
      <c r="A11" s="1">
        <v>6.8599999999999996E-17</v>
      </c>
      <c r="B11" s="1">
        <v>7.0199999999999999E-17</v>
      </c>
      <c r="C11" s="1">
        <v>7.3699999999999995E-17</v>
      </c>
      <c r="D11" s="1">
        <v>7.8599999999999998E-17</v>
      </c>
      <c r="E11" s="1">
        <v>6.9100000000000004E-17</v>
      </c>
      <c r="F11" s="1">
        <v>1.47E-16</v>
      </c>
      <c r="G11" s="1">
        <v>6.7900000000000004E-17</v>
      </c>
      <c r="I11" s="1">
        <f>SUM(A11:G11)</f>
        <v>5.7510000000000002E-16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SNDR sim</vt:lpstr>
      <vt:lpstr>tran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</dc:creator>
  <cp:lastModifiedBy>Microsoft Office User</cp:lastModifiedBy>
  <dcterms:created xsi:type="dcterms:W3CDTF">2020-03-27T02:14:54Z</dcterms:created>
  <dcterms:modified xsi:type="dcterms:W3CDTF">2020-04-09T05:54:22Z</dcterms:modified>
</cp:coreProperties>
</file>