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Grad School stuff\S20\Digital_IC\ECE725\"/>
    </mc:Choice>
  </mc:AlternateContent>
  <xr:revisionPtr revIDLastSave="0" documentId="13_ncr:1_{D2CD4BC3-7F59-4190-A9B8-178BCD6ED8D7}" xr6:coauthVersionLast="45" xr6:coauthVersionMax="45" xr10:uidLastSave="{00000000-0000-0000-0000-000000000000}"/>
  <bookViews>
    <workbookView xWindow="3295" yWindow="0" windowWidth="14250" windowHeight="7470" xr2:uid="{2CB1362F-ACA9-48D4-AFEA-23BD9C03D6CB}"/>
  </bookViews>
  <sheets>
    <sheet name="Model" sheetId="2" r:id="rId1"/>
    <sheet name="SNDR sim" sheetId="1" r:id="rId2"/>
    <sheet name="tr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R2" i="2"/>
  <c r="B5" i="2"/>
  <c r="B22" i="2"/>
  <c r="M25" i="1"/>
  <c r="B8" i="2"/>
  <c r="I2" i="2"/>
  <c r="C18" i="2"/>
  <c r="B18" i="2"/>
  <c r="C17" i="2"/>
  <c r="B16" i="2"/>
  <c r="B13" i="2"/>
  <c r="I11" i="3"/>
  <c r="E7" i="3"/>
  <c r="Q2" i="2"/>
  <c r="B10" i="2"/>
  <c r="C9" i="2" s="1"/>
  <c r="P2" i="2"/>
  <c r="C6" i="2" s="1"/>
  <c r="B7" i="2"/>
  <c r="M24" i="1"/>
  <c r="M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B14" i="2" l="1"/>
  <c r="B15" i="2" s="1"/>
  <c r="B12" i="2"/>
  <c r="B17" i="2"/>
  <c r="B9" i="2"/>
  <c r="B11" i="2" s="1"/>
</calcChain>
</file>

<file path=xl/sharedStrings.xml><?xml version="1.0" encoding="utf-8"?>
<sst xmlns="http://schemas.openxmlformats.org/spreadsheetml/2006/main" count="79" uniqueCount="64">
  <si>
    <t>sndr</t>
  </si>
  <si>
    <t>s1</t>
  </si>
  <si>
    <t>s3</t>
  </si>
  <si>
    <t>m5</t>
  </si>
  <si>
    <t>m6</t>
  </si>
  <si>
    <t>s4</t>
  </si>
  <si>
    <t>s2</t>
  </si>
  <si>
    <t>m3</t>
  </si>
  <si>
    <t>m4</t>
  </si>
  <si>
    <t>m1</t>
  </si>
  <si>
    <t>m2</t>
  </si>
  <si>
    <t>m7</t>
  </si>
  <si>
    <t>ENOB</t>
  </si>
  <si>
    <t>Vcm</t>
  </si>
  <si>
    <t>Av</t>
  </si>
  <si>
    <t>Vthn</t>
  </si>
  <si>
    <t>Icm</t>
  </si>
  <si>
    <t>tau</t>
  </si>
  <si>
    <t>Cx,y</t>
  </si>
  <si>
    <t>gm3,4</t>
  </si>
  <si>
    <t>gm1,2</t>
  </si>
  <si>
    <t>Cp,q</t>
  </si>
  <si>
    <t>p</t>
  </si>
  <si>
    <t>fck</t>
  </si>
  <si>
    <t>vdd</t>
  </si>
  <si>
    <t>FMAX</t>
  </si>
  <si>
    <t>gamma</t>
  </si>
  <si>
    <t>boltzmann</t>
  </si>
  <si>
    <t>vid_min</t>
  </si>
  <si>
    <t>T_max</t>
  </si>
  <si>
    <t>Temp</t>
  </si>
  <si>
    <t>Vfs</t>
  </si>
  <si>
    <t>P_meta</t>
  </si>
  <si>
    <t>calc</t>
  </si>
  <si>
    <t>target</t>
  </si>
  <si>
    <t>gm1,2_calc</t>
  </si>
  <si>
    <t>m12_d</t>
  </si>
  <si>
    <t>m5_s</t>
  </si>
  <si>
    <t>m11_d</t>
  </si>
  <si>
    <t>C_p</t>
  </si>
  <si>
    <t>m0_d</t>
  </si>
  <si>
    <t>m7_d</t>
  </si>
  <si>
    <t>m5_d</t>
  </si>
  <si>
    <t>m6_g</t>
  </si>
  <si>
    <t>m4_g</t>
  </si>
  <si>
    <t>m0_g</t>
  </si>
  <si>
    <t>m1_g</t>
  </si>
  <si>
    <t>C_X</t>
  </si>
  <si>
    <t>Fmax_meta</t>
  </si>
  <si>
    <t>FMAX_noise</t>
  </si>
  <si>
    <t>Power</t>
  </si>
  <si>
    <t>J/s</t>
  </si>
  <si>
    <t>fs</t>
  </si>
  <si>
    <t>J/sample</t>
  </si>
  <si>
    <t>J/conv step</t>
  </si>
  <si>
    <t>LSB (V)</t>
  </si>
  <si>
    <t>vid_max</t>
  </si>
  <si>
    <t>Vn^2</t>
  </si>
  <si>
    <t>Vgs</t>
  </si>
  <si>
    <t>sigma^2+2kt/C</t>
  </si>
  <si>
    <t>15G</t>
  </si>
  <si>
    <t>2G</t>
  </si>
  <si>
    <t>sigma_erf</t>
  </si>
  <si>
    <t>sigma^2_erf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</si>
</sst>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2" fontId="0" fillId="0" borderId="1" xfId="0" applyNumberFormat="1" applyBorder="1"/>
    <xf numFmtId="0" fontId="0" fillId="0" borderId="2" xfId="0" applyFill="1" applyBorder="1"/>
    <xf numFmtId="0" fontId="2" fillId="0" borderId="1" xfId="1" applyNumberFormat="1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6E93-05FB-40DC-85F9-46A7B1BA943B}">
  <dimension ref="A1:R22"/>
  <sheetViews>
    <sheetView tabSelected="1" zoomScale="55" zoomScaleNormal="55" workbookViewId="0">
      <selection activeCell="I7" sqref="I7"/>
    </sheetView>
  </sheetViews>
  <sheetFormatPr defaultRowHeight="14.75" x14ac:dyDescent="0.75"/>
  <cols>
    <col min="1" max="1" width="13.40625" customWidth="1"/>
    <col min="2" max="2" width="11.1796875" customWidth="1"/>
    <col min="3" max="3" width="9.6328125" bestFit="1" customWidth="1"/>
    <col min="6" max="6" width="11.6328125" bestFit="1" customWidth="1"/>
    <col min="11" max="11" width="9.81640625" customWidth="1"/>
  </cols>
  <sheetData>
    <row r="1" spans="1:18" x14ac:dyDescent="0.75">
      <c r="A1" s="2" t="s">
        <v>35</v>
      </c>
      <c r="B1" s="2" t="s">
        <v>20</v>
      </c>
      <c r="C1" s="2" t="s">
        <v>19</v>
      </c>
      <c r="D1" s="2" t="s">
        <v>15</v>
      </c>
      <c r="E1" s="2" t="s">
        <v>31</v>
      </c>
      <c r="F1" s="2" t="s">
        <v>13</v>
      </c>
      <c r="G1" s="5" t="s">
        <v>58</v>
      </c>
      <c r="H1" s="2" t="s">
        <v>16</v>
      </c>
      <c r="I1" s="2" t="s">
        <v>21</v>
      </c>
      <c r="J1" s="2" t="s">
        <v>18</v>
      </c>
      <c r="K1" s="2" t="s">
        <v>23</v>
      </c>
      <c r="L1" s="2" t="s">
        <v>24</v>
      </c>
      <c r="M1" s="2" t="s">
        <v>26</v>
      </c>
      <c r="N1" s="2" t="s">
        <v>27</v>
      </c>
      <c r="O1" s="2" t="s">
        <v>30</v>
      </c>
      <c r="P1" s="2" t="s">
        <v>29</v>
      </c>
      <c r="Q1" s="2" t="s">
        <v>55</v>
      </c>
      <c r="R1" s="2" t="s">
        <v>52</v>
      </c>
    </row>
    <row r="2" spans="1:18" x14ac:dyDescent="0.75">
      <c r="A2" s="2"/>
      <c r="B2" s="3">
        <v>2.2000000000000001E-3</v>
      </c>
      <c r="C2" s="3">
        <v>5.0000000000000002E-5</v>
      </c>
      <c r="D2" s="2">
        <v>0.42</v>
      </c>
      <c r="E2" s="2">
        <v>0.9</v>
      </c>
      <c r="F2" s="2">
        <v>0.5</v>
      </c>
      <c r="G2" s="5">
        <v>0.6</v>
      </c>
      <c r="H2" s="3">
        <v>1.13E-4</v>
      </c>
      <c r="I2" s="3">
        <f>0.00000000000000167+0.00000000000002</f>
        <v>2.1670000000000001E-14</v>
      </c>
      <c r="J2" s="3">
        <v>5.7499999999999998E-16</v>
      </c>
      <c r="K2" s="3">
        <v>1000000000</v>
      </c>
      <c r="L2" s="2">
        <v>0.9</v>
      </c>
      <c r="M2" s="4">
        <v>0.66</v>
      </c>
      <c r="N2" s="3">
        <v>1.3800000000000001E-23</v>
      </c>
      <c r="O2" s="3">
        <v>300</v>
      </c>
      <c r="P2" s="3">
        <f>1/(2*K2)</f>
        <v>5.0000000000000003E-10</v>
      </c>
      <c r="Q2" s="2">
        <f>E2/2^10</f>
        <v>8.7890625000000002E-4</v>
      </c>
      <c r="R2" s="3">
        <f>K2/10</f>
        <v>100000000</v>
      </c>
    </row>
    <row r="4" spans="1:18" x14ac:dyDescent="0.75">
      <c r="A4" s="2"/>
      <c r="B4" s="2" t="s">
        <v>33</v>
      </c>
      <c r="C4" s="2" t="s">
        <v>34</v>
      </c>
    </row>
    <row r="5" spans="1:18" x14ac:dyDescent="0.75">
      <c r="A5" s="2" t="s">
        <v>14</v>
      </c>
      <c r="B5" s="4">
        <f>B2*D2/H2</f>
        <v>8.176991150442479</v>
      </c>
      <c r="C5" s="2"/>
    </row>
    <row r="6" spans="1:18" x14ac:dyDescent="0.75">
      <c r="A6" s="2" t="s">
        <v>17</v>
      </c>
      <c r="B6" s="3">
        <f>J2/(C2*(1-J2/I2))</f>
        <v>1.181346290590187E-11</v>
      </c>
      <c r="C6" s="3">
        <f>P2/20</f>
        <v>2.5000000000000001E-11</v>
      </c>
      <c r="E6">
        <v>0.1</v>
      </c>
    </row>
    <row r="7" spans="1:18" x14ac:dyDescent="0.75">
      <c r="A7" s="2" t="s">
        <v>22</v>
      </c>
      <c r="B7" s="3">
        <f>K2*(2*I2+J2)*L2^2</f>
        <v>3.5571150000000006E-5</v>
      </c>
      <c r="C7" s="2"/>
    </row>
    <row r="8" spans="1:18" x14ac:dyDescent="0.75">
      <c r="A8" s="2" t="s">
        <v>49</v>
      </c>
      <c r="B8" s="3">
        <f>10/(2*PI()*B6)</f>
        <v>134723361269.77922</v>
      </c>
      <c r="C8" s="2"/>
    </row>
    <row r="9" spans="1:18" x14ac:dyDescent="0.75">
      <c r="A9" s="2" t="s">
        <v>28</v>
      </c>
      <c r="B9" s="3">
        <f>L2/(B5*(EXP(P2/B6)))</f>
        <v>4.5741682919312107E-20</v>
      </c>
      <c r="C9" s="3">
        <f>C11*B10</f>
        <v>9.0000000000000012E-9</v>
      </c>
    </row>
    <row r="10" spans="1:18" x14ac:dyDescent="0.75">
      <c r="A10" s="2" t="s">
        <v>56</v>
      </c>
      <c r="B10" s="2">
        <f>E2</f>
        <v>0.9</v>
      </c>
      <c r="C10" s="2"/>
    </row>
    <row r="11" spans="1:18" x14ac:dyDescent="0.75">
      <c r="A11" s="2" t="s">
        <v>32</v>
      </c>
      <c r="B11" s="3">
        <f>B9/B10</f>
        <v>5.0824092132569004E-20</v>
      </c>
      <c r="C11" s="3">
        <v>1E-8</v>
      </c>
    </row>
    <row r="12" spans="1:18" x14ac:dyDescent="0.75">
      <c r="A12" s="2" t="s">
        <v>48</v>
      </c>
      <c r="B12" s="3">
        <f>-1/(LN((C11*B10*B5)/L2)*B6)</f>
        <v>5187041808.4791737</v>
      </c>
      <c r="C12" s="2"/>
    </row>
    <row r="13" spans="1:18" x14ac:dyDescent="0.75">
      <c r="A13" s="2" t="s">
        <v>50</v>
      </c>
      <c r="B13" s="3">
        <f>K2*(2*I2+J2)*L2^2</f>
        <v>3.5571150000000006E-5</v>
      </c>
      <c r="C13" s="2" t="s">
        <v>51</v>
      </c>
    </row>
    <row r="14" spans="1:18" x14ac:dyDescent="0.75">
      <c r="A14" s="2" t="s">
        <v>50</v>
      </c>
      <c r="B14" s="3">
        <f>B13/R2</f>
        <v>3.5571150000000006E-13</v>
      </c>
      <c r="C14" s="2" t="s">
        <v>53</v>
      </c>
      <c r="G14" s="1"/>
    </row>
    <row r="15" spans="1:18" x14ac:dyDescent="0.75">
      <c r="A15" s="2" t="s">
        <v>50</v>
      </c>
      <c r="B15" s="3">
        <f>B14/10</f>
        <v>3.5571150000000008E-14</v>
      </c>
      <c r="C15" s="2" t="s">
        <v>54</v>
      </c>
    </row>
    <row r="16" spans="1:18" x14ac:dyDescent="0.75">
      <c r="A16" s="6" t="s">
        <v>59</v>
      </c>
      <c r="B16" s="3">
        <f>8*N2*O2*M2*B2*D2/(I2*H2)+2*N2*O2/(I2)</f>
        <v>8.6304792319221143E-6</v>
      </c>
      <c r="C16" s="2"/>
    </row>
    <row r="17" spans="1:3" x14ac:dyDescent="0.75">
      <c r="A17" s="7" t="s">
        <v>57</v>
      </c>
      <c r="B17" s="3">
        <f>B16/(B5^2)</f>
        <v>1.2907670081193832E-7</v>
      </c>
      <c r="C17" s="2">
        <f>Q2/6</f>
        <v>1.4648437499999999E-4</v>
      </c>
    </row>
    <row r="18" spans="1:3" x14ac:dyDescent="0.75">
      <c r="A18" s="7" t="s">
        <v>57</v>
      </c>
      <c r="B18" s="3">
        <f>((G2-D2)/D2)*((4*N2*O2*M2/I2)+((G2-D2)/D2)*(N2*O2/(2*I2)))</f>
        <v>2.3370181667498563E-7</v>
      </c>
      <c r="C18" s="2">
        <f>(0.00047)^2</f>
        <v>2.209E-7</v>
      </c>
    </row>
    <row r="19" spans="1:3" x14ac:dyDescent="0.75">
      <c r="A19" s="2"/>
      <c r="B19" s="2"/>
      <c r="C19" s="2"/>
    </row>
    <row r="21" spans="1:3" x14ac:dyDescent="0.75">
      <c r="A21" t="s">
        <v>62</v>
      </c>
      <c r="B21" s="1">
        <v>4.0000000000000002E-4</v>
      </c>
      <c r="C21" s="1"/>
    </row>
    <row r="22" spans="1:3" x14ac:dyDescent="0.75">
      <c r="A22" t="s">
        <v>63</v>
      </c>
      <c r="B22" s="1">
        <f>B21^2</f>
        <v>1.6E-7</v>
      </c>
    </row>
  </sheetData>
  <conditionalFormatting sqref="B11">
    <cfRule type="cellIs" dxfId="1" priority="1" operator="greaterThan">
      <formula>$C$11</formula>
    </cfRule>
    <cfRule type="cellIs" dxfId="0" priority="2" operator="lessThan">
      <formula>$C$11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7737-4689-4D57-98F3-165EFA539F96}">
  <dimension ref="A1:O25"/>
  <sheetViews>
    <sheetView zoomScale="40" zoomScaleNormal="40" workbookViewId="0">
      <selection activeCell="O3" sqref="O3"/>
    </sheetView>
  </sheetViews>
  <sheetFormatPr defaultRowHeight="14.75" x14ac:dyDescent="0.75"/>
  <sheetData>
    <row r="1" spans="1:15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0</v>
      </c>
      <c r="M1" t="s">
        <v>12</v>
      </c>
      <c r="O1" t="s">
        <v>25</v>
      </c>
    </row>
    <row r="2" spans="1:15" x14ac:dyDescent="0.75">
      <c r="A2">
        <v>0.1</v>
      </c>
      <c r="B2">
        <v>0.1</v>
      </c>
      <c r="C2">
        <v>0.2</v>
      </c>
      <c r="D2">
        <v>0.2</v>
      </c>
      <c r="E2">
        <v>0.1</v>
      </c>
      <c r="F2">
        <v>0.1</v>
      </c>
      <c r="G2">
        <v>0.1</v>
      </c>
      <c r="H2">
        <v>0.1</v>
      </c>
      <c r="I2">
        <v>8</v>
      </c>
      <c r="J2">
        <v>8</v>
      </c>
      <c r="K2">
        <v>16</v>
      </c>
      <c r="L2">
        <v>52.803400000000003</v>
      </c>
      <c r="M2">
        <f>(L2-1.76)/6.02</f>
        <v>8.4789700996677748</v>
      </c>
      <c r="O2" t="s">
        <v>61</v>
      </c>
    </row>
    <row r="3" spans="1:15" x14ac:dyDescent="0.7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  <c r="G3">
        <v>0.1</v>
      </c>
      <c r="H3">
        <v>0.1</v>
      </c>
      <c r="I3">
        <v>8</v>
      </c>
      <c r="J3">
        <v>8</v>
      </c>
      <c r="K3">
        <v>16</v>
      </c>
      <c r="L3">
        <v>52.935499999999998</v>
      </c>
      <c r="M3">
        <f t="shared" ref="M3:M30" si="0">(L3-1.76)/6.02</f>
        <v>8.500913621262459</v>
      </c>
    </row>
    <row r="4" spans="1:15" x14ac:dyDescent="0.75">
      <c r="A4">
        <v>0.4</v>
      </c>
      <c r="B4">
        <v>0.4</v>
      </c>
      <c r="C4">
        <v>0.4</v>
      </c>
      <c r="D4">
        <v>0.4</v>
      </c>
      <c r="E4">
        <v>0.4</v>
      </c>
      <c r="F4">
        <v>0.4</v>
      </c>
      <c r="G4">
        <v>0.2</v>
      </c>
      <c r="H4">
        <v>0.2</v>
      </c>
      <c r="I4">
        <v>16</v>
      </c>
      <c r="J4">
        <v>16</v>
      </c>
      <c r="K4">
        <v>32</v>
      </c>
      <c r="L4">
        <v>48.690899999999999</v>
      </c>
      <c r="M4">
        <f t="shared" si="0"/>
        <v>7.7958305647840538</v>
      </c>
    </row>
    <row r="5" spans="1:15" x14ac:dyDescent="0.75">
      <c r="A5">
        <v>0.2</v>
      </c>
      <c r="B5">
        <v>0.2</v>
      </c>
      <c r="C5">
        <v>0.2</v>
      </c>
      <c r="D5">
        <v>0.2</v>
      </c>
      <c r="E5">
        <v>0.2</v>
      </c>
      <c r="F5">
        <v>0.2</v>
      </c>
      <c r="G5">
        <v>0.1</v>
      </c>
      <c r="H5">
        <v>0.1</v>
      </c>
      <c r="I5">
        <v>16</v>
      </c>
      <c r="J5">
        <v>16</v>
      </c>
      <c r="K5">
        <v>32</v>
      </c>
      <c r="L5">
        <v>48.335099999999997</v>
      </c>
      <c r="M5">
        <f t="shared" si="0"/>
        <v>7.7367275747508311</v>
      </c>
    </row>
    <row r="6" spans="1:15" x14ac:dyDescent="0.75">
      <c r="A6">
        <v>0.2</v>
      </c>
      <c r="B6">
        <v>0.2</v>
      </c>
      <c r="C6">
        <v>0.2</v>
      </c>
      <c r="D6">
        <v>0.2</v>
      </c>
      <c r="E6">
        <v>0.2</v>
      </c>
      <c r="F6">
        <v>0.2</v>
      </c>
      <c r="G6">
        <v>0.1</v>
      </c>
      <c r="H6">
        <v>0.1</v>
      </c>
      <c r="I6">
        <v>10</v>
      </c>
      <c r="J6">
        <v>10</v>
      </c>
      <c r="K6">
        <v>20</v>
      </c>
      <c r="L6">
        <v>52.605200000000004</v>
      </c>
      <c r="M6">
        <f t="shared" si="0"/>
        <v>8.4460465116279089</v>
      </c>
    </row>
    <row r="7" spans="1:15" x14ac:dyDescent="0.75">
      <c r="A7">
        <v>0.2</v>
      </c>
      <c r="B7">
        <v>0.2</v>
      </c>
      <c r="C7">
        <v>0.2</v>
      </c>
      <c r="D7">
        <v>0.2</v>
      </c>
      <c r="E7">
        <v>0.2</v>
      </c>
      <c r="F7">
        <v>0.2</v>
      </c>
      <c r="G7">
        <v>0.1</v>
      </c>
      <c r="H7">
        <v>0.1</v>
      </c>
      <c r="I7">
        <v>10</v>
      </c>
      <c r="J7">
        <v>10</v>
      </c>
      <c r="K7">
        <v>16</v>
      </c>
      <c r="L7">
        <v>52.847499999999997</v>
      </c>
      <c r="M7">
        <f t="shared" si="0"/>
        <v>8.4862956810631225</v>
      </c>
    </row>
    <row r="8" spans="1:15" x14ac:dyDescent="0.75">
      <c r="A8">
        <v>0.4</v>
      </c>
      <c r="B8">
        <v>0.4</v>
      </c>
      <c r="C8">
        <v>0.2</v>
      </c>
      <c r="D8">
        <v>0.2</v>
      </c>
      <c r="E8">
        <v>0.4</v>
      </c>
      <c r="F8">
        <v>0.4</v>
      </c>
      <c r="G8">
        <v>0.1</v>
      </c>
      <c r="H8">
        <v>0.1</v>
      </c>
      <c r="I8">
        <v>10</v>
      </c>
      <c r="J8">
        <v>10</v>
      </c>
      <c r="K8">
        <v>20</v>
      </c>
      <c r="L8">
        <v>53.495399999999997</v>
      </c>
      <c r="M8">
        <f t="shared" si="0"/>
        <v>8.5939202657807314</v>
      </c>
    </row>
    <row r="9" spans="1:15" x14ac:dyDescent="0.75">
      <c r="A9">
        <v>0.5</v>
      </c>
      <c r="B9">
        <v>0.5</v>
      </c>
      <c r="C9">
        <v>0.2</v>
      </c>
      <c r="D9">
        <v>0.2</v>
      </c>
      <c r="E9">
        <v>0.5</v>
      </c>
      <c r="F9">
        <v>0.5</v>
      </c>
      <c r="G9">
        <v>0.1</v>
      </c>
      <c r="H9">
        <v>0.1</v>
      </c>
      <c r="I9">
        <v>12</v>
      </c>
      <c r="J9">
        <v>12</v>
      </c>
      <c r="K9">
        <v>24</v>
      </c>
      <c r="L9">
        <v>51.773699999999998</v>
      </c>
      <c r="M9">
        <f t="shared" si="0"/>
        <v>8.3079235880398681</v>
      </c>
    </row>
    <row r="10" spans="1:15" x14ac:dyDescent="0.75">
      <c r="A10">
        <v>0.4</v>
      </c>
      <c r="B10">
        <v>0.4</v>
      </c>
      <c r="C10">
        <v>0.2</v>
      </c>
      <c r="D10">
        <v>0.2</v>
      </c>
      <c r="E10">
        <v>0.4</v>
      </c>
      <c r="F10">
        <v>0.4</v>
      </c>
      <c r="G10">
        <v>0.1</v>
      </c>
      <c r="H10">
        <v>0.1</v>
      </c>
      <c r="I10">
        <v>12</v>
      </c>
      <c r="J10">
        <v>12</v>
      </c>
      <c r="K10">
        <v>24</v>
      </c>
      <c r="L10">
        <v>51.773400000000002</v>
      </c>
      <c r="M10">
        <f t="shared" si="0"/>
        <v>8.3078737541528245</v>
      </c>
    </row>
    <row r="11" spans="1:15" x14ac:dyDescent="0.75">
      <c r="A11">
        <v>0.4</v>
      </c>
      <c r="B11">
        <v>0.4</v>
      </c>
      <c r="C11">
        <v>0.2</v>
      </c>
      <c r="D11">
        <v>0.2</v>
      </c>
      <c r="E11">
        <v>0.4</v>
      </c>
      <c r="F11">
        <v>0.4</v>
      </c>
      <c r="G11">
        <v>0.1</v>
      </c>
      <c r="H11">
        <v>0.1</v>
      </c>
      <c r="I11">
        <v>10</v>
      </c>
      <c r="J11">
        <v>10</v>
      </c>
      <c r="K11">
        <v>18</v>
      </c>
      <c r="L11">
        <v>53.4955</v>
      </c>
      <c r="M11">
        <f t="shared" si="0"/>
        <v>8.5939368770764126</v>
      </c>
    </row>
    <row r="12" spans="1:15" x14ac:dyDescent="0.75">
      <c r="A12">
        <v>0.4</v>
      </c>
      <c r="B12">
        <v>0.4</v>
      </c>
      <c r="C12">
        <v>0.2</v>
      </c>
      <c r="D12">
        <v>0.2</v>
      </c>
      <c r="E12">
        <v>0.4</v>
      </c>
      <c r="F12">
        <v>0.4</v>
      </c>
      <c r="G12">
        <v>0.1</v>
      </c>
      <c r="H12">
        <v>0.1</v>
      </c>
      <c r="I12">
        <v>10</v>
      </c>
      <c r="J12">
        <v>10</v>
      </c>
      <c r="K12">
        <v>10</v>
      </c>
      <c r="L12">
        <v>53.152900000000002</v>
      </c>
      <c r="M12">
        <f t="shared" si="0"/>
        <v>8.5370265780730907</v>
      </c>
    </row>
    <row r="13" spans="1:15" x14ac:dyDescent="0.75">
      <c r="A13">
        <v>0.4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0.2</v>
      </c>
      <c r="H13">
        <v>0.2</v>
      </c>
      <c r="I13">
        <v>10</v>
      </c>
      <c r="J13">
        <v>10</v>
      </c>
      <c r="K13">
        <v>20</v>
      </c>
      <c r="L13">
        <v>53.411000000000001</v>
      </c>
      <c r="M13">
        <f t="shared" si="0"/>
        <v>8.5799003322259146</v>
      </c>
    </row>
    <row r="14" spans="1:15" x14ac:dyDescent="0.75">
      <c r="A14">
        <v>0.5</v>
      </c>
      <c r="B14">
        <v>0.5</v>
      </c>
      <c r="C14">
        <v>0.2</v>
      </c>
      <c r="D14">
        <v>0.2</v>
      </c>
      <c r="E14">
        <v>0.5</v>
      </c>
      <c r="F14">
        <v>0.5</v>
      </c>
      <c r="G14">
        <v>0.1</v>
      </c>
      <c r="H14">
        <v>0.1</v>
      </c>
      <c r="I14">
        <v>10</v>
      </c>
      <c r="J14">
        <v>10</v>
      </c>
      <c r="K14">
        <v>36</v>
      </c>
      <c r="L14">
        <v>53.305300000000003</v>
      </c>
      <c r="M14">
        <f t="shared" si="0"/>
        <v>8.5623421926910321</v>
      </c>
    </row>
    <row r="15" spans="1:15" x14ac:dyDescent="0.75">
      <c r="A15">
        <v>0.5</v>
      </c>
      <c r="B15">
        <v>0.5</v>
      </c>
      <c r="C15">
        <v>0.2</v>
      </c>
      <c r="D15">
        <v>0.2</v>
      </c>
      <c r="E15">
        <v>0.5</v>
      </c>
      <c r="F15">
        <v>0.5</v>
      </c>
      <c r="G15">
        <v>0.1</v>
      </c>
      <c r="H15">
        <v>0.1</v>
      </c>
      <c r="I15">
        <v>10</v>
      </c>
      <c r="J15">
        <v>10</v>
      </c>
      <c r="K15">
        <v>18</v>
      </c>
      <c r="L15">
        <v>53.496600000000001</v>
      </c>
      <c r="M15">
        <f t="shared" si="0"/>
        <v>8.5941196013289041</v>
      </c>
    </row>
    <row r="16" spans="1:15" x14ac:dyDescent="0.75">
      <c r="A16">
        <v>0.5</v>
      </c>
      <c r="B16">
        <v>0.5</v>
      </c>
      <c r="C16">
        <v>0.2</v>
      </c>
      <c r="D16">
        <v>0.2</v>
      </c>
      <c r="E16">
        <v>0.5</v>
      </c>
      <c r="F16">
        <v>0.5</v>
      </c>
      <c r="G16">
        <v>0.1</v>
      </c>
      <c r="H16">
        <v>0.1</v>
      </c>
      <c r="I16">
        <v>10</v>
      </c>
      <c r="J16">
        <v>10</v>
      </c>
      <c r="K16">
        <v>16</v>
      </c>
      <c r="L16">
        <v>53.496899999999997</v>
      </c>
      <c r="M16">
        <f t="shared" si="0"/>
        <v>8.5941694352159477</v>
      </c>
    </row>
    <row r="17" spans="1:15" x14ac:dyDescent="0.75">
      <c r="A17">
        <v>0.5</v>
      </c>
      <c r="B17">
        <v>0.5</v>
      </c>
      <c r="C17">
        <v>0.2</v>
      </c>
      <c r="D17">
        <v>0.2</v>
      </c>
      <c r="E17">
        <v>0.5</v>
      </c>
      <c r="F17">
        <v>0.5</v>
      </c>
      <c r="G17">
        <v>0.1</v>
      </c>
      <c r="H17">
        <v>0.1</v>
      </c>
      <c r="I17">
        <v>10</v>
      </c>
      <c r="J17">
        <v>10</v>
      </c>
      <c r="K17">
        <v>14</v>
      </c>
      <c r="L17">
        <v>53.4968</v>
      </c>
      <c r="M17">
        <f t="shared" si="0"/>
        <v>8.5941528239202665</v>
      </c>
    </row>
    <row r="18" spans="1:15" x14ac:dyDescent="0.75">
      <c r="A18">
        <v>0.6</v>
      </c>
      <c r="B18">
        <v>0.6</v>
      </c>
      <c r="C18">
        <v>0.2</v>
      </c>
      <c r="D18">
        <v>0.2</v>
      </c>
      <c r="E18">
        <v>0.6</v>
      </c>
      <c r="F18">
        <v>0.6</v>
      </c>
      <c r="G18">
        <v>0.1</v>
      </c>
      <c r="H18">
        <v>0.1</v>
      </c>
      <c r="I18">
        <v>10</v>
      </c>
      <c r="J18">
        <v>10</v>
      </c>
      <c r="K18">
        <v>14</v>
      </c>
      <c r="L18">
        <v>53.498100000000001</v>
      </c>
      <c r="M18">
        <f t="shared" si="0"/>
        <v>8.5943687707641203</v>
      </c>
    </row>
    <row r="19" spans="1:15" x14ac:dyDescent="0.75">
      <c r="A19">
        <v>0.8</v>
      </c>
      <c r="B19">
        <v>0.8</v>
      </c>
      <c r="C19">
        <v>0.2</v>
      </c>
      <c r="D19">
        <v>0.2</v>
      </c>
      <c r="E19">
        <v>0.8</v>
      </c>
      <c r="F19">
        <v>0.8</v>
      </c>
      <c r="G19">
        <v>0.1</v>
      </c>
      <c r="H19">
        <v>0.1</v>
      </c>
      <c r="I19">
        <v>10</v>
      </c>
      <c r="J19">
        <v>10</v>
      </c>
      <c r="K19">
        <v>14</v>
      </c>
      <c r="L19">
        <v>53.747</v>
      </c>
      <c r="M19">
        <f t="shared" si="0"/>
        <v>8.6357142857142861</v>
      </c>
    </row>
    <row r="20" spans="1:15" x14ac:dyDescent="0.75">
      <c r="A20">
        <v>1</v>
      </c>
      <c r="B20">
        <v>1</v>
      </c>
      <c r="C20">
        <v>0.2</v>
      </c>
      <c r="D20">
        <v>0.2</v>
      </c>
      <c r="E20">
        <v>1</v>
      </c>
      <c r="F20">
        <v>1</v>
      </c>
      <c r="G20">
        <v>0.1</v>
      </c>
      <c r="H20">
        <v>0.1</v>
      </c>
      <c r="I20">
        <v>10</v>
      </c>
      <c r="J20">
        <v>10</v>
      </c>
      <c r="K20">
        <v>14</v>
      </c>
      <c r="L20">
        <v>53.749299999999998</v>
      </c>
      <c r="M20">
        <f t="shared" si="0"/>
        <v>8.6360963455149502</v>
      </c>
    </row>
    <row r="21" spans="1:15" x14ac:dyDescent="0.75">
      <c r="A21">
        <v>1</v>
      </c>
      <c r="B21">
        <v>1</v>
      </c>
      <c r="C21">
        <v>0.4</v>
      </c>
      <c r="D21">
        <v>0.4</v>
      </c>
      <c r="E21">
        <v>1</v>
      </c>
      <c r="F21">
        <v>1</v>
      </c>
      <c r="G21">
        <v>0.2</v>
      </c>
      <c r="H21">
        <v>0.2</v>
      </c>
      <c r="I21">
        <v>10</v>
      </c>
      <c r="J21">
        <v>10</v>
      </c>
      <c r="K21">
        <v>14</v>
      </c>
      <c r="L21">
        <v>53.927500000000002</v>
      </c>
      <c r="M21">
        <f t="shared" si="0"/>
        <v>8.6656976744186061</v>
      </c>
    </row>
    <row r="22" spans="1:15" x14ac:dyDescent="0.75">
      <c r="A22">
        <v>1.2</v>
      </c>
      <c r="B22">
        <v>1.2</v>
      </c>
      <c r="C22">
        <v>0.6</v>
      </c>
      <c r="D22">
        <v>0.6</v>
      </c>
      <c r="E22">
        <v>1.2</v>
      </c>
      <c r="F22">
        <v>1.2</v>
      </c>
      <c r="G22">
        <v>0.3</v>
      </c>
      <c r="H22">
        <v>0.3</v>
      </c>
      <c r="I22">
        <v>10</v>
      </c>
      <c r="J22">
        <v>10</v>
      </c>
      <c r="K22">
        <v>14</v>
      </c>
      <c r="L22">
        <v>54.399799999999999</v>
      </c>
      <c r="M22">
        <f t="shared" si="0"/>
        <v>8.7441528239202668</v>
      </c>
    </row>
    <row r="23" spans="1:15" x14ac:dyDescent="0.75">
      <c r="A23">
        <v>1.4</v>
      </c>
      <c r="B23">
        <v>1.4</v>
      </c>
      <c r="C23">
        <v>0.8</v>
      </c>
      <c r="D23">
        <v>0.8</v>
      </c>
      <c r="E23">
        <v>1.4</v>
      </c>
      <c r="F23">
        <v>1.4</v>
      </c>
      <c r="G23">
        <v>0.4</v>
      </c>
      <c r="H23">
        <v>0.4</v>
      </c>
      <c r="I23">
        <v>10</v>
      </c>
      <c r="J23">
        <v>10</v>
      </c>
      <c r="K23">
        <v>14</v>
      </c>
      <c r="L23">
        <v>54.732100000000003</v>
      </c>
      <c r="M23">
        <f t="shared" si="0"/>
        <v>8.7993521594684392</v>
      </c>
    </row>
    <row r="24" spans="1:15" x14ac:dyDescent="0.75">
      <c r="A24">
        <v>1.6</v>
      </c>
      <c r="B24">
        <v>1.6</v>
      </c>
      <c r="C24">
        <v>0.8</v>
      </c>
      <c r="D24">
        <v>0.8</v>
      </c>
      <c r="E24">
        <v>1.6</v>
      </c>
      <c r="F24">
        <v>1.6</v>
      </c>
      <c r="G24">
        <v>0.4</v>
      </c>
      <c r="H24">
        <v>0.4</v>
      </c>
      <c r="I24">
        <v>10</v>
      </c>
      <c r="J24">
        <v>10</v>
      </c>
      <c r="K24">
        <v>14</v>
      </c>
      <c r="L24">
        <v>55.0764</v>
      </c>
      <c r="M24">
        <f t="shared" si="0"/>
        <v>8.8565448504983397</v>
      </c>
    </row>
    <row r="25" spans="1:15" x14ac:dyDescent="0.75">
      <c r="A25">
        <v>2</v>
      </c>
      <c r="B25">
        <v>2</v>
      </c>
      <c r="C25">
        <v>1.6</v>
      </c>
      <c r="D25">
        <v>1.6</v>
      </c>
      <c r="E25">
        <v>2</v>
      </c>
      <c r="F25">
        <v>2</v>
      </c>
      <c r="G25">
        <v>0.8</v>
      </c>
      <c r="H25">
        <v>0.8</v>
      </c>
      <c r="I25">
        <v>12</v>
      </c>
      <c r="J25">
        <v>12</v>
      </c>
      <c r="K25">
        <v>1</v>
      </c>
      <c r="L25">
        <v>54.3</v>
      </c>
      <c r="M25">
        <f t="shared" si="0"/>
        <v>8.7275747508305646</v>
      </c>
      <c r="N25" t="s">
        <v>60</v>
      </c>
      <c r="O2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AD09-A206-4759-A3F5-537B3D7273C6}">
  <dimension ref="A1:K11"/>
  <sheetViews>
    <sheetView zoomScale="70" zoomScaleNormal="70" workbookViewId="0">
      <selection activeCell="I12" sqref="I12"/>
    </sheetView>
  </sheetViews>
  <sheetFormatPr defaultRowHeight="14.75" x14ac:dyDescent="0.75"/>
  <sheetData>
    <row r="1" spans="1:11" x14ac:dyDescent="0.7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75">
      <c r="A2" s="2">
        <v>0.1</v>
      </c>
      <c r="B2" s="2">
        <v>0.1</v>
      </c>
      <c r="C2" s="2">
        <v>0.2</v>
      </c>
      <c r="D2" s="2">
        <v>0.2</v>
      </c>
      <c r="E2" s="2">
        <v>0.1</v>
      </c>
      <c r="F2" s="2">
        <v>0.1</v>
      </c>
      <c r="G2" s="2">
        <v>0.1</v>
      </c>
      <c r="H2" s="2">
        <v>0.1</v>
      </c>
      <c r="I2" s="2">
        <v>2</v>
      </c>
      <c r="J2" s="2">
        <v>2</v>
      </c>
      <c r="K2" s="2">
        <v>4</v>
      </c>
    </row>
    <row r="6" spans="1:11" x14ac:dyDescent="0.75">
      <c r="A6" s="2" t="s">
        <v>36</v>
      </c>
      <c r="B6" s="2" t="s">
        <v>37</v>
      </c>
      <c r="C6" s="2" t="s">
        <v>38</v>
      </c>
      <c r="D6" s="2"/>
      <c r="E6" s="2" t="s">
        <v>39</v>
      </c>
    </row>
    <row r="7" spans="1:11" x14ac:dyDescent="0.75">
      <c r="A7" s="3">
        <v>6.3400000000000005E-17</v>
      </c>
      <c r="B7" s="3">
        <v>1.12E-16</v>
      </c>
      <c r="C7" s="3">
        <v>1.49E-15</v>
      </c>
      <c r="D7" s="2"/>
      <c r="E7" s="3">
        <f>SUM(A7:C7)</f>
        <v>1.6654E-15</v>
      </c>
    </row>
    <row r="10" spans="1:11" x14ac:dyDescent="0.75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  <c r="I10" t="s">
        <v>47</v>
      </c>
    </row>
    <row r="11" spans="1:11" x14ac:dyDescent="0.75">
      <c r="A11" s="1">
        <v>6.8599999999999996E-17</v>
      </c>
      <c r="B11" s="1">
        <v>7.0199999999999999E-17</v>
      </c>
      <c r="C11" s="1">
        <v>7.3699999999999995E-17</v>
      </c>
      <c r="D11" s="1">
        <v>7.8599999999999998E-17</v>
      </c>
      <c r="E11" s="1">
        <v>6.9100000000000004E-17</v>
      </c>
      <c r="F11" s="1">
        <v>1.47E-16</v>
      </c>
      <c r="G11" s="1">
        <v>6.7900000000000004E-17</v>
      </c>
      <c r="I11" s="1">
        <f>SUM(A11:G11)</f>
        <v>5.7510000000000002E-16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SNDR sim</vt:lpstr>
      <vt:lpstr>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2020-03-27T02:14:54Z</dcterms:created>
  <dcterms:modified xsi:type="dcterms:W3CDTF">2020-03-30T20:31:31Z</dcterms:modified>
</cp:coreProperties>
</file>