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400x June 2022/"/>
    </mc:Choice>
  </mc:AlternateContent>
  <xr:revisionPtr revIDLastSave="0" documentId="13_ncr:1_{5EC16169-0966-BC41-B8D3-1F4B0DC4E67A}" xr6:coauthVersionLast="47" xr6:coauthVersionMax="47" xr10:uidLastSave="{00000000-0000-0000-0000-000000000000}"/>
  <bookViews>
    <workbookView xWindow="-21240" yWindow="720" windowWidth="16520" windowHeight="19400" xr2:uid="{CE99CF81-25E3-0A45-8FEA-1697372800C1}"/>
  </bookViews>
  <sheets>
    <sheet name="400x_RawCount_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1" l="1"/>
  <c r="AC4" i="1"/>
  <c r="AV4" i="1"/>
  <c r="AM5" i="1"/>
  <c r="AT5" i="1"/>
  <c r="AS6" i="1"/>
  <c r="AZ6" i="1"/>
  <c r="AD8" i="1"/>
  <c r="AR8" i="1"/>
  <c r="BM8" i="1"/>
  <c r="AN9" i="1"/>
  <c r="BB9" i="1"/>
  <c r="BM9" i="1"/>
  <c r="BG11" i="1"/>
  <c r="AI12" i="1"/>
  <c r="AS12" i="1"/>
  <c r="BE12" i="1"/>
  <c r="O13" i="1"/>
  <c r="Q13" i="1"/>
  <c r="R13" i="1"/>
  <c r="BE13" i="1"/>
  <c r="M14" i="1"/>
  <c r="AD14" i="1"/>
  <c r="AH14" i="1"/>
  <c r="AM14" i="1"/>
  <c r="AN14" i="1"/>
  <c r="AS14" i="1"/>
  <c r="AU14" i="1"/>
  <c r="AV14" i="1"/>
  <c r="BP14" i="1"/>
  <c r="AO15" i="1"/>
  <c r="AQ15" i="1"/>
  <c r="AR15" i="1"/>
  <c r="AY15" i="1"/>
  <c r="BB15" i="1"/>
  <c r="BD15" i="1"/>
  <c r="P16" i="1"/>
  <c r="AC18" i="1"/>
  <c r="AK19" i="1"/>
  <c r="AE21" i="1"/>
  <c r="AF22" i="1"/>
  <c r="Q23" i="1"/>
  <c r="AD23" i="1"/>
  <c r="AH23" i="1"/>
  <c r="AI23" i="1"/>
  <c r="AJ23" i="1"/>
  <c r="AK23" i="1"/>
  <c r="AL23" i="1"/>
  <c r="AM23" i="1"/>
  <c r="AN23" i="1"/>
  <c r="AO23" i="1"/>
  <c r="AQ23" i="1"/>
  <c r="AR23" i="1"/>
  <c r="AS23" i="1"/>
  <c r="AT23" i="1"/>
  <c r="AU23" i="1"/>
  <c r="AV23" i="1"/>
  <c r="AX23" i="1"/>
  <c r="AY23" i="1"/>
  <c r="AZ23" i="1"/>
  <c r="BA23" i="1"/>
  <c r="BB23" i="1"/>
  <c r="BC23" i="1"/>
  <c r="BE23" i="1"/>
  <c r="BL23" i="1"/>
  <c r="BM23" i="1"/>
  <c r="BP23" i="1"/>
  <c r="M24" i="1"/>
  <c r="P24" i="1"/>
  <c r="Q24" i="1"/>
  <c r="R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Q24" i="1"/>
  <c r="AR24" i="1"/>
  <c r="AS24" i="1"/>
  <c r="AT24" i="1"/>
  <c r="AU24" i="1"/>
  <c r="AV24" i="1"/>
  <c r="AX24" i="1"/>
  <c r="AY24" i="1"/>
  <c r="AZ24" i="1"/>
  <c r="BA24" i="1"/>
  <c r="BB24" i="1"/>
  <c r="BC24" i="1"/>
  <c r="BE24" i="1"/>
  <c r="BL24" i="1"/>
  <c r="BM24" i="1"/>
  <c r="BP24" i="1"/>
  <c r="M25" i="1"/>
  <c r="P25" i="1"/>
  <c r="Q25" i="1"/>
  <c r="R25" i="1"/>
  <c r="AC25" i="1"/>
  <c r="AD25" i="1"/>
  <c r="AF25" i="1"/>
  <c r="AG25" i="1"/>
  <c r="AH25" i="1"/>
  <c r="AI25" i="1"/>
  <c r="AJ25" i="1"/>
  <c r="AK25" i="1"/>
  <c r="AL25" i="1"/>
  <c r="AM25" i="1"/>
  <c r="AN25" i="1"/>
  <c r="AO25" i="1"/>
  <c r="AR25" i="1"/>
  <c r="AS25" i="1"/>
  <c r="AT25" i="1"/>
  <c r="AU25" i="1"/>
  <c r="AV25" i="1"/>
  <c r="AX25" i="1"/>
  <c r="AY25" i="1"/>
  <c r="AZ25" i="1"/>
  <c r="BA25" i="1"/>
  <c r="BB25" i="1"/>
  <c r="BC25" i="1"/>
  <c r="BE25" i="1"/>
  <c r="BG25" i="1"/>
  <c r="BI25" i="1"/>
  <c r="BL25" i="1"/>
  <c r="BM25" i="1"/>
  <c r="BP25" i="1"/>
  <c r="P28" i="1"/>
  <c r="Q28" i="1"/>
  <c r="R28" i="1"/>
  <c r="AD28" i="1"/>
  <c r="AE28" i="1"/>
  <c r="AG28" i="1"/>
  <c r="AH28" i="1"/>
  <c r="AI28" i="1"/>
  <c r="AJ28" i="1"/>
  <c r="AK28" i="1"/>
  <c r="AL28" i="1"/>
  <c r="AN28" i="1"/>
  <c r="AO28" i="1"/>
  <c r="AP28" i="1"/>
  <c r="AQ28" i="1"/>
  <c r="AR28" i="1"/>
  <c r="AS28" i="1"/>
  <c r="AT28" i="1"/>
  <c r="AU28" i="1"/>
  <c r="AV28" i="1"/>
  <c r="AY28" i="1"/>
  <c r="AZ28" i="1"/>
  <c r="BF28" i="1"/>
  <c r="BG28" i="1"/>
  <c r="BM28" i="1"/>
  <c r="BO28" i="1"/>
  <c r="P29" i="1"/>
  <c r="Q29" i="1"/>
  <c r="R29" i="1"/>
  <c r="AC29" i="1"/>
  <c r="AD29" i="1"/>
  <c r="AE29" i="1"/>
  <c r="AF29" i="1"/>
  <c r="AG29" i="1"/>
  <c r="AH29" i="1"/>
  <c r="AI29" i="1"/>
  <c r="AK29" i="1"/>
  <c r="AL29" i="1"/>
  <c r="AM29" i="1"/>
  <c r="AN29" i="1"/>
  <c r="AO29" i="1"/>
  <c r="AQ29" i="1"/>
  <c r="AR29" i="1"/>
  <c r="AS29" i="1"/>
  <c r="AT29" i="1"/>
  <c r="AU29" i="1"/>
  <c r="AV29" i="1"/>
  <c r="AY29" i="1"/>
  <c r="AZ29" i="1"/>
  <c r="BF29" i="1"/>
  <c r="BG29" i="1"/>
  <c r="BH29" i="1"/>
  <c r="BM29" i="1"/>
  <c r="BO29" i="1"/>
  <c r="P30" i="1"/>
  <c r="Q30" i="1"/>
  <c r="R30" i="1"/>
  <c r="AD30" i="1"/>
  <c r="AE30" i="1"/>
  <c r="AF30" i="1"/>
  <c r="AG30" i="1"/>
  <c r="AH30" i="1"/>
  <c r="AI30" i="1"/>
  <c r="AJ30" i="1"/>
  <c r="AK30" i="1"/>
  <c r="AL30" i="1"/>
  <c r="AN30" i="1"/>
  <c r="AR30" i="1"/>
  <c r="AS30" i="1"/>
  <c r="AU30" i="1"/>
  <c r="AV30" i="1"/>
  <c r="AY30" i="1"/>
  <c r="AZ30" i="1"/>
  <c r="BE30" i="1"/>
  <c r="BF30" i="1"/>
  <c r="BG30" i="1"/>
  <c r="BO30" i="1"/>
  <c r="P31" i="1"/>
  <c r="O32" i="1"/>
  <c r="Q32" i="1"/>
  <c r="R32" i="1"/>
  <c r="AB32" i="1"/>
  <c r="BC36" i="1"/>
  <c r="BH37" i="1"/>
  <c r="AZ39" i="1"/>
  <c r="BD39" i="1"/>
  <c r="AC41" i="1"/>
  <c r="AP41" i="1"/>
  <c r="AX41" i="1"/>
  <c r="BA41" i="1"/>
  <c r="BP41" i="1"/>
  <c r="Q42" i="1"/>
  <c r="AY43" i="1"/>
  <c r="BE44" i="1"/>
  <c r="BC46" i="1"/>
  <c r="M47" i="1"/>
  <c r="O47" i="1"/>
  <c r="P47" i="1"/>
  <c r="Q47" i="1"/>
  <c r="AA47" i="1"/>
  <c r="AB47" i="1"/>
  <c r="AG47" i="1"/>
  <c r="AH47" i="1"/>
  <c r="AI47" i="1"/>
  <c r="AO47" i="1"/>
  <c r="AQ47" i="1"/>
  <c r="AR47" i="1"/>
  <c r="AS47" i="1"/>
  <c r="AT47" i="1"/>
  <c r="AU47" i="1"/>
  <c r="AV47" i="1"/>
  <c r="AN48" i="1"/>
  <c r="R49" i="1"/>
  <c r="AA50" i="1"/>
  <c r="P52" i="1"/>
  <c r="Q52" i="1"/>
  <c r="R52" i="1"/>
  <c r="AD52" i="1"/>
  <c r="AE52" i="1"/>
  <c r="AG52" i="1"/>
  <c r="AH52" i="1"/>
  <c r="AI52" i="1"/>
  <c r="AJ52" i="1"/>
  <c r="AK52" i="1"/>
  <c r="AO52" i="1"/>
  <c r="AP52" i="1"/>
  <c r="AR52" i="1"/>
  <c r="AT52" i="1"/>
  <c r="AU52" i="1"/>
  <c r="AV52" i="1"/>
  <c r="BG52" i="1"/>
  <c r="BM52" i="1"/>
  <c r="O53" i="1"/>
  <c r="P53" i="1"/>
  <c r="Q53" i="1"/>
  <c r="R53" i="1"/>
  <c r="AC53" i="1"/>
  <c r="AM53" i="1"/>
  <c r="O54" i="1"/>
  <c r="P54" i="1"/>
  <c r="Q54" i="1"/>
  <c r="R54" i="1"/>
  <c r="N55" i="1"/>
  <c r="O55" i="1"/>
  <c r="P55" i="1"/>
  <c r="Q55" i="1"/>
  <c r="R55" i="1"/>
  <c r="AD55" i="1"/>
  <c r="AE55" i="1"/>
  <c r="AF55" i="1"/>
  <c r="AG55" i="1"/>
  <c r="AH55" i="1"/>
  <c r="AK55" i="1"/>
  <c r="AM55" i="1"/>
  <c r="AN55" i="1"/>
  <c r="AO55" i="1"/>
  <c r="AP55" i="1"/>
  <c r="AQ55" i="1"/>
  <c r="AR55" i="1"/>
  <c r="AS55" i="1"/>
  <c r="AT55" i="1"/>
  <c r="AU55" i="1"/>
  <c r="AV55" i="1"/>
  <c r="AX55" i="1"/>
  <c r="AY55" i="1"/>
  <c r="AZ55" i="1"/>
  <c r="BA55" i="1"/>
  <c r="BB55" i="1"/>
  <c r="BC55" i="1"/>
  <c r="BD55" i="1"/>
  <c r="BF55" i="1"/>
  <c r="BJ55" i="1"/>
  <c r="BL55" i="1"/>
  <c r="BM55" i="1"/>
  <c r="N56" i="1"/>
  <c r="O56" i="1"/>
  <c r="P56" i="1"/>
  <c r="Q56" i="1"/>
  <c r="R56" i="1"/>
  <c r="AC56" i="1"/>
  <c r="AD56" i="1"/>
  <c r="AE56" i="1"/>
  <c r="AF56" i="1"/>
  <c r="AG56" i="1"/>
  <c r="AH56" i="1"/>
  <c r="AJ56" i="1"/>
  <c r="AK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F56" i="1"/>
  <c r="BG56" i="1"/>
  <c r="BI56" i="1"/>
  <c r="BJ56" i="1"/>
  <c r="BL56" i="1"/>
  <c r="BM56" i="1"/>
  <c r="AD57" i="1"/>
  <c r="AH57" i="1"/>
  <c r="AK57" i="1"/>
  <c r="AN57" i="1"/>
  <c r="AP57" i="1"/>
  <c r="AQ57" i="1"/>
  <c r="AU57" i="1"/>
  <c r="AV57" i="1"/>
  <c r="AX57" i="1"/>
  <c r="AY57" i="1"/>
  <c r="AZ57" i="1"/>
  <c r="BA57" i="1"/>
  <c r="BB57" i="1"/>
  <c r="BC57" i="1"/>
  <c r="BD57" i="1"/>
  <c r="BF57" i="1"/>
  <c r="BG57" i="1"/>
  <c r="BM57" i="1"/>
  <c r="AB58" i="1"/>
  <c r="M61" i="1"/>
  <c r="BO61" i="1"/>
  <c r="M62" i="1"/>
  <c r="AB63" i="1"/>
  <c r="BJ63" i="1"/>
  <c r="BK64" i="1"/>
  <c r="AC65" i="1"/>
  <c r="O66" i="1"/>
  <c r="P66" i="1"/>
  <c r="M67" i="1"/>
  <c r="L68" i="1"/>
  <c r="BM69" i="1"/>
  <c r="AG70" i="1"/>
  <c r="AH70" i="1"/>
  <c r="AQ71" i="1"/>
  <c r="BI71" i="1"/>
  <c r="AA72" i="1"/>
  <c r="BJ72" i="1"/>
  <c r="AC73" i="1"/>
  <c r="AW73" i="1"/>
  <c r="AY73" i="1"/>
  <c r="BA73" i="1"/>
  <c r="BH73" i="1"/>
  <c r="BM73" i="1"/>
  <c r="AB74" i="1"/>
  <c r="BD74" i="1"/>
  <c r="BG74" i="1"/>
  <c r="AD75" i="1"/>
  <c r="AE75" i="1"/>
  <c r="AF75" i="1"/>
  <c r="AZ75" i="1"/>
  <c r="O76" i="1"/>
  <c r="P76" i="1"/>
  <c r="Q76" i="1"/>
  <c r="R76" i="1"/>
  <c r="AD76" i="1"/>
  <c r="AF76" i="1"/>
  <c r="AG76" i="1"/>
  <c r="AH76" i="1"/>
  <c r="AI76" i="1"/>
  <c r="AJ76" i="1"/>
  <c r="AK76" i="1"/>
  <c r="AM76" i="1"/>
  <c r="AN76" i="1"/>
  <c r="AO76" i="1"/>
  <c r="AP76" i="1"/>
  <c r="AQ76" i="1"/>
  <c r="AR76" i="1"/>
  <c r="AT76" i="1"/>
  <c r="AU76" i="1"/>
  <c r="AV76" i="1"/>
  <c r="AW76" i="1"/>
  <c r="AX76" i="1"/>
  <c r="AY76" i="1"/>
  <c r="AZ76" i="1"/>
  <c r="BA76" i="1"/>
  <c r="BB76" i="1"/>
  <c r="BC76" i="1"/>
  <c r="BD76" i="1"/>
  <c r="BF76" i="1"/>
  <c r="BG76" i="1"/>
  <c r="BK76" i="1"/>
  <c r="BM76" i="1"/>
  <c r="BO76" i="1"/>
  <c r="BP76" i="1"/>
  <c r="K77" i="1"/>
  <c r="O77" i="1"/>
  <c r="P77" i="1"/>
  <c r="Q77" i="1"/>
  <c r="R77" i="1"/>
  <c r="AD77" i="1"/>
  <c r="AE77" i="1"/>
  <c r="AF77" i="1"/>
  <c r="AG77" i="1"/>
  <c r="AH77" i="1"/>
  <c r="AI77" i="1"/>
  <c r="AJ77" i="1"/>
  <c r="AK77" i="1"/>
  <c r="AM77" i="1"/>
  <c r="AN77" i="1"/>
  <c r="AO77" i="1"/>
  <c r="AP77" i="1"/>
  <c r="AQ77" i="1"/>
  <c r="AR77" i="1"/>
  <c r="AS77" i="1"/>
  <c r="AT77" i="1"/>
  <c r="AU77" i="1"/>
  <c r="AV77" i="1"/>
  <c r="AX77" i="1"/>
  <c r="AY77" i="1"/>
  <c r="AZ77" i="1"/>
  <c r="BA77" i="1"/>
  <c r="BB77" i="1"/>
  <c r="BC77" i="1"/>
  <c r="BD77" i="1"/>
  <c r="BF77" i="1"/>
  <c r="BG77" i="1"/>
  <c r="BM77" i="1"/>
  <c r="BO77" i="1"/>
  <c r="BP77" i="1"/>
  <c r="P78" i="1"/>
  <c r="R78" i="1"/>
  <c r="AC78" i="1"/>
  <c r="AN78" i="1"/>
  <c r="AQ78" i="1"/>
  <c r="AR78" i="1"/>
  <c r="AS78" i="1"/>
  <c r="AY78" i="1"/>
  <c r="AZ78" i="1"/>
  <c r="BA78" i="1"/>
  <c r="BB78" i="1"/>
  <c r="BC78" i="1"/>
  <c r="BD78" i="1"/>
  <c r="BG78" i="1"/>
  <c r="BM78" i="1"/>
  <c r="BO78" i="1"/>
  <c r="BP78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I35" i="1"/>
  <c r="H35" i="1"/>
  <c r="H34" i="1"/>
  <c r="H33" i="1"/>
  <c r="H32" i="1"/>
  <c r="H31" i="1"/>
</calcChain>
</file>

<file path=xl/sharedStrings.xml><?xml version="1.0" encoding="utf-8"?>
<sst xmlns="http://schemas.openxmlformats.org/spreadsheetml/2006/main" count="442" uniqueCount="243">
  <si>
    <t>Organism</t>
  </si>
  <si>
    <t>Group</t>
  </si>
  <si>
    <t>type</t>
  </si>
  <si>
    <t>name</t>
  </si>
  <si>
    <t>shp</t>
  </si>
  <si>
    <t>sa</t>
  </si>
  <si>
    <t>la</t>
  </si>
  <si>
    <t>wi</t>
  </si>
  <si>
    <t>SJR2 site</t>
  </si>
  <si>
    <t>SJR2 FC-1</t>
  </si>
  <si>
    <t>SJR2 T24-1</t>
  </si>
  <si>
    <t>SJR2 FC-2</t>
  </si>
  <si>
    <t>SJR2 T24-2</t>
  </si>
  <si>
    <t>SJR2 FC-3</t>
  </si>
  <si>
    <t>SJR2 T24-3</t>
  </si>
  <si>
    <t>SJR2 IC-1</t>
  </si>
  <si>
    <t>SJR2 IC-2</t>
  </si>
  <si>
    <t>SJR2 IC-3</t>
  </si>
  <si>
    <t>YBP1 site</t>
  </si>
  <si>
    <t>YBP1 FC-1</t>
  </si>
  <si>
    <t>YBP1 T24-1</t>
  </si>
  <si>
    <t>YBP1 FC-2</t>
  </si>
  <si>
    <t>YBP1 T24-2</t>
  </si>
  <si>
    <t>YBP1 FC-3</t>
  </si>
  <si>
    <t>YBP1 T24-3</t>
  </si>
  <si>
    <t>YBP1 IC-1</t>
  </si>
  <si>
    <t>YBP1 IC-2</t>
  </si>
  <si>
    <t>YBP1 IC-3</t>
  </si>
  <si>
    <t>LSZ2 site</t>
  </si>
  <si>
    <t>LSZ2 FC-1</t>
  </si>
  <si>
    <t>LSZ2 T24-1</t>
  </si>
  <si>
    <t>LSZ2 FC-2</t>
  </si>
  <si>
    <t>LSZ2 T24-2</t>
  </si>
  <si>
    <t>LSZ2 FC-3</t>
  </si>
  <si>
    <t>LSZ2 T24-3</t>
  </si>
  <si>
    <t>LSZ2 IC-1</t>
  </si>
  <si>
    <t>LSZ2 IC-2</t>
  </si>
  <si>
    <t>LSZ2 IC-3</t>
  </si>
  <si>
    <t>WLD2 site</t>
  </si>
  <si>
    <t>WLD2 FC-1</t>
  </si>
  <si>
    <t>WLD2 T24-1</t>
  </si>
  <si>
    <t>WLD2 FC-2</t>
  </si>
  <si>
    <t>WLD2 T24-2</t>
  </si>
  <si>
    <t>WLD2 FC-3</t>
  </si>
  <si>
    <t>WLD2 T24-3</t>
  </si>
  <si>
    <t>WLD2 IC-1</t>
  </si>
  <si>
    <t>WLD2 IC-2</t>
  </si>
  <si>
    <t>WLD2 IC-3</t>
  </si>
  <si>
    <t>SJR1 FC-1</t>
  </si>
  <si>
    <t>SJR1 T24-1</t>
  </si>
  <si>
    <t>SJR1 FC-2</t>
  </si>
  <si>
    <t>SJR1 T24-2</t>
  </si>
  <si>
    <t>SJR1 FC-3</t>
  </si>
  <si>
    <t>SJR1 T24-3</t>
  </si>
  <si>
    <t>SJR1 IC-1</t>
  </si>
  <si>
    <t>SJR1 IC-2</t>
  </si>
  <si>
    <t>SJR1 IC-3</t>
  </si>
  <si>
    <t>YBP2 site</t>
  </si>
  <si>
    <t>YBP2 FC-1</t>
  </si>
  <si>
    <t>YBP2 FC-2</t>
  </si>
  <si>
    <t>YBP2 T24-2</t>
  </si>
  <si>
    <t>YBP2 FC-3</t>
  </si>
  <si>
    <t>YBP2 T24-3</t>
  </si>
  <si>
    <t>YBP2 IC-1</t>
  </si>
  <si>
    <t>YBP2 IC-2</t>
  </si>
  <si>
    <t>YBP2 IC-3</t>
  </si>
  <si>
    <t>Chlorophyte B: colonial 4x4</t>
  </si>
  <si>
    <t>chlorophyte</t>
  </si>
  <si>
    <t>colonial</t>
  </si>
  <si>
    <t>chlorb</t>
  </si>
  <si>
    <t>sph</t>
  </si>
  <si>
    <t>Chlorophyte C: colonial 4x16</t>
  </si>
  <si>
    <t>chlorc</t>
  </si>
  <si>
    <t>Chlorophyte D: colonial 6x6</t>
  </si>
  <si>
    <t>chlord</t>
  </si>
  <si>
    <t>cyl</t>
  </si>
  <si>
    <t>Chlorophyte E: colonial 6x12</t>
  </si>
  <si>
    <t>chlore</t>
  </si>
  <si>
    <t>Chlorophyte F: colonial 8x8</t>
  </si>
  <si>
    <t>chlorf</t>
  </si>
  <si>
    <t>Chlorophyte G: colonial 8x16</t>
  </si>
  <si>
    <t>chlorg</t>
  </si>
  <si>
    <t>Chlorophyte H: colonial 10x10</t>
  </si>
  <si>
    <t>chlorh</t>
  </si>
  <si>
    <t>Chlorophyte I: colonial 12x12</t>
  </si>
  <si>
    <t>chlori</t>
  </si>
  <si>
    <t>Chlorophyte J: colonial 16x16</t>
  </si>
  <si>
    <t>chlorj</t>
  </si>
  <si>
    <t>Chlorophyte L: colonial 4x10</t>
  </si>
  <si>
    <t>chlorl</t>
  </si>
  <si>
    <t>Chlorophyte M: other 10x10</t>
  </si>
  <si>
    <t>other</t>
  </si>
  <si>
    <t>chlorm</t>
  </si>
  <si>
    <t>Chlorophyte N: scendesmus</t>
  </si>
  <si>
    <t>scenedesmus</t>
  </si>
  <si>
    <t>chlorn</t>
  </si>
  <si>
    <t>prosph</t>
  </si>
  <si>
    <t>Chlorophyte O: scendesmus</t>
  </si>
  <si>
    <t>chloro</t>
  </si>
  <si>
    <t>Chlorophyte P: scendesmus</t>
  </si>
  <si>
    <t>chlorp</t>
  </si>
  <si>
    <t>Chlorophyte Q: scendesmus</t>
  </si>
  <si>
    <t>chlorq</t>
  </si>
  <si>
    <t>Chlorophyte R: scendesmus</t>
  </si>
  <si>
    <t>chlorr</t>
  </si>
  <si>
    <t>Chlorophyte S: scendesmus</t>
  </si>
  <si>
    <t>chlors</t>
  </si>
  <si>
    <t>Chlorophyte T: scendesmus</t>
  </si>
  <si>
    <t>chlort</t>
  </si>
  <si>
    <t>Chlorophyte U: scendesmus</t>
  </si>
  <si>
    <t>chloru</t>
  </si>
  <si>
    <t>Chlorophyte V: scendesmus</t>
  </si>
  <si>
    <t>chlorv</t>
  </si>
  <si>
    <t>Chlorophyte W: scendesmus</t>
  </si>
  <si>
    <t>chlorw</t>
  </si>
  <si>
    <t>Ciliate A: Round 4 to 7 µm</t>
  </si>
  <si>
    <t>ciliate</t>
  </si>
  <si>
    <t>round</t>
  </si>
  <si>
    <t>cila</t>
  </si>
  <si>
    <t>Ciliate B: Round 8 to 11 µm</t>
  </si>
  <si>
    <t>cilb</t>
  </si>
  <si>
    <t>Ciliate C: Round 12 to 16 µm</t>
  </si>
  <si>
    <t>cilc</t>
  </si>
  <si>
    <t>Cyanobacteria A: 4x24</t>
  </si>
  <si>
    <t>cyanobacteria</t>
  </si>
  <si>
    <t>cyana</t>
  </si>
  <si>
    <t>Cyanobacteria B: 4x50</t>
  </si>
  <si>
    <t>cyanb</t>
  </si>
  <si>
    <t>Diatom A: Centric 4 to 7 µm</t>
  </si>
  <si>
    <t>diatom</t>
  </si>
  <si>
    <t>centric</t>
  </si>
  <si>
    <t>diaa</t>
  </si>
  <si>
    <t>Diatom B: Centric 8 to 11 µm</t>
  </si>
  <si>
    <t>diab</t>
  </si>
  <si>
    <t>Diatom C: Centric 12 to 16 µm</t>
  </si>
  <si>
    <t>diac</t>
  </si>
  <si>
    <t>Diatom D: pennate A 2x8</t>
  </si>
  <si>
    <t>pennate</t>
  </si>
  <si>
    <t>diad</t>
  </si>
  <si>
    <t>prisell</t>
  </si>
  <si>
    <t>Diatom E: pennate A 2x10</t>
  </si>
  <si>
    <t>diae</t>
  </si>
  <si>
    <t>Diatom F: pennate A 2x12</t>
  </si>
  <si>
    <t>diaf</t>
  </si>
  <si>
    <t>Diatom G: pennate A 2x20</t>
  </si>
  <si>
    <t>diag</t>
  </si>
  <si>
    <t>Diatom H: pennate A 3x12</t>
  </si>
  <si>
    <t>diah</t>
  </si>
  <si>
    <t>Diatom I: pennate A 4x10</t>
  </si>
  <si>
    <t>diai</t>
  </si>
  <si>
    <t>Diatom J: pennate A 4x24</t>
  </si>
  <si>
    <t>diaj</t>
  </si>
  <si>
    <t>Diatom K: pennate A 4x36</t>
  </si>
  <si>
    <t>diak</t>
  </si>
  <si>
    <t>Diatom L: pennate B 2x20</t>
  </si>
  <si>
    <t>dial</t>
  </si>
  <si>
    <t>Diatom M: pennate B 3x20</t>
  </si>
  <si>
    <t>diam</t>
  </si>
  <si>
    <t>Diatom N: pennate B4x12</t>
  </si>
  <si>
    <t>dian</t>
  </si>
  <si>
    <t>Diatom O: pennate B 4x16</t>
  </si>
  <si>
    <t>diao</t>
  </si>
  <si>
    <t>Diatom P: pennate B 4x20</t>
  </si>
  <si>
    <t>diap</t>
  </si>
  <si>
    <t>Diatom Q: pennate C 1x20</t>
  </si>
  <si>
    <t>diaq</t>
  </si>
  <si>
    <t>Diatom R: pennate C 2x16</t>
  </si>
  <si>
    <t>diar</t>
  </si>
  <si>
    <t>Diatom S: pennate C 2x18</t>
  </si>
  <si>
    <t>dias</t>
  </si>
  <si>
    <t>Diatom T: pennate C 2x20</t>
  </si>
  <si>
    <t>diat</t>
  </si>
  <si>
    <t>Diatom U: pennate C 2x30</t>
  </si>
  <si>
    <t>diau</t>
  </si>
  <si>
    <t>Diatom V:pennate C 4x10</t>
  </si>
  <si>
    <t>diav</t>
  </si>
  <si>
    <t>Diatom W: pennate C 4x24</t>
  </si>
  <si>
    <t>diaw</t>
  </si>
  <si>
    <t>Diatom X: pennate C 4x26</t>
  </si>
  <si>
    <t>diax</t>
  </si>
  <si>
    <t>Flagellate A: Cryptomonas 4 to 7 µm</t>
  </si>
  <si>
    <t>flagellate</t>
  </si>
  <si>
    <t>cryptomonas</t>
  </si>
  <si>
    <t>flaga</t>
  </si>
  <si>
    <t>Flagellate B: Cryptomonas 8 to 11 µm</t>
  </si>
  <si>
    <t>flagb</t>
  </si>
  <si>
    <t>Flagellate C: Cryptomonas 12 to 16 µm</t>
  </si>
  <si>
    <t>flagc</t>
  </si>
  <si>
    <t>Flagellate D: Other 4 to 7 µm</t>
  </si>
  <si>
    <t>flagd</t>
  </si>
  <si>
    <t>Flagellate E: Other 8 to 11 µm</t>
  </si>
  <si>
    <t>flage</t>
  </si>
  <si>
    <t>Flagellate F: Other 12 to 16 µm</t>
  </si>
  <si>
    <t>flagf</t>
  </si>
  <si>
    <t>Flagellate G: in a cone</t>
  </si>
  <si>
    <t>in a cone</t>
  </si>
  <si>
    <t>flagg</t>
  </si>
  <si>
    <t>Flagellate H: in a cone</t>
  </si>
  <si>
    <t>flagh</t>
  </si>
  <si>
    <t>Unidentified A triangle</t>
  </si>
  <si>
    <t>unidentified</t>
  </si>
  <si>
    <t>triangle</t>
  </si>
  <si>
    <t>una</t>
  </si>
  <si>
    <t>Unidentified A1</t>
  </si>
  <si>
    <t>una1</t>
  </si>
  <si>
    <t>Unidentified A2</t>
  </si>
  <si>
    <t>una2</t>
  </si>
  <si>
    <t>Unidentified A3</t>
  </si>
  <si>
    <t>una3</t>
  </si>
  <si>
    <t>Unidentified A4</t>
  </si>
  <si>
    <t>una4</t>
  </si>
  <si>
    <t>Unidentified A5</t>
  </si>
  <si>
    <t>una5</t>
  </si>
  <si>
    <t>Unidentified A6</t>
  </si>
  <si>
    <t>una6</t>
  </si>
  <si>
    <t>Unidentified A7</t>
  </si>
  <si>
    <t>una7</t>
  </si>
  <si>
    <t>Unidentified A8</t>
  </si>
  <si>
    <t>una8</t>
  </si>
  <si>
    <t>Unidentified A9</t>
  </si>
  <si>
    <t>una9</t>
  </si>
  <si>
    <t>Unidentified B1 flag/chloro</t>
  </si>
  <si>
    <t>flagchloro</t>
  </si>
  <si>
    <t>unb1</t>
  </si>
  <si>
    <t>Unidentified B2 flag/chloro</t>
  </si>
  <si>
    <t>unb2</t>
  </si>
  <si>
    <t>Unidentified B3 flag/chloro</t>
  </si>
  <si>
    <t>unb3</t>
  </si>
  <si>
    <t>Unidentified B4 flag/chloro</t>
  </si>
  <si>
    <t>unb4</t>
  </si>
  <si>
    <t>Unidentified B5 flag/chloro</t>
  </si>
  <si>
    <t>unb5</t>
  </si>
  <si>
    <t>Unidentified B6 flag/chloro</t>
  </si>
  <si>
    <t>unb6</t>
  </si>
  <si>
    <t>Unidentified Round A: 4 to 7 µm</t>
  </si>
  <si>
    <t>unrna</t>
  </si>
  <si>
    <t>Unidentified Round B: 8 to 11 µm</t>
  </si>
  <si>
    <t>unrnb</t>
  </si>
  <si>
    <t>Unidentified Round C: 12 to 16 µm</t>
  </si>
  <si>
    <t>unrnc</t>
  </si>
  <si>
    <t>SJR1 site</t>
  </si>
  <si>
    <t>cone1</t>
  </si>
  <si>
    <t>YBP2 T24-1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</si>
</sst>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slantDashDot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right" wrapText="1"/>
    </xf>
    <xf numFmtId="1" fontId="2" fillId="0" borderId="4" xfId="1" applyNumberFormat="1" applyFont="1" applyBorder="1"/>
    <xf numFmtId="0" fontId="1" fillId="0" borderId="5" xfId="0" applyFont="1" applyBorder="1" applyAlignment="1">
      <alignment horizontal="right" wrapText="1"/>
    </xf>
    <xf numFmtId="1" fontId="2" fillId="0" borderId="4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2" fontId="1" fillId="0" borderId="1" xfId="0" applyNumberFormat="1" applyFont="1" applyBorder="1" applyAlignment="1">
      <alignment vertical="center" wrapText="1"/>
    </xf>
    <xf numFmtId="1" fontId="2" fillId="0" borderId="1" xfId="1" applyNumberFormat="1" applyFont="1" applyBorder="1"/>
    <xf numFmtId="0" fontId="1" fillId="0" borderId="1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wrapText="1"/>
    </xf>
    <xf numFmtId="0" fontId="1" fillId="0" borderId="0" xfId="0" applyFont="1" applyAlignment="1">
      <alignment horizontal="right" vertical="center" wrapText="1"/>
    </xf>
    <xf numFmtId="0" fontId="1" fillId="0" borderId="2" xfId="0" applyFont="1" applyBorder="1"/>
    <xf numFmtId="0" fontId="1" fillId="0" borderId="3" xfId="0" applyFont="1" applyBorder="1"/>
    <xf numFmtId="1" fontId="1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/>
    <xf numFmtId="1" fontId="3" fillId="0" borderId="1" xfId="0" applyNumberFormat="1" applyFont="1" applyBorder="1" applyAlignment="1">
      <alignment horizontal="right"/>
    </xf>
    <xf numFmtId="0" fontId="2" fillId="0" borderId="2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1" xfId="1" applyBorder="1"/>
    <xf numFmtId="0" fontId="1" fillId="0" borderId="0" xfId="0" applyFont="1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right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10" xfId="1" applyFont="1" applyBorder="1" applyAlignment="1">
      <alignment horizontal="left"/>
    </xf>
    <xf numFmtId="0" fontId="2" fillId="0" borderId="6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1" fillId="0" borderId="8" xfId="0" applyFont="1" applyBorder="1" applyAlignment="1">
      <alignment wrapText="1"/>
    </xf>
    <xf numFmtId="1" fontId="2" fillId="0" borderId="8" xfId="1" applyNumberFormat="1" applyFont="1" applyBorder="1"/>
    <xf numFmtId="1" fontId="3" fillId="0" borderId="8" xfId="0" applyNumberFormat="1" applyFont="1" applyBorder="1"/>
    <xf numFmtId="1" fontId="2" fillId="0" borderId="8" xfId="1" applyNumberFormat="1" applyFont="1" applyBorder="1" applyAlignment="1">
      <alignment horizontal="right"/>
    </xf>
    <xf numFmtId="1" fontId="3" fillId="0" borderId="8" xfId="0" applyNumberFormat="1" applyFont="1" applyBorder="1" applyAlignment="1">
      <alignment horizontal="right"/>
    </xf>
    <xf numFmtId="2" fontId="1" fillId="0" borderId="1" xfId="1" applyNumberFormat="1" applyBorder="1"/>
  </cellXfs>
  <cellStyles count="2">
    <cellStyle name="Normal" xfId="0" builtinId="0"/>
    <cellStyle name="Normal 2" xfId="1" xr:uid="{21E85331-BB65-1D45-866D-3B08DB05E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B4BE-605A-474E-AE17-9A695734AE98}">
  <dimension ref="A1:BP79"/>
  <sheetViews>
    <sheetView tabSelected="1" topLeftCell="BJ66" zoomScale="140" zoomScaleNormal="140" workbookViewId="0">
      <selection activeCell="BR71" sqref="BR71"/>
    </sheetView>
  </sheetViews>
  <sheetFormatPr baseColWidth="10" defaultRowHeight="16" x14ac:dyDescent="0.2"/>
  <cols>
    <col min="1" max="1" width="30.6640625" bestFit="1" customWidth="1"/>
    <col min="2" max="2" width="12" bestFit="1" customWidth="1"/>
    <col min="3" max="3" width="18.5" customWidth="1"/>
    <col min="4" max="4" width="6.1640625" bestFit="1" customWidth="1"/>
    <col min="5" max="5" width="6.5" bestFit="1" customWidth="1"/>
    <col min="6" max="6" width="4.83203125" customWidth="1"/>
    <col min="7" max="7" width="4.6640625" customWidth="1"/>
    <col min="8" max="8" width="4.33203125" customWidth="1"/>
    <col min="9" max="9" width="8.5" bestFit="1" customWidth="1"/>
    <col min="10" max="10" width="9.5" bestFit="1" customWidth="1"/>
    <col min="11" max="11" width="10.33203125" bestFit="1" customWidth="1"/>
    <col min="12" max="12" width="9.5" bestFit="1" customWidth="1"/>
    <col min="13" max="13" width="10.33203125" bestFit="1" customWidth="1"/>
    <col min="14" max="14" width="9.5" bestFit="1" customWidth="1"/>
    <col min="15" max="15" width="10.33203125" bestFit="1" customWidth="1"/>
    <col min="16" max="18" width="9" bestFit="1" customWidth="1"/>
    <col min="19" max="19" width="8.83203125" bestFit="1" customWidth="1"/>
    <col min="20" max="20" width="9.83203125" bestFit="1" customWidth="1"/>
    <col min="21" max="21" width="10.6640625" bestFit="1" customWidth="1"/>
    <col min="22" max="22" width="9.83203125" bestFit="1" customWidth="1"/>
    <col min="23" max="23" width="10.6640625" bestFit="1" customWidth="1"/>
    <col min="24" max="24" width="9.83203125" bestFit="1" customWidth="1"/>
    <col min="25" max="25" width="10.6640625" bestFit="1" customWidth="1"/>
    <col min="26" max="28" width="9.33203125" bestFit="1" customWidth="1"/>
    <col min="29" max="29" width="8.5" bestFit="1" customWidth="1"/>
    <col min="30" max="30" width="9.5" bestFit="1" customWidth="1"/>
    <col min="31" max="31" width="10.33203125" bestFit="1" customWidth="1"/>
    <col min="32" max="32" width="9.5" bestFit="1" customWidth="1"/>
    <col min="33" max="33" width="10.33203125" bestFit="1" customWidth="1"/>
    <col min="34" max="34" width="9.5" bestFit="1" customWidth="1"/>
    <col min="35" max="35" width="10.33203125" bestFit="1" customWidth="1"/>
    <col min="36" max="39" width="9" bestFit="1" customWidth="1"/>
    <col min="40" max="40" width="10" bestFit="1" customWidth="1"/>
    <col min="42" max="42" width="10" bestFit="1" customWidth="1"/>
    <col min="44" max="44" width="10" bestFit="1" customWidth="1"/>
    <col min="46" max="48" width="9.5" bestFit="1" customWidth="1"/>
    <col min="49" max="49" width="8.5" bestFit="1" customWidth="1"/>
    <col min="50" max="50" width="9.5" bestFit="1" customWidth="1"/>
    <col min="51" max="51" width="10.33203125" bestFit="1" customWidth="1"/>
    <col min="52" max="52" width="9.5" bestFit="1" customWidth="1"/>
    <col min="53" max="53" width="10.33203125" bestFit="1" customWidth="1"/>
    <col min="54" max="54" width="9.5" bestFit="1" customWidth="1"/>
    <col min="55" max="55" width="10.33203125" bestFit="1" customWidth="1"/>
    <col min="56" max="58" width="9" bestFit="1" customWidth="1"/>
    <col min="59" max="59" width="8.83203125" bestFit="1" customWidth="1"/>
    <col min="60" max="60" width="9.83203125" bestFit="1" customWidth="1"/>
    <col min="61" max="61" width="10.6640625" bestFit="1" customWidth="1"/>
    <col min="62" max="62" width="9.83203125" bestFit="1" customWidth="1"/>
    <col min="63" max="63" width="10.6640625" bestFit="1" customWidth="1"/>
    <col min="64" max="64" width="9.83203125" bestFit="1" customWidth="1"/>
    <col min="65" max="65" width="10.6640625" bestFit="1" customWidth="1"/>
    <col min="66" max="68" width="9.33203125" bestFit="1" customWidth="1"/>
  </cols>
  <sheetData>
    <row r="1" spans="1:6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240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242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</row>
    <row r="2" spans="1:68" x14ac:dyDescent="0.2">
      <c r="A2" s="4" t="s">
        <v>66</v>
      </c>
      <c r="B2" s="5" t="s">
        <v>67</v>
      </c>
      <c r="C2" s="1" t="s">
        <v>68</v>
      </c>
      <c r="D2" s="1" t="s">
        <v>69</v>
      </c>
      <c r="E2" s="6" t="s">
        <v>70</v>
      </c>
      <c r="F2" s="1">
        <v>4</v>
      </c>
      <c r="G2" s="1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>
        <f>2</f>
        <v>2</v>
      </c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9"/>
      <c r="AY2" s="9"/>
      <c r="AZ2" s="9"/>
      <c r="BA2" s="9"/>
      <c r="BB2" s="9"/>
      <c r="BC2" s="9"/>
      <c r="BD2" s="9"/>
      <c r="BE2" s="9"/>
      <c r="BF2" s="9"/>
      <c r="BG2" s="7">
        <v>8</v>
      </c>
      <c r="BH2" s="7"/>
      <c r="BI2" s="7"/>
      <c r="BJ2" s="10">
        <v>21</v>
      </c>
      <c r="BK2" s="7"/>
      <c r="BL2" s="7"/>
      <c r="BM2" s="7"/>
      <c r="BN2" s="7"/>
      <c r="BO2" s="7"/>
      <c r="BP2" s="7"/>
    </row>
    <row r="3" spans="1:68" x14ac:dyDescent="0.2">
      <c r="A3" s="4" t="s">
        <v>71</v>
      </c>
      <c r="B3" s="5" t="s">
        <v>67</v>
      </c>
      <c r="C3" s="1" t="s">
        <v>68</v>
      </c>
      <c r="D3" s="1" t="s">
        <v>72</v>
      </c>
      <c r="E3" s="6" t="s">
        <v>70</v>
      </c>
      <c r="F3" s="1">
        <v>4</v>
      </c>
      <c r="G3" s="1">
        <v>16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"/>
      <c r="AY3" s="9"/>
      <c r="AZ3" s="9"/>
      <c r="BA3" s="9"/>
      <c r="BB3" s="9"/>
      <c r="BC3" s="9"/>
      <c r="BD3" s="9"/>
      <c r="BE3" s="9"/>
      <c r="BF3" s="9"/>
      <c r="BG3" s="7">
        <v>1</v>
      </c>
      <c r="BH3" s="7"/>
      <c r="BI3" s="7"/>
      <c r="BJ3" s="7"/>
      <c r="BK3" s="7"/>
      <c r="BL3" s="7"/>
      <c r="BM3" s="7"/>
      <c r="BN3" s="7">
        <v>42</v>
      </c>
      <c r="BO3" s="7"/>
      <c r="BP3" s="7"/>
    </row>
    <row r="4" spans="1:68" x14ac:dyDescent="0.2">
      <c r="A4" s="4" t="s">
        <v>73</v>
      </c>
      <c r="B4" s="5" t="s">
        <v>67</v>
      </c>
      <c r="C4" s="1" t="s">
        <v>68</v>
      </c>
      <c r="D4" s="1" t="s">
        <v>74</v>
      </c>
      <c r="E4" s="6" t="s">
        <v>75</v>
      </c>
      <c r="F4" s="1">
        <v>6</v>
      </c>
      <c r="G4" s="1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7"/>
      <c r="T4" s="7"/>
      <c r="U4" s="7"/>
      <c r="V4" s="7"/>
      <c r="W4" s="7"/>
      <c r="X4" s="7"/>
      <c r="Y4" s="7"/>
      <c r="Z4" s="7"/>
      <c r="AA4" s="7"/>
      <c r="AB4" s="7"/>
      <c r="AC4" s="8">
        <f>3</f>
        <v>3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8">
        <f>2</f>
        <v>2</v>
      </c>
      <c r="AW4" s="7"/>
      <c r="AX4" s="9"/>
      <c r="AY4" s="9"/>
      <c r="AZ4" s="9"/>
      <c r="BA4" s="9"/>
      <c r="BB4" s="9"/>
      <c r="BC4" s="9"/>
      <c r="BD4" s="9"/>
      <c r="BE4" s="9"/>
      <c r="BF4" s="9"/>
      <c r="BG4" s="7"/>
      <c r="BH4" s="7"/>
      <c r="BI4" s="11">
        <v>5</v>
      </c>
      <c r="BJ4" s="7"/>
      <c r="BK4" s="7"/>
      <c r="BL4" s="7"/>
      <c r="BM4" s="7"/>
      <c r="BN4" s="7"/>
      <c r="BO4" s="7">
        <v>47</v>
      </c>
      <c r="BP4" s="7"/>
    </row>
    <row r="5" spans="1:68" x14ac:dyDescent="0.2">
      <c r="A5" s="4" t="s">
        <v>76</v>
      </c>
      <c r="B5" s="5" t="s">
        <v>67</v>
      </c>
      <c r="C5" s="1" t="s">
        <v>68</v>
      </c>
      <c r="D5" s="1" t="s">
        <v>77</v>
      </c>
      <c r="E5" s="6" t="s">
        <v>70</v>
      </c>
      <c r="F5" s="1">
        <v>6</v>
      </c>
      <c r="G5" s="1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8">
        <f>100</f>
        <v>100</v>
      </c>
      <c r="AN5" s="7"/>
      <c r="AO5" s="7"/>
      <c r="AP5" s="7"/>
      <c r="AQ5" s="7"/>
      <c r="AR5" s="7"/>
      <c r="AS5" s="7"/>
      <c r="AT5" s="8">
        <f>2</f>
        <v>2</v>
      </c>
      <c r="AU5" s="7"/>
      <c r="AV5" s="7"/>
      <c r="AW5" s="7"/>
      <c r="AX5" s="9"/>
      <c r="AY5" s="9"/>
      <c r="AZ5" s="9"/>
      <c r="BA5" s="9"/>
      <c r="BB5" s="9"/>
      <c r="BC5" s="9"/>
      <c r="BD5" s="9"/>
      <c r="BE5" s="9"/>
      <c r="BF5" s="9"/>
      <c r="BG5" s="7"/>
      <c r="BH5" s="7"/>
      <c r="BI5" s="7"/>
      <c r="BJ5" s="7"/>
      <c r="BK5" s="7">
        <v>3</v>
      </c>
      <c r="BL5" s="7"/>
      <c r="BM5" s="7"/>
      <c r="BN5" s="7"/>
      <c r="BO5" s="7"/>
      <c r="BP5" s="7"/>
    </row>
    <row r="6" spans="1:68" x14ac:dyDescent="0.2">
      <c r="A6" s="4" t="s">
        <v>78</v>
      </c>
      <c r="B6" s="5" t="s">
        <v>67</v>
      </c>
      <c r="C6" s="1" t="s">
        <v>68</v>
      </c>
      <c r="D6" s="1" t="s">
        <v>79</v>
      </c>
      <c r="E6" s="6" t="s">
        <v>70</v>
      </c>
      <c r="F6" s="1">
        <v>8</v>
      </c>
      <c r="G6" s="1">
        <v>8</v>
      </c>
      <c r="H6" s="1"/>
      <c r="I6" s="12"/>
      <c r="J6" s="12"/>
      <c r="K6" s="12"/>
      <c r="L6" s="12"/>
      <c r="M6" s="12"/>
      <c r="N6" s="12"/>
      <c r="O6" s="12"/>
      <c r="P6" s="12"/>
      <c r="Q6" s="12"/>
      <c r="R6" s="1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8">
        <f>1</f>
        <v>1</v>
      </c>
      <c r="AT6" s="7"/>
      <c r="AU6" s="7"/>
      <c r="AV6" s="7"/>
      <c r="AW6" s="7"/>
      <c r="AX6" s="9"/>
      <c r="AY6" s="9"/>
      <c r="AZ6" s="8">
        <f>6</f>
        <v>6</v>
      </c>
      <c r="BA6" s="9"/>
      <c r="BB6" s="9"/>
      <c r="BC6" s="9"/>
      <c r="BD6" s="9"/>
      <c r="BE6" s="9"/>
      <c r="BF6" s="9"/>
      <c r="BG6" s="7">
        <v>2</v>
      </c>
      <c r="BH6" s="7"/>
      <c r="BI6" s="7"/>
      <c r="BJ6" s="7"/>
      <c r="BK6" s="7"/>
      <c r="BL6" s="7"/>
      <c r="BM6" s="7"/>
      <c r="BN6" s="7"/>
      <c r="BO6" s="7"/>
      <c r="BP6" s="7">
        <v>77</v>
      </c>
    </row>
    <row r="7" spans="1:68" x14ac:dyDescent="0.2">
      <c r="A7" s="4" t="s">
        <v>80</v>
      </c>
      <c r="B7" s="5" t="s">
        <v>67</v>
      </c>
      <c r="C7" s="1" t="s">
        <v>68</v>
      </c>
      <c r="D7" s="5" t="s">
        <v>81</v>
      </c>
      <c r="E7" s="6" t="s">
        <v>70</v>
      </c>
      <c r="F7" s="1">
        <v>8</v>
      </c>
      <c r="G7" s="1">
        <v>16</v>
      </c>
      <c r="H7" s="1"/>
      <c r="I7" s="12"/>
      <c r="J7" s="12"/>
      <c r="K7" s="12"/>
      <c r="L7" s="12"/>
      <c r="M7" s="12"/>
      <c r="N7" s="12"/>
      <c r="O7" s="12"/>
      <c r="P7" s="12"/>
      <c r="Q7" s="12"/>
      <c r="R7" s="12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9"/>
      <c r="AY7" s="9"/>
      <c r="AZ7" s="9"/>
      <c r="BA7" s="9"/>
      <c r="BB7" s="9"/>
      <c r="BC7" s="9"/>
      <c r="BD7" s="9"/>
      <c r="BE7" s="9"/>
      <c r="BF7" s="9"/>
      <c r="BG7" s="7"/>
      <c r="BH7" s="7"/>
      <c r="BI7" s="7"/>
      <c r="BJ7" s="7"/>
      <c r="BK7" s="7"/>
      <c r="BL7" s="7"/>
      <c r="BM7" s="7"/>
      <c r="BN7" s="7">
        <v>2</v>
      </c>
      <c r="BO7" s="7">
        <v>5</v>
      </c>
      <c r="BP7" s="7"/>
    </row>
    <row r="8" spans="1:68" x14ac:dyDescent="0.2">
      <c r="A8" s="4" t="s">
        <v>82</v>
      </c>
      <c r="B8" s="5" t="s">
        <v>67</v>
      </c>
      <c r="C8" s="1" t="s">
        <v>68</v>
      </c>
      <c r="D8" s="5" t="s">
        <v>83</v>
      </c>
      <c r="E8" s="6" t="s">
        <v>70</v>
      </c>
      <c r="F8" s="1">
        <v>10</v>
      </c>
      <c r="G8" s="1">
        <v>10</v>
      </c>
      <c r="H8" s="1"/>
      <c r="I8" s="1"/>
      <c r="J8" s="1">
        <v>13</v>
      </c>
      <c r="K8" s="1"/>
      <c r="L8" s="1"/>
      <c r="M8" s="1"/>
      <c r="N8" s="1"/>
      <c r="O8" s="1"/>
      <c r="P8" s="1"/>
      <c r="Q8" s="1"/>
      <c r="R8" s="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8">
        <f>4</f>
        <v>4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8">
        <f>2</f>
        <v>2</v>
      </c>
      <c r="AS8" s="7"/>
      <c r="AT8" s="7"/>
      <c r="AU8" s="7"/>
      <c r="AV8" s="7"/>
      <c r="AW8" s="7"/>
      <c r="AX8" s="9"/>
      <c r="AY8" s="9"/>
      <c r="AZ8" s="9"/>
      <c r="BA8" s="9"/>
      <c r="BB8" s="9"/>
      <c r="BC8" s="9"/>
      <c r="BD8" s="9"/>
      <c r="BE8" s="9"/>
      <c r="BF8" s="9"/>
      <c r="BG8" s="7">
        <v>3</v>
      </c>
      <c r="BH8" s="7"/>
      <c r="BI8" s="7"/>
      <c r="BJ8" s="7"/>
      <c r="BK8" s="7"/>
      <c r="BL8" s="7"/>
      <c r="BM8" s="10">
        <f>88</f>
        <v>88</v>
      </c>
      <c r="BN8" s="7"/>
      <c r="BO8" s="7">
        <v>6</v>
      </c>
      <c r="BP8" s="7">
        <v>13</v>
      </c>
    </row>
    <row r="9" spans="1:68" x14ac:dyDescent="0.2">
      <c r="A9" s="4" t="s">
        <v>84</v>
      </c>
      <c r="B9" s="5" t="s">
        <v>67</v>
      </c>
      <c r="C9" s="1" t="s">
        <v>68</v>
      </c>
      <c r="D9" s="5" t="s">
        <v>85</v>
      </c>
      <c r="E9" s="6" t="s">
        <v>70</v>
      </c>
      <c r="F9" s="1">
        <v>12</v>
      </c>
      <c r="G9" s="1">
        <v>12</v>
      </c>
      <c r="H9" s="1"/>
      <c r="I9" s="12"/>
      <c r="J9" s="12"/>
      <c r="K9" s="12"/>
      <c r="L9" s="12"/>
      <c r="M9" s="12"/>
      <c r="N9" s="12"/>
      <c r="O9" s="12"/>
      <c r="P9" s="12"/>
      <c r="Q9" s="12"/>
      <c r="R9" s="12"/>
      <c r="S9" s="1"/>
      <c r="T9" s="1">
        <v>4</v>
      </c>
      <c r="U9" s="1"/>
      <c r="V9" s="1"/>
      <c r="W9" s="1"/>
      <c r="X9" s="1"/>
      <c r="Y9" s="1"/>
      <c r="Z9" s="1"/>
      <c r="AA9" s="1"/>
      <c r="AB9" s="1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8">
        <f>2</f>
        <v>2</v>
      </c>
      <c r="AO9" s="7"/>
      <c r="AP9" s="7"/>
      <c r="AQ9" s="7"/>
      <c r="AR9" s="7"/>
      <c r="AS9" s="7"/>
      <c r="AT9" s="7"/>
      <c r="AU9" s="7"/>
      <c r="AV9" s="7"/>
      <c r="AW9" s="7"/>
      <c r="AX9" s="9"/>
      <c r="AY9" s="9"/>
      <c r="AZ9" s="9"/>
      <c r="BA9" s="9"/>
      <c r="BB9" s="8">
        <f>1</f>
        <v>1</v>
      </c>
      <c r="BC9" s="9"/>
      <c r="BD9" s="9"/>
      <c r="BE9" s="9"/>
      <c r="BF9" s="9"/>
      <c r="BG9" s="7"/>
      <c r="BH9" s="7"/>
      <c r="BI9" s="7"/>
      <c r="BJ9" s="7"/>
      <c r="BK9" s="7"/>
      <c r="BL9" s="7">
        <v>20</v>
      </c>
      <c r="BM9" s="11">
        <f>3</f>
        <v>3</v>
      </c>
      <c r="BN9" s="7">
        <v>7</v>
      </c>
      <c r="BO9" s="7"/>
      <c r="BP9" s="7"/>
    </row>
    <row r="10" spans="1:68" x14ac:dyDescent="0.2">
      <c r="A10" s="4" t="s">
        <v>86</v>
      </c>
      <c r="B10" s="5" t="s">
        <v>67</v>
      </c>
      <c r="C10" s="1" t="s">
        <v>68</v>
      </c>
      <c r="D10" s="5" t="s">
        <v>87</v>
      </c>
      <c r="E10" s="6" t="s">
        <v>70</v>
      </c>
      <c r="F10" s="1">
        <v>16</v>
      </c>
      <c r="G10" s="1">
        <v>16</v>
      </c>
      <c r="H10" s="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"/>
      <c r="T10" s="1"/>
      <c r="U10" s="1"/>
      <c r="V10" s="1"/>
      <c r="W10" s="1"/>
      <c r="X10" s="1"/>
      <c r="Y10" s="1"/>
      <c r="Z10" s="1"/>
      <c r="AA10" s="1"/>
      <c r="AB10" s="1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9"/>
      <c r="AY10" s="9"/>
      <c r="AZ10" s="9"/>
      <c r="BA10" s="9"/>
      <c r="BB10" s="9"/>
      <c r="BC10" s="9"/>
      <c r="BD10" s="9"/>
      <c r="BE10" s="9"/>
      <c r="BF10" s="9"/>
      <c r="BG10" s="7"/>
      <c r="BH10" s="7"/>
      <c r="BI10" s="7"/>
      <c r="BJ10" s="7"/>
      <c r="BK10" s="7"/>
      <c r="BL10" s="7">
        <v>82</v>
      </c>
      <c r="BM10" s="7"/>
      <c r="BN10" s="7">
        <v>7</v>
      </c>
      <c r="BO10" s="7"/>
      <c r="BP10" s="7"/>
    </row>
    <row r="11" spans="1:68" x14ac:dyDescent="0.2">
      <c r="A11" s="4" t="s">
        <v>88</v>
      </c>
      <c r="B11" s="5" t="s">
        <v>67</v>
      </c>
      <c r="C11" s="1" t="s">
        <v>68</v>
      </c>
      <c r="D11" s="5" t="s">
        <v>89</v>
      </c>
      <c r="E11" s="6" t="s">
        <v>70</v>
      </c>
      <c r="F11" s="1">
        <v>4</v>
      </c>
      <c r="G11" s="1">
        <v>10</v>
      </c>
      <c r="H11" s="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"/>
      <c r="T11" s="1"/>
      <c r="U11" s="1"/>
      <c r="V11" s="1"/>
      <c r="W11" s="1"/>
      <c r="X11" s="1"/>
      <c r="Y11" s="1"/>
      <c r="Z11" s="1"/>
      <c r="AA11" s="1"/>
      <c r="AB11" s="1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9"/>
      <c r="AY11" s="9"/>
      <c r="AZ11" s="9"/>
      <c r="BA11" s="9"/>
      <c r="BB11" s="9"/>
      <c r="BC11" s="9"/>
      <c r="BD11" s="9"/>
      <c r="BE11" s="9"/>
      <c r="BF11" s="9"/>
      <c r="BG11" s="7">
        <f>1+1</f>
        <v>2</v>
      </c>
      <c r="BH11" s="7"/>
      <c r="BI11" s="7"/>
      <c r="BJ11" s="7"/>
      <c r="BK11" s="7"/>
      <c r="BL11" s="7"/>
      <c r="BM11" s="7"/>
      <c r="BN11" s="7"/>
      <c r="BO11" s="7"/>
      <c r="BP11" s="7"/>
    </row>
    <row r="12" spans="1:68" x14ac:dyDescent="0.2">
      <c r="A12" s="4" t="s">
        <v>90</v>
      </c>
      <c r="B12" s="5" t="s">
        <v>67</v>
      </c>
      <c r="C12" s="5" t="s">
        <v>91</v>
      </c>
      <c r="D12" s="5" t="s">
        <v>92</v>
      </c>
      <c r="E12" s="6" t="s">
        <v>70</v>
      </c>
      <c r="F12" s="1">
        <v>10</v>
      </c>
      <c r="G12" s="1">
        <v>10</v>
      </c>
      <c r="H12" s="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"/>
      <c r="T12" s="1"/>
      <c r="U12" s="1"/>
      <c r="V12" s="1"/>
      <c r="W12" s="1"/>
      <c r="X12" s="1"/>
      <c r="Y12" s="1"/>
      <c r="Z12" s="1"/>
      <c r="AA12" s="1"/>
      <c r="AB12" s="1"/>
      <c r="AC12" s="7"/>
      <c r="AD12" s="7"/>
      <c r="AE12" s="7"/>
      <c r="AF12" s="7"/>
      <c r="AG12" s="7"/>
      <c r="AH12" s="7"/>
      <c r="AI12" s="13">
        <f>1</f>
        <v>1</v>
      </c>
      <c r="AJ12" s="7"/>
      <c r="AK12" s="7"/>
      <c r="AL12" s="7"/>
      <c r="AM12" s="7"/>
      <c r="AN12" s="7"/>
      <c r="AO12" s="7"/>
      <c r="AP12" s="7"/>
      <c r="AQ12" s="7"/>
      <c r="AR12" s="7"/>
      <c r="AS12" s="13">
        <f>11</f>
        <v>11</v>
      </c>
      <c r="AT12" s="7"/>
      <c r="AU12" s="7"/>
      <c r="AV12" s="7"/>
      <c r="AW12" s="7"/>
      <c r="AX12" s="9"/>
      <c r="AY12" s="9"/>
      <c r="AZ12" s="9"/>
      <c r="BA12" s="9"/>
      <c r="BB12" s="9"/>
      <c r="BC12" s="9"/>
      <c r="BD12" s="9"/>
      <c r="BE12" s="13">
        <f>6</f>
        <v>6</v>
      </c>
      <c r="BF12" s="9"/>
      <c r="BG12" s="7"/>
      <c r="BH12" s="7"/>
      <c r="BI12" s="7"/>
      <c r="BJ12" s="7"/>
      <c r="BK12" s="7"/>
      <c r="BL12" s="7">
        <v>17</v>
      </c>
      <c r="BM12" s="7"/>
      <c r="BN12" s="7"/>
      <c r="BO12" s="7"/>
      <c r="BP12" s="7"/>
    </row>
    <row r="13" spans="1:68" x14ac:dyDescent="0.2">
      <c r="A13" s="1" t="s">
        <v>93</v>
      </c>
      <c r="B13" s="1" t="s">
        <v>67</v>
      </c>
      <c r="C13" s="1" t="s">
        <v>94</v>
      </c>
      <c r="D13" s="1" t="s">
        <v>95</v>
      </c>
      <c r="E13" s="1" t="s">
        <v>96</v>
      </c>
      <c r="F13" s="1">
        <v>4</v>
      </c>
      <c r="G13" s="1">
        <v>4</v>
      </c>
      <c r="H13" s="1"/>
      <c r="I13" s="14">
        <v>7</v>
      </c>
      <c r="J13" s="14"/>
      <c r="K13" s="14"/>
      <c r="L13" s="14">
        <v>2</v>
      </c>
      <c r="M13" s="14"/>
      <c r="N13" s="14"/>
      <c r="O13" s="14">
        <f>2</f>
        <v>2</v>
      </c>
      <c r="P13" s="14"/>
      <c r="Q13" s="14">
        <f>4</f>
        <v>4</v>
      </c>
      <c r="R13" s="14">
        <f>4</f>
        <v>4</v>
      </c>
      <c r="S13" s="7">
        <v>9</v>
      </c>
      <c r="T13" s="7">
        <v>11</v>
      </c>
      <c r="U13" s="7"/>
      <c r="V13" s="7">
        <v>11</v>
      </c>
      <c r="W13" s="7">
        <v>6</v>
      </c>
      <c r="X13" s="7"/>
      <c r="Y13" s="7">
        <v>10</v>
      </c>
      <c r="Z13" s="7">
        <v>13</v>
      </c>
      <c r="AA13" s="7">
        <v>10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13">
        <f>3</f>
        <v>3</v>
      </c>
      <c r="BF13" s="7"/>
      <c r="BG13" s="7"/>
      <c r="BH13" s="7"/>
      <c r="BI13" s="7">
        <v>10</v>
      </c>
      <c r="BJ13" s="7"/>
      <c r="BK13" s="7"/>
      <c r="BL13" s="7"/>
      <c r="BM13" s="7">
        <v>16</v>
      </c>
      <c r="BN13" s="7"/>
      <c r="BO13" s="7"/>
      <c r="BP13" s="7"/>
    </row>
    <row r="14" spans="1:68" x14ac:dyDescent="0.2">
      <c r="A14" s="1" t="s">
        <v>97</v>
      </c>
      <c r="B14" s="1" t="s">
        <v>67</v>
      </c>
      <c r="C14" s="1" t="s">
        <v>94</v>
      </c>
      <c r="D14" s="1" t="s">
        <v>98</v>
      </c>
      <c r="E14" s="1" t="s">
        <v>96</v>
      </c>
      <c r="F14" s="1">
        <v>4</v>
      </c>
      <c r="G14" s="1">
        <v>6</v>
      </c>
      <c r="H14" s="1"/>
      <c r="I14" s="14"/>
      <c r="J14" s="14"/>
      <c r="K14" s="14"/>
      <c r="L14" s="14"/>
      <c r="M14" s="14">
        <f>1</f>
        <v>1</v>
      </c>
      <c r="N14" s="14"/>
      <c r="O14" s="14"/>
      <c r="P14" s="14"/>
      <c r="Q14" s="14"/>
      <c r="R14" s="1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3">
        <f>3</f>
        <v>3</v>
      </c>
      <c r="AE14" s="7"/>
      <c r="AF14" s="7"/>
      <c r="AG14" s="7"/>
      <c r="AH14" s="13">
        <f>3</f>
        <v>3</v>
      </c>
      <c r="AI14" s="7"/>
      <c r="AJ14" s="7"/>
      <c r="AK14" s="7"/>
      <c r="AL14" s="7">
        <v>5</v>
      </c>
      <c r="AM14" s="13">
        <f>3</f>
        <v>3</v>
      </c>
      <c r="AN14" s="13">
        <f>3</f>
        <v>3</v>
      </c>
      <c r="AO14" s="7"/>
      <c r="AP14" s="7"/>
      <c r="AQ14" s="7"/>
      <c r="AR14" s="7"/>
      <c r="AS14" s="13">
        <f>3</f>
        <v>3</v>
      </c>
      <c r="AT14" s="7"/>
      <c r="AU14" s="13">
        <f>4</f>
        <v>4</v>
      </c>
      <c r="AV14" s="13">
        <f>7</f>
        <v>7</v>
      </c>
      <c r="AW14" s="7"/>
      <c r="AX14" s="7"/>
      <c r="AY14" s="7"/>
      <c r="AZ14" s="7"/>
      <c r="BA14" s="7"/>
      <c r="BB14" s="7"/>
      <c r="BC14" s="7"/>
      <c r="BD14" s="15"/>
      <c r="BE14" s="7"/>
      <c r="BF14" s="15"/>
      <c r="BG14" s="7"/>
      <c r="BH14" s="11">
        <v>10</v>
      </c>
      <c r="BI14" s="7"/>
      <c r="BJ14" s="11">
        <v>17</v>
      </c>
      <c r="BK14" s="7"/>
      <c r="BL14" s="7">
        <v>35</v>
      </c>
      <c r="BM14" s="7">
        <v>41</v>
      </c>
      <c r="BN14" s="7"/>
      <c r="BO14" s="15">
        <v>7</v>
      </c>
      <c r="BP14" s="11">
        <f>41</f>
        <v>41</v>
      </c>
    </row>
    <row r="15" spans="1:68" x14ac:dyDescent="0.2">
      <c r="A15" s="1" t="s">
        <v>99</v>
      </c>
      <c r="B15" s="1" t="s">
        <v>67</v>
      </c>
      <c r="C15" s="1" t="s">
        <v>94</v>
      </c>
      <c r="D15" s="1" t="s">
        <v>100</v>
      </c>
      <c r="E15" s="1" t="s">
        <v>96</v>
      </c>
      <c r="F15" s="1">
        <v>4</v>
      </c>
      <c r="G15" s="1">
        <v>8</v>
      </c>
      <c r="H15" s="1"/>
      <c r="I15" s="14"/>
      <c r="J15" s="14">
        <v>10</v>
      </c>
      <c r="K15" s="14">
        <v>6</v>
      </c>
      <c r="L15" s="14"/>
      <c r="M15" s="14"/>
      <c r="N15" s="14"/>
      <c r="O15" s="14"/>
      <c r="P15" s="14"/>
      <c r="Q15" s="14"/>
      <c r="R15" s="14"/>
      <c r="S15" s="7"/>
      <c r="T15" s="7"/>
      <c r="U15" s="7"/>
      <c r="V15" s="7"/>
      <c r="W15" s="7"/>
      <c r="X15" s="7">
        <v>7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>
        <f>3</f>
        <v>3</v>
      </c>
      <c r="AP15" s="7"/>
      <c r="AQ15" s="13">
        <f>7</f>
        <v>7</v>
      </c>
      <c r="AR15" s="13">
        <f>5</f>
        <v>5</v>
      </c>
      <c r="AS15" s="7"/>
      <c r="AT15" s="7"/>
      <c r="AU15" s="7"/>
      <c r="AV15" s="7"/>
      <c r="AW15" s="7"/>
      <c r="AX15" s="7"/>
      <c r="AY15" s="13">
        <f>3</f>
        <v>3</v>
      </c>
      <c r="AZ15" s="7"/>
      <c r="BA15" s="7"/>
      <c r="BB15" s="13">
        <f>3</f>
        <v>3</v>
      </c>
      <c r="BC15" s="7"/>
      <c r="BD15" s="8">
        <f>7</f>
        <v>7</v>
      </c>
      <c r="BE15" s="7"/>
      <c r="BF15" s="15"/>
      <c r="BG15" s="7"/>
      <c r="BH15" s="7"/>
      <c r="BI15" s="7"/>
      <c r="BJ15" s="7"/>
      <c r="BK15" s="11">
        <v>14</v>
      </c>
      <c r="BL15" s="7"/>
      <c r="BM15" s="7"/>
      <c r="BN15" s="7"/>
      <c r="BO15" s="15"/>
      <c r="BP15" s="7"/>
    </row>
    <row r="16" spans="1:68" x14ac:dyDescent="0.2">
      <c r="A16" s="4" t="s">
        <v>101</v>
      </c>
      <c r="B16" s="5" t="s">
        <v>67</v>
      </c>
      <c r="C16" s="1" t="s">
        <v>94</v>
      </c>
      <c r="D16" s="5" t="s">
        <v>102</v>
      </c>
      <c r="E16" s="1" t="s">
        <v>96</v>
      </c>
      <c r="F16" s="1">
        <v>6</v>
      </c>
      <c r="G16" s="1">
        <v>14</v>
      </c>
      <c r="H16" s="1"/>
      <c r="I16" s="14"/>
      <c r="J16" s="14"/>
      <c r="K16" s="14"/>
      <c r="L16" s="14"/>
      <c r="M16" s="14"/>
      <c r="N16" s="14"/>
      <c r="O16" s="14"/>
      <c r="P16" s="14">
        <f>9</f>
        <v>9</v>
      </c>
      <c r="Q16" s="16"/>
      <c r="R16" s="1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x14ac:dyDescent="0.2">
      <c r="A17" s="4" t="s">
        <v>103</v>
      </c>
      <c r="B17" s="5" t="s">
        <v>67</v>
      </c>
      <c r="C17" s="1" t="s">
        <v>94</v>
      </c>
      <c r="D17" s="5" t="s">
        <v>104</v>
      </c>
      <c r="E17" s="1" t="s">
        <v>96</v>
      </c>
      <c r="F17" s="1">
        <v>6</v>
      </c>
      <c r="G17" s="1">
        <v>6</v>
      </c>
      <c r="H17" s="1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7"/>
      <c r="T17" s="7"/>
      <c r="U17" s="7">
        <v>5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>
        <v>1</v>
      </c>
      <c r="BO17" s="7"/>
      <c r="BP17" s="7"/>
    </row>
    <row r="18" spans="1:68" x14ac:dyDescent="0.2">
      <c r="A18" s="4" t="s">
        <v>105</v>
      </c>
      <c r="B18" s="5" t="s">
        <v>67</v>
      </c>
      <c r="C18" s="1" t="s">
        <v>94</v>
      </c>
      <c r="D18" s="5" t="s">
        <v>106</v>
      </c>
      <c r="E18" s="1" t="s">
        <v>96</v>
      </c>
      <c r="F18" s="1">
        <v>6</v>
      </c>
      <c r="G18" s="1">
        <v>8</v>
      </c>
      <c r="H18" s="1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7"/>
      <c r="T18" s="7"/>
      <c r="U18" s="7"/>
      <c r="V18" s="7"/>
      <c r="W18" s="7"/>
      <c r="X18" s="7"/>
      <c r="Y18" s="7"/>
      <c r="Z18" s="7"/>
      <c r="AA18" s="7"/>
      <c r="AB18" s="7"/>
      <c r="AC18" s="13">
        <f>1</f>
        <v>1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13">
        <v>11</v>
      </c>
      <c r="BB18" s="7"/>
      <c r="BC18" s="7"/>
      <c r="BD18" s="7"/>
      <c r="BE18" s="7"/>
      <c r="BF18" s="7"/>
      <c r="BG18" s="7"/>
      <c r="BH18" s="7"/>
      <c r="BI18" s="7">
        <v>8</v>
      </c>
      <c r="BJ18" s="7"/>
      <c r="BK18" s="7"/>
      <c r="BL18" s="7"/>
      <c r="BM18" s="7"/>
      <c r="BN18" s="7"/>
      <c r="BO18" s="7"/>
      <c r="BP18" s="7"/>
    </row>
    <row r="19" spans="1:68" x14ac:dyDescent="0.2">
      <c r="A19" s="4" t="s">
        <v>107</v>
      </c>
      <c r="B19" s="5" t="s">
        <v>67</v>
      </c>
      <c r="C19" s="1" t="s">
        <v>94</v>
      </c>
      <c r="D19" s="5" t="s">
        <v>108</v>
      </c>
      <c r="E19" s="1" t="s">
        <v>96</v>
      </c>
      <c r="F19" s="1">
        <v>8</v>
      </c>
      <c r="G19" s="1">
        <v>10</v>
      </c>
      <c r="H19" s="1"/>
      <c r="I19" s="7"/>
      <c r="J19" s="7"/>
      <c r="K19" s="7"/>
      <c r="L19" s="7"/>
      <c r="M19" s="7"/>
      <c r="N19" s="7"/>
      <c r="O19" s="7"/>
      <c r="P19" s="7"/>
      <c r="Q19" s="7"/>
      <c r="R19" s="7"/>
      <c r="S19" s="14"/>
      <c r="T19" s="14"/>
      <c r="U19" s="14"/>
      <c r="V19" s="14"/>
      <c r="W19" s="14"/>
      <c r="X19" s="14"/>
      <c r="Y19" s="14"/>
      <c r="Z19" s="14"/>
      <c r="AA19" s="14"/>
      <c r="AB19" s="14">
        <v>3</v>
      </c>
      <c r="AC19" s="7"/>
      <c r="AD19" s="7"/>
      <c r="AE19" s="7"/>
      <c r="AF19" s="7"/>
      <c r="AG19" s="7"/>
      <c r="AH19" s="7"/>
      <c r="AI19" s="7"/>
      <c r="AJ19" s="7"/>
      <c r="AK19" s="13">
        <f>2</f>
        <v>2</v>
      </c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spans="1:68" x14ac:dyDescent="0.2">
      <c r="A20" s="1" t="s">
        <v>109</v>
      </c>
      <c r="B20" s="1" t="s">
        <v>67</v>
      </c>
      <c r="C20" s="1" t="s">
        <v>94</v>
      </c>
      <c r="D20" s="1" t="s">
        <v>110</v>
      </c>
      <c r="E20" s="1" t="s">
        <v>96</v>
      </c>
      <c r="F20" s="1">
        <v>8</v>
      </c>
      <c r="G20" s="1">
        <v>12</v>
      </c>
      <c r="H20" s="1"/>
      <c r="I20" s="7"/>
      <c r="J20" s="7"/>
      <c r="K20" s="7"/>
      <c r="L20" s="7"/>
      <c r="M20" s="7"/>
      <c r="N20" s="7"/>
      <c r="O20" s="7"/>
      <c r="P20" s="7"/>
      <c r="Q20" s="7"/>
      <c r="R20" s="7"/>
      <c r="S20" s="14"/>
      <c r="T20" s="14"/>
      <c r="U20" s="14"/>
      <c r="V20" s="14"/>
      <c r="W20" s="14"/>
      <c r="X20" s="14">
        <v>5</v>
      </c>
      <c r="Y20" s="14"/>
      <c r="Z20" s="14"/>
      <c r="AA20" s="14"/>
      <c r="AB20" s="14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>
        <v>8</v>
      </c>
      <c r="BP20" s="7"/>
    </row>
    <row r="21" spans="1:68" x14ac:dyDescent="0.2">
      <c r="A21" s="1" t="s">
        <v>111</v>
      </c>
      <c r="B21" s="1" t="s">
        <v>67</v>
      </c>
      <c r="C21" s="1" t="s">
        <v>94</v>
      </c>
      <c r="D21" s="1" t="s">
        <v>112</v>
      </c>
      <c r="E21" s="1" t="s">
        <v>96</v>
      </c>
      <c r="F21" s="1">
        <v>10</v>
      </c>
      <c r="G21" s="1">
        <v>16</v>
      </c>
      <c r="H21" s="1"/>
      <c r="I21" s="7"/>
      <c r="J21" s="7"/>
      <c r="K21" s="7"/>
      <c r="L21" s="7"/>
      <c r="M21" s="7"/>
      <c r="N21" s="7"/>
      <c r="O21" s="7"/>
      <c r="P21" s="7"/>
      <c r="Q21" s="7"/>
      <c r="R21" s="7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7"/>
      <c r="AD21" s="7"/>
      <c r="AE21" s="13">
        <f>4</f>
        <v>4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15"/>
      <c r="AY21" s="7"/>
      <c r="AZ21" s="7"/>
      <c r="BA21" s="15"/>
      <c r="BB21" s="15"/>
      <c r="BC21" s="15"/>
      <c r="BD21" s="15"/>
      <c r="BE21" s="7"/>
      <c r="BF21" s="7"/>
      <c r="BG21" s="7"/>
      <c r="BH21" s="7"/>
      <c r="BI21" s="7"/>
      <c r="BJ21" s="7"/>
      <c r="BK21" s="7"/>
      <c r="BL21" s="15"/>
      <c r="BM21" s="7"/>
      <c r="BN21" s="7">
        <v>7</v>
      </c>
      <c r="BO21" s="7"/>
      <c r="BP21" s="15"/>
    </row>
    <row r="22" spans="1:68" x14ac:dyDescent="0.2">
      <c r="A22" s="1" t="s">
        <v>113</v>
      </c>
      <c r="B22" s="1" t="s">
        <v>67</v>
      </c>
      <c r="C22" s="1" t="s">
        <v>94</v>
      </c>
      <c r="D22" s="1" t="s">
        <v>114</v>
      </c>
      <c r="E22" s="1" t="s">
        <v>96</v>
      </c>
      <c r="F22" s="1">
        <v>14</v>
      </c>
      <c r="G22" s="1">
        <v>20</v>
      </c>
      <c r="H22" s="1"/>
      <c r="I22" s="7"/>
      <c r="J22" s="7"/>
      <c r="K22" s="7"/>
      <c r="L22" s="7"/>
      <c r="M22" s="7"/>
      <c r="N22" s="7"/>
      <c r="O22" s="7"/>
      <c r="P22" s="7"/>
      <c r="Q22" s="7"/>
      <c r="R22" s="7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7"/>
      <c r="AD22" s="7"/>
      <c r="AE22" s="7"/>
      <c r="AF22" s="13">
        <f>3</f>
        <v>3</v>
      </c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15"/>
      <c r="AY22" s="7"/>
      <c r="AZ22" s="7"/>
      <c r="BA22" s="15"/>
      <c r="BB22" s="15"/>
      <c r="BC22" s="15"/>
      <c r="BD22" s="15"/>
      <c r="BE22" s="7"/>
      <c r="BF22" s="7"/>
      <c r="BG22" s="7"/>
      <c r="BH22" s="7"/>
      <c r="BI22" s="7"/>
      <c r="BJ22" s="7"/>
      <c r="BK22" s="7"/>
      <c r="BL22" s="15"/>
      <c r="BM22" s="7"/>
      <c r="BN22" s="7">
        <v>2</v>
      </c>
      <c r="BO22" s="7"/>
      <c r="BP22" s="7"/>
    </row>
    <row r="23" spans="1:68" x14ac:dyDescent="0.2">
      <c r="A23" s="17" t="s">
        <v>115</v>
      </c>
      <c r="B23" s="18" t="s">
        <v>116</v>
      </c>
      <c r="C23" s="18" t="s">
        <v>117</v>
      </c>
      <c r="D23" s="18" t="s">
        <v>118</v>
      </c>
      <c r="E23" s="18" t="s">
        <v>70</v>
      </c>
      <c r="F23" s="1">
        <v>5.5</v>
      </c>
      <c r="G23" s="1">
        <v>5.5</v>
      </c>
      <c r="H23" s="1"/>
      <c r="I23" s="12"/>
      <c r="J23" s="19">
        <v>4</v>
      </c>
      <c r="K23" s="19">
        <v>4</v>
      </c>
      <c r="L23" s="19">
        <v>4</v>
      </c>
      <c r="M23" s="12"/>
      <c r="N23" s="19">
        <v>1</v>
      </c>
      <c r="O23" s="19">
        <v>1</v>
      </c>
      <c r="P23" s="12"/>
      <c r="Q23" s="19">
        <f>1</f>
        <v>1</v>
      </c>
      <c r="R23" s="12"/>
      <c r="S23" s="1"/>
      <c r="T23" s="1">
        <v>19</v>
      </c>
      <c r="U23" s="1">
        <v>13</v>
      </c>
      <c r="V23" s="1">
        <v>15</v>
      </c>
      <c r="W23" s="1">
        <v>4</v>
      </c>
      <c r="X23" s="1">
        <v>13</v>
      </c>
      <c r="Y23" s="1">
        <v>7</v>
      </c>
      <c r="Z23" s="1">
        <v>5</v>
      </c>
      <c r="AA23" s="1">
        <v>2</v>
      </c>
      <c r="AB23" s="1">
        <v>2</v>
      </c>
      <c r="AC23" s="7"/>
      <c r="AD23" s="13">
        <f>3</f>
        <v>3</v>
      </c>
      <c r="AE23" s="13">
        <v>1</v>
      </c>
      <c r="AF23" s="7"/>
      <c r="AG23" s="7"/>
      <c r="AH23" s="13">
        <f>2</f>
        <v>2</v>
      </c>
      <c r="AI23" s="13">
        <f>2</f>
        <v>2</v>
      </c>
      <c r="AJ23" s="13">
        <f>3</f>
        <v>3</v>
      </c>
      <c r="AK23" s="13">
        <f>2</f>
        <v>2</v>
      </c>
      <c r="AL23" s="13">
        <f>2</f>
        <v>2</v>
      </c>
      <c r="AM23" s="13">
        <f>1</f>
        <v>1</v>
      </c>
      <c r="AN23" s="13">
        <f>15</f>
        <v>15</v>
      </c>
      <c r="AO23" s="13">
        <f>9</f>
        <v>9</v>
      </c>
      <c r="AP23" s="13">
        <v>24</v>
      </c>
      <c r="AQ23" s="13">
        <f>8</f>
        <v>8</v>
      </c>
      <c r="AR23" s="13">
        <f>32</f>
        <v>32</v>
      </c>
      <c r="AS23" s="13">
        <f>7</f>
        <v>7</v>
      </c>
      <c r="AT23" s="13">
        <f>2</f>
        <v>2</v>
      </c>
      <c r="AU23" s="13">
        <f>4</f>
        <v>4</v>
      </c>
      <c r="AV23" s="13">
        <f>2</f>
        <v>2</v>
      </c>
      <c r="AW23" s="7"/>
      <c r="AX23" s="13">
        <f>18</f>
        <v>18</v>
      </c>
      <c r="AY23" s="13">
        <f>1</f>
        <v>1</v>
      </c>
      <c r="AZ23" s="13">
        <f>5</f>
        <v>5</v>
      </c>
      <c r="BA23" s="13">
        <f>3</f>
        <v>3</v>
      </c>
      <c r="BB23" s="13">
        <f>89</f>
        <v>89</v>
      </c>
      <c r="BC23" s="13">
        <f>2</f>
        <v>2</v>
      </c>
      <c r="BD23" s="20">
        <v>2</v>
      </c>
      <c r="BE23" s="13">
        <f>3</f>
        <v>3</v>
      </c>
      <c r="BF23" s="20">
        <v>1</v>
      </c>
      <c r="BG23" s="7"/>
      <c r="BH23" s="7"/>
      <c r="BI23" s="7"/>
      <c r="BJ23" s="11">
        <v>1</v>
      </c>
      <c r="BK23" s="7"/>
      <c r="BL23" s="11">
        <f>3</f>
        <v>3</v>
      </c>
      <c r="BM23" s="11">
        <f>19</f>
        <v>19</v>
      </c>
      <c r="BN23" s="11">
        <v>14</v>
      </c>
      <c r="BO23" s="21">
        <v>7</v>
      </c>
      <c r="BP23" s="11">
        <f>23</f>
        <v>23</v>
      </c>
    </row>
    <row r="24" spans="1:68" x14ac:dyDescent="0.2">
      <c r="A24" s="17" t="s">
        <v>119</v>
      </c>
      <c r="B24" s="18" t="s">
        <v>116</v>
      </c>
      <c r="C24" s="18" t="s">
        <v>117</v>
      </c>
      <c r="D24" s="18" t="s">
        <v>120</v>
      </c>
      <c r="E24" s="18" t="s">
        <v>70</v>
      </c>
      <c r="F24" s="1">
        <v>9.5</v>
      </c>
      <c r="G24" s="1">
        <v>9.5</v>
      </c>
      <c r="H24" s="1"/>
      <c r="I24" s="12"/>
      <c r="J24" s="19">
        <v>19</v>
      </c>
      <c r="K24" s="19">
        <v>8</v>
      </c>
      <c r="L24" s="19">
        <v>20</v>
      </c>
      <c r="M24" s="19">
        <f>8</f>
        <v>8</v>
      </c>
      <c r="N24" s="19">
        <v>13</v>
      </c>
      <c r="O24" s="19">
        <v>7</v>
      </c>
      <c r="P24" s="19">
        <f>5</f>
        <v>5</v>
      </c>
      <c r="Q24" s="19">
        <f>9</f>
        <v>9</v>
      </c>
      <c r="R24" s="19">
        <f>11</f>
        <v>11</v>
      </c>
      <c r="S24" s="1">
        <v>4</v>
      </c>
      <c r="T24" s="1">
        <v>54</v>
      </c>
      <c r="U24" s="1">
        <v>32</v>
      </c>
      <c r="V24" s="1">
        <v>93</v>
      </c>
      <c r="W24" s="1">
        <v>43</v>
      </c>
      <c r="X24" s="1">
        <v>52</v>
      </c>
      <c r="Y24" s="1">
        <v>31</v>
      </c>
      <c r="Z24" s="1">
        <v>17</v>
      </c>
      <c r="AA24" s="1">
        <v>6</v>
      </c>
      <c r="AB24" s="1">
        <v>12</v>
      </c>
      <c r="AC24" s="7"/>
      <c r="AD24" s="13">
        <f>32</f>
        <v>32</v>
      </c>
      <c r="AE24" s="13">
        <f>9</f>
        <v>9</v>
      </c>
      <c r="AF24" s="13">
        <f>13</f>
        <v>13</v>
      </c>
      <c r="AG24" s="13">
        <f>5</f>
        <v>5</v>
      </c>
      <c r="AH24" s="13">
        <f>31</f>
        <v>31</v>
      </c>
      <c r="AI24" s="13">
        <f>11</f>
        <v>11</v>
      </c>
      <c r="AJ24" s="13">
        <f>2</f>
        <v>2</v>
      </c>
      <c r="AK24" s="13">
        <f>6</f>
        <v>6</v>
      </c>
      <c r="AL24" s="13">
        <f>7</f>
        <v>7</v>
      </c>
      <c r="AM24" s="13">
        <f>1</f>
        <v>1</v>
      </c>
      <c r="AN24" s="13">
        <f>46</f>
        <v>46</v>
      </c>
      <c r="AO24" s="13">
        <f>24</f>
        <v>24</v>
      </c>
      <c r="AP24" s="13">
        <v>46</v>
      </c>
      <c r="AQ24" s="13">
        <f>15</f>
        <v>15</v>
      </c>
      <c r="AR24" s="13">
        <f>52</f>
        <v>52</v>
      </c>
      <c r="AS24" s="13">
        <f>36</f>
        <v>36</v>
      </c>
      <c r="AT24" s="13">
        <f>24</f>
        <v>24</v>
      </c>
      <c r="AU24" s="13">
        <f>11</f>
        <v>11</v>
      </c>
      <c r="AV24" s="13">
        <f>19</f>
        <v>19</v>
      </c>
      <c r="AW24" s="7"/>
      <c r="AX24" s="13">
        <f>29</f>
        <v>29</v>
      </c>
      <c r="AY24" s="13">
        <f>6</f>
        <v>6</v>
      </c>
      <c r="AZ24" s="13">
        <f>18</f>
        <v>18</v>
      </c>
      <c r="BA24" s="13">
        <f>7</f>
        <v>7</v>
      </c>
      <c r="BB24" s="13">
        <f>24</f>
        <v>24</v>
      </c>
      <c r="BC24" s="13">
        <f>11</f>
        <v>11</v>
      </c>
      <c r="BD24" s="20">
        <v>30</v>
      </c>
      <c r="BE24" s="13">
        <f>23</f>
        <v>23</v>
      </c>
      <c r="BF24" s="20">
        <v>35</v>
      </c>
      <c r="BG24" s="7"/>
      <c r="BH24" s="11">
        <v>23</v>
      </c>
      <c r="BI24" s="7"/>
      <c r="BJ24" s="11">
        <v>25</v>
      </c>
      <c r="BK24" s="7">
        <v>3</v>
      </c>
      <c r="BL24" s="11">
        <f>98</f>
        <v>98</v>
      </c>
      <c r="BM24" s="11">
        <f>11</f>
        <v>11</v>
      </c>
      <c r="BN24" s="11">
        <v>8</v>
      </c>
      <c r="BO24" s="21">
        <v>22</v>
      </c>
      <c r="BP24" s="11">
        <f>34</f>
        <v>34</v>
      </c>
    </row>
    <row r="25" spans="1:68" x14ac:dyDescent="0.2">
      <c r="A25" s="17" t="s">
        <v>121</v>
      </c>
      <c r="B25" s="18" t="s">
        <v>116</v>
      </c>
      <c r="C25" s="18" t="s">
        <v>117</v>
      </c>
      <c r="D25" s="18" t="s">
        <v>122</v>
      </c>
      <c r="E25" s="18" t="s">
        <v>70</v>
      </c>
      <c r="F25" s="1">
        <v>14</v>
      </c>
      <c r="G25" s="1">
        <v>14</v>
      </c>
      <c r="H25" s="1"/>
      <c r="I25" s="19">
        <v>3</v>
      </c>
      <c r="J25" s="19">
        <v>22</v>
      </c>
      <c r="K25" s="19">
        <v>5</v>
      </c>
      <c r="L25" s="19">
        <v>29</v>
      </c>
      <c r="M25" s="19">
        <f>2</f>
        <v>2</v>
      </c>
      <c r="N25" s="19">
        <v>18</v>
      </c>
      <c r="O25" s="19">
        <v>1</v>
      </c>
      <c r="P25" s="19">
        <f>6</f>
        <v>6</v>
      </c>
      <c r="Q25" s="14">
        <f>14</f>
        <v>14</v>
      </c>
      <c r="R25" s="19">
        <f>8</f>
        <v>8</v>
      </c>
      <c r="S25" s="1">
        <v>24</v>
      </c>
      <c r="T25" s="1">
        <v>28</v>
      </c>
      <c r="U25" s="1">
        <v>24</v>
      </c>
      <c r="V25" s="1">
        <v>56</v>
      </c>
      <c r="W25" s="1">
        <v>10</v>
      </c>
      <c r="X25" s="1">
        <v>44</v>
      </c>
      <c r="Y25" s="1">
        <v>22</v>
      </c>
      <c r="Z25" s="1">
        <v>12</v>
      </c>
      <c r="AA25" s="1">
        <v>2</v>
      </c>
      <c r="AB25" s="1">
        <v>12</v>
      </c>
      <c r="AC25" s="13">
        <f>10</f>
        <v>10</v>
      </c>
      <c r="AD25" s="13">
        <f>18</f>
        <v>18</v>
      </c>
      <c r="AE25" s="13">
        <v>2</v>
      </c>
      <c r="AF25" s="13">
        <f>17</f>
        <v>17</v>
      </c>
      <c r="AG25" s="13">
        <f>5</f>
        <v>5</v>
      </c>
      <c r="AH25" s="13">
        <f>19</f>
        <v>19</v>
      </c>
      <c r="AI25" s="13">
        <f>10</f>
        <v>10</v>
      </c>
      <c r="AJ25" s="13">
        <f>9</f>
        <v>9</v>
      </c>
      <c r="AK25" s="13">
        <f>2</f>
        <v>2</v>
      </c>
      <c r="AL25" s="13">
        <f>6</f>
        <v>6</v>
      </c>
      <c r="AM25" s="13">
        <f>2</f>
        <v>2</v>
      </c>
      <c r="AN25" s="13">
        <f>30</f>
        <v>30</v>
      </c>
      <c r="AO25" s="13">
        <f>8</f>
        <v>8</v>
      </c>
      <c r="AP25" s="13">
        <v>19</v>
      </c>
      <c r="AQ25" s="13">
        <v>3</v>
      </c>
      <c r="AR25" s="13">
        <f>23</f>
        <v>23</v>
      </c>
      <c r="AS25" s="13">
        <f>9</f>
        <v>9</v>
      </c>
      <c r="AT25" s="13">
        <f>7</f>
        <v>7</v>
      </c>
      <c r="AU25" s="13">
        <f>15</f>
        <v>15</v>
      </c>
      <c r="AV25" s="13">
        <f>13</f>
        <v>13</v>
      </c>
      <c r="AW25" s="13">
        <v>1</v>
      </c>
      <c r="AX25" s="13">
        <f>61</f>
        <v>61</v>
      </c>
      <c r="AY25" s="13">
        <f>13</f>
        <v>13</v>
      </c>
      <c r="AZ25" s="13">
        <f>54</f>
        <v>54</v>
      </c>
      <c r="BA25" s="13">
        <f>13</f>
        <v>13</v>
      </c>
      <c r="BB25" s="13">
        <f>71</f>
        <v>71</v>
      </c>
      <c r="BC25" s="13">
        <f>15</f>
        <v>15</v>
      </c>
      <c r="BD25" s="20">
        <v>21</v>
      </c>
      <c r="BE25" s="13">
        <f>15</f>
        <v>15</v>
      </c>
      <c r="BF25" s="20">
        <v>39</v>
      </c>
      <c r="BG25" s="7">
        <f>4+1+2</f>
        <v>7</v>
      </c>
      <c r="BH25" s="11">
        <v>8</v>
      </c>
      <c r="BI25" s="7">
        <f>13+5</f>
        <v>18</v>
      </c>
      <c r="BJ25" s="11">
        <v>19</v>
      </c>
      <c r="BK25" s="7"/>
      <c r="BL25" s="11">
        <f>48+5</f>
        <v>53</v>
      </c>
      <c r="BM25" s="11">
        <f>10</f>
        <v>10</v>
      </c>
      <c r="BN25" s="11">
        <v>18</v>
      </c>
      <c r="BO25" s="21">
        <v>31</v>
      </c>
      <c r="BP25" s="11">
        <f>35</f>
        <v>35</v>
      </c>
    </row>
    <row r="26" spans="1:68" x14ac:dyDescent="0.2">
      <c r="A26" s="4" t="s">
        <v>123</v>
      </c>
      <c r="B26" s="5" t="s">
        <v>124</v>
      </c>
      <c r="C26" s="5"/>
      <c r="D26" s="5" t="s">
        <v>125</v>
      </c>
      <c r="E26" s="5" t="s">
        <v>75</v>
      </c>
      <c r="F26" s="1">
        <v>4</v>
      </c>
      <c r="G26" s="1">
        <v>24</v>
      </c>
      <c r="H26" s="1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7"/>
      <c r="T26" s="7"/>
      <c r="U26" s="7"/>
      <c r="V26" s="7">
        <v>11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spans="1:68" x14ac:dyDescent="0.2">
      <c r="A27" s="4" t="s">
        <v>126</v>
      </c>
      <c r="B27" s="5" t="s">
        <v>124</v>
      </c>
      <c r="C27" s="5"/>
      <c r="D27" s="5" t="s">
        <v>127</v>
      </c>
      <c r="E27" s="5" t="s">
        <v>75</v>
      </c>
      <c r="F27" s="1">
        <v>4</v>
      </c>
      <c r="G27" s="1">
        <v>50</v>
      </c>
      <c r="H27" s="1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"/>
      <c r="T27" s="7"/>
      <c r="U27" s="7">
        <v>1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spans="1:68" x14ac:dyDescent="0.2">
      <c r="A28" s="22" t="s">
        <v>128</v>
      </c>
      <c r="B28" s="23" t="s">
        <v>129</v>
      </c>
      <c r="C28" s="23" t="s">
        <v>130</v>
      </c>
      <c r="D28" s="23" t="s">
        <v>131</v>
      </c>
      <c r="E28" s="5" t="s">
        <v>75</v>
      </c>
      <c r="F28" s="1">
        <v>5.5</v>
      </c>
      <c r="G28" s="1">
        <v>5.5</v>
      </c>
      <c r="H28" s="1"/>
      <c r="I28" s="14">
        <v>162</v>
      </c>
      <c r="J28" s="14">
        <v>194</v>
      </c>
      <c r="K28" s="14">
        <v>78</v>
      </c>
      <c r="L28" s="2">
        <v>102</v>
      </c>
      <c r="M28" s="14">
        <v>77</v>
      </c>
      <c r="N28" s="14">
        <v>85</v>
      </c>
      <c r="O28" s="14">
        <v>46</v>
      </c>
      <c r="P28" s="14">
        <f>103</f>
        <v>103</v>
      </c>
      <c r="Q28" s="14">
        <f>136</f>
        <v>136</v>
      </c>
      <c r="R28" s="14">
        <f>188</f>
        <v>188</v>
      </c>
      <c r="S28" s="7">
        <v>26</v>
      </c>
      <c r="T28" s="7">
        <v>15</v>
      </c>
      <c r="U28" s="7">
        <v>16</v>
      </c>
      <c r="V28" s="7">
        <v>18</v>
      </c>
      <c r="W28" s="7">
        <v>15</v>
      </c>
      <c r="X28" s="7">
        <v>23</v>
      </c>
      <c r="Y28" s="7">
        <v>21</v>
      </c>
      <c r="Z28" s="7">
        <v>6</v>
      </c>
      <c r="AA28" s="7">
        <v>14</v>
      </c>
      <c r="AB28" s="7">
        <v>14</v>
      </c>
      <c r="AC28" s="7"/>
      <c r="AD28" s="13">
        <f>167</f>
        <v>167</v>
      </c>
      <c r="AE28" s="13">
        <f>49</f>
        <v>49</v>
      </c>
      <c r="AF28" s="7"/>
      <c r="AG28" s="13">
        <f>44</f>
        <v>44</v>
      </c>
      <c r="AH28" s="13">
        <f>171</f>
        <v>171</v>
      </c>
      <c r="AI28" s="13">
        <f>43</f>
        <v>43</v>
      </c>
      <c r="AJ28" s="13">
        <f>67</f>
        <v>67</v>
      </c>
      <c r="AK28" s="13">
        <f>44</f>
        <v>44</v>
      </c>
      <c r="AL28" s="13">
        <f>138</f>
        <v>138</v>
      </c>
      <c r="AM28" s="7"/>
      <c r="AN28" s="13">
        <f>7</f>
        <v>7</v>
      </c>
      <c r="AO28" s="13">
        <f>10</f>
        <v>10</v>
      </c>
      <c r="AP28" s="13">
        <f>8</f>
        <v>8</v>
      </c>
      <c r="AQ28" s="13">
        <f>6</f>
        <v>6</v>
      </c>
      <c r="AR28" s="13">
        <f>17</f>
        <v>17</v>
      </c>
      <c r="AS28" s="13">
        <f>38</f>
        <v>38</v>
      </c>
      <c r="AT28" s="13">
        <f>19</f>
        <v>19</v>
      </c>
      <c r="AU28" s="13">
        <f>14</f>
        <v>14</v>
      </c>
      <c r="AV28" s="13">
        <f>17</f>
        <v>17</v>
      </c>
      <c r="AW28" s="13">
        <v>14</v>
      </c>
      <c r="AX28" s="20">
        <v>103</v>
      </c>
      <c r="AY28" s="13">
        <f>43</f>
        <v>43</v>
      </c>
      <c r="AZ28" s="13">
        <f>82</f>
        <v>82</v>
      </c>
      <c r="BA28" s="20">
        <v>55</v>
      </c>
      <c r="BB28" s="20">
        <v>200</v>
      </c>
      <c r="BC28" s="20">
        <v>125</v>
      </c>
      <c r="BD28" s="20">
        <v>98</v>
      </c>
      <c r="BE28" s="13">
        <v>50</v>
      </c>
      <c r="BF28" s="13">
        <f>48</f>
        <v>48</v>
      </c>
      <c r="BG28" s="11">
        <f>25</f>
        <v>25</v>
      </c>
      <c r="BH28" s="11">
        <v>87</v>
      </c>
      <c r="BI28" s="11">
        <v>45</v>
      </c>
      <c r="BJ28" s="11">
        <v>90</v>
      </c>
      <c r="BK28" s="7"/>
      <c r="BL28" s="21">
        <v>142</v>
      </c>
      <c r="BM28" s="11">
        <f>62</f>
        <v>62</v>
      </c>
      <c r="BN28" s="11">
        <v>115</v>
      </c>
      <c r="BO28" s="11">
        <f>107</f>
        <v>107</v>
      </c>
      <c r="BP28" s="21">
        <v>114</v>
      </c>
    </row>
    <row r="29" spans="1:68" x14ac:dyDescent="0.2">
      <c r="A29" s="22" t="s">
        <v>132</v>
      </c>
      <c r="B29" s="23" t="s">
        <v>129</v>
      </c>
      <c r="C29" s="23" t="s">
        <v>130</v>
      </c>
      <c r="D29" s="23" t="s">
        <v>133</v>
      </c>
      <c r="E29" s="5" t="s">
        <v>75</v>
      </c>
      <c r="F29" s="1">
        <v>9.5</v>
      </c>
      <c r="G29" s="1">
        <v>9.5</v>
      </c>
      <c r="H29" s="1"/>
      <c r="I29" s="14">
        <v>61</v>
      </c>
      <c r="J29" s="14">
        <v>73</v>
      </c>
      <c r="K29" s="14">
        <v>9</v>
      </c>
      <c r="L29" s="2">
        <v>52</v>
      </c>
      <c r="M29" s="14">
        <v>21</v>
      </c>
      <c r="N29" s="14">
        <v>47</v>
      </c>
      <c r="O29" s="14">
        <v>7</v>
      </c>
      <c r="P29" s="14">
        <f>32</f>
        <v>32</v>
      </c>
      <c r="Q29" s="14">
        <f>48</f>
        <v>48</v>
      </c>
      <c r="R29" s="14">
        <f>54</f>
        <v>54</v>
      </c>
      <c r="S29" s="7">
        <v>2</v>
      </c>
      <c r="T29" s="7">
        <v>7</v>
      </c>
      <c r="U29" s="7">
        <v>5</v>
      </c>
      <c r="V29" s="7">
        <v>1</v>
      </c>
      <c r="W29" s="7">
        <v>2</v>
      </c>
      <c r="X29" s="7">
        <v>13</v>
      </c>
      <c r="Y29" s="7">
        <v>1</v>
      </c>
      <c r="Z29" s="7">
        <v>10</v>
      </c>
      <c r="AA29" s="7">
        <v>4</v>
      </c>
      <c r="AB29" s="7">
        <v>2</v>
      </c>
      <c r="AC29" s="13">
        <f>100</f>
        <v>100</v>
      </c>
      <c r="AD29" s="13">
        <f>320</f>
        <v>320</v>
      </c>
      <c r="AE29" s="13">
        <f>64</f>
        <v>64</v>
      </c>
      <c r="AF29" s="13">
        <f>216</f>
        <v>216</v>
      </c>
      <c r="AG29" s="13">
        <f>40</f>
        <v>40</v>
      </c>
      <c r="AH29" s="13">
        <f>492</f>
        <v>492</v>
      </c>
      <c r="AI29" s="13">
        <f>99</f>
        <v>99</v>
      </c>
      <c r="AJ29" s="13">
        <v>257</v>
      </c>
      <c r="AK29" s="13">
        <f>361</f>
        <v>361</v>
      </c>
      <c r="AL29" s="13">
        <f>406</f>
        <v>406</v>
      </c>
      <c r="AM29" s="13">
        <f>3</f>
        <v>3</v>
      </c>
      <c r="AN29" s="13">
        <f>5</f>
        <v>5</v>
      </c>
      <c r="AO29" s="13">
        <f>2</f>
        <v>2</v>
      </c>
      <c r="AP29" s="7"/>
      <c r="AQ29" s="13">
        <f>8</f>
        <v>8</v>
      </c>
      <c r="AR29" s="13">
        <f>6</f>
        <v>6</v>
      </c>
      <c r="AS29" s="13">
        <f>5</f>
        <v>5</v>
      </c>
      <c r="AT29" s="13">
        <f>8</f>
        <v>8</v>
      </c>
      <c r="AU29" s="13">
        <f>9</f>
        <v>9</v>
      </c>
      <c r="AV29" s="13">
        <f>8</f>
        <v>8</v>
      </c>
      <c r="AW29" s="13">
        <v>7</v>
      </c>
      <c r="AX29" s="20">
        <v>109</v>
      </c>
      <c r="AY29" s="13">
        <f>55</f>
        <v>55</v>
      </c>
      <c r="AZ29" s="13">
        <f>119</f>
        <v>119</v>
      </c>
      <c r="BA29" s="20">
        <v>117</v>
      </c>
      <c r="BB29" s="20">
        <v>516</v>
      </c>
      <c r="BC29" s="20">
        <v>72</v>
      </c>
      <c r="BD29" s="20">
        <v>266</v>
      </c>
      <c r="BE29" s="13">
        <v>301</v>
      </c>
      <c r="BF29" s="13">
        <f>181</f>
        <v>181</v>
      </c>
      <c r="BG29" s="11">
        <f>7</f>
        <v>7</v>
      </c>
      <c r="BH29" s="11">
        <f>37+5</f>
        <v>42</v>
      </c>
      <c r="BI29" s="11">
        <v>13</v>
      </c>
      <c r="BJ29" s="11">
        <v>102</v>
      </c>
      <c r="BK29" s="11">
        <v>6</v>
      </c>
      <c r="BL29" s="21">
        <v>90</v>
      </c>
      <c r="BM29" s="11">
        <f>33</f>
        <v>33</v>
      </c>
      <c r="BN29" s="11">
        <v>104</v>
      </c>
      <c r="BO29" s="11">
        <f>127</f>
        <v>127</v>
      </c>
      <c r="BP29" s="21">
        <v>100</v>
      </c>
    </row>
    <row r="30" spans="1:68" x14ac:dyDescent="0.2">
      <c r="A30" s="22" t="s">
        <v>134</v>
      </c>
      <c r="B30" s="23" t="s">
        <v>129</v>
      </c>
      <c r="C30" s="23" t="s">
        <v>130</v>
      </c>
      <c r="D30" s="23" t="s">
        <v>135</v>
      </c>
      <c r="E30" s="5" t="s">
        <v>75</v>
      </c>
      <c r="F30" s="1">
        <v>14</v>
      </c>
      <c r="G30" s="1">
        <v>14</v>
      </c>
      <c r="H30" s="1"/>
      <c r="I30" s="14">
        <v>46</v>
      </c>
      <c r="J30" s="14">
        <v>22</v>
      </c>
      <c r="K30" s="14">
        <v>9</v>
      </c>
      <c r="L30" s="2">
        <v>24</v>
      </c>
      <c r="M30" s="14">
        <v>6</v>
      </c>
      <c r="N30" s="14">
        <v>24</v>
      </c>
      <c r="O30" s="14">
        <v>2</v>
      </c>
      <c r="P30" s="14">
        <f>26</f>
        <v>26</v>
      </c>
      <c r="Q30" s="14">
        <f>11</f>
        <v>11</v>
      </c>
      <c r="R30" s="14">
        <f>19</f>
        <v>19</v>
      </c>
      <c r="S30" s="7">
        <v>5</v>
      </c>
      <c r="T30" s="7"/>
      <c r="U30" s="7">
        <v>4</v>
      </c>
      <c r="V30" s="7">
        <v>7</v>
      </c>
      <c r="W30" s="7"/>
      <c r="X30" s="7">
        <v>7</v>
      </c>
      <c r="Y30" s="7">
        <v>1</v>
      </c>
      <c r="Z30" s="7">
        <v>12</v>
      </c>
      <c r="AA30" s="7"/>
      <c r="AB30" s="7">
        <v>5</v>
      </c>
      <c r="AC30" s="7"/>
      <c r="AD30" s="13">
        <f>20</f>
        <v>20</v>
      </c>
      <c r="AE30" s="13">
        <f>10</f>
        <v>10</v>
      </c>
      <c r="AF30" s="13">
        <f>64</f>
        <v>64</v>
      </c>
      <c r="AG30" s="13">
        <f>30</f>
        <v>30</v>
      </c>
      <c r="AH30" s="13">
        <f>54</f>
        <v>54</v>
      </c>
      <c r="AI30" s="13">
        <f>9</f>
        <v>9</v>
      </c>
      <c r="AJ30" s="13">
        <f>28</f>
        <v>28</v>
      </c>
      <c r="AK30" s="13">
        <f>28</f>
        <v>28</v>
      </c>
      <c r="AL30" s="13">
        <f>51</f>
        <v>51</v>
      </c>
      <c r="AM30" s="7"/>
      <c r="AN30" s="13">
        <f>3</f>
        <v>3</v>
      </c>
      <c r="AO30" s="7"/>
      <c r="AP30" s="7"/>
      <c r="AQ30" s="7"/>
      <c r="AR30" s="13">
        <f>2</f>
        <v>2</v>
      </c>
      <c r="AS30" s="13">
        <f>1</f>
        <v>1</v>
      </c>
      <c r="AT30" s="7"/>
      <c r="AU30" s="13">
        <f>3</f>
        <v>3</v>
      </c>
      <c r="AV30" s="13">
        <f>7</f>
        <v>7</v>
      </c>
      <c r="AW30" s="7"/>
      <c r="AX30" s="20">
        <v>24</v>
      </c>
      <c r="AY30" s="13">
        <f>24</f>
        <v>24</v>
      </c>
      <c r="AZ30" s="13">
        <f>38</f>
        <v>38</v>
      </c>
      <c r="BA30" s="20">
        <v>6</v>
      </c>
      <c r="BB30" s="20">
        <v>31</v>
      </c>
      <c r="BC30" s="20">
        <v>3</v>
      </c>
      <c r="BD30" s="20">
        <v>3</v>
      </c>
      <c r="BE30" s="13">
        <f>10</f>
        <v>10</v>
      </c>
      <c r="BF30" s="13">
        <f>4</f>
        <v>4</v>
      </c>
      <c r="BG30" s="11">
        <f>2+5</f>
        <v>7</v>
      </c>
      <c r="BH30" s="11">
        <v>29</v>
      </c>
      <c r="BI30" s="7"/>
      <c r="BJ30" s="11">
        <v>26</v>
      </c>
      <c r="BK30" s="11">
        <v>6</v>
      </c>
      <c r="BL30" s="21">
        <v>55</v>
      </c>
      <c r="BM30" s="11">
        <v>7</v>
      </c>
      <c r="BN30" s="11">
        <v>38</v>
      </c>
      <c r="BO30" s="11">
        <f>32</f>
        <v>32</v>
      </c>
      <c r="BP30" s="7"/>
    </row>
    <row r="31" spans="1:68" x14ac:dyDescent="0.2">
      <c r="A31" s="4" t="s">
        <v>136</v>
      </c>
      <c r="B31" s="5" t="s">
        <v>129</v>
      </c>
      <c r="C31" s="5" t="s">
        <v>137</v>
      </c>
      <c r="D31" s="5" t="s">
        <v>138</v>
      </c>
      <c r="E31" s="5" t="s">
        <v>139</v>
      </c>
      <c r="F31" s="1">
        <v>2</v>
      </c>
      <c r="G31" s="1">
        <v>8</v>
      </c>
      <c r="H31" s="1">
        <f t="shared" ref="H31:H51" si="0">F31</f>
        <v>2</v>
      </c>
      <c r="I31" s="14"/>
      <c r="J31" s="14"/>
      <c r="K31" s="14"/>
      <c r="L31" s="14"/>
      <c r="M31" s="14"/>
      <c r="N31" s="14"/>
      <c r="O31" s="14"/>
      <c r="P31" s="14">
        <f>6</f>
        <v>6</v>
      </c>
      <c r="Q31" s="14"/>
      <c r="R31" s="1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 x14ac:dyDescent="0.2">
      <c r="A32" s="4" t="s">
        <v>140</v>
      </c>
      <c r="B32" s="5" t="s">
        <v>129</v>
      </c>
      <c r="C32" s="5" t="s">
        <v>137</v>
      </c>
      <c r="D32" s="5" t="s">
        <v>141</v>
      </c>
      <c r="E32" s="5" t="s">
        <v>139</v>
      </c>
      <c r="F32" s="1">
        <v>2</v>
      </c>
      <c r="G32" s="1">
        <v>10</v>
      </c>
      <c r="H32" s="1">
        <f t="shared" si="0"/>
        <v>2</v>
      </c>
      <c r="I32" s="14"/>
      <c r="J32" s="14"/>
      <c r="K32" s="14"/>
      <c r="L32" s="14"/>
      <c r="M32" s="14"/>
      <c r="N32" s="14"/>
      <c r="O32" s="14">
        <f>6</f>
        <v>6</v>
      </c>
      <c r="P32" s="14"/>
      <c r="Q32" s="14">
        <f>12</f>
        <v>12</v>
      </c>
      <c r="R32" s="14">
        <f>17</f>
        <v>17</v>
      </c>
      <c r="S32" s="7"/>
      <c r="T32" s="7"/>
      <c r="U32" s="7"/>
      <c r="V32" s="7"/>
      <c r="W32" s="7"/>
      <c r="X32" s="7"/>
      <c r="Y32" s="7"/>
      <c r="Z32" s="7"/>
      <c r="AA32" s="7"/>
      <c r="AB32" s="7">
        <f>7</f>
        <v>7</v>
      </c>
      <c r="AC32" s="7"/>
      <c r="AD32" s="7"/>
      <c r="AE32" s="7"/>
      <c r="AF32" s="7"/>
      <c r="AG32" s="7"/>
      <c r="AH32" s="7"/>
      <c r="AI32" s="7"/>
      <c r="AJ32" s="7"/>
      <c r="AK32" s="7"/>
      <c r="AL32" s="7">
        <v>8</v>
      </c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>
        <v>12</v>
      </c>
      <c r="BH32" s="7"/>
      <c r="BI32" s="7"/>
      <c r="BJ32" s="7"/>
      <c r="BK32" s="7"/>
      <c r="BL32" s="7"/>
      <c r="BM32" s="7"/>
      <c r="BN32" s="7"/>
      <c r="BO32" s="7"/>
      <c r="BP32" s="7"/>
    </row>
    <row r="33" spans="1:68" x14ac:dyDescent="0.2">
      <c r="A33" s="4" t="s">
        <v>142</v>
      </c>
      <c r="B33" s="5" t="s">
        <v>129</v>
      </c>
      <c r="C33" s="5" t="s">
        <v>137</v>
      </c>
      <c r="D33" s="5" t="s">
        <v>143</v>
      </c>
      <c r="E33" s="5" t="s">
        <v>139</v>
      </c>
      <c r="F33" s="1">
        <v>2</v>
      </c>
      <c r="G33" s="1">
        <v>12</v>
      </c>
      <c r="H33" s="1">
        <f t="shared" si="0"/>
        <v>2</v>
      </c>
      <c r="I33" s="14"/>
      <c r="J33" s="14">
        <v>14</v>
      </c>
      <c r="K33" s="14">
        <v>11</v>
      </c>
      <c r="L33" s="14"/>
      <c r="M33" s="14"/>
      <c r="N33" s="14"/>
      <c r="O33" s="14"/>
      <c r="P33" s="14"/>
      <c r="Q33" s="14"/>
      <c r="R33" s="1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spans="1:68" x14ac:dyDescent="0.2">
      <c r="A34" s="4" t="s">
        <v>144</v>
      </c>
      <c r="B34" s="5" t="s">
        <v>129</v>
      </c>
      <c r="C34" s="5" t="s">
        <v>137</v>
      </c>
      <c r="D34" s="5" t="s">
        <v>145</v>
      </c>
      <c r="E34" s="5" t="s">
        <v>139</v>
      </c>
      <c r="F34" s="1">
        <v>2</v>
      </c>
      <c r="G34" s="1">
        <v>20</v>
      </c>
      <c r="H34" s="1">
        <f t="shared" si="0"/>
        <v>2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>
        <v>4</v>
      </c>
      <c r="BC34" s="7"/>
      <c r="BD34" s="7"/>
      <c r="BE34" s="7"/>
      <c r="BF34" s="7"/>
      <c r="BG34" s="7">
        <v>8</v>
      </c>
      <c r="BH34" s="7"/>
      <c r="BI34" s="7"/>
      <c r="BJ34" s="7"/>
      <c r="BK34" s="7"/>
      <c r="BL34" s="7"/>
      <c r="BM34" s="7"/>
      <c r="BN34" s="7"/>
      <c r="BO34" s="7"/>
      <c r="BP34" s="7"/>
    </row>
    <row r="35" spans="1:68" x14ac:dyDescent="0.2">
      <c r="A35" s="4" t="s">
        <v>146</v>
      </c>
      <c r="B35" s="5" t="s">
        <v>129</v>
      </c>
      <c r="C35" s="5" t="s">
        <v>137</v>
      </c>
      <c r="D35" s="5" t="s">
        <v>147</v>
      </c>
      <c r="E35" s="5" t="s">
        <v>139</v>
      </c>
      <c r="F35" s="1">
        <v>3</v>
      </c>
      <c r="G35" s="1">
        <v>12</v>
      </c>
      <c r="H35" s="1">
        <f t="shared" si="0"/>
        <v>3</v>
      </c>
      <c r="I35" s="1">
        <f>9</f>
        <v>9</v>
      </c>
      <c r="J35" s="14"/>
      <c r="K35" s="14"/>
      <c r="L35" s="14"/>
      <c r="M35" s="14"/>
      <c r="N35" s="14"/>
      <c r="O35" s="14"/>
      <c r="P35" s="14"/>
      <c r="Q35" s="14"/>
      <c r="R35" s="1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x14ac:dyDescent="0.2">
      <c r="A36" s="4" t="s">
        <v>148</v>
      </c>
      <c r="B36" s="5" t="s">
        <v>129</v>
      </c>
      <c r="C36" s="5" t="s">
        <v>137</v>
      </c>
      <c r="D36" s="5" t="s">
        <v>149</v>
      </c>
      <c r="E36" s="5" t="s">
        <v>139</v>
      </c>
      <c r="F36" s="1">
        <v>4</v>
      </c>
      <c r="G36" s="1">
        <v>10</v>
      </c>
      <c r="H36" s="1">
        <f t="shared" si="0"/>
        <v>4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7"/>
      <c r="T36" s="7"/>
      <c r="U36" s="7"/>
      <c r="V36" s="7"/>
      <c r="W36" s="7"/>
      <c r="X36" s="7">
        <v>3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13">
        <f>6</f>
        <v>6</v>
      </c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>
        <v>42</v>
      </c>
      <c r="BO36" s="7"/>
      <c r="BP36" s="7"/>
    </row>
    <row r="37" spans="1:68" x14ac:dyDescent="0.2">
      <c r="A37" s="4" t="s">
        <v>150</v>
      </c>
      <c r="B37" s="5" t="s">
        <v>129</v>
      </c>
      <c r="C37" s="5" t="s">
        <v>137</v>
      </c>
      <c r="D37" s="5" t="s">
        <v>151</v>
      </c>
      <c r="E37" s="5" t="s">
        <v>139</v>
      </c>
      <c r="F37" s="1">
        <v>4</v>
      </c>
      <c r="G37" s="1">
        <v>24</v>
      </c>
      <c r="H37" s="1">
        <f t="shared" si="0"/>
        <v>4</v>
      </c>
      <c r="I37" s="14"/>
      <c r="J37" s="14"/>
      <c r="K37" s="14"/>
      <c r="L37" s="16"/>
      <c r="M37" s="14"/>
      <c r="N37" s="14"/>
      <c r="O37" s="14"/>
      <c r="P37" s="14"/>
      <c r="Q37" s="14"/>
      <c r="R37" s="14"/>
      <c r="S37" s="7"/>
      <c r="T37" s="7"/>
      <c r="U37" s="7"/>
      <c r="V37" s="7">
        <v>11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11">
        <f>26</f>
        <v>26</v>
      </c>
      <c r="BI37" s="11">
        <v>5</v>
      </c>
      <c r="BJ37" s="7"/>
      <c r="BK37" s="7">
        <v>10</v>
      </c>
      <c r="BL37" s="7">
        <v>84</v>
      </c>
      <c r="BM37" s="7"/>
      <c r="BN37" s="7"/>
      <c r="BO37" s="7"/>
      <c r="BP37" s="7"/>
    </row>
    <row r="38" spans="1:68" x14ac:dyDescent="0.2">
      <c r="A38" s="4" t="s">
        <v>152</v>
      </c>
      <c r="B38" s="5" t="s">
        <v>129</v>
      </c>
      <c r="C38" s="5" t="s">
        <v>137</v>
      </c>
      <c r="D38" s="5" t="s">
        <v>153</v>
      </c>
      <c r="E38" s="5" t="s">
        <v>139</v>
      </c>
      <c r="F38" s="1">
        <v>4</v>
      </c>
      <c r="G38" s="1">
        <v>36</v>
      </c>
      <c r="H38" s="1">
        <f t="shared" si="0"/>
        <v>4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>
        <v>18</v>
      </c>
      <c r="BL38" s="7"/>
      <c r="BM38" s="7">
        <v>15</v>
      </c>
      <c r="BN38" s="7"/>
      <c r="BO38" s="7"/>
      <c r="BP38" s="7"/>
    </row>
    <row r="39" spans="1:68" x14ac:dyDescent="0.2">
      <c r="A39" s="4" t="s">
        <v>154</v>
      </c>
      <c r="B39" s="5" t="s">
        <v>129</v>
      </c>
      <c r="C39" s="5" t="s">
        <v>137</v>
      </c>
      <c r="D39" s="5" t="s">
        <v>155</v>
      </c>
      <c r="E39" s="5" t="s">
        <v>139</v>
      </c>
      <c r="F39" s="1">
        <v>2</v>
      </c>
      <c r="G39" s="1">
        <v>20</v>
      </c>
      <c r="H39" s="1">
        <f t="shared" si="0"/>
        <v>2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13">
        <f>20</f>
        <v>20</v>
      </c>
      <c r="BA39" s="7"/>
      <c r="BB39" s="7">
        <v>15</v>
      </c>
      <c r="BC39" s="7"/>
      <c r="BD39" s="13">
        <f>23</f>
        <v>23</v>
      </c>
      <c r="BE39" s="7"/>
      <c r="BF39" s="7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x14ac:dyDescent="0.2">
      <c r="A40" s="4" t="s">
        <v>156</v>
      </c>
      <c r="B40" s="5" t="s">
        <v>129</v>
      </c>
      <c r="C40" s="5" t="s">
        <v>137</v>
      </c>
      <c r="D40" s="5" t="s">
        <v>157</v>
      </c>
      <c r="E40" s="5" t="s">
        <v>139</v>
      </c>
      <c r="F40" s="1">
        <v>3</v>
      </c>
      <c r="G40" s="1">
        <v>20</v>
      </c>
      <c r="H40" s="1">
        <f t="shared" si="0"/>
        <v>3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>
        <v>15</v>
      </c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>
        <v>3</v>
      </c>
      <c r="BL40" s="7"/>
      <c r="BM40" s="7"/>
      <c r="BN40" s="7"/>
      <c r="BO40" s="7"/>
      <c r="BP40" s="7"/>
    </row>
    <row r="41" spans="1:68" x14ac:dyDescent="0.2">
      <c r="A41" s="4" t="s">
        <v>158</v>
      </c>
      <c r="B41" s="5" t="s">
        <v>129</v>
      </c>
      <c r="C41" s="5" t="s">
        <v>137</v>
      </c>
      <c r="D41" s="5" t="s">
        <v>159</v>
      </c>
      <c r="E41" s="5" t="s">
        <v>139</v>
      </c>
      <c r="F41" s="1">
        <v>4</v>
      </c>
      <c r="G41" s="1">
        <v>12</v>
      </c>
      <c r="H41" s="1">
        <f t="shared" si="0"/>
        <v>4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7"/>
      <c r="T41" s="7"/>
      <c r="U41" s="7"/>
      <c r="V41" s="7"/>
      <c r="W41" s="7"/>
      <c r="X41" s="7"/>
      <c r="Y41" s="7"/>
      <c r="Z41" s="7"/>
      <c r="AA41" s="7"/>
      <c r="AB41" s="7"/>
      <c r="AC41" s="13">
        <f>3</f>
        <v>3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3">
        <f>19</f>
        <v>19</v>
      </c>
      <c r="AQ41" s="7"/>
      <c r="AR41" s="7"/>
      <c r="AS41" s="7"/>
      <c r="AT41" s="7"/>
      <c r="AU41" s="7"/>
      <c r="AV41" s="7"/>
      <c r="AW41" s="7"/>
      <c r="AX41" s="13">
        <f>21</f>
        <v>21</v>
      </c>
      <c r="AY41" s="7"/>
      <c r="AZ41" s="7"/>
      <c r="BA41" s="13">
        <f>25</f>
        <v>25</v>
      </c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11">
        <f>26</f>
        <v>26</v>
      </c>
    </row>
    <row r="42" spans="1:68" x14ac:dyDescent="0.2">
      <c r="A42" s="1" t="s">
        <v>160</v>
      </c>
      <c r="B42" s="1" t="s">
        <v>129</v>
      </c>
      <c r="C42" s="1" t="s">
        <v>137</v>
      </c>
      <c r="D42" s="1" t="s">
        <v>161</v>
      </c>
      <c r="E42" s="5" t="s">
        <v>139</v>
      </c>
      <c r="F42" s="1">
        <v>4</v>
      </c>
      <c r="G42" s="1">
        <v>16</v>
      </c>
      <c r="H42" s="1">
        <f t="shared" si="0"/>
        <v>4</v>
      </c>
      <c r="I42" s="14"/>
      <c r="J42" s="14"/>
      <c r="K42" s="14"/>
      <c r="L42" s="14"/>
      <c r="M42" s="14"/>
      <c r="N42" s="14"/>
      <c r="O42" s="14"/>
      <c r="P42" s="14"/>
      <c r="Q42" s="14">
        <f>17</f>
        <v>17</v>
      </c>
      <c r="R42" s="1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>
        <v>11</v>
      </c>
      <c r="BK42" s="7"/>
      <c r="BL42" s="7"/>
      <c r="BM42" s="7"/>
      <c r="BN42" s="7">
        <v>10</v>
      </c>
      <c r="BO42" s="7"/>
      <c r="BP42" s="7"/>
    </row>
    <row r="43" spans="1:68" x14ac:dyDescent="0.2">
      <c r="A43" s="1" t="s">
        <v>162</v>
      </c>
      <c r="B43" s="1" t="s">
        <v>129</v>
      </c>
      <c r="C43" s="1" t="s">
        <v>137</v>
      </c>
      <c r="D43" s="1" t="s">
        <v>163</v>
      </c>
      <c r="E43" s="5" t="s">
        <v>139</v>
      </c>
      <c r="F43" s="1">
        <v>4</v>
      </c>
      <c r="G43" s="1">
        <v>20</v>
      </c>
      <c r="H43" s="1">
        <f t="shared" si="0"/>
        <v>4</v>
      </c>
      <c r="I43" s="14"/>
      <c r="J43" s="14"/>
      <c r="K43" s="14"/>
      <c r="L43" s="14"/>
      <c r="M43" s="14"/>
      <c r="N43" s="14"/>
      <c r="O43" s="14"/>
      <c r="P43" s="14"/>
      <c r="Q43" s="14"/>
      <c r="R43" s="14">
        <v>2</v>
      </c>
      <c r="S43" s="7">
        <v>38</v>
      </c>
      <c r="T43" s="7">
        <v>8</v>
      </c>
      <c r="U43" s="7"/>
      <c r="V43" s="7"/>
      <c r="W43" s="7"/>
      <c r="X43" s="7"/>
      <c r="Y43" s="7"/>
      <c r="Z43" s="7"/>
      <c r="AA43" s="7"/>
      <c r="AB43" s="7"/>
      <c r="AC43" s="7"/>
      <c r="AD43" s="7"/>
      <c r="AE43" s="7">
        <v>9</v>
      </c>
      <c r="AF43" s="15"/>
      <c r="AG43" s="7"/>
      <c r="AH43" s="7"/>
      <c r="AI43" s="7"/>
      <c r="AJ43" s="7"/>
      <c r="AK43" s="7"/>
      <c r="AL43" s="7"/>
      <c r="AM43" s="7">
        <v>16</v>
      </c>
      <c r="AN43" s="7"/>
      <c r="AO43" s="7"/>
      <c r="AP43" s="7"/>
      <c r="AQ43" s="15"/>
      <c r="AR43" s="7"/>
      <c r="AS43" s="15"/>
      <c r="AT43" s="7"/>
      <c r="AU43" s="7"/>
      <c r="AV43" s="7"/>
      <c r="AW43" s="7"/>
      <c r="AX43" s="7"/>
      <c r="AY43" s="13">
        <f>10</f>
        <v>10</v>
      </c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x14ac:dyDescent="0.2">
      <c r="A44" s="1" t="s">
        <v>164</v>
      </c>
      <c r="B44" s="1" t="s">
        <v>129</v>
      </c>
      <c r="C44" s="1" t="s">
        <v>137</v>
      </c>
      <c r="D44" s="1" t="s">
        <v>165</v>
      </c>
      <c r="E44" s="5" t="s">
        <v>139</v>
      </c>
      <c r="F44" s="1">
        <v>1</v>
      </c>
      <c r="G44" s="1">
        <v>20</v>
      </c>
      <c r="H44" s="1">
        <f t="shared" si="0"/>
        <v>1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7"/>
      <c r="T44" s="7"/>
      <c r="U44" s="7"/>
      <c r="V44" s="24"/>
      <c r="W44" s="7"/>
      <c r="X44" s="7"/>
      <c r="Y44" s="7"/>
      <c r="Z44" s="7"/>
      <c r="AA44" s="7"/>
      <c r="AB44" s="7"/>
      <c r="AC44" s="7"/>
      <c r="AD44" s="7"/>
      <c r="AE44" s="7"/>
      <c r="AF44" s="15">
        <v>34</v>
      </c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15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13">
        <f>11</f>
        <v>11</v>
      </c>
      <c r="BF44" s="7"/>
      <c r="BG44" s="7"/>
      <c r="BH44" s="7"/>
      <c r="BI44" s="7"/>
      <c r="BJ44" s="7"/>
      <c r="BK44" s="7"/>
      <c r="BL44" s="7"/>
      <c r="BM44" s="7"/>
      <c r="BN44" s="7">
        <v>4</v>
      </c>
      <c r="BO44" s="7"/>
      <c r="BP44" s="7"/>
    </row>
    <row r="45" spans="1:68" x14ac:dyDescent="0.2">
      <c r="A45" s="1" t="s">
        <v>166</v>
      </c>
      <c r="B45" s="1" t="s">
        <v>129</v>
      </c>
      <c r="C45" s="1" t="s">
        <v>137</v>
      </c>
      <c r="D45" s="1" t="s">
        <v>167</v>
      </c>
      <c r="E45" s="5" t="s">
        <v>139</v>
      </c>
      <c r="F45" s="1">
        <v>2</v>
      </c>
      <c r="G45" s="1">
        <v>16</v>
      </c>
      <c r="H45" s="1">
        <f t="shared" si="0"/>
        <v>2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24"/>
      <c r="AK45" s="7">
        <v>52</v>
      </c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x14ac:dyDescent="0.2">
      <c r="A46" s="1" t="s">
        <v>168</v>
      </c>
      <c r="B46" s="1" t="s">
        <v>129</v>
      </c>
      <c r="C46" s="1" t="s">
        <v>137</v>
      </c>
      <c r="D46" s="1" t="s">
        <v>169</v>
      </c>
      <c r="E46" s="5" t="s">
        <v>139</v>
      </c>
      <c r="F46" s="1">
        <v>2</v>
      </c>
      <c r="G46" s="1">
        <v>18</v>
      </c>
      <c r="H46" s="1">
        <f t="shared" si="0"/>
        <v>2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13">
        <f>35</f>
        <v>35</v>
      </c>
      <c r="BD46" s="7"/>
      <c r="BE46" s="15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spans="1:68" x14ac:dyDescent="0.2">
      <c r="A47" s="1" t="s">
        <v>170</v>
      </c>
      <c r="B47" s="1" t="s">
        <v>129</v>
      </c>
      <c r="C47" s="1" t="s">
        <v>137</v>
      </c>
      <c r="D47" s="1" t="s">
        <v>171</v>
      </c>
      <c r="E47" s="5" t="s">
        <v>139</v>
      </c>
      <c r="F47" s="1">
        <v>2</v>
      </c>
      <c r="G47" s="1">
        <v>20</v>
      </c>
      <c r="H47" s="1">
        <f t="shared" si="0"/>
        <v>2</v>
      </c>
      <c r="I47" s="14">
        <v>61</v>
      </c>
      <c r="J47" s="14">
        <v>67</v>
      </c>
      <c r="K47" s="14">
        <v>13</v>
      </c>
      <c r="L47" s="2">
        <v>31</v>
      </c>
      <c r="M47" s="14">
        <f>28</f>
        <v>28</v>
      </c>
      <c r="N47" s="14">
        <v>27</v>
      </c>
      <c r="O47" s="14">
        <f>14</f>
        <v>14</v>
      </c>
      <c r="P47" s="14">
        <f>50</f>
        <v>50</v>
      </c>
      <c r="Q47" s="14">
        <f>53</f>
        <v>53</v>
      </c>
      <c r="R47" s="14"/>
      <c r="S47" s="7">
        <v>74</v>
      </c>
      <c r="T47" s="7">
        <v>25</v>
      </c>
      <c r="U47" s="7">
        <v>22</v>
      </c>
      <c r="V47" s="7">
        <v>40</v>
      </c>
      <c r="W47" s="7">
        <v>51</v>
      </c>
      <c r="X47" s="7">
        <v>22</v>
      </c>
      <c r="Y47" s="7">
        <v>23</v>
      </c>
      <c r="Z47" s="7">
        <v>51</v>
      </c>
      <c r="AA47" s="7">
        <f>28</f>
        <v>28</v>
      </c>
      <c r="AB47" s="7">
        <f>30</f>
        <v>30</v>
      </c>
      <c r="AC47" s="7"/>
      <c r="AD47" s="7">
        <v>57</v>
      </c>
      <c r="AE47" s="7">
        <v>44</v>
      </c>
      <c r="AF47" s="7"/>
      <c r="AG47" s="13">
        <f>64</f>
        <v>64</v>
      </c>
      <c r="AH47" s="13">
        <f>71</f>
        <v>71</v>
      </c>
      <c r="AI47" s="13">
        <f>51</f>
        <v>51</v>
      </c>
      <c r="AJ47" s="7">
        <v>132</v>
      </c>
      <c r="AK47" s="7"/>
      <c r="AL47" s="7">
        <v>128</v>
      </c>
      <c r="AM47" s="7"/>
      <c r="AN47" s="7"/>
      <c r="AO47" s="13">
        <f>26</f>
        <v>26</v>
      </c>
      <c r="AP47" s="7"/>
      <c r="AQ47" s="13">
        <f>23</f>
        <v>23</v>
      </c>
      <c r="AR47" s="13">
        <f>38</f>
        <v>38</v>
      </c>
      <c r="AS47" s="13">
        <f>36</f>
        <v>36</v>
      </c>
      <c r="AT47" s="13">
        <f>60</f>
        <v>60</v>
      </c>
      <c r="AU47" s="13">
        <f>33</f>
        <v>33</v>
      </c>
      <c r="AV47" s="13">
        <f>3</f>
        <v>3</v>
      </c>
      <c r="AW47" s="7"/>
      <c r="AX47" s="7"/>
      <c r="AY47" s="7"/>
      <c r="AZ47" s="7"/>
      <c r="BA47" s="7"/>
      <c r="BB47" s="7"/>
      <c r="BC47" s="7"/>
      <c r="BD47" s="7"/>
      <c r="BE47" s="15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x14ac:dyDescent="0.2">
      <c r="A48" s="4" t="s">
        <v>172</v>
      </c>
      <c r="B48" s="5" t="s">
        <v>129</v>
      </c>
      <c r="C48" s="5" t="s">
        <v>137</v>
      </c>
      <c r="D48" s="5" t="s">
        <v>173</v>
      </c>
      <c r="E48" s="5" t="s">
        <v>139</v>
      </c>
      <c r="F48" s="1">
        <v>2</v>
      </c>
      <c r="G48" s="1">
        <v>30</v>
      </c>
      <c r="H48" s="1">
        <f t="shared" si="0"/>
        <v>2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13">
        <f>33</f>
        <v>33</v>
      </c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spans="1:68" x14ac:dyDescent="0.2">
      <c r="A49" s="4" t="s">
        <v>174</v>
      </c>
      <c r="B49" s="5" t="s">
        <v>129</v>
      </c>
      <c r="C49" s="5" t="s">
        <v>137</v>
      </c>
      <c r="D49" s="5" t="s">
        <v>175</v>
      </c>
      <c r="E49" s="5" t="s">
        <v>139</v>
      </c>
      <c r="F49" s="1">
        <v>4</v>
      </c>
      <c r="G49" s="1">
        <v>10</v>
      </c>
      <c r="H49" s="1">
        <f t="shared" si="0"/>
        <v>4</v>
      </c>
      <c r="I49" s="14"/>
      <c r="J49" s="14"/>
      <c r="K49" s="14"/>
      <c r="L49" s="14"/>
      <c r="M49" s="14"/>
      <c r="N49" s="14"/>
      <c r="O49" s="14"/>
      <c r="P49" s="14"/>
      <c r="Q49" s="14"/>
      <c r="R49" s="14">
        <f>54</f>
        <v>54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x14ac:dyDescent="0.2">
      <c r="A50" s="4" t="s">
        <v>176</v>
      </c>
      <c r="B50" s="5" t="s">
        <v>129</v>
      </c>
      <c r="C50" s="5" t="s">
        <v>137</v>
      </c>
      <c r="D50" s="5" t="s">
        <v>177</v>
      </c>
      <c r="E50" s="5" t="s">
        <v>139</v>
      </c>
      <c r="F50" s="1">
        <v>4</v>
      </c>
      <c r="G50" s="1">
        <v>24</v>
      </c>
      <c r="H50" s="1">
        <f t="shared" si="0"/>
        <v>4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14"/>
      <c r="T50" s="14"/>
      <c r="U50" s="14"/>
      <c r="V50" s="14"/>
      <c r="W50" s="14"/>
      <c r="X50" s="14"/>
      <c r="Y50" s="14"/>
      <c r="Z50" s="14"/>
      <c r="AA50" s="14">
        <f>4</f>
        <v>4</v>
      </c>
      <c r="AB50" s="14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spans="1:68" x14ac:dyDescent="0.2">
      <c r="A51" s="4" t="s">
        <v>178</v>
      </c>
      <c r="B51" s="5" t="s">
        <v>129</v>
      </c>
      <c r="C51" s="5" t="s">
        <v>137</v>
      </c>
      <c r="D51" s="5" t="s">
        <v>179</v>
      </c>
      <c r="E51" s="5" t="s">
        <v>139</v>
      </c>
      <c r="F51" s="1">
        <v>4</v>
      </c>
      <c r="G51" s="1">
        <v>26</v>
      </c>
      <c r="H51" s="1">
        <f t="shared" si="0"/>
        <v>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14"/>
      <c r="T51" s="14"/>
      <c r="U51" s="14">
        <v>6</v>
      </c>
      <c r="V51" s="14"/>
      <c r="W51" s="14"/>
      <c r="X51" s="14"/>
      <c r="Y51" s="14"/>
      <c r="Z51" s="14"/>
      <c r="AA51" s="14"/>
      <c r="AB51" s="14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>
        <v>9</v>
      </c>
      <c r="BN51" s="7"/>
      <c r="BO51" s="7">
        <v>1</v>
      </c>
      <c r="BP51" s="7"/>
    </row>
    <row r="52" spans="1:68" x14ac:dyDescent="0.2">
      <c r="A52" s="22" t="s">
        <v>180</v>
      </c>
      <c r="B52" s="23" t="s">
        <v>181</v>
      </c>
      <c r="C52" s="23" t="s">
        <v>182</v>
      </c>
      <c r="D52" s="23" t="s">
        <v>183</v>
      </c>
      <c r="E52" s="23" t="s">
        <v>96</v>
      </c>
      <c r="F52" s="44">
        <v>3.67</v>
      </c>
      <c r="G52" s="25">
        <v>5.5</v>
      </c>
      <c r="H52" s="25"/>
      <c r="I52" s="7">
        <v>332</v>
      </c>
      <c r="J52" s="7">
        <v>19</v>
      </c>
      <c r="K52" s="7">
        <v>28</v>
      </c>
      <c r="L52" s="2">
        <v>14</v>
      </c>
      <c r="M52" s="7">
        <v>8</v>
      </c>
      <c r="N52" s="7">
        <v>3</v>
      </c>
      <c r="O52" s="7"/>
      <c r="P52" s="7">
        <f>73</f>
        <v>73</v>
      </c>
      <c r="Q52" s="7">
        <f>132</f>
        <v>132</v>
      </c>
      <c r="R52" s="7">
        <f>193</f>
        <v>193</v>
      </c>
      <c r="S52" s="14">
        <v>223</v>
      </c>
      <c r="T52" s="14">
        <v>604</v>
      </c>
      <c r="U52" s="14">
        <v>564</v>
      </c>
      <c r="V52" s="14">
        <v>788</v>
      </c>
      <c r="W52" s="14">
        <v>709</v>
      </c>
      <c r="X52" s="14">
        <v>903</v>
      </c>
      <c r="Y52" s="14">
        <v>815</v>
      </c>
      <c r="Z52" s="14">
        <v>1119</v>
      </c>
      <c r="AA52" s="14">
        <v>1322</v>
      </c>
      <c r="AB52" s="14">
        <v>1212</v>
      </c>
      <c r="AC52" s="7"/>
      <c r="AD52" s="13">
        <f>581</f>
        <v>581</v>
      </c>
      <c r="AE52" s="13">
        <f>298</f>
        <v>298</v>
      </c>
      <c r="AF52" s="20">
        <v>214</v>
      </c>
      <c r="AG52" s="13">
        <f>185</f>
        <v>185</v>
      </c>
      <c r="AH52" s="13">
        <f>572</f>
        <v>572</v>
      </c>
      <c r="AI52" s="13">
        <f>373</f>
        <v>373</v>
      </c>
      <c r="AJ52" s="13">
        <f>409</f>
        <v>409</v>
      </c>
      <c r="AK52" s="13">
        <f>325</f>
        <v>325</v>
      </c>
      <c r="AL52" s="7">
        <v>633</v>
      </c>
      <c r="AM52" s="26"/>
      <c r="AN52" s="26"/>
      <c r="AO52" s="13">
        <f>124</f>
        <v>124</v>
      </c>
      <c r="AP52" s="13">
        <f>104</f>
        <v>104</v>
      </c>
      <c r="AQ52" s="20">
        <v>165</v>
      </c>
      <c r="AR52" s="13">
        <f>118</f>
        <v>118</v>
      </c>
      <c r="AS52" s="20">
        <v>146</v>
      </c>
      <c r="AT52" s="13">
        <f>134</f>
        <v>134</v>
      </c>
      <c r="AU52" s="13">
        <f>187</f>
        <v>187</v>
      </c>
      <c r="AV52" s="13">
        <f>308</f>
        <v>308</v>
      </c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11">
        <f>7</f>
        <v>7</v>
      </c>
      <c r="BH52" s="7"/>
      <c r="BI52" s="7"/>
      <c r="BJ52" s="7"/>
      <c r="BK52" s="7"/>
      <c r="BL52" s="7"/>
      <c r="BM52" s="11">
        <f>23</f>
        <v>23</v>
      </c>
      <c r="BN52" s="7"/>
      <c r="BO52" s="7"/>
      <c r="BP52" s="7"/>
    </row>
    <row r="53" spans="1:68" x14ac:dyDescent="0.2">
      <c r="A53" s="22" t="s">
        <v>184</v>
      </c>
      <c r="B53" s="23" t="s">
        <v>181</v>
      </c>
      <c r="C53" s="23" t="s">
        <v>182</v>
      </c>
      <c r="D53" s="23" t="s">
        <v>185</v>
      </c>
      <c r="E53" s="23" t="s">
        <v>96</v>
      </c>
      <c r="F53" s="44">
        <v>6.33</v>
      </c>
      <c r="G53" s="25">
        <v>9.5</v>
      </c>
      <c r="H53" s="25"/>
      <c r="I53" s="7">
        <v>112</v>
      </c>
      <c r="J53" s="7">
        <v>90</v>
      </c>
      <c r="K53" s="7">
        <v>7</v>
      </c>
      <c r="L53" s="2">
        <v>102</v>
      </c>
      <c r="M53" s="7">
        <v>30</v>
      </c>
      <c r="N53" s="7">
        <v>21</v>
      </c>
      <c r="O53" s="7">
        <f>17</f>
        <v>17</v>
      </c>
      <c r="P53" s="7">
        <f>167</f>
        <v>167</v>
      </c>
      <c r="Q53" s="7">
        <f>169</f>
        <v>169</v>
      </c>
      <c r="R53" s="7">
        <f>147</f>
        <v>147</v>
      </c>
      <c r="S53" s="14">
        <v>94</v>
      </c>
      <c r="T53" s="14">
        <v>48</v>
      </c>
      <c r="U53" s="14">
        <v>10</v>
      </c>
      <c r="V53" s="14">
        <v>49</v>
      </c>
      <c r="W53" s="14">
        <v>5</v>
      </c>
      <c r="X53" s="14">
        <v>44</v>
      </c>
      <c r="Y53" s="14">
        <v>25</v>
      </c>
      <c r="Z53" s="14">
        <v>59</v>
      </c>
      <c r="AA53" s="14">
        <v>47</v>
      </c>
      <c r="AB53" s="14">
        <v>122</v>
      </c>
      <c r="AC53" s="13">
        <f>62</f>
        <v>62</v>
      </c>
      <c r="AD53" s="13">
        <v>129</v>
      </c>
      <c r="AE53" s="13">
        <v>79</v>
      </c>
      <c r="AF53" s="20">
        <v>173</v>
      </c>
      <c r="AG53" s="13">
        <v>80</v>
      </c>
      <c r="AH53" s="13">
        <v>85</v>
      </c>
      <c r="AI53" s="13">
        <v>31</v>
      </c>
      <c r="AJ53" s="13">
        <v>209</v>
      </c>
      <c r="AK53" s="13">
        <v>86</v>
      </c>
      <c r="AL53" s="7">
        <v>171</v>
      </c>
      <c r="AM53" s="13">
        <f>117</f>
        <v>117</v>
      </c>
      <c r="AN53" s="7"/>
      <c r="AO53" s="13">
        <v>69</v>
      </c>
      <c r="AP53" s="13">
        <v>113</v>
      </c>
      <c r="AQ53" s="20">
        <v>73</v>
      </c>
      <c r="AR53" s="13">
        <v>131</v>
      </c>
      <c r="AS53" s="20">
        <v>72</v>
      </c>
      <c r="AT53" s="13">
        <v>255</v>
      </c>
      <c r="AU53" s="13">
        <v>276</v>
      </c>
      <c r="AV53" s="13">
        <v>284</v>
      </c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spans="1:68" x14ac:dyDescent="0.2">
      <c r="A54" s="22" t="s">
        <v>186</v>
      </c>
      <c r="B54" s="23" t="s">
        <v>181</v>
      </c>
      <c r="C54" s="23" t="s">
        <v>182</v>
      </c>
      <c r="D54" s="23" t="s">
        <v>187</v>
      </c>
      <c r="E54" s="23" t="s">
        <v>96</v>
      </c>
      <c r="F54" s="44">
        <v>9</v>
      </c>
      <c r="G54" s="25">
        <v>14</v>
      </c>
      <c r="H54" s="25"/>
      <c r="I54" s="7">
        <v>42</v>
      </c>
      <c r="J54" s="7">
        <v>56</v>
      </c>
      <c r="K54" s="7">
        <v>17</v>
      </c>
      <c r="L54" s="2">
        <v>36</v>
      </c>
      <c r="M54" s="7">
        <v>10</v>
      </c>
      <c r="N54" s="7">
        <v>35</v>
      </c>
      <c r="O54" s="7">
        <f>1</f>
        <v>1</v>
      </c>
      <c r="P54" s="7">
        <f>68</f>
        <v>68</v>
      </c>
      <c r="Q54" s="7">
        <f>38</f>
        <v>38</v>
      </c>
      <c r="R54" s="7">
        <f>52</f>
        <v>52</v>
      </c>
      <c r="S54" s="14">
        <v>13</v>
      </c>
      <c r="T54" s="14">
        <v>13</v>
      </c>
      <c r="U54" s="14"/>
      <c r="V54" s="2">
        <v>11</v>
      </c>
      <c r="W54" s="14"/>
      <c r="X54" s="14">
        <v>10</v>
      </c>
      <c r="Y54" s="14"/>
      <c r="Z54" s="14">
        <v>17</v>
      </c>
      <c r="AA54" s="14">
        <v>23</v>
      </c>
      <c r="AB54" s="14">
        <v>57</v>
      </c>
      <c r="AC54" s="7"/>
      <c r="AD54" s="13">
        <v>91</v>
      </c>
      <c r="AE54" s="7"/>
      <c r="AF54" s="20">
        <v>53</v>
      </c>
      <c r="AG54" s="13">
        <v>10</v>
      </c>
      <c r="AH54" s="13">
        <v>32</v>
      </c>
      <c r="AI54" s="13">
        <v>6</v>
      </c>
      <c r="AJ54" s="13">
        <v>82</v>
      </c>
      <c r="AK54" s="13">
        <v>24</v>
      </c>
      <c r="AL54" s="7">
        <v>42</v>
      </c>
      <c r="AM54" s="7"/>
      <c r="AN54" s="7"/>
      <c r="AO54" s="7"/>
      <c r="AP54" s="7"/>
      <c r="AQ54" s="7"/>
      <c r="AR54" s="13">
        <v>14</v>
      </c>
      <c r="AS54" s="20">
        <v>3</v>
      </c>
      <c r="AT54" s="13">
        <v>21</v>
      </c>
      <c r="AU54" s="13">
        <v>20</v>
      </c>
      <c r="AV54" s="13">
        <v>45</v>
      </c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11">
        <v>10</v>
      </c>
      <c r="BI54" s="7"/>
      <c r="BJ54" s="7"/>
      <c r="BK54" s="7"/>
      <c r="BL54" s="7"/>
      <c r="BM54" s="7"/>
      <c r="BN54" s="7"/>
      <c r="BO54" s="7"/>
      <c r="BP54" s="7"/>
    </row>
    <row r="55" spans="1:68" x14ac:dyDescent="0.2">
      <c r="A55" s="22" t="s">
        <v>188</v>
      </c>
      <c r="B55" s="23" t="s">
        <v>181</v>
      </c>
      <c r="C55" s="23" t="s">
        <v>91</v>
      </c>
      <c r="D55" s="23" t="s">
        <v>189</v>
      </c>
      <c r="E55" s="23" t="s">
        <v>96</v>
      </c>
      <c r="F55" s="44">
        <v>3.67</v>
      </c>
      <c r="G55" s="25">
        <v>5.5</v>
      </c>
      <c r="H55" s="25"/>
      <c r="I55" s="7">
        <v>294</v>
      </c>
      <c r="J55" s="7">
        <v>403</v>
      </c>
      <c r="K55" s="7">
        <v>237</v>
      </c>
      <c r="L55" s="2">
        <v>267</v>
      </c>
      <c r="M55" s="7">
        <v>155</v>
      </c>
      <c r="N55" s="7">
        <f>152</f>
        <v>152</v>
      </c>
      <c r="O55" s="7">
        <f>109</f>
        <v>109</v>
      </c>
      <c r="P55" s="7">
        <f>200</f>
        <v>200</v>
      </c>
      <c r="Q55" s="7">
        <f>244</f>
        <v>244</v>
      </c>
      <c r="R55" s="7">
        <f>1</f>
        <v>1</v>
      </c>
      <c r="S55" s="14">
        <v>176</v>
      </c>
      <c r="T55" s="14">
        <v>292</v>
      </c>
      <c r="U55" s="14">
        <v>303</v>
      </c>
      <c r="V55" s="14">
        <v>203</v>
      </c>
      <c r="W55" s="14">
        <v>303</v>
      </c>
      <c r="X55" s="14">
        <v>334</v>
      </c>
      <c r="Y55" s="14">
        <v>362</v>
      </c>
      <c r="Z55" s="14">
        <v>191</v>
      </c>
      <c r="AA55" s="14">
        <v>263</v>
      </c>
      <c r="AB55" s="14">
        <v>270</v>
      </c>
      <c r="AC55" s="7"/>
      <c r="AD55" s="13">
        <f>131</f>
        <v>131</v>
      </c>
      <c r="AE55" s="13">
        <f>86</f>
        <v>86</v>
      </c>
      <c r="AF55" s="13">
        <f>98</f>
        <v>98</v>
      </c>
      <c r="AG55" s="13">
        <f>101</f>
        <v>101</v>
      </c>
      <c r="AH55" s="13">
        <f>171</f>
        <v>171</v>
      </c>
      <c r="AI55" s="7">
        <v>149</v>
      </c>
      <c r="AJ55" s="25">
        <v>138</v>
      </c>
      <c r="AK55" s="13">
        <f>91</f>
        <v>91</v>
      </c>
      <c r="AL55" s="7">
        <v>154</v>
      </c>
      <c r="AM55" s="13">
        <f>15</f>
        <v>15</v>
      </c>
      <c r="AN55" s="13">
        <f>261</f>
        <v>261</v>
      </c>
      <c r="AO55" s="13">
        <f>179</f>
        <v>179</v>
      </c>
      <c r="AP55" s="13">
        <f>125</f>
        <v>125</v>
      </c>
      <c r="AQ55" s="13">
        <f>222</f>
        <v>222</v>
      </c>
      <c r="AR55" s="13">
        <f>269</f>
        <v>269</v>
      </c>
      <c r="AS55" s="13">
        <f>179</f>
        <v>179</v>
      </c>
      <c r="AT55" s="13">
        <f>104</f>
        <v>104</v>
      </c>
      <c r="AU55" s="13">
        <f>95</f>
        <v>95</v>
      </c>
      <c r="AV55" s="13">
        <f>124</f>
        <v>124</v>
      </c>
      <c r="AW55" s="7"/>
      <c r="AX55" s="13">
        <f>63</f>
        <v>63</v>
      </c>
      <c r="AY55" s="13">
        <f>34</f>
        <v>34</v>
      </c>
      <c r="AZ55" s="13">
        <f>82</f>
        <v>82</v>
      </c>
      <c r="BA55" s="13">
        <f>104</f>
        <v>104</v>
      </c>
      <c r="BB55" s="13">
        <f>301</f>
        <v>301</v>
      </c>
      <c r="BC55" s="13">
        <f>263</f>
        <v>263</v>
      </c>
      <c r="BD55" s="13">
        <f>99</f>
        <v>99</v>
      </c>
      <c r="BE55" s="20">
        <v>46</v>
      </c>
      <c r="BF55" s="13">
        <f>94</f>
        <v>94</v>
      </c>
      <c r="BG55" s="7"/>
      <c r="BH55" s="11">
        <v>128</v>
      </c>
      <c r="BI55" s="11">
        <v>193</v>
      </c>
      <c r="BJ55" s="11">
        <f>99</f>
        <v>99</v>
      </c>
      <c r="BK55" s="11">
        <v>104</v>
      </c>
      <c r="BL55" s="11">
        <f>128</f>
        <v>128</v>
      </c>
      <c r="BM55" s="11">
        <f>336+84</f>
        <v>420</v>
      </c>
      <c r="BN55" s="11">
        <v>64</v>
      </c>
      <c r="BO55" s="11">
        <v>95</v>
      </c>
      <c r="BP55" s="11">
        <v>54</v>
      </c>
    </row>
    <row r="56" spans="1:68" x14ac:dyDescent="0.2">
      <c r="A56" s="22" t="s">
        <v>190</v>
      </c>
      <c r="B56" s="23" t="s">
        <v>181</v>
      </c>
      <c r="C56" s="23" t="s">
        <v>91</v>
      </c>
      <c r="D56" s="23" t="s">
        <v>191</v>
      </c>
      <c r="E56" s="23" t="s">
        <v>96</v>
      </c>
      <c r="F56" s="44">
        <v>6.33</v>
      </c>
      <c r="G56" s="25">
        <v>9.5</v>
      </c>
      <c r="H56" s="25"/>
      <c r="I56" s="7">
        <v>39</v>
      </c>
      <c r="J56" s="7">
        <v>27</v>
      </c>
      <c r="K56" s="7">
        <v>19</v>
      </c>
      <c r="L56" s="2">
        <v>34</v>
      </c>
      <c r="M56" s="7">
        <v>4</v>
      </c>
      <c r="N56" s="7">
        <f>16</f>
        <v>16</v>
      </c>
      <c r="O56" s="7">
        <f>5</f>
        <v>5</v>
      </c>
      <c r="P56" s="7">
        <f>48</f>
        <v>48</v>
      </c>
      <c r="Q56" s="7">
        <f>31</f>
        <v>31</v>
      </c>
      <c r="R56" s="7">
        <f>39</f>
        <v>39</v>
      </c>
      <c r="S56" s="14">
        <v>59</v>
      </c>
      <c r="T56" s="14">
        <v>3</v>
      </c>
      <c r="U56" s="14"/>
      <c r="V56" s="14">
        <v>10</v>
      </c>
      <c r="W56" s="14">
        <v>6</v>
      </c>
      <c r="X56" s="14">
        <v>1</v>
      </c>
      <c r="Y56" s="14"/>
      <c r="Z56" s="14"/>
      <c r="AA56" s="14">
        <v>6</v>
      </c>
      <c r="AB56" s="14">
        <v>1</v>
      </c>
      <c r="AC56" s="13">
        <f>10</f>
        <v>10</v>
      </c>
      <c r="AD56" s="13">
        <f>25</f>
        <v>25</v>
      </c>
      <c r="AE56" s="13">
        <f>11</f>
        <v>11</v>
      </c>
      <c r="AF56" s="13">
        <f>17</f>
        <v>17</v>
      </c>
      <c r="AG56" s="13">
        <f>6</f>
        <v>6</v>
      </c>
      <c r="AH56" s="13">
        <f>19</f>
        <v>19</v>
      </c>
      <c r="AI56" s="7"/>
      <c r="AJ56" s="13">
        <f>13</f>
        <v>13</v>
      </c>
      <c r="AK56" s="13">
        <f>7</f>
        <v>7</v>
      </c>
      <c r="AL56" s="7">
        <v>18</v>
      </c>
      <c r="AM56" s="7"/>
      <c r="AN56" s="13">
        <f>172</f>
        <v>172</v>
      </c>
      <c r="AO56" s="13">
        <f>6</f>
        <v>6</v>
      </c>
      <c r="AP56" s="13">
        <f>26</f>
        <v>26</v>
      </c>
      <c r="AQ56" s="13">
        <f>16</f>
        <v>16</v>
      </c>
      <c r="AR56" s="13">
        <f>29</f>
        <v>29</v>
      </c>
      <c r="AS56" s="13">
        <f>14</f>
        <v>14</v>
      </c>
      <c r="AT56" s="13">
        <f>4</f>
        <v>4</v>
      </c>
      <c r="AU56" s="13">
        <f>6+12</f>
        <v>18</v>
      </c>
      <c r="AV56" s="13">
        <f>9</f>
        <v>9</v>
      </c>
      <c r="AW56" s="13">
        <f>4</f>
        <v>4</v>
      </c>
      <c r="AX56" s="13">
        <f>22</f>
        <v>22</v>
      </c>
      <c r="AY56" s="13">
        <f>7</f>
        <v>7</v>
      </c>
      <c r="AZ56" s="13">
        <f>39</f>
        <v>39</v>
      </c>
      <c r="BA56" s="13">
        <f>24</f>
        <v>24</v>
      </c>
      <c r="BB56" s="13">
        <f>19</f>
        <v>19</v>
      </c>
      <c r="BC56" s="13">
        <f>115</f>
        <v>115</v>
      </c>
      <c r="BD56" s="13">
        <f>27</f>
        <v>27</v>
      </c>
      <c r="BE56" s="20">
        <v>33</v>
      </c>
      <c r="BF56" s="13">
        <f>71</f>
        <v>71</v>
      </c>
      <c r="BG56" s="11">
        <f>6</f>
        <v>6</v>
      </c>
      <c r="BH56" s="11">
        <v>50</v>
      </c>
      <c r="BI56" s="11">
        <f>10+14</f>
        <v>24</v>
      </c>
      <c r="BJ56" s="11">
        <f>99</f>
        <v>99</v>
      </c>
      <c r="BK56" s="11">
        <v>37</v>
      </c>
      <c r="BL56" s="11">
        <f>103</f>
        <v>103</v>
      </c>
      <c r="BM56" s="11">
        <f>51</f>
        <v>51</v>
      </c>
      <c r="BN56" s="11">
        <v>140</v>
      </c>
      <c r="BO56" s="11">
        <v>132</v>
      </c>
      <c r="BP56" s="11">
        <v>102</v>
      </c>
    </row>
    <row r="57" spans="1:68" x14ac:dyDescent="0.2">
      <c r="A57" s="22" t="s">
        <v>192</v>
      </c>
      <c r="B57" s="23" t="s">
        <v>181</v>
      </c>
      <c r="C57" s="23" t="s">
        <v>91</v>
      </c>
      <c r="D57" s="23" t="s">
        <v>193</v>
      </c>
      <c r="E57" s="23" t="s">
        <v>96</v>
      </c>
      <c r="F57" s="44">
        <v>9</v>
      </c>
      <c r="G57" s="25">
        <v>14</v>
      </c>
      <c r="H57" s="25"/>
      <c r="I57" s="7"/>
      <c r="J57" s="7"/>
      <c r="K57" s="7"/>
      <c r="L57" s="7"/>
      <c r="M57" s="7"/>
      <c r="N57" s="7"/>
      <c r="O57" s="7"/>
      <c r="P57" s="7"/>
      <c r="Q57" s="7"/>
      <c r="R57" s="7"/>
      <c r="S57" s="14"/>
      <c r="T57" s="14">
        <v>1</v>
      </c>
      <c r="U57" s="14"/>
      <c r="V57" s="14">
        <v>1</v>
      </c>
      <c r="W57" s="14"/>
      <c r="X57" s="14"/>
      <c r="Y57" s="14"/>
      <c r="Z57" s="14"/>
      <c r="AA57" s="14"/>
      <c r="AB57" s="14"/>
      <c r="AC57" s="7"/>
      <c r="AD57" s="13">
        <f>1</f>
        <v>1</v>
      </c>
      <c r="AE57" s="7"/>
      <c r="AF57" s="7"/>
      <c r="AG57" s="7"/>
      <c r="AH57" s="13">
        <f>1</f>
        <v>1</v>
      </c>
      <c r="AI57" s="7">
        <v>2</v>
      </c>
      <c r="AJ57" s="7"/>
      <c r="AK57" s="13">
        <f>7</f>
        <v>7</v>
      </c>
      <c r="AL57" s="7"/>
      <c r="AM57" s="7"/>
      <c r="AN57" s="13">
        <f>27</f>
        <v>27</v>
      </c>
      <c r="AO57" s="7"/>
      <c r="AP57" s="13">
        <f>4</f>
        <v>4</v>
      </c>
      <c r="AQ57" s="13">
        <f>2</f>
        <v>2</v>
      </c>
      <c r="AR57" s="7"/>
      <c r="AS57" s="7"/>
      <c r="AT57" s="7"/>
      <c r="AU57" s="13">
        <f>11</f>
        <v>11</v>
      </c>
      <c r="AV57" s="13">
        <f>3</f>
        <v>3</v>
      </c>
      <c r="AW57" s="7"/>
      <c r="AX57" s="13">
        <f>2</f>
        <v>2</v>
      </c>
      <c r="AY57" s="13">
        <f>3</f>
        <v>3</v>
      </c>
      <c r="AZ57" s="13">
        <f>54</f>
        <v>54</v>
      </c>
      <c r="BA57" s="13">
        <f>1</f>
        <v>1</v>
      </c>
      <c r="BB57" s="13">
        <f>5</f>
        <v>5</v>
      </c>
      <c r="BC57" s="13">
        <f>5</f>
        <v>5</v>
      </c>
      <c r="BD57" s="13">
        <f>2</f>
        <v>2</v>
      </c>
      <c r="BE57" s="20">
        <v>3</v>
      </c>
      <c r="BF57" s="13">
        <f>5</f>
        <v>5</v>
      </c>
      <c r="BG57" s="11">
        <f>15</f>
        <v>15</v>
      </c>
      <c r="BH57" s="7"/>
      <c r="BI57" s="11">
        <v>14</v>
      </c>
      <c r="BJ57" s="11">
        <v>26</v>
      </c>
      <c r="BK57" s="11">
        <v>7</v>
      </c>
      <c r="BL57" s="11">
        <v>30</v>
      </c>
      <c r="BM57" s="11">
        <f>13</f>
        <v>13</v>
      </c>
      <c r="BN57" s="11">
        <v>51</v>
      </c>
      <c r="BO57" s="11">
        <v>26</v>
      </c>
      <c r="BP57" s="11">
        <v>111</v>
      </c>
    </row>
    <row r="58" spans="1:68" x14ac:dyDescent="0.2">
      <c r="A58" s="4" t="s">
        <v>194</v>
      </c>
      <c r="B58" s="5" t="s">
        <v>181</v>
      </c>
      <c r="C58" s="5" t="s">
        <v>195</v>
      </c>
      <c r="D58" s="5" t="s">
        <v>196</v>
      </c>
      <c r="E58" s="5" t="s">
        <v>70</v>
      </c>
      <c r="F58" s="1">
        <v>4</v>
      </c>
      <c r="G58" s="1">
        <v>4</v>
      </c>
      <c r="H58" s="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20</v>
      </c>
      <c r="W58" s="7">
        <v>38</v>
      </c>
      <c r="X58" s="7">
        <v>33</v>
      </c>
      <c r="Y58" s="7">
        <v>37</v>
      </c>
      <c r="Z58" s="7">
        <v>10</v>
      </c>
      <c r="AA58" s="7">
        <v>17</v>
      </c>
      <c r="AB58" s="7">
        <f>7</f>
        <v>7</v>
      </c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x14ac:dyDescent="0.2">
      <c r="A59" s="4" t="s">
        <v>197</v>
      </c>
      <c r="B59" s="5" t="s">
        <v>181</v>
      </c>
      <c r="C59" s="5" t="s">
        <v>195</v>
      </c>
      <c r="D59" s="5" t="s">
        <v>198</v>
      </c>
      <c r="E59" s="5" t="s">
        <v>70</v>
      </c>
      <c r="F59" s="1">
        <v>6</v>
      </c>
      <c r="G59" s="1">
        <v>6</v>
      </c>
      <c r="H59" s="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>
        <v>30</v>
      </c>
      <c r="U59" s="7">
        <v>21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x14ac:dyDescent="0.2">
      <c r="A60" s="1" t="s">
        <v>199</v>
      </c>
      <c r="B60" s="1" t="s">
        <v>200</v>
      </c>
      <c r="C60" s="1" t="s">
        <v>201</v>
      </c>
      <c r="D60" s="1" t="s">
        <v>202</v>
      </c>
      <c r="E60" s="1" t="s">
        <v>241</v>
      </c>
      <c r="F60" s="1">
        <v>6</v>
      </c>
      <c r="G60" s="1">
        <v>8</v>
      </c>
      <c r="H60" s="1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7</v>
      </c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spans="1:68" x14ac:dyDescent="0.2">
      <c r="A61" s="1" t="s">
        <v>203</v>
      </c>
      <c r="B61" s="1" t="s">
        <v>200</v>
      </c>
      <c r="C61" s="1"/>
      <c r="D61" s="1" t="s">
        <v>204</v>
      </c>
      <c r="E61" s="1" t="s">
        <v>75</v>
      </c>
      <c r="F61" s="1">
        <v>2</v>
      </c>
      <c r="G61" s="1">
        <v>10</v>
      </c>
      <c r="H61" s="1"/>
      <c r="I61" s="7"/>
      <c r="J61" s="24"/>
      <c r="K61" s="7"/>
      <c r="L61" s="7"/>
      <c r="M61" s="7">
        <f>1</f>
        <v>1</v>
      </c>
      <c r="N61" s="7"/>
      <c r="O61" s="7"/>
      <c r="P61" s="7"/>
      <c r="Q61" s="7"/>
      <c r="R61" s="7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>
        <v>2</v>
      </c>
      <c r="AX61" s="7"/>
      <c r="AY61" s="7"/>
      <c r="AZ61" s="7"/>
      <c r="BA61" s="7"/>
      <c r="BB61" s="7"/>
      <c r="BC61" s="7"/>
      <c r="BD61" s="7"/>
      <c r="BE61" s="15"/>
      <c r="BF61" s="7"/>
      <c r="BG61" s="7"/>
      <c r="BH61" s="7"/>
      <c r="BI61" s="7"/>
      <c r="BJ61" s="7"/>
      <c r="BK61" s="7"/>
      <c r="BL61" s="15"/>
      <c r="BM61" s="2"/>
      <c r="BN61" s="15"/>
      <c r="BO61" s="11">
        <f>4</f>
        <v>4</v>
      </c>
      <c r="BP61" s="7"/>
    </row>
    <row r="62" spans="1:68" x14ac:dyDescent="0.2">
      <c r="A62" s="1" t="s">
        <v>205</v>
      </c>
      <c r="B62" s="1" t="s">
        <v>200</v>
      </c>
      <c r="C62" s="1"/>
      <c r="D62" s="1" t="s">
        <v>206</v>
      </c>
      <c r="E62" s="1" t="s">
        <v>75</v>
      </c>
      <c r="F62" s="1">
        <v>3</v>
      </c>
      <c r="G62" s="1">
        <v>8</v>
      </c>
      <c r="H62" s="1"/>
      <c r="I62" s="7"/>
      <c r="J62" s="7"/>
      <c r="K62" s="7"/>
      <c r="L62" s="7"/>
      <c r="M62" s="7">
        <f>28</f>
        <v>28</v>
      </c>
      <c r="N62" s="7"/>
      <c r="O62" s="7"/>
      <c r="P62" s="7"/>
      <c r="Q62" s="7"/>
      <c r="R62" s="7"/>
      <c r="S62" s="14"/>
      <c r="T62" s="14"/>
      <c r="U62" s="14"/>
      <c r="V62" s="14"/>
      <c r="W62" s="14"/>
      <c r="X62" s="14"/>
      <c r="Y62" s="14"/>
      <c r="Z62" s="14"/>
      <c r="AA62" s="14">
        <v>18</v>
      </c>
      <c r="AB62" s="14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15"/>
      <c r="BM62" s="7"/>
      <c r="BN62" s="15"/>
      <c r="BO62" s="7"/>
      <c r="BP62" s="7"/>
    </row>
    <row r="63" spans="1:68" x14ac:dyDescent="0.2">
      <c r="A63" s="4" t="s">
        <v>207</v>
      </c>
      <c r="B63" s="1" t="s">
        <v>200</v>
      </c>
      <c r="C63" s="5"/>
      <c r="D63" s="5" t="s">
        <v>208</v>
      </c>
      <c r="E63" s="5" t="s">
        <v>96</v>
      </c>
      <c r="F63" s="1">
        <v>4</v>
      </c>
      <c r="G63" s="1">
        <v>8</v>
      </c>
      <c r="H63" s="1"/>
      <c r="I63" s="7"/>
      <c r="J63" s="7"/>
      <c r="K63" s="7"/>
      <c r="L63" s="7"/>
      <c r="M63" s="7"/>
      <c r="N63" s="7"/>
      <c r="O63" s="7"/>
      <c r="P63" s="7"/>
      <c r="Q63" s="7"/>
      <c r="R63" s="7"/>
      <c r="S63" s="14"/>
      <c r="T63" s="14"/>
      <c r="U63" s="14"/>
      <c r="V63" s="14"/>
      <c r="W63" s="14"/>
      <c r="X63" s="14"/>
      <c r="Y63" s="14"/>
      <c r="Z63" s="14"/>
      <c r="AA63" s="14"/>
      <c r="AB63" s="14">
        <f>12</f>
        <v>12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>
        <v>5</v>
      </c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11">
        <f>11</f>
        <v>11</v>
      </c>
      <c r="BK63" s="7"/>
      <c r="BL63" s="7"/>
      <c r="BM63" s="24">
        <v>115</v>
      </c>
      <c r="BN63" s="7">
        <v>6</v>
      </c>
      <c r="BO63" s="7"/>
      <c r="BP63" s="7"/>
    </row>
    <row r="64" spans="1:68" x14ac:dyDescent="0.2">
      <c r="A64" s="4" t="s">
        <v>209</v>
      </c>
      <c r="B64" s="1" t="s">
        <v>200</v>
      </c>
      <c r="C64" s="5"/>
      <c r="D64" s="5" t="s">
        <v>210</v>
      </c>
      <c r="E64" s="5" t="s">
        <v>96</v>
      </c>
      <c r="F64" s="1">
        <v>6</v>
      </c>
      <c r="G64" s="1">
        <v>14</v>
      </c>
      <c r="H64" s="1"/>
      <c r="I64" s="7"/>
      <c r="J64" s="7">
        <v>7</v>
      </c>
      <c r="K64" s="7"/>
      <c r="L64" s="7"/>
      <c r="M64" s="7"/>
      <c r="N64" s="7"/>
      <c r="O64" s="7"/>
      <c r="P64" s="7"/>
      <c r="Q64" s="7"/>
      <c r="R64" s="7"/>
      <c r="S64" s="14"/>
      <c r="T64" s="14"/>
      <c r="U64" s="14"/>
      <c r="V64" s="14"/>
      <c r="W64" s="14"/>
      <c r="X64" s="14"/>
      <c r="Y64" s="14"/>
      <c r="Z64" s="14"/>
      <c r="AA64" s="14"/>
      <c r="AB64" s="14">
        <v>2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1">
        <f>2</f>
        <v>2</v>
      </c>
      <c r="BL64" s="7"/>
      <c r="BM64" s="7"/>
      <c r="BN64" s="7"/>
      <c r="BO64" s="7"/>
      <c r="BP64" s="7"/>
    </row>
    <row r="65" spans="1:68" x14ac:dyDescent="0.2">
      <c r="A65" s="4" t="s">
        <v>211</v>
      </c>
      <c r="B65" s="1" t="s">
        <v>200</v>
      </c>
      <c r="C65" s="5"/>
      <c r="D65" s="5" t="s">
        <v>212</v>
      </c>
      <c r="E65" s="5" t="s">
        <v>96</v>
      </c>
      <c r="F65" s="1">
        <v>8</v>
      </c>
      <c r="G65" s="1">
        <v>12</v>
      </c>
      <c r="H65" s="1"/>
      <c r="I65" s="7"/>
      <c r="J65" s="7"/>
      <c r="K65" s="7"/>
      <c r="L65" s="7"/>
      <c r="M65" s="7"/>
      <c r="N65" s="7"/>
      <c r="O65" s="7"/>
      <c r="P65" s="7"/>
      <c r="Q65" s="7"/>
      <c r="R65" s="7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3">
        <f>1</f>
        <v>1</v>
      </c>
      <c r="AD65" s="7"/>
      <c r="AE65" s="7"/>
      <c r="AF65" s="7"/>
      <c r="AG65" s="7"/>
      <c r="AH65" s="7"/>
      <c r="AI65" s="7"/>
      <c r="AJ65" s="7"/>
      <c r="AK65" s="7"/>
      <c r="AL65" s="7"/>
      <c r="AM65" s="7">
        <v>9</v>
      </c>
      <c r="AN65" s="7"/>
      <c r="AO65" s="7"/>
      <c r="AP65" s="7"/>
      <c r="AQ65" s="7"/>
      <c r="AR65" s="7"/>
      <c r="AS65" s="7"/>
      <c r="AT65" s="7"/>
      <c r="AU65" s="7"/>
      <c r="AV65" s="7"/>
      <c r="AW65" s="7">
        <v>1</v>
      </c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spans="1:68" x14ac:dyDescent="0.2">
      <c r="A66" s="27" t="s">
        <v>213</v>
      </c>
      <c r="B66" s="1" t="s">
        <v>200</v>
      </c>
      <c r="C66" s="28"/>
      <c r="D66" s="28" t="s">
        <v>214</v>
      </c>
      <c r="E66" s="28" t="s">
        <v>70</v>
      </c>
      <c r="F66" s="1">
        <v>10</v>
      </c>
      <c r="G66" s="1">
        <v>10</v>
      </c>
      <c r="H66" s="29"/>
      <c r="I66" s="30"/>
      <c r="J66" s="30"/>
      <c r="K66" s="30"/>
      <c r="L66" s="30"/>
      <c r="M66" s="30"/>
      <c r="N66" s="30"/>
      <c r="O66" s="30">
        <f>1</f>
        <v>1</v>
      </c>
      <c r="P66" s="30">
        <f>6</f>
        <v>6</v>
      </c>
      <c r="Q66" s="30"/>
      <c r="R66" s="30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8" x14ac:dyDescent="0.2">
      <c r="A67" s="1" t="s">
        <v>215</v>
      </c>
      <c r="B67" s="1" t="s">
        <v>200</v>
      </c>
      <c r="C67" s="5"/>
      <c r="D67" s="5" t="s">
        <v>216</v>
      </c>
      <c r="E67" s="28" t="s">
        <v>70</v>
      </c>
      <c r="F67" s="1">
        <v>10</v>
      </c>
      <c r="G67" s="1">
        <v>16</v>
      </c>
      <c r="H67" s="1"/>
      <c r="I67" s="7"/>
      <c r="J67" s="7"/>
      <c r="K67" s="7"/>
      <c r="L67" s="7"/>
      <c r="M67" s="7">
        <f>6</f>
        <v>6</v>
      </c>
      <c r="N67" s="7"/>
      <c r="O67" s="7"/>
      <c r="P67" s="7"/>
      <c r="Q67" s="7"/>
      <c r="R67" s="7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>
        <v>4</v>
      </c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spans="1:68" x14ac:dyDescent="0.2">
      <c r="A68" s="1" t="s">
        <v>217</v>
      </c>
      <c r="B68" s="1" t="s">
        <v>200</v>
      </c>
      <c r="C68" s="1"/>
      <c r="D68" s="1" t="s">
        <v>218</v>
      </c>
      <c r="E68" s="28" t="s">
        <v>70</v>
      </c>
      <c r="F68" s="1">
        <v>12</v>
      </c>
      <c r="G68" s="1">
        <v>12</v>
      </c>
      <c r="H68" s="1"/>
      <c r="I68" s="7"/>
      <c r="J68" s="7"/>
      <c r="K68" s="7"/>
      <c r="L68" s="7">
        <f>6</f>
        <v>6</v>
      </c>
      <c r="M68" s="7"/>
      <c r="N68" s="7"/>
      <c r="O68" s="7"/>
      <c r="P68" s="7"/>
      <c r="Q68" s="7"/>
      <c r="R68" s="7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x14ac:dyDescent="0.2">
      <c r="A69" s="1" t="s">
        <v>219</v>
      </c>
      <c r="B69" s="1" t="s">
        <v>200</v>
      </c>
      <c r="C69" s="1"/>
      <c r="D69" s="1" t="s">
        <v>220</v>
      </c>
      <c r="E69" s="1" t="s">
        <v>139</v>
      </c>
      <c r="F69" s="1">
        <v>2</v>
      </c>
      <c r="G69" s="1">
        <v>10</v>
      </c>
      <c r="H69" s="1">
        <v>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11">
        <f>27</f>
        <v>27</v>
      </c>
      <c r="BN69" s="7"/>
      <c r="BO69" s="7"/>
      <c r="BP69" s="7"/>
    </row>
    <row r="70" spans="1:68" x14ac:dyDescent="0.2">
      <c r="A70" s="1" t="s">
        <v>221</v>
      </c>
      <c r="B70" s="1" t="s">
        <v>200</v>
      </c>
      <c r="C70" s="1" t="s">
        <v>222</v>
      </c>
      <c r="D70" s="1" t="s">
        <v>223</v>
      </c>
      <c r="E70" s="1" t="s">
        <v>75</v>
      </c>
      <c r="F70" s="1">
        <v>3</v>
      </c>
      <c r="G70" s="1">
        <v>26</v>
      </c>
      <c r="H70" s="1"/>
      <c r="I70" s="7"/>
      <c r="J70" s="7"/>
      <c r="K70" s="7"/>
      <c r="L70" s="7"/>
      <c r="M70" s="7"/>
      <c r="N70" s="7"/>
      <c r="O70" s="7"/>
      <c r="P70" s="7"/>
      <c r="Q70" s="7"/>
      <c r="R70" s="7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7"/>
      <c r="AD70" s="7"/>
      <c r="AE70" s="7"/>
      <c r="AF70" s="7"/>
      <c r="AG70" s="13">
        <f>42</f>
        <v>42</v>
      </c>
      <c r="AH70" s="13">
        <f>25</f>
        <v>25</v>
      </c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x14ac:dyDescent="0.2">
      <c r="A71" s="1" t="s">
        <v>224</v>
      </c>
      <c r="B71" s="1" t="s">
        <v>200</v>
      </c>
      <c r="C71" s="1" t="s">
        <v>222</v>
      </c>
      <c r="D71" s="1" t="s">
        <v>225</v>
      </c>
      <c r="E71" s="1" t="s">
        <v>75</v>
      </c>
      <c r="F71" s="1">
        <v>4</v>
      </c>
      <c r="G71" s="1">
        <v>8</v>
      </c>
      <c r="H71" s="1"/>
      <c r="I71" s="7"/>
      <c r="J71" s="7"/>
      <c r="K71" s="7"/>
      <c r="L71" s="7"/>
      <c r="M71" s="7"/>
      <c r="N71" s="7"/>
      <c r="O71" s="7"/>
      <c r="P71" s="7"/>
      <c r="Q71" s="7"/>
      <c r="R71" s="7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7"/>
      <c r="AD71" s="7"/>
      <c r="AE71" s="7"/>
      <c r="AF71" s="7"/>
      <c r="AG71" s="7"/>
      <c r="AH71" s="7"/>
      <c r="AI71" s="7"/>
      <c r="AJ71" s="7"/>
      <c r="AK71" s="7"/>
      <c r="AL71" s="7">
        <v>2</v>
      </c>
      <c r="AM71" s="7"/>
      <c r="AN71" s="7"/>
      <c r="AO71" s="7"/>
      <c r="AP71" s="7"/>
      <c r="AQ71" s="13">
        <f>46</f>
        <v>46</v>
      </c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11">
        <f>31</f>
        <v>31</v>
      </c>
      <c r="BJ71" s="7"/>
      <c r="BK71" s="7"/>
      <c r="BL71" s="7"/>
      <c r="BM71" s="2"/>
      <c r="BN71" s="7"/>
      <c r="BO71" s="7"/>
      <c r="BP71" s="7"/>
    </row>
    <row r="72" spans="1:68" x14ac:dyDescent="0.2">
      <c r="A72" s="1" t="s">
        <v>226</v>
      </c>
      <c r="B72" s="1" t="s">
        <v>200</v>
      </c>
      <c r="C72" s="1" t="s">
        <v>222</v>
      </c>
      <c r="D72" s="1" t="s">
        <v>227</v>
      </c>
      <c r="E72" s="1" t="s">
        <v>75</v>
      </c>
      <c r="F72" s="1">
        <v>4</v>
      </c>
      <c r="G72" s="1">
        <v>10</v>
      </c>
      <c r="H72" s="1"/>
      <c r="I72" s="7"/>
      <c r="J72" s="7"/>
      <c r="K72" s="7"/>
      <c r="L72" s="7"/>
      <c r="M72" s="7"/>
      <c r="N72" s="7"/>
      <c r="O72" s="7"/>
      <c r="P72" s="7"/>
      <c r="Q72" s="7"/>
      <c r="R72" s="7"/>
      <c r="S72" s="14"/>
      <c r="T72" s="14"/>
      <c r="U72" s="14"/>
      <c r="V72" s="14"/>
      <c r="W72" s="14"/>
      <c r="X72" s="14"/>
      <c r="Y72" s="14"/>
      <c r="Z72" s="14"/>
      <c r="AA72" s="14">
        <f>62</f>
        <v>62</v>
      </c>
      <c r="AB72" s="14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11">
        <f>76</f>
        <v>76</v>
      </c>
      <c r="BK72" s="7"/>
      <c r="BL72" s="7"/>
      <c r="BM72" s="7"/>
      <c r="BN72" s="7"/>
      <c r="BO72" s="7"/>
      <c r="BP72" s="7"/>
    </row>
    <row r="73" spans="1:68" x14ac:dyDescent="0.2">
      <c r="A73" s="32" t="s">
        <v>228</v>
      </c>
      <c r="B73" s="33" t="s">
        <v>200</v>
      </c>
      <c r="C73" s="1" t="s">
        <v>222</v>
      </c>
      <c r="D73" s="33" t="s">
        <v>229</v>
      </c>
      <c r="E73" s="1" t="s">
        <v>75</v>
      </c>
      <c r="F73" s="1">
        <v>4</v>
      </c>
      <c r="G73" s="1">
        <v>12</v>
      </c>
      <c r="H73" s="3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35"/>
      <c r="T73" s="35">
        <v>4</v>
      </c>
      <c r="U73" s="35"/>
      <c r="V73" s="35">
        <v>10</v>
      </c>
      <c r="W73" s="35"/>
      <c r="X73" s="35"/>
      <c r="Y73" s="35"/>
      <c r="Z73" s="35"/>
      <c r="AA73" s="35"/>
      <c r="AB73" s="35"/>
      <c r="AC73" s="8">
        <f>107</f>
        <v>107</v>
      </c>
      <c r="AD73" s="15"/>
      <c r="AE73" s="15"/>
      <c r="AF73" s="15"/>
      <c r="AG73" s="7"/>
      <c r="AH73" s="7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8">
        <f>59+26</f>
        <v>85</v>
      </c>
      <c r="AX73" s="15"/>
      <c r="AY73" s="8">
        <f>112</f>
        <v>112</v>
      </c>
      <c r="AZ73" s="15"/>
      <c r="BA73" s="8">
        <f>89</f>
        <v>89</v>
      </c>
      <c r="BB73" s="15"/>
      <c r="BC73" s="15"/>
      <c r="BD73" s="15"/>
      <c r="BE73" s="15"/>
      <c r="BF73" s="15"/>
      <c r="BG73" s="7"/>
      <c r="BH73" s="11">
        <f>116</f>
        <v>116</v>
      </c>
      <c r="BI73" s="7"/>
      <c r="BJ73" s="7">
        <v>18</v>
      </c>
      <c r="BK73" s="7"/>
      <c r="BL73" s="7"/>
      <c r="BM73" s="11">
        <f>40</f>
        <v>40</v>
      </c>
      <c r="BN73" s="7"/>
      <c r="BO73" s="7"/>
      <c r="BP73" s="7"/>
    </row>
    <row r="74" spans="1:68" x14ac:dyDescent="0.2">
      <c r="A74" s="4" t="s">
        <v>230</v>
      </c>
      <c r="B74" s="33" t="s">
        <v>200</v>
      </c>
      <c r="C74" s="1" t="s">
        <v>222</v>
      </c>
      <c r="D74" s="33" t="s">
        <v>231</v>
      </c>
      <c r="E74" s="1" t="s">
        <v>75</v>
      </c>
      <c r="F74" s="1">
        <v>4</v>
      </c>
      <c r="G74" s="1">
        <v>20</v>
      </c>
      <c r="H74" s="1"/>
      <c r="I74" s="7"/>
      <c r="J74" s="7"/>
      <c r="K74" s="7"/>
      <c r="L74" s="7"/>
      <c r="M74" s="7"/>
      <c r="N74" s="7"/>
      <c r="O74" s="7"/>
      <c r="P74" s="7"/>
      <c r="Q74" s="7"/>
      <c r="R74" s="7"/>
      <c r="S74" s="14"/>
      <c r="T74" s="14"/>
      <c r="U74" s="14"/>
      <c r="V74" s="14"/>
      <c r="W74" s="14"/>
      <c r="X74" s="14">
        <v>22</v>
      </c>
      <c r="Y74" s="14"/>
      <c r="Z74" s="14">
        <v>38</v>
      </c>
      <c r="AA74" s="14"/>
      <c r="AB74" s="14">
        <f>22</f>
        <v>22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13">
        <f>31</f>
        <v>31</v>
      </c>
      <c r="BE74" s="7"/>
      <c r="BF74" s="7"/>
      <c r="BG74" s="11">
        <f>3</f>
        <v>3</v>
      </c>
      <c r="BH74" s="7"/>
      <c r="BI74" s="7"/>
      <c r="BJ74" s="7"/>
      <c r="BK74" s="7"/>
      <c r="BL74" s="7"/>
      <c r="BM74" s="24"/>
      <c r="BN74" s="7"/>
      <c r="BO74" s="7"/>
      <c r="BP74" s="7"/>
    </row>
    <row r="75" spans="1:68" x14ac:dyDescent="0.2">
      <c r="A75" s="4" t="s">
        <v>232</v>
      </c>
      <c r="B75" s="33" t="s">
        <v>200</v>
      </c>
      <c r="C75" s="1" t="s">
        <v>222</v>
      </c>
      <c r="D75" s="33" t="s">
        <v>233</v>
      </c>
      <c r="E75" s="1" t="s">
        <v>75</v>
      </c>
      <c r="F75" s="1">
        <v>4</v>
      </c>
      <c r="G75" s="1">
        <v>26</v>
      </c>
      <c r="H75" s="1"/>
      <c r="I75" s="7"/>
      <c r="J75" s="7"/>
      <c r="K75" s="7"/>
      <c r="L75" s="7"/>
      <c r="M75" s="7"/>
      <c r="N75" s="7"/>
      <c r="O75" s="7"/>
      <c r="P75" s="7"/>
      <c r="Q75" s="7"/>
      <c r="R75" s="7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7"/>
      <c r="AD75" s="13">
        <f>37</f>
        <v>37</v>
      </c>
      <c r="AE75" s="13">
        <f>84</f>
        <v>84</v>
      </c>
      <c r="AF75" s="13">
        <f>20</f>
        <v>20</v>
      </c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13">
        <f>39</f>
        <v>39</v>
      </c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spans="1:68" x14ac:dyDescent="0.2">
      <c r="A76" s="22" t="s">
        <v>234</v>
      </c>
      <c r="B76" s="36" t="s">
        <v>200</v>
      </c>
      <c r="C76" s="36" t="s">
        <v>117</v>
      </c>
      <c r="D76" s="36" t="s">
        <v>235</v>
      </c>
      <c r="E76" s="36" t="s">
        <v>70</v>
      </c>
      <c r="F76" s="1">
        <v>5.5</v>
      </c>
      <c r="G76" s="1">
        <v>5.5</v>
      </c>
      <c r="H76" s="1"/>
      <c r="I76" s="7">
        <v>142</v>
      </c>
      <c r="J76" s="7">
        <v>146</v>
      </c>
      <c r="K76" s="7">
        <v>74</v>
      </c>
      <c r="L76" s="2">
        <v>79</v>
      </c>
      <c r="M76" s="7">
        <v>38</v>
      </c>
      <c r="N76" s="7">
        <v>52</v>
      </c>
      <c r="O76" s="7">
        <f>34</f>
        <v>34</v>
      </c>
      <c r="P76" s="7">
        <f>145</f>
        <v>145</v>
      </c>
      <c r="Q76" s="7">
        <f>159</f>
        <v>159</v>
      </c>
      <c r="R76" s="7">
        <f>193</f>
        <v>193</v>
      </c>
      <c r="S76" s="14">
        <v>242</v>
      </c>
      <c r="T76" s="14">
        <v>191</v>
      </c>
      <c r="U76" s="2">
        <v>183</v>
      </c>
      <c r="V76" s="14">
        <v>200</v>
      </c>
      <c r="W76" s="14">
        <v>274</v>
      </c>
      <c r="X76" s="14">
        <v>270</v>
      </c>
      <c r="Y76" s="14">
        <v>271</v>
      </c>
      <c r="Z76" s="14">
        <v>163</v>
      </c>
      <c r="AA76" s="14">
        <v>209</v>
      </c>
      <c r="AB76" s="14">
        <v>162</v>
      </c>
      <c r="AC76" s="13">
        <v>119</v>
      </c>
      <c r="AD76" s="13">
        <f>118</f>
        <v>118</v>
      </c>
      <c r="AE76" s="13">
        <v>125</v>
      </c>
      <c r="AF76" s="13">
        <f>64</f>
        <v>64</v>
      </c>
      <c r="AG76" s="13">
        <f>123</f>
        <v>123</v>
      </c>
      <c r="AH76" s="13">
        <f>168</f>
        <v>168</v>
      </c>
      <c r="AI76" s="13">
        <f>133</f>
        <v>133</v>
      </c>
      <c r="AJ76" s="13">
        <f>106</f>
        <v>106</v>
      </c>
      <c r="AK76" s="13">
        <f>87</f>
        <v>87</v>
      </c>
      <c r="AL76" s="13">
        <v>209</v>
      </c>
      <c r="AM76" s="13">
        <f>108</f>
        <v>108</v>
      </c>
      <c r="AN76" s="13">
        <f>413</f>
        <v>413</v>
      </c>
      <c r="AO76" s="13">
        <f>271</f>
        <v>271</v>
      </c>
      <c r="AP76" s="13">
        <f>268</f>
        <v>268</v>
      </c>
      <c r="AQ76" s="13">
        <f>212</f>
        <v>212</v>
      </c>
      <c r="AR76" s="13">
        <f>260</f>
        <v>260</v>
      </c>
      <c r="AS76" s="13">
        <v>267</v>
      </c>
      <c r="AT76" s="13">
        <f>100</f>
        <v>100</v>
      </c>
      <c r="AU76" s="13">
        <f>159</f>
        <v>159</v>
      </c>
      <c r="AV76" s="13">
        <f>117</f>
        <v>117</v>
      </c>
      <c r="AW76" s="13">
        <f>72+3+8+2+69</f>
        <v>154</v>
      </c>
      <c r="AX76" s="13">
        <f>4+108</f>
        <v>112</v>
      </c>
      <c r="AY76" s="13">
        <f>102</f>
        <v>102</v>
      </c>
      <c r="AZ76" s="13">
        <f>107</f>
        <v>107</v>
      </c>
      <c r="BA76" s="13">
        <f>136</f>
        <v>136</v>
      </c>
      <c r="BB76" s="13">
        <f>204</f>
        <v>204</v>
      </c>
      <c r="BC76" s="13">
        <f>127</f>
        <v>127</v>
      </c>
      <c r="BD76" s="13">
        <f>223</f>
        <v>223</v>
      </c>
      <c r="BE76" s="20">
        <v>90</v>
      </c>
      <c r="BF76" s="13">
        <f>135</f>
        <v>135</v>
      </c>
      <c r="BG76" s="11">
        <f>32</f>
        <v>32</v>
      </c>
      <c r="BH76" s="11">
        <v>113</v>
      </c>
      <c r="BI76" s="11">
        <v>181</v>
      </c>
      <c r="BJ76" s="11">
        <v>168</v>
      </c>
      <c r="BK76" s="11">
        <f>138+14</f>
        <v>152</v>
      </c>
      <c r="BL76" s="21">
        <v>127</v>
      </c>
      <c r="BM76" s="11">
        <f>374</f>
        <v>374</v>
      </c>
      <c r="BN76" s="21">
        <v>112</v>
      </c>
      <c r="BO76" s="11">
        <f>92</f>
        <v>92</v>
      </c>
      <c r="BP76" s="11">
        <f>108</f>
        <v>108</v>
      </c>
    </row>
    <row r="77" spans="1:68" x14ac:dyDescent="0.2">
      <c r="A77" s="37" t="s">
        <v>236</v>
      </c>
      <c r="B77" s="38" t="s">
        <v>200</v>
      </c>
      <c r="C77" s="38" t="s">
        <v>117</v>
      </c>
      <c r="D77" s="38" t="s">
        <v>237</v>
      </c>
      <c r="E77" s="36" t="s">
        <v>70</v>
      </c>
      <c r="F77" s="29">
        <v>9.5</v>
      </c>
      <c r="G77" s="29">
        <v>9.5</v>
      </c>
      <c r="H77" s="29"/>
      <c r="I77" s="30">
        <v>29</v>
      </c>
      <c r="J77" s="39">
        <v>25</v>
      </c>
      <c r="K77" s="30">
        <f>1+6</f>
        <v>7</v>
      </c>
      <c r="L77" s="39">
        <v>17</v>
      </c>
      <c r="M77" s="30">
        <v>10</v>
      </c>
      <c r="N77" s="30">
        <v>11</v>
      </c>
      <c r="O77" s="30">
        <f>7</f>
        <v>7</v>
      </c>
      <c r="P77" s="30">
        <f>36</f>
        <v>36</v>
      </c>
      <c r="Q77" s="30">
        <f>33</f>
        <v>33</v>
      </c>
      <c r="R77" s="30">
        <f>29</f>
        <v>29</v>
      </c>
      <c r="S77" s="31">
        <v>62</v>
      </c>
      <c r="T77" s="31">
        <v>14</v>
      </c>
      <c r="U77" s="39">
        <v>18</v>
      </c>
      <c r="V77" s="31">
        <v>14</v>
      </c>
      <c r="W77" s="31">
        <v>11</v>
      </c>
      <c r="X77" s="31">
        <v>25</v>
      </c>
      <c r="Y77" s="31">
        <v>14</v>
      </c>
      <c r="Z77" s="31">
        <v>7</v>
      </c>
      <c r="AA77" s="31">
        <v>20</v>
      </c>
      <c r="AB77" s="31">
        <v>20</v>
      </c>
      <c r="AC77" s="40">
        <v>112</v>
      </c>
      <c r="AD77" s="40">
        <f>38</f>
        <v>38</v>
      </c>
      <c r="AE77" s="40">
        <f>13</f>
        <v>13</v>
      </c>
      <c r="AF77" s="40">
        <f>17</f>
        <v>17</v>
      </c>
      <c r="AG77" s="40">
        <f>16</f>
        <v>16</v>
      </c>
      <c r="AH77" s="40">
        <f>8</f>
        <v>8</v>
      </c>
      <c r="AI77" s="40">
        <f>4</f>
        <v>4</v>
      </c>
      <c r="AJ77" s="40">
        <f>16</f>
        <v>16</v>
      </c>
      <c r="AK77" s="40">
        <f>2</f>
        <v>2</v>
      </c>
      <c r="AL77" s="40">
        <v>15</v>
      </c>
      <c r="AM77" s="40">
        <f>70</f>
        <v>70</v>
      </c>
      <c r="AN77" s="40">
        <f>56</f>
        <v>56</v>
      </c>
      <c r="AO77" s="40">
        <f>13</f>
        <v>13</v>
      </c>
      <c r="AP77" s="40">
        <f>16</f>
        <v>16</v>
      </c>
      <c r="AQ77" s="40">
        <f>14</f>
        <v>14</v>
      </c>
      <c r="AR77" s="40">
        <f>39</f>
        <v>39</v>
      </c>
      <c r="AS77" s="40">
        <f>24+3</f>
        <v>27</v>
      </c>
      <c r="AT77" s="40">
        <f>17</f>
        <v>17</v>
      </c>
      <c r="AU77" s="40">
        <f>20</f>
        <v>20</v>
      </c>
      <c r="AV77" s="40">
        <f>27</f>
        <v>27</v>
      </c>
      <c r="AW77" s="30"/>
      <c r="AX77" s="40">
        <f>22</f>
        <v>22</v>
      </c>
      <c r="AY77" s="40">
        <f>20</f>
        <v>20</v>
      </c>
      <c r="AZ77" s="40">
        <f>44</f>
        <v>44</v>
      </c>
      <c r="BA77" s="40">
        <f>9</f>
        <v>9</v>
      </c>
      <c r="BB77" s="40">
        <f>10+2</f>
        <v>12</v>
      </c>
      <c r="BC77" s="40">
        <f>15</f>
        <v>15</v>
      </c>
      <c r="BD77" s="40">
        <f>35</f>
        <v>35</v>
      </c>
      <c r="BE77" s="41">
        <v>19</v>
      </c>
      <c r="BF77" s="40">
        <f>26</f>
        <v>26</v>
      </c>
      <c r="BG77" s="11">
        <f>16</f>
        <v>16</v>
      </c>
      <c r="BH77" s="42">
        <v>15</v>
      </c>
      <c r="BI77" s="42">
        <v>20</v>
      </c>
      <c r="BJ77" s="42">
        <v>23</v>
      </c>
      <c r="BK77" s="42">
        <v>15</v>
      </c>
      <c r="BL77" s="43">
        <v>50</v>
      </c>
      <c r="BM77" s="42">
        <f>109</f>
        <v>109</v>
      </c>
      <c r="BN77" s="43">
        <v>37</v>
      </c>
      <c r="BO77" s="42">
        <f>61</f>
        <v>61</v>
      </c>
      <c r="BP77" s="42">
        <f>103</f>
        <v>103</v>
      </c>
    </row>
    <row r="78" spans="1:68" x14ac:dyDescent="0.2">
      <c r="A78" s="22" t="s">
        <v>238</v>
      </c>
      <c r="B78" s="38" t="s">
        <v>200</v>
      </c>
      <c r="C78" s="38" t="s">
        <v>117</v>
      </c>
      <c r="D78" s="38" t="s">
        <v>239</v>
      </c>
      <c r="E78" s="36" t="s">
        <v>70</v>
      </c>
      <c r="F78" s="1">
        <v>14</v>
      </c>
      <c r="G78" s="1">
        <v>14</v>
      </c>
      <c r="H78" s="1"/>
      <c r="I78" s="7"/>
      <c r="J78" s="7"/>
      <c r="K78" s="7"/>
      <c r="L78" s="7"/>
      <c r="M78" s="7"/>
      <c r="N78" s="7"/>
      <c r="O78" s="7"/>
      <c r="P78" s="7">
        <f>4</f>
        <v>4</v>
      </c>
      <c r="Q78" s="7"/>
      <c r="R78" s="7">
        <f>4</f>
        <v>4</v>
      </c>
      <c r="S78" s="14">
        <v>25</v>
      </c>
      <c r="T78" s="14"/>
      <c r="U78" s="14"/>
      <c r="V78" s="14"/>
      <c r="W78" s="14"/>
      <c r="X78" s="14"/>
      <c r="Y78" s="14"/>
      <c r="Z78" s="14"/>
      <c r="AA78" s="14"/>
      <c r="AB78" s="14"/>
      <c r="AC78" s="13">
        <f>14</f>
        <v>14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13">
        <f>3</f>
        <v>3</v>
      </c>
      <c r="AO78" s="7"/>
      <c r="AP78" s="7"/>
      <c r="AQ78" s="13">
        <f>8</f>
        <v>8</v>
      </c>
      <c r="AR78" s="13">
        <f>7</f>
        <v>7</v>
      </c>
      <c r="AS78" s="13">
        <f>3</f>
        <v>3</v>
      </c>
      <c r="AT78" s="7"/>
      <c r="AU78" s="7"/>
      <c r="AV78" s="7"/>
      <c r="AW78" s="7"/>
      <c r="AX78" s="7"/>
      <c r="AY78" s="13">
        <f>2</f>
        <v>2</v>
      </c>
      <c r="AZ78" s="13">
        <f>11+2</f>
        <v>13</v>
      </c>
      <c r="BA78" s="13">
        <f>5</f>
        <v>5</v>
      </c>
      <c r="BB78" s="13">
        <f>2</f>
        <v>2</v>
      </c>
      <c r="BC78" s="13">
        <f>4</f>
        <v>4</v>
      </c>
      <c r="BD78" s="13">
        <f>1</f>
        <v>1</v>
      </c>
      <c r="BE78" s="7"/>
      <c r="BF78" s="7"/>
      <c r="BG78" s="7">
        <f>7+3</f>
        <v>10</v>
      </c>
      <c r="BH78" s="11">
        <v>6</v>
      </c>
      <c r="BI78" s="11">
        <v>9</v>
      </c>
      <c r="BJ78" s="11">
        <v>16</v>
      </c>
      <c r="BK78" s="11">
        <v>10</v>
      </c>
      <c r="BL78" s="21">
        <v>31</v>
      </c>
      <c r="BM78" s="11">
        <f>6</f>
        <v>6</v>
      </c>
      <c r="BN78" s="21">
        <v>12</v>
      </c>
      <c r="BO78" s="11">
        <f>10</f>
        <v>10</v>
      </c>
      <c r="BP78" s="11">
        <f>30</f>
        <v>30</v>
      </c>
    </row>
    <row r="79" spans="1:68" x14ac:dyDescent="0.2">
      <c r="I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400x_RawCount_R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Adams</dc:creator>
  <cp:keywords/>
  <dc:description/>
  <cp:lastModifiedBy>Allison Adams</cp:lastModifiedBy>
  <dcterms:created xsi:type="dcterms:W3CDTF">2022-06-23T23:25:52Z</dcterms:created>
  <dcterms:modified xsi:type="dcterms:W3CDTF">2022-10-19T03:33:14Z</dcterms:modified>
  <cp:category/>
</cp:coreProperties>
</file>