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results/"/>
    </mc:Choice>
  </mc:AlternateContent>
  <xr:revisionPtr revIDLastSave="0" documentId="13_ncr:1_{C04545B7-8979-8245-B587-C1EA4038205C}" xr6:coauthVersionLast="47" xr6:coauthVersionMax="47" xr10:uidLastSave="{00000000-0000-0000-0000-000000000000}"/>
  <bookViews>
    <workbookView xWindow="0" yWindow="0" windowWidth="28800" windowHeight="18000" xr2:uid="{49223B12-BB34-FD42-B29F-CE125903FEB4}"/>
  </bookViews>
  <sheets>
    <sheet name="100xfor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P339" i="1" l="1"/>
  <c r="BO339" i="1"/>
  <c r="BM339" i="1"/>
  <c r="BG339" i="1"/>
  <c r="BD339" i="1"/>
  <c r="BC339" i="1"/>
  <c r="BB339" i="1"/>
  <c r="BA339" i="1"/>
  <c r="AZ339" i="1"/>
  <c r="AY339" i="1"/>
  <c r="AS339" i="1"/>
  <c r="AR339" i="1"/>
  <c r="AQ339" i="1"/>
  <c r="AN339" i="1"/>
  <c r="AC339" i="1"/>
  <c r="R339" i="1"/>
  <c r="P339" i="1"/>
  <c r="BP338" i="1"/>
  <c r="BO338" i="1"/>
  <c r="BM338" i="1"/>
  <c r="BG338" i="1"/>
  <c r="BF338" i="1"/>
  <c r="BD338" i="1"/>
  <c r="BC338" i="1"/>
  <c r="BB338" i="1"/>
  <c r="BA338" i="1"/>
  <c r="AZ338" i="1"/>
  <c r="AY338" i="1"/>
  <c r="AX338" i="1"/>
  <c r="AV338" i="1"/>
  <c r="AU338" i="1"/>
  <c r="AT338" i="1"/>
  <c r="AS338" i="1"/>
  <c r="AR338" i="1"/>
  <c r="AQ338" i="1"/>
  <c r="AP338" i="1"/>
  <c r="AO338" i="1"/>
  <c r="AN338" i="1"/>
  <c r="AM338" i="1"/>
  <c r="AK338" i="1"/>
  <c r="AJ338" i="1"/>
  <c r="AI338" i="1"/>
  <c r="AH338" i="1"/>
  <c r="AG338" i="1"/>
  <c r="AF338" i="1"/>
  <c r="AE338" i="1"/>
  <c r="AD338" i="1"/>
  <c r="R338" i="1"/>
  <c r="Q338" i="1"/>
  <c r="P338" i="1"/>
  <c r="O338" i="1"/>
  <c r="K338" i="1"/>
  <c r="BP337" i="1"/>
  <c r="BO337" i="1"/>
  <c r="BM337" i="1"/>
  <c r="BK337" i="1"/>
  <c r="BG337" i="1"/>
  <c r="BF337" i="1"/>
  <c r="BD337" i="1"/>
  <c r="BC337" i="1"/>
  <c r="BB337" i="1"/>
  <c r="BA337" i="1"/>
  <c r="AZ337" i="1"/>
  <c r="AY337" i="1"/>
  <c r="AX337" i="1"/>
  <c r="AW337" i="1"/>
  <c r="AV337" i="1"/>
  <c r="AU337" i="1"/>
  <c r="AT337" i="1"/>
  <c r="AR337" i="1"/>
  <c r="AQ337" i="1"/>
  <c r="AP337" i="1"/>
  <c r="AO337" i="1"/>
  <c r="AN337" i="1"/>
  <c r="AM337" i="1"/>
  <c r="AK337" i="1"/>
  <c r="AJ337" i="1"/>
  <c r="AI337" i="1"/>
  <c r="AH337" i="1"/>
  <c r="AG337" i="1"/>
  <c r="AF337" i="1"/>
  <c r="AD337" i="1"/>
  <c r="R337" i="1"/>
  <c r="Q337" i="1"/>
  <c r="P337" i="1"/>
  <c r="O337" i="1"/>
  <c r="AZ336" i="1"/>
  <c r="AF336" i="1"/>
  <c r="AE336" i="1"/>
  <c r="AD336" i="1"/>
  <c r="BG335" i="1"/>
  <c r="BD335" i="1"/>
  <c r="AB335" i="1"/>
  <c r="BM334" i="1"/>
  <c r="BH334" i="1"/>
  <c r="BA334" i="1"/>
  <c r="AY334" i="1"/>
  <c r="AW334" i="1"/>
  <c r="AC334" i="1"/>
  <c r="BJ333" i="1"/>
  <c r="AA333" i="1"/>
  <c r="BI332" i="1"/>
  <c r="AQ332" i="1"/>
  <c r="AH331" i="1"/>
  <c r="AG331" i="1"/>
  <c r="BM330" i="1"/>
  <c r="L329" i="1"/>
  <c r="M328" i="1"/>
  <c r="P327" i="1"/>
  <c r="O327" i="1"/>
  <c r="AC326" i="1"/>
  <c r="BK325" i="1"/>
  <c r="BJ324" i="1"/>
  <c r="AB324" i="1"/>
  <c r="M323" i="1"/>
  <c r="BO322" i="1"/>
  <c r="M322" i="1"/>
  <c r="AB319" i="1"/>
  <c r="BM318" i="1"/>
  <c r="BG318" i="1"/>
  <c r="BF318" i="1"/>
  <c r="BD318" i="1"/>
  <c r="BC318" i="1"/>
  <c r="BB318" i="1"/>
  <c r="BA318" i="1"/>
  <c r="AZ318" i="1"/>
  <c r="AY318" i="1"/>
  <c r="AX318" i="1"/>
  <c r="AV318" i="1"/>
  <c r="AU318" i="1"/>
  <c r="AQ318" i="1"/>
  <c r="AP318" i="1"/>
  <c r="AN318" i="1"/>
  <c r="AK318" i="1"/>
  <c r="AH318" i="1"/>
  <c r="AD318" i="1"/>
  <c r="BM317" i="1"/>
  <c r="BL317" i="1"/>
  <c r="BJ317" i="1"/>
  <c r="BI317" i="1"/>
  <c r="BG317" i="1"/>
  <c r="BF317" i="1"/>
  <c r="BD317" i="1"/>
  <c r="BC317" i="1"/>
  <c r="BB317" i="1"/>
  <c r="BA317" i="1"/>
  <c r="AZ317" i="1"/>
  <c r="AY317" i="1"/>
  <c r="AX317" i="1"/>
  <c r="AW317" i="1"/>
  <c r="AV317" i="1"/>
  <c r="AU317" i="1"/>
  <c r="AT317" i="1"/>
  <c r="AS317" i="1"/>
  <c r="AR317" i="1"/>
  <c r="AQ317" i="1"/>
  <c r="AP317" i="1"/>
  <c r="AO317" i="1"/>
  <c r="AN317" i="1"/>
  <c r="AK317" i="1"/>
  <c r="AJ317" i="1"/>
  <c r="AH317" i="1"/>
  <c r="AG317" i="1"/>
  <c r="AF317" i="1"/>
  <c r="AE317" i="1"/>
  <c r="AD317" i="1"/>
  <c r="AC317" i="1"/>
  <c r="R317" i="1"/>
  <c r="Q317" i="1"/>
  <c r="P317" i="1"/>
  <c r="O317" i="1"/>
  <c r="N317" i="1"/>
  <c r="BM316" i="1"/>
  <c r="BL316" i="1"/>
  <c r="BJ316" i="1"/>
  <c r="BF316" i="1"/>
  <c r="BD316" i="1"/>
  <c r="BC316" i="1"/>
  <c r="BB316" i="1"/>
  <c r="BA316" i="1"/>
  <c r="AZ316" i="1"/>
  <c r="AY316" i="1"/>
  <c r="AX316" i="1"/>
  <c r="AV316" i="1"/>
  <c r="AU316" i="1"/>
  <c r="AT316" i="1"/>
  <c r="AS316" i="1"/>
  <c r="AR316" i="1"/>
  <c r="AQ316" i="1"/>
  <c r="AP316" i="1"/>
  <c r="AO316" i="1"/>
  <c r="AN316" i="1"/>
  <c r="AM316" i="1"/>
  <c r="AK316" i="1"/>
  <c r="AH316" i="1"/>
  <c r="AG316" i="1"/>
  <c r="AF316" i="1"/>
  <c r="AE316" i="1"/>
  <c r="AD316" i="1"/>
  <c r="R316" i="1"/>
  <c r="Q316" i="1"/>
  <c r="P316" i="1"/>
  <c r="O316" i="1"/>
  <c r="N316" i="1"/>
  <c r="R315" i="1"/>
  <c r="Q315" i="1"/>
  <c r="P315" i="1"/>
  <c r="O315" i="1"/>
  <c r="AM314" i="1"/>
  <c r="AC314" i="1"/>
  <c r="R314" i="1"/>
  <c r="Q314" i="1"/>
  <c r="P314" i="1"/>
  <c r="O314" i="1"/>
  <c r="BM313" i="1"/>
  <c r="BG313" i="1"/>
  <c r="AV313" i="1"/>
  <c r="AU313" i="1"/>
  <c r="AT313" i="1"/>
  <c r="AR313" i="1"/>
  <c r="AP313" i="1"/>
  <c r="AO313" i="1"/>
  <c r="AK313" i="1"/>
  <c r="AJ313" i="1"/>
  <c r="AI313" i="1"/>
  <c r="AH313" i="1"/>
  <c r="AG313" i="1"/>
  <c r="AE313" i="1"/>
  <c r="AD313" i="1"/>
  <c r="R313" i="1"/>
  <c r="Q313" i="1"/>
  <c r="P313" i="1"/>
  <c r="H312" i="1"/>
  <c r="AA311" i="1"/>
  <c r="H311" i="1"/>
  <c r="R310" i="1"/>
  <c r="H310" i="1"/>
  <c r="AN309" i="1"/>
  <c r="H309" i="1"/>
  <c r="AV308" i="1"/>
  <c r="AU308" i="1"/>
  <c r="AT308" i="1"/>
  <c r="AS308" i="1"/>
  <c r="AR308" i="1"/>
  <c r="AQ308" i="1"/>
  <c r="AO308" i="1"/>
  <c r="AI308" i="1"/>
  <c r="AH308" i="1"/>
  <c r="AG308" i="1"/>
  <c r="AB308" i="1"/>
  <c r="AA308" i="1"/>
  <c r="Q308" i="1"/>
  <c r="P308" i="1"/>
  <c r="O308" i="1"/>
  <c r="M308" i="1"/>
  <c r="H308" i="1"/>
  <c r="BC307" i="1"/>
  <c r="H307" i="1"/>
  <c r="H306" i="1"/>
  <c r="BE305" i="1"/>
  <c r="H305" i="1"/>
  <c r="AY304" i="1"/>
  <c r="H304" i="1"/>
  <c r="Q303" i="1"/>
  <c r="H303" i="1"/>
  <c r="BP302" i="1"/>
  <c r="BA302" i="1"/>
  <c r="AX302" i="1"/>
  <c r="AP302" i="1"/>
  <c r="AC302" i="1"/>
  <c r="H302" i="1"/>
  <c r="H301" i="1"/>
  <c r="BD300" i="1"/>
  <c r="AZ300" i="1"/>
  <c r="H300" i="1"/>
  <c r="H299" i="1"/>
  <c r="BH298" i="1"/>
  <c r="H298" i="1"/>
  <c r="BC297" i="1"/>
  <c r="H297" i="1"/>
  <c r="I296" i="1"/>
  <c r="H296" i="1"/>
  <c r="H295" i="1"/>
  <c r="H294" i="1"/>
  <c r="AB293" i="1"/>
  <c r="R293" i="1"/>
  <c r="Q293" i="1"/>
  <c r="O293" i="1"/>
  <c r="H293" i="1"/>
  <c r="P292" i="1"/>
  <c r="H292" i="1"/>
  <c r="BO291" i="1"/>
  <c r="BG291" i="1"/>
  <c r="BF291" i="1"/>
  <c r="BE291" i="1"/>
  <c r="AZ291" i="1"/>
  <c r="AY291" i="1"/>
  <c r="AV291" i="1"/>
  <c r="AU291" i="1"/>
  <c r="AS291" i="1"/>
  <c r="AR291" i="1"/>
  <c r="AN291" i="1"/>
  <c r="AL291" i="1"/>
  <c r="AK291" i="1"/>
  <c r="AJ291" i="1"/>
  <c r="AI291" i="1"/>
  <c r="AH291" i="1"/>
  <c r="AG291" i="1"/>
  <c r="AF291" i="1"/>
  <c r="AE291" i="1"/>
  <c r="AD291" i="1"/>
  <c r="R291" i="1"/>
  <c r="Q291" i="1"/>
  <c r="P291" i="1"/>
  <c r="BO290" i="1"/>
  <c r="BM290" i="1"/>
  <c r="BH290" i="1"/>
  <c r="BG290" i="1"/>
  <c r="BF290" i="1"/>
  <c r="AZ290" i="1"/>
  <c r="AY290" i="1"/>
  <c r="AV290" i="1"/>
  <c r="AU290" i="1"/>
  <c r="AT290" i="1"/>
  <c r="AS290" i="1"/>
  <c r="AR290" i="1"/>
  <c r="AQ290" i="1"/>
  <c r="AO290" i="1"/>
  <c r="AN290" i="1"/>
  <c r="AM290" i="1"/>
  <c r="AL290" i="1"/>
  <c r="AK290" i="1"/>
  <c r="AI290" i="1"/>
  <c r="AH290" i="1"/>
  <c r="AG290" i="1"/>
  <c r="AF290" i="1"/>
  <c r="AE290" i="1"/>
  <c r="AD290" i="1"/>
  <c r="AC290" i="1"/>
  <c r="R290" i="1"/>
  <c r="Q290" i="1"/>
  <c r="P290" i="1"/>
  <c r="BO289" i="1"/>
  <c r="BM289" i="1"/>
  <c r="BG289" i="1"/>
  <c r="BF289" i="1"/>
  <c r="AZ289" i="1"/>
  <c r="AY289" i="1"/>
  <c r="AV289" i="1"/>
  <c r="AU289" i="1"/>
  <c r="AT289" i="1"/>
  <c r="AS289" i="1"/>
  <c r="AR289" i="1"/>
  <c r="AQ289" i="1"/>
  <c r="AP289" i="1"/>
  <c r="AO289" i="1"/>
  <c r="AN289" i="1"/>
  <c r="AL289" i="1"/>
  <c r="AK289" i="1"/>
  <c r="AJ289" i="1"/>
  <c r="AI289" i="1"/>
  <c r="AH289" i="1"/>
  <c r="AG289" i="1"/>
  <c r="AE289" i="1"/>
  <c r="AD289" i="1"/>
  <c r="R289" i="1"/>
  <c r="Q289" i="1"/>
  <c r="P289" i="1"/>
  <c r="BP286" i="1"/>
  <c r="BM286" i="1"/>
  <c r="BL286" i="1"/>
  <c r="BI286" i="1"/>
  <c r="BG286" i="1"/>
  <c r="BE286" i="1"/>
  <c r="BC286" i="1"/>
  <c r="BB286" i="1"/>
  <c r="BA286" i="1"/>
  <c r="AZ286" i="1"/>
  <c r="AY286" i="1"/>
  <c r="AX286" i="1"/>
  <c r="AV286" i="1"/>
  <c r="AU286" i="1"/>
  <c r="AT286" i="1"/>
  <c r="AS286" i="1"/>
  <c r="AR286" i="1"/>
  <c r="AO286" i="1"/>
  <c r="AN286" i="1"/>
  <c r="AM286" i="1"/>
  <c r="AL286" i="1"/>
  <c r="AK286" i="1"/>
  <c r="AJ286" i="1"/>
  <c r="AI286" i="1"/>
  <c r="AH286" i="1"/>
  <c r="AG286" i="1"/>
  <c r="AF286" i="1"/>
  <c r="AD286" i="1"/>
  <c r="AC286" i="1"/>
  <c r="R286" i="1"/>
  <c r="Q286" i="1"/>
  <c r="P286" i="1"/>
  <c r="M286" i="1"/>
  <c r="BP285" i="1"/>
  <c r="BM285" i="1"/>
  <c r="BL285" i="1"/>
  <c r="BE285" i="1"/>
  <c r="BC285" i="1"/>
  <c r="BB285" i="1"/>
  <c r="BA285" i="1"/>
  <c r="AZ285" i="1"/>
  <c r="AY285" i="1"/>
  <c r="AX285" i="1"/>
  <c r="AV285" i="1"/>
  <c r="AU285" i="1"/>
  <c r="AT285" i="1"/>
  <c r="AS285" i="1"/>
  <c r="AR285" i="1"/>
  <c r="AQ285" i="1"/>
  <c r="AO285" i="1"/>
  <c r="AN285" i="1"/>
  <c r="AM285" i="1"/>
  <c r="AL285" i="1"/>
  <c r="AK285" i="1"/>
  <c r="AJ285" i="1"/>
  <c r="AI285" i="1"/>
  <c r="AH285" i="1"/>
  <c r="AG285" i="1"/>
  <c r="AF285" i="1"/>
  <c r="AE285" i="1"/>
  <c r="AD285" i="1"/>
  <c r="R285" i="1"/>
  <c r="Q285" i="1"/>
  <c r="P285" i="1"/>
  <c r="M285" i="1"/>
  <c r="BP284" i="1"/>
  <c r="BM284" i="1"/>
  <c r="BL284" i="1"/>
  <c r="BE284" i="1"/>
  <c r="BC284" i="1"/>
  <c r="BB284" i="1"/>
  <c r="BA284" i="1"/>
  <c r="AZ284" i="1"/>
  <c r="AY284" i="1"/>
  <c r="AX284" i="1"/>
  <c r="AV284" i="1"/>
  <c r="AU284" i="1"/>
  <c r="AT284" i="1"/>
  <c r="AS284" i="1"/>
  <c r="AR284" i="1"/>
  <c r="AQ284" i="1"/>
  <c r="AO284" i="1"/>
  <c r="AN284" i="1"/>
  <c r="AM284" i="1"/>
  <c r="AL284" i="1"/>
  <c r="AK284" i="1"/>
  <c r="AJ284" i="1"/>
  <c r="AI284" i="1"/>
  <c r="AH284" i="1"/>
  <c r="AD284" i="1"/>
  <c r="Q284" i="1"/>
  <c r="AF283" i="1"/>
  <c r="AE282" i="1"/>
  <c r="AK280" i="1"/>
  <c r="AC279" i="1"/>
  <c r="P277" i="1"/>
  <c r="BD276" i="1"/>
  <c r="BB276" i="1"/>
  <c r="AY276" i="1"/>
  <c r="AR276" i="1"/>
  <c r="AQ276" i="1"/>
  <c r="AO276" i="1"/>
  <c r="BP275" i="1"/>
  <c r="AV275" i="1"/>
  <c r="AU275" i="1"/>
  <c r="AS275" i="1"/>
  <c r="AN275" i="1"/>
  <c r="AM275" i="1"/>
  <c r="AH275" i="1"/>
  <c r="AD275" i="1"/>
  <c r="M275" i="1"/>
  <c r="BE274" i="1"/>
  <c r="R274" i="1"/>
  <c r="Q274" i="1"/>
  <c r="O274" i="1"/>
  <c r="BE273" i="1"/>
  <c r="AS273" i="1"/>
  <c r="AI273" i="1"/>
  <c r="BG272" i="1"/>
  <c r="BM270" i="1"/>
  <c r="BB270" i="1"/>
  <c r="AN270" i="1"/>
  <c r="BM269" i="1"/>
  <c r="AR269" i="1"/>
  <c r="AD269" i="1"/>
  <c r="AZ267" i="1"/>
  <c r="AS267" i="1"/>
  <c r="AT266" i="1"/>
  <c r="AM266" i="1"/>
  <c r="AV265" i="1"/>
  <c r="AC265" i="1"/>
  <c r="AI263" i="1"/>
  <c r="BK262" i="1"/>
  <c r="BJ262" i="1"/>
  <c r="BH262" i="1"/>
  <c r="BG262" i="1"/>
  <c r="AY262" i="1"/>
  <c r="AX262" i="1"/>
  <c r="AV262" i="1"/>
  <c r="AT262" i="1"/>
  <c r="AC262" i="1"/>
  <c r="Q262" i="1"/>
  <c r="J262" i="1"/>
  <c r="BG257" i="1"/>
  <c r="AO256" i="1"/>
  <c r="AM256" i="1"/>
  <c r="AC255" i="1"/>
  <c r="BP252" i="1"/>
  <c r="AO252" i="1"/>
  <c r="AC246" i="1"/>
  <c r="AM232" i="1"/>
  <c r="I232" i="1"/>
  <c r="BH201" i="1"/>
  <c r="S150" i="1"/>
  <c r="BP142" i="1"/>
  <c r="BK138" i="1"/>
  <c r="BJ137" i="1"/>
  <c r="BI137" i="1"/>
  <c r="J135" i="1"/>
  <c r="AR134" i="1"/>
  <c r="BP133" i="1"/>
  <c r="BO116" i="1"/>
  <c r="AU114" i="1"/>
  <c r="AO114" i="1"/>
  <c r="AU83" i="1"/>
  <c r="AB83" i="1"/>
  <c r="R83" i="1"/>
  <c r="S51" i="1"/>
  <c r="BJ44" i="1"/>
  <c r="BH44" i="1"/>
  <c r="BG44" i="1"/>
  <c r="BK40" i="1"/>
  <c r="AN28" i="1"/>
  <c r="BH27" i="1"/>
  <c r="BN13" i="1"/>
  <c r="BG9" i="1"/>
  <c r="BG4" i="1"/>
  <c r="BP3" i="1"/>
  <c r="BG3" i="1"/>
</calcChain>
</file>

<file path=xl/sharedStrings.xml><?xml version="1.0" encoding="utf-8"?>
<sst xmlns="http://schemas.openxmlformats.org/spreadsheetml/2006/main" count="1758" uniqueCount="791">
  <si>
    <t>Organism</t>
  </si>
  <si>
    <t>Group</t>
  </si>
  <si>
    <t>type</t>
  </si>
  <si>
    <t>name</t>
  </si>
  <si>
    <t>shp</t>
  </si>
  <si>
    <t>sa</t>
  </si>
  <si>
    <t>la</t>
  </si>
  <si>
    <t>wi</t>
  </si>
  <si>
    <t>SJR2 site</t>
  </si>
  <si>
    <t>SJR2 FC-1</t>
  </si>
  <si>
    <t>SJR2 T24-1</t>
  </si>
  <si>
    <t>SJR2 FC-2</t>
  </si>
  <si>
    <t>SJR2 T24-2</t>
  </si>
  <si>
    <t>SJR2 FC-3</t>
  </si>
  <si>
    <t>SJR2 T24-3</t>
  </si>
  <si>
    <t>SJR2 IC-1</t>
  </si>
  <si>
    <t>SJR2 IC-2</t>
  </si>
  <si>
    <t>SJR2 IC-3</t>
  </si>
  <si>
    <t>YBP1 site</t>
  </si>
  <si>
    <t>YBP1 FC-1</t>
  </si>
  <si>
    <t>YBP1 T24-1</t>
  </si>
  <si>
    <t>YBP1 FC-2</t>
  </si>
  <si>
    <t>YBP1 T24-2</t>
  </si>
  <si>
    <t>YBP1 FC-3</t>
  </si>
  <si>
    <t>YBP1 T24-3</t>
  </si>
  <si>
    <t>YBP1 IC-1</t>
  </si>
  <si>
    <t>YBP1 IC-2</t>
  </si>
  <si>
    <t>YBP1 IC-3</t>
  </si>
  <si>
    <t>LSZ2 site</t>
  </si>
  <si>
    <t>LSZ2 FC-1</t>
  </si>
  <si>
    <t>LSZ2 T24-1</t>
  </si>
  <si>
    <t>LSZ2 FC-2</t>
  </si>
  <si>
    <t>LSZ2 T24-2</t>
  </si>
  <si>
    <t>LSZ2 FC-3</t>
  </si>
  <si>
    <t>LSZ2 T24-3</t>
  </si>
  <si>
    <t>LSZ2 IC-1</t>
  </si>
  <si>
    <t>LSZ2 IC-2</t>
  </si>
  <si>
    <t>LSZ2 IC-3</t>
  </si>
  <si>
    <t>WLD2 site</t>
  </si>
  <si>
    <t>WLD2 FC-1</t>
  </si>
  <si>
    <t>WLD2 T24-1</t>
  </si>
  <si>
    <t>WLD2 FC-2</t>
  </si>
  <si>
    <t>WLD2 T24-2</t>
  </si>
  <si>
    <t>WLD2 FC-3</t>
  </si>
  <si>
    <t>WLD2 T24-3</t>
  </si>
  <si>
    <t>WLD2 IC-1</t>
  </si>
  <si>
    <t>WLD2 IC-2</t>
  </si>
  <si>
    <t>WLD2 IC-3</t>
  </si>
  <si>
    <t>SJR1-site</t>
  </si>
  <si>
    <t>SJR1 FC-1</t>
  </si>
  <si>
    <t>SJR1 T24-1</t>
  </si>
  <si>
    <t>SJR1 FC-2</t>
  </si>
  <si>
    <t>SJR1 T24-2</t>
  </si>
  <si>
    <t>SJR1 FC-3</t>
  </si>
  <si>
    <t>SJR1 T24-3</t>
  </si>
  <si>
    <t>SJR1 IC-1</t>
  </si>
  <si>
    <t>SJR1 IC-2</t>
  </si>
  <si>
    <t>SJR1 IC-3</t>
  </si>
  <si>
    <t>YBP2 site</t>
  </si>
  <si>
    <t>YBP2 FC-1</t>
  </si>
  <si>
    <t>YBP2 FC-2</t>
  </si>
  <si>
    <t>YBP2 T24-2</t>
  </si>
  <si>
    <t>YBP2 FC-3</t>
  </si>
  <si>
    <t>YBP2 T24-3</t>
  </si>
  <si>
    <t>YBP2 IC-1</t>
  </si>
  <si>
    <t>YBP2 IC-2</t>
  </si>
  <si>
    <t>YBP2 IC-3</t>
  </si>
  <si>
    <t>Chlorophyte Y: Actinastrum</t>
  </si>
  <si>
    <t>chlorophyte</t>
  </si>
  <si>
    <t>actinastrum</t>
  </si>
  <si>
    <t>chlory</t>
  </si>
  <si>
    <t>cones2</t>
  </si>
  <si>
    <t>Chlorophyte X: Colonial</t>
  </si>
  <si>
    <t>colonial</t>
  </si>
  <si>
    <t>chlorx</t>
  </si>
  <si>
    <t>sph</t>
  </si>
  <si>
    <t>Chlorophyte Z: Colonial</t>
  </si>
  <si>
    <t>chlorz</t>
  </si>
  <si>
    <t>Chlorophyte AA: Colonial</t>
  </si>
  <si>
    <t>chloraa</t>
  </si>
  <si>
    <t>Chlorophyte AB: Colonial</t>
  </si>
  <si>
    <t>chlorab</t>
  </si>
  <si>
    <t>Chlorophyte AC: Colonial</t>
  </si>
  <si>
    <t>chlorac</t>
  </si>
  <si>
    <t>Chlorophyte AD: Colonial</t>
  </si>
  <si>
    <t>chlorad</t>
  </si>
  <si>
    <t>Chlorophyte AE: Other</t>
  </si>
  <si>
    <t>other</t>
  </si>
  <si>
    <t>chlorae</t>
  </si>
  <si>
    <t>Chlorophyte AF: Pediastrum</t>
  </si>
  <si>
    <t>pediastrum</t>
  </si>
  <si>
    <t>chloraf</t>
  </si>
  <si>
    <t>prisell</t>
  </si>
  <si>
    <t>Chlorophyte AG: Pediastrum</t>
  </si>
  <si>
    <t>chlorag</t>
  </si>
  <si>
    <t>Chlorophyte AH:  Scenedesmus</t>
  </si>
  <si>
    <t>scenedesmus</t>
  </si>
  <si>
    <t>chlorah</t>
  </si>
  <si>
    <t>prosph</t>
  </si>
  <si>
    <t>Chlorophyte AI: Scenedesmus</t>
  </si>
  <si>
    <t>chlorai</t>
  </si>
  <si>
    <t>Chlorophyte AJ: Scenedesmus</t>
  </si>
  <si>
    <t>chloraj</t>
  </si>
  <si>
    <t>Ciliate E: cone</t>
  </si>
  <si>
    <t>ciliate</t>
  </si>
  <si>
    <t>cone</t>
  </si>
  <si>
    <t>cile</t>
  </si>
  <si>
    <t>cone1</t>
  </si>
  <si>
    <t>Ciliate F: cone</t>
  </si>
  <si>
    <t>cilf</t>
  </si>
  <si>
    <t>Ciliate G: cone</t>
  </si>
  <si>
    <t>cilg</t>
  </si>
  <si>
    <t>Ciliate H:cone</t>
  </si>
  <si>
    <t>cilh</t>
  </si>
  <si>
    <t>Ciliate I: cone</t>
  </si>
  <si>
    <t>cili</t>
  </si>
  <si>
    <t>Ciliate J: cone</t>
  </si>
  <si>
    <t>cilj</t>
  </si>
  <si>
    <t>Ciliate K: cone</t>
  </si>
  <si>
    <t>cilk</t>
  </si>
  <si>
    <t>Ciliate L: oblong</t>
  </si>
  <si>
    <t>oblong</t>
  </si>
  <si>
    <t>cill</t>
  </si>
  <si>
    <t>Ciliate M: oblong</t>
  </si>
  <si>
    <t>cilm</t>
  </si>
  <si>
    <t>Ciliate N: oblong</t>
  </si>
  <si>
    <t>ciln</t>
  </si>
  <si>
    <t>Ciliate O: oblong</t>
  </si>
  <si>
    <t>cilo</t>
  </si>
  <si>
    <t>Ciliate P: oblong</t>
  </si>
  <si>
    <t>cilp</t>
  </si>
  <si>
    <t>Ciliate Q: oblong</t>
  </si>
  <si>
    <t>cilq</t>
  </si>
  <si>
    <t>Ciliate R: oblong</t>
  </si>
  <si>
    <t>cilr</t>
  </si>
  <si>
    <t>Ciliate S: oblong</t>
  </si>
  <si>
    <t>cils</t>
  </si>
  <si>
    <t>Ciliate T: oblong</t>
  </si>
  <si>
    <t>cilt</t>
  </si>
  <si>
    <t>Ciliate U: oblong</t>
  </si>
  <si>
    <t>cilu</t>
  </si>
  <si>
    <t>Ciliate V: oblong</t>
  </si>
  <si>
    <t>cilv</t>
  </si>
  <si>
    <t>Ciliate W: oblong</t>
  </si>
  <si>
    <t>cilw</t>
  </si>
  <si>
    <t>Ciliate X: oblong</t>
  </si>
  <si>
    <t>cilx</t>
  </si>
  <si>
    <t>Ciliate Z: other</t>
  </si>
  <si>
    <t>cilz</t>
  </si>
  <si>
    <t>Ciliate AA: other</t>
  </si>
  <si>
    <t>cilaa</t>
  </si>
  <si>
    <t>Ciliate AC: other</t>
  </si>
  <si>
    <t>cilac</t>
  </si>
  <si>
    <t>Ciliate AD: other odd shape</t>
  </si>
  <si>
    <t>other odd shape</t>
  </si>
  <si>
    <t>cilad</t>
  </si>
  <si>
    <t>Ciliate AE: round</t>
  </si>
  <si>
    <t>round</t>
  </si>
  <si>
    <t>cilae</t>
  </si>
  <si>
    <t>Ciliate AF: round</t>
  </si>
  <si>
    <t>cilaf</t>
  </si>
  <si>
    <t>Ciliate AG: round</t>
  </si>
  <si>
    <t>cilag</t>
  </si>
  <si>
    <t>Ciliate AH:round</t>
  </si>
  <si>
    <t>cilah</t>
  </si>
  <si>
    <t>Ciliate AI: round</t>
  </si>
  <si>
    <t>cilai</t>
  </si>
  <si>
    <t>Ciliate AJ: round 17 to 32 µm (0.2 to 0.4 mu)</t>
  </si>
  <si>
    <t>cilaj</t>
  </si>
  <si>
    <t>Cyanobacteria D: aphanizomenon</t>
  </si>
  <si>
    <t>cyanobacteria</t>
  </si>
  <si>
    <t>aphanizomenon</t>
  </si>
  <si>
    <t>cyand</t>
  </si>
  <si>
    <t>cyl</t>
  </si>
  <si>
    <t>Cyanobacteria E: aphanizomenon</t>
  </si>
  <si>
    <t>cyane</t>
  </si>
  <si>
    <t>Cyanobacteria F: aphanizomenon</t>
  </si>
  <si>
    <t>cyanf</t>
  </si>
  <si>
    <t>Cyanobacteria G: aphanizomenon</t>
  </si>
  <si>
    <t>cyang</t>
  </si>
  <si>
    <t>Cyanobacteria I: aphanizomenon</t>
  </si>
  <si>
    <t>cyani</t>
  </si>
  <si>
    <t>Cyanobacteria J: aphanizomenon</t>
  </si>
  <si>
    <t>cyanj</t>
  </si>
  <si>
    <t>Cyanobacteria K: aphanizomenon</t>
  </si>
  <si>
    <t>cyank</t>
  </si>
  <si>
    <t>Cyanobacteria L: aphanizomenon</t>
  </si>
  <si>
    <t>cyanl</t>
  </si>
  <si>
    <t>Cyanobacteria M: aphanizomenon</t>
  </si>
  <si>
    <t>cyanm</t>
  </si>
  <si>
    <t>Cyanobacteria P: aphanizomenon</t>
  </si>
  <si>
    <t>cyanp</t>
  </si>
  <si>
    <t>Cyanobacteria R: dolichospermum</t>
  </si>
  <si>
    <t>dolichospermum</t>
  </si>
  <si>
    <t>cyanr</t>
  </si>
  <si>
    <t>Cyanobacteria S: dolichospermum</t>
  </si>
  <si>
    <t>cyans</t>
  </si>
  <si>
    <t>Cyanobacteria T: dolichospermum</t>
  </si>
  <si>
    <t>cyant</t>
  </si>
  <si>
    <t>Cyanobacteria U: dolichospermum</t>
  </si>
  <si>
    <t>cyanu</t>
  </si>
  <si>
    <t>Cyanobacteria V: dolichospermum</t>
  </si>
  <si>
    <t>cyanv</t>
  </si>
  <si>
    <t>Cyanobacteria W: dolichospermum</t>
  </si>
  <si>
    <t>cyanw</t>
  </si>
  <si>
    <t>Cyanobacteria X: dolichospermum</t>
  </si>
  <si>
    <t>cyanx</t>
  </si>
  <si>
    <t>Cyanobacteria Y: dolichospermum</t>
  </si>
  <si>
    <t>cyany</t>
  </si>
  <si>
    <t>Cyanobacteria Z: dolichospermum</t>
  </si>
  <si>
    <t>cyanz</t>
  </si>
  <si>
    <t>Cyanobacteria AA:dolichospermum</t>
  </si>
  <si>
    <t>cyanaa</t>
  </si>
  <si>
    <t>Cyanobacteria AB: dolichospermum</t>
  </si>
  <si>
    <t>cyanab</t>
  </si>
  <si>
    <t>Cyanobacteria AC: dolichospermum</t>
  </si>
  <si>
    <t>cyanac</t>
  </si>
  <si>
    <t>Cyanobacteria AD: dolichospermum</t>
  </si>
  <si>
    <t>cyanad</t>
  </si>
  <si>
    <t>Cyanobacteria AE: dolichospermum</t>
  </si>
  <si>
    <t>cyanae</t>
  </si>
  <si>
    <t>Cyanobacteria AF: dolichospermum</t>
  </si>
  <si>
    <t>cyanaf</t>
  </si>
  <si>
    <t>Cyanobacteria AG: dolichospermum</t>
  </si>
  <si>
    <t>cyanag</t>
  </si>
  <si>
    <t>Cyanobacteria AH: other</t>
  </si>
  <si>
    <t>cyanah</t>
  </si>
  <si>
    <t>Cyanobacteria AJ: other</t>
  </si>
  <si>
    <t>cyanaj</t>
  </si>
  <si>
    <t>Cyanobacteria AK: other</t>
  </si>
  <si>
    <t>cyanak</t>
  </si>
  <si>
    <t>Cyanobacteria AL: other</t>
  </si>
  <si>
    <t>cyanal</t>
  </si>
  <si>
    <t>Cyanobacteria AM: other</t>
  </si>
  <si>
    <t>cyanam</t>
  </si>
  <si>
    <t>Cyanobacteria AN: other</t>
  </si>
  <si>
    <t>cyanan</t>
  </si>
  <si>
    <t>Cyanobacteria AO: other</t>
  </si>
  <si>
    <t>cyanao</t>
  </si>
  <si>
    <t>Cyanobacteria AP: other</t>
  </si>
  <si>
    <t>cyanap</t>
  </si>
  <si>
    <t>Cyanobacteria AQ: other</t>
  </si>
  <si>
    <t>cyanaq</t>
  </si>
  <si>
    <t>Diatom Z: centric</t>
  </si>
  <si>
    <t>diatom</t>
  </si>
  <si>
    <t>centric</t>
  </si>
  <si>
    <t>diaz</t>
  </si>
  <si>
    <t>Diatom AA: centric</t>
  </si>
  <si>
    <t>diaaa</t>
  </si>
  <si>
    <t>Diatom AB: centric</t>
  </si>
  <si>
    <t>diaab</t>
  </si>
  <si>
    <t>Diatom AC: centric 17-32 µm</t>
  </si>
  <si>
    <t>diaac</t>
  </si>
  <si>
    <t>Diatom AD: chain</t>
  </si>
  <si>
    <t>chain</t>
  </si>
  <si>
    <t>diaad</t>
  </si>
  <si>
    <t>Diatom AE: chain</t>
  </si>
  <si>
    <t>diaae</t>
  </si>
  <si>
    <t>Diatom AF: chain</t>
  </si>
  <si>
    <t>diaaf</t>
  </si>
  <si>
    <t>Diatom AG: chain</t>
  </si>
  <si>
    <t>diaag</t>
  </si>
  <si>
    <t>Diatom AH: chain</t>
  </si>
  <si>
    <t>diaah</t>
  </si>
  <si>
    <t>Diatom AI: chain</t>
  </si>
  <si>
    <t>diaai</t>
  </si>
  <si>
    <t>Diatom AJ: chain</t>
  </si>
  <si>
    <t>diaaj</t>
  </si>
  <si>
    <t>Diatom AK: chain</t>
  </si>
  <si>
    <t>diaak</t>
  </si>
  <si>
    <t>Diatom AL: chain</t>
  </si>
  <si>
    <t>diaal</t>
  </si>
  <si>
    <t>Diatom AM: chain</t>
  </si>
  <si>
    <t>diaam</t>
  </si>
  <si>
    <t>recbox</t>
  </si>
  <si>
    <t>Diatom AN: chain</t>
  </si>
  <si>
    <t>diaan</t>
  </si>
  <si>
    <t>Diatom AO: chain</t>
  </si>
  <si>
    <t>diaao</t>
  </si>
  <si>
    <t>Diatom AP: chain</t>
  </si>
  <si>
    <t>diaap</t>
  </si>
  <si>
    <t>Diatom AQ: chain</t>
  </si>
  <si>
    <t>diaaq</t>
  </si>
  <si>
    <t>Diatom AR: chain</t>
  </si>
  <si>
    <t>diaar</t>
  </si>
  <si>
    <t>Diatom AS: chain</t>
  </si>
  <si>
    <t>diaas</t>
  </si>
  <si>
    <t>Diatom AU: chain</t>
  </si>
  <si>
    <t>diaau</t>
  </si>
  <si>
    <t>Diatom AV: chain</t>
  </si>
  <si>
    <t>diaav</t>
  </si>
  <si>
    <t>Diatom AW: chain</t>
  </si>
  <si>
    <t>diaaw</t>
  </si>
  <si>
    <t>Diatom AX: chain</t>
  </si>
  <si>
    <t>diaax</t>
  </si>
  <si>
    <t>Diatom AZ: egg shaped</t>
  </si>
  <si>
    <t>egg shaped</t>
  </si>
  <si>
    <t>diaaz</t>
  </si>
  <si>
    <t>Diatom BA: egg shaped</t>
  </si>
  <si>
    <t>diaba</t>
  </si>
  <si>
    <t>Diatom BB: egg shaped</t>
  </si>
  <si>
    <t>diabb</t>
  </si>
  <si>
    <t>Diatom BE: other</t>
  </si>
  <si>
    <t>diabe</t>
  </si>
  <si>
    <t>Diatom BF: other</t>
  </si>
  <si>
    <t>diabf</t>
  </si>
  <si>
    <t>Diatom BG: other</t>
  </si>
  <si>
    <t>diabg</t>
  </si>
  <si>
    <t>Diatom BI: pennate</t>
  </si>
  <si>
    <t>pennate</t>
  </si>
  <si>
    <t>diabi</t>
  </si>
  <si>
    <t>Diatom BJ: pennate</t>
  </si>
  <si>
    <t>diabj</t>
  </si>
  <si>
    <t>Diatom BK: pennate</t>
  </si>
  <si>
    <t>diabk</t>
  </si>
  <si>
    <t>Diatom BL: pennate</t>
  </si>
  <si>
    <t>diabl</t>
  </si>
  <si>
    <t>Diatom BM: pennate</t>
  </si>
  <si>
    <t>diabm</t>
  </si>
  <si>
    <t>Diatom BN: pennate</t>
  </si>
  <si>
    <t>diabn</t>
  </si>
  <si>
    <t>Diatom BO: pennate</t>
  </si>
  <si>
    <t>diabo</t>
  </si>
  <si>
    <t>Diatom BP: pennate</t>
  </si>
  <si>
    <t>diabp</t>
  </si>
  <si>
    <t>Diatom BQ: pennate</t>
  </si>
  <si>
    <t>diabq</t>
  </si>
  <si>
    <t>Diatom BR: pennate</t>
  </si>
  <si>
    <t>diabr</t>
  </si>
  <si>
    <t>Diatom BS: pennate</t>
  </si>
  <si>
    <t>diabs</t>
  </si>
  <si>
    <t>Diatom BT: pennate</t>
  </si>
  <si>
    <t>diabt</t>
  </si>
  <si>
    <t>Diatom BU: pennate</t>
  </si>
  <si>
    <t>diabu</t>
  </si>
  <si>
    <t>Diatom BV: pennate</t>
  </si>
  <si>
    <t>diabv</t>
  </si>
  <si>
    <t>Diatom BW: pennate</t>
  </si>
  <si>
    <t>diabw</t>
  </si>
  <si>
    <t>Diatom BX: pennate</t>
  </si>
  <si>
    <t>diabx</t>
  </si>
  <si>
    <t>Diatom BY: pennate</t>
  </si>
  <si>
    <t>diaby</t>
  </si>
  <si>
    <t>Diatom BZ: pennate</t>
  </si>
  <si>
    <t>diabz</t>
  </si>
  <si>
    <t>Diatom CA: pennate</t>
  </si>
  <si>
    <t>diaca</t>
  </si>
  <si>
    <t>Diatom CB: pennate</t>
  </si>
  <si>
    <t>diacb</t>
  </si>
  <si>
    <t>Diatom CC: pennate</t>
  </si>
  <si>
    <t>diacc</t>
  </si>
  <si>
    <t>Diatom CD: pennate</t>
  </si>
  <si>
    <t>diacd</t>
  </si>
  <si>
    <t>Diatom CE: pennate</t>
  </si>
  <si>
    <t>diace</t>
  </si>
  <si>
    <t>Diatom CF: pennate</t>
  </si>
  <si>
    <t>diacf</t>
  </si>
  <si>
    <t>Diatom CG: pennate</t>
  </si>
  <si>
    <t>diacg</t>
  </si>
  <si>
    <t>Diatom CH: pennate</t>
  </si>
  <si>
    <t>diach</t>
  </si>
  <si>
    <t>Diatom CI: pennate</t>
  </si>
  <si>
    <t>diaci</t>
  </si>
  <si>
    <t>Diatom CJ: pennate</t>
  </si>
  <si>
    <t>diatom cylindrotheca</t>
  </si>
  <si>
    <t>diacj</t>
  </si>
  <si>
    <t>Diatom CK: pennate</t>
  </si>
  <si>
    <t>diack</t>
  </si>
  <si>
    <t>Diatom CL: pennate</t>
  </si>
  <si>
    <t>diacl</t>
  </si>
  <si>
    <t>prispar</t>
  </si>
  <si>
    <t>Diatom CM: pennate</t>
  </si>
  <si>
    <t>diacm</t>
  </si>
  <si>
    <t>Diatom CN: pennate</t>
  </si>
  <si>
    <t>diacn</t>
  </si>
  <si>
    <t>Diatom CO: pennate</t>
  </si>
  <si>
    <t>diaco</t>
  </si>
  <si>
    <t>Diatom CP: pennate</t>
  </si>
  <si>
    <t>diacp</t>
  </si>
  <si>
    <t>Diatom CQ: pennate</t>
  </si>
  <si>
    <t>diacq</t>
  </si>
  <si>
    <t>Diatom CS: pennate</t>
  </si>
  <si>
    <t>diacs</t>
  </si>
  <si>
    <t>Diatom CT: pennate</t>
  </si>
  <si>
    <t>diact</t>
  </si>
  <si>
    <t>Diatom CU: pennate</t>
  </si>
  <si>
    <t>diacu</t>
  </si>
  <si>
    <t>Diatom CV: pennate</t>
  </si>
  <si>
    <t>diacv</t>
  </si>
  <si>
    <t>Diatom CW: pennate</t>
  </si>
  <si>
    <t>diacw</t>
  </si>
  <si>
    <t>Diatom CX: pennate</t>
  </si>
  <si>
    <t>diacx</t>
  </si>
  <si>
    <t>Diatom CY: pennate</t>
  </si>
  <si>
    <t>diacy</t>
  </si>
  <si>
    <t>Diatom CZ: pennate</t>
  </si>
  <si>
    <t>diacz</t>
  </si>
  <si>
    <t>Diatom DA: pennate</t>
  </si>
  <si>
    <t>diada</t>
  </si>
  <si>
    <t>Diatom DB: pennate</t>
  </si>
  <si>
    <t>diadb</t>
  </si>
  <si>
    <t>Diatom DC: pennate</t>
  </si>
  <si>
    <t>diadc</t>
  </si>
  <si>
    <t>Diatom DE: pennate</t>
  </si>
  <si>
    <t>diade</t>
  </si>
  <si>
    <t>Diatom DF: pennate</t>
  </si>
  <si>
    <t>diadf</t>
  </si>
  <si>
    <t>Diatom DG: pennate</t>
  </si>
  <si>
    <t>diadg</t>
  </si>
  <si>
    <t>Diatom DH: pennate</t>
  </si>
  <si>
    <t>diadh</t>
  </si>
  <si>
    <t>Diatom DI: pennate fragilaria</t>
  </si>
  <si>
    <t>pennate fragillaria</t>
  </si>
  <si>
    <t>diadi</t>
  </si>
  <si>
    <t>Diatom DJ: pennate fragilaria</t>
  </si>
  <si>
    <t>diadj</t>
  </si>
  <si>
    <t>Diatom DK: pennate fragilaria</t>
  </si>
  <si>
    <t>diadk</t>
  </si>
  <si>
    <t>Diatom DL: pennate fragilaria</t>
  </si>
  <si>
    <t>diadl</t>
  </si>
  <si>
    <t>Diatom DM: pennate fragilaria</t>
  </si>
  <si>
    <t>diadm</t>
  </si>
  <si>
    <t>Diatom DN: pennate pleurosigma</t>
  </si>
  <si>
    <t>pennate pleurosigma</t>
  </si>
  <si>
    <t>diadn</t>
  </si>
  <si>
    <t>Diatom DO: pennate pleurosigma</t>
  </si>
  <si>
    <t>diado</t>
  </si>
  <si>
    <t>Diatom DQ: pennate pleurosigma</t>
  </si>
  <si>
    <t>diadq</t>
  </si>
  <si>
    <t>Diatom DR: pennate pleurosigma</t>
  </si>
  <si>
    <t>diadr</t>
  </si>
  <si>
    <t>Diatom DS: pennate pleurosigma</t>
  </si>
  <si>
    <t>diads</t>
  </si>
  <si>
    <t>Diatom DT: pennate pleurosigma</t>
  </si>
  <si>
    <t>diadt</t>
  </si>
  <si>
    <t>Diatom DU: pennate pleurosigma</t>
  </si>
  <si>
    <t>diadu</t>
  </si>
  <si>
    <t>Diatom DV: pennate pleurosigma</t>
  </si>
  <si>
    <t>diadv</t>
  </si>
  <si>
    <t>Diatom DW: pennate pleurosigma</t>
  </si>
  <si>
    <t>diadw</t>
  </si>
  <si>
    <t>Diatom DY: pennate pleurosigma</t>
  </si>
  <si>
    <t>diady</t>
  </si>
  <si>
    <t>Diatom DZ: pennate pleurosigma</t>
  </si>
  <si>
    <t>diadz</t>
  </si>
  <si>
    <t>Diatom EA: pennate pleurosigma</t>
  </si>
  <si>
    <t>diaea</t>
  </si>
  <si>
    <t>Diatom EB: pennate pleurosigma</t>
  </si>
  <si>
    <t>diaeb</t>
  </si>
  <si>
    <t>Diatom EC: pennate pleurosigma</t>
  </si>
  <si>
    <t>diaec</t>
  </si>
  <si>
    <t>Dinoflagellate C: Peridinium</t>
  </si>
  <si>
    <t>dinoflagellate</t>
  </si>
  <si>
    <t>peridinium</t>
  </si>
  <si>
    <t>dinoc</t>
  </si>
  <si>
    <t>ellips</t>
  </si>
  <si>
    <t>Dinoflagellate D: Peridinium</t>
  </si>
  <si>
    <t>dinod</t>
  </si>
  <si>
    <t>Dinoflagellate E: Peridinium</t>
  </si>
  <si>
    <t>dinoe</t>
  </si>
  <si>
    <t>Dinoflagellate F: Peridinium</t>
  </si>
  <si>
    <t>dinof</t>
  </si>
  <si>
    <t>Dinoflagellate G: prorocentrum</t>
  </si>
  <si>
    <t>prorocentrum</t>
  </si>
  <si>
    <t>dinog</t>
  </si>
  <si>
    <t>Diatom: Entemoneis</t>
  </si>
  <si>
    <t>entem</t>
  </si>
  <si>
    <t>Flagellate I</t>
  </si>
  <si>
    <t>flagellate</t>
  </si>
  <si>
    <t>flagi</t>
  </si>
  <si>
    <t>Flagellate  J</t>
  </si>
  <si>
    <t>flagj</t>
  </si>
  <si>
    <t>Flagellate K</t>
  </si>
  <si>
    <t>flagk</t>
  </si>
  <si>
    <t>Flagellate L</t>
  </si>
  <si>
    <t>flagl</t>
  </si>
  <si>
    <t>Flagellate M: Colonial</t>
  </si>
  <si>
    <t>flagm</t>
  </si>
  <si>
    <t>Flagellate N: Cryptomonas</t>
  </si>
  <si>
    <t>cryptomonas</t>
  </si>
  <si>
    <t>flagn</t>
  </si>
  <si>
    <t>Flagellate O: Cryptomonas</t>
  </si>
  <si>
    <t>flago</t>
  </si>
  <si>
    <t>Flagellate P: Cryptomonas</t>
  </si>
  <si>
    <t>flagp</t>
  </si>
  <si>
    <t>Flagellate Q: Cryptomonas</t>
  </si>
  <si>
    <t>flagq</t>
  </si>
  <si>
    <t>Flagellate R: Cryptomonas</t>
  </si>
  <si>
    <t>flagr</t>
  </si>
  <si>
    <t>Flagellate S:Cryptomonas</t>
  </si>
  <si>
    <t>flags</t>
  </si>
  <si>
    <t>Flagellate T:Euglenid</t>
  </si>
  <si>
    <t>euglenid</t>
  </si>
  <si>
    <t>flagt</t>
  </si>
  <si>
    <t>Flagellate U: Euglenid</t>
  </si>
  <si>
    <t>flagu</t>
  </si>
  <si>
    <t>Flagellate V: Euglenid</t>
  </si>
  <si>
    <t>flagv</t>
  </si>
  <si>
    <t>Flagellate W: Euglenid</t>
  </si>
  <si>
    <t>flagw</t>
  </si>
  <si>
    <t>Flagellate X: Euglenid</t>
  </si>
  <si>
    <t>flagx</t>
  </si>
  <si>
    <t>Flagellate Y: Euglenid</t>
  </si>
  <si>
    <t>flagy</t>
  </si>
  <si>
    <t>Flagellate Z: Euglenid</t>
  </si>
  <si>
    <t>flagz</t>
  </si>
  <si>
    <t>Flagellate AA: Euglenid</t>
  </si>
  <si>
    <t>flagaa</t>
  </si>
  <si>
    <t>Ochrophyte A: Synura</t>
  </si>
  <si>
    <t>ochrophyte</t>
  </si>
  <si>
    <t>synura</t>
  </si>
  <si>
    <t>ochra</t>
  </si>
  <si>
    <t>Ochrophyte B: Synura</t>
  </si>
  <si>
    <t>ochrb</t>
  </si>
  <si>
    <t>Tintinnid A: agglutinated</t>
  </si>
  <si>
    <t>tintinnid</t>
  </si>
  <si>
    <t>agglutinated</t>
  </si>
  <si>
    <t>tina</t>
  </si>
  <si>
    <t>Tintinnid B: agglutinated</t>
  </si>
  <si>
    <t>tinb</t>
  </si>
  <si>
    <t>Tintinnid C: agglutinated</t>
  </si>
  <si>
    <t>tinc</t>
  </si>
  <si>
    <t>Tintinnid D: agglutinated</t>
  </si>
  <si>
    <t>tind</t>
  </si>
  <si>
    <t>Tintinnid E: agglutinated</t>
  </si>
  <si>
    <t>tine</t>
  </si>
  <si>
    <t>Tintinnid F: agglutinated</t>
  </si>
  <si>
    <t>tinf</t>
  </si>
  <si>
    <t>Tintinnid G: agglutinated</t>
  </si>
  <si>
    <t>ting</t>
  </si>
  <si>
    <t>Tintinnid H: agglutinated</t>
  </si>
  <si>
    <t>tinh</t>
  </si>
  <si>
    <t>Tintinnid I: agglutinated</t>
  </si>
  <si>
    <t>tini</t>
  </si>
  <si>
    <t>Tintinnid J: agglutinated</t>
  </si>
  <si>
    <t>tinj</t>
  </si>
  <si>
    <t>Tintinnid K: agglutinated</t>
  </si>
  <si>
    <t>tink</t>
  </si>
  <si>
    <t>Tintinnid L: agglutinated</t>
  </si>
  <si>
    <t>tinl</t>
  </si>
  <si>
    <t>Tintinnid M: agglutinated</t>
  </si>
  <si>
    <t>tinm</t>
  </si>
  <si>
    <t>Tintinnid N: agglutinated</t>
  </si>
  <si>
    <t>tinn</t>
  </si>
  <si>
    <t>Tintinnid O: agglutinated</t>
  </si>
  <si>
    <t>tino</t>
  </si>
  <si>
    <t>Tintinnid P: agglutinated</t>
  </si>
  <si>
    <t>tinp</t>
  </si>
  <si>
    <t>Tintinnid Q: hyaline</t>
  </si>
  <si>
    <t>hyaline</t>
  </si>
  <si>
    <t>tinq</t>
  </si>
  <si>
    <t>Tintinnid R: hyaline</t>
  </si>
  <si>
    <t>tinr</t>
  </si>
  <si>
    <t>Tintinnid S: hyaline</t>
  </si>
  <si>
    <t>tins</t>
  </si>
  <si>
    <t>Tintinnid T: hyaline</t>
  </si>
  <si>
    <t>tint</t>
  </si>
  <si>
    <t>Tintinnid U: hyaline</t>
  </si>
  <si>
    <t>tinu</t>
  </si>
  <si>
    <t>Unidentified C1 ≥ 40µm</t>
  </si>
  <si>
    <t>unidentified</t>
  </si>
  <si>
    <t>unc1</t>
  </si>
  <si>
    <t>Unidentified C2 ≥ 40µm</t>
  </si>
  <si>
    <t>unc2</t>
  </si>
  <si>
    <t>Unidentified C3 ≥ 40µm</t>
  </si>
  <si>
    <t>unc3</t>
  </si>
  <si>
    <t>Unidentified C5 ≥ 40µm</t>
  </si>
  <si>
    <t>unc5</t>
  </si>
  <si>
    <t>Unidentified C ≥ 40µm</t>
  </si>
  <si>
    <t>unc</t>
  </si>
  <si>
    <t>Unidentified C6 ≥ 40µm</t>
  </si>
  <si>
    <t>unc6</t>
  </si>
  <si>
    <t>Unidentified C7 ≥ 40µm</t>
  </si>
  <si>
    <t>unc7</t>
  </si>
  <si>
    <t>Unidentified C8 ≥ 40µm</t>
  </si>
  <si>
    <t>unc8</t>
  </si>
  <si>
    <t>Unidentified C10 ≥ 40µm rotifer</t>
  </si>
  <si>
    <t>rotifer</t>
  </si>
  <si>
    <t>unc10</t>
  </si>
  <si>
    <t>Unidentified C11 ≥ 40µm rotifer</t>
  </si>
  <si>
    <t>unc11</t>
  </si>
  <si>
    <t>Unidentified C12 ≥ 40µm rotifer</t>
  </si>
  <si>
    <t>unc12</t>
  </si>
  <si>
    <t>Unidentified C13 ≥ 40µm rotifer</t>
  </si>
  <si>
    <t>unc13</t>
  </si>
  <si>
    <t>Unidentified C14 ≥ 40µm rotifer</t>
  </si>
  <si>
    <t>unc14</t>
  </si>
  <si>
    <t>Unidentified C15 ≥ 40µm rotifer</t>
  </si>
  <si>
    <t>unc15</t>
  </si>
  <si>
    <t>Unidentified D1 &lt; 40µm</t>
  </si>
  <si>
    <t>und1</t>
  </si>
  <si>
    <t>Unidentified D2 &lt; 40µm</t>
  </si>
  <si>
    <t>und2</t>
  </si>
  <si>
    <t>Unidentified D3 &lt; 40µm</t>
  </si>
  <si>
    <t>und3</t>
  </si>
  <si>
    <t>Unidentified D4 &lt; 40µm</t>
  </si>
  <si>
    <t>und4</t>
  </si>
  <si>
    <t>Unidentified D5 &lt; 40µm</t>
  </si>
  <si>
    <t>und5</t>
  </si>
  <si>
    <t>Unidentified D6 &lt; 40µm</t>
  </si>
  <si>
    <t>und6</t>
  </si>
  <si>
    <t>Unidentified D7 &lt; 40µm</t>
  </si>
  <si>
    <t>und7</t>
  </si>
  <si>
    <t>Unidentified D8 &lt; 40µm</t>
  </si>
  <si>
    <t>und8</t>
  </si>
  <si>
    <t>Unidentified D9 &lt; 40µm</t>
  </si>
  <si>
    <t>und9</t>
  </si>
  <si>
    <t>Unidentified D10 &lt; 40µm</t>
  </si>
  <si>
    <t>und10</t>
  </si>
  <si>
    <t>Unidentified D11 &lt; 40µm</t>
  </si>
  <si>
    <t>und11</t>
  </si>
  <si>
    <t>Unidentified D12 &lt; 40µm</t>
  </si>
  <si>
    <t>und12</t>
  </si>
  <si>
    <t>Unidentified D13 &lt; 40µm</t>
  </si>
  <si>
    <t>und13</t>
  </si>
  <si>
    <t>Unidentified D14 &lt; 40µm</t>
  </si>
  <si>
    <t>und14</t>
  </si>
  <si>
    <t>Unidentified Round D</t>
  </si>
  <si>
    <t>unrnd</t>
  </si>
  <si>
    <t>Unidentified Round E</t>
  </si>
  <si>
    <t>unrne</t>
  </si>
  <si>
    <t>Unidentified Round F</t>
  </si>
  <si>
    <t>unrnf</t>
  </si>
  <si>
    <t>Unidentified Round G</t>
  </si>
  <si>
    <t>unrng</t>
  </si>
  <si>
    <t>Unidentified Round H</t>
  </si>
  <si>
    <t>unrnh</t>
  </si>
  <si>
    <t>Unidentified Round I</t>
  </si>
  <si>
    <t>unrni</t>
  </si>
  <si>
    <t>Unidentified Round J</t>
  </si>
  <si>
    <t>unrnj</t>
  </si>
  <si>
    <t>Unidentified Round K 17 to 32 µm (0.2-0.4 mu)</t>
  </si>
  <si>
    <t>unrnk</t>
  </si>
  <si>
    <t>Chlorophyte B: colonial 4x4</t>
  </si>
  <si>
    <t>chlorb</t>
  </si>
  <si>
    <t>Chlorophyte C: colonial 4x16</t>
  </si>
  <si>
    <t>chlorc</t>
  </si>
  <si>
    <t>Chlorophyte D: colonial 6x6</t>
  </si>
  <si>
    <t>chlord</t>
  </si>
  <si>
    <t>Chlorophyte E: colonial 6x12</t>
  </si>
  <si>
    <t>chlore</t>
  </si>
  <si>
    <t>Chlorophyte F: colonial 8x8</t>
  </si>
  <si>
    <t>chlorf</t>
  </si>
  <si>
    <t>Chlorophyte G: colonial 8x16</t>
  </si>
  <si>
    <t>chlorg</t>
  </si>
  <si>
    <t>Chlorophyte H: colonial 10x10</t>
  </si>
  <si>
    <t>chlorh</t>
  </si>
  <si>
    <t>Chlorophyte I: colonial 12x12</t>
  </si>
  <si>
    <t>chlori</t>
  </si>
  <si>
    <t>Chlorophyte J: colonial 16x16</t>
  </si>
  <si>
    <t>chlorj</t>
  </si>
  <si>
    <t>Chlorophyte L: colonial 4x10</t>
  </si>
  <si>
    <t>chlorl</t>
  </si>
  <si>
    <t>Chlorophyte M: other 10x10</t>
  </si>
  <si>
    <t>chlorm</t>
  </si>
  <si>
    <t>Chlorophyte N: scendesmus</t>
  </si>
  <si>
    <t>chlorn</t>
  </si>
  <si>
    <t>Chlorophyte O: scendesmus</t>
  </si>
  <si>
    <t>chloro</t>
  </si>
  <si>
    <t>Chlorophyte P: scendesmus</t>
  </si>
  <si>
    <t>chlorp</t>
  </si>
  <si>
    <t>Chlorophyte Q: scendesmus</t>
  </si>
  <si>
    <t>chlorq</t>
  </si>
  <si>
    <t>Chlorophyte R: scendesmus</t>
  </si>
  <si>
    <t>chlorr</t>
  </si>
  <si>
    <t>Chlorophyte S: scendesmus</t>
  </si>
  <si>
    <t>chlors</t>
  </si>
  <si>
    <t>Chlorophyte T: scendesmus</t>
  </si>
  <si>
    <t>chlort</t>
  </si>
  <si>
    <t>Chlorophyte U: scendesmus</t>
  </si>
  <si>
    <t>chloru</t>
  </si>
  <si>
    <t>Chlorophyte V: scendesmus</t>
  </si>
  <si>
    <t>chlorv</t>
  </si>
  <si>
    <t>Chlorophyte W: scendesmus</t>
  </si>
  <si>
    <t>chlorw</t>
  </si>
  <si>
    <t>Ciliate A: Round 4 to 7 µm</t>
  </si>
  <si>
    <t>cila</t>
  </si>
  <si>
    <t>Ciliate B: Round 8 to 11 µm</t>
  </si>
  <si>
    <t>cilb</t>
  </si>
  <si>
    <t>Ciliate C: Round 12 to 16 µm</t>
  </si>
  <si>
    <t>cilc</t>
  </si>
  <si>
    <t>Cyanobacteria A: 4x24</t>
  </si>
  <si>
    <t>cyana</t>
  </si>
  <si>
    <t>Cyanobacteria B: 4x50</t>
  </si>
  <si>
    <t>cyanb</t>
  </si>
  <si>
    <t>Diatom A: Centric 4 to 7 µm</t>
  </si>
  <si>
    <t>diaa</t>
  </si>
  <si>
    <t>Diatom B: Centric 8 to 11 µm</t>
  </si>
  <si>
    <t>diab</t>
  </si>
  <si>
    <t>Diatom C: Centric 12 to 16 µm</t>
  </si>
  <si>
    <t>diac</t>
  </si>
  <si>
    <t>Diatom D: pennate A 2x8</t>
  </si>
  <si>
    <t>diad</t>
  </si>
  <si>
    <t>Diatom E: pennate A 2x10</t>
  </si>
  <si>
    <t>diae</t>
  </si>
  <si>
    <t>Diatom F: pennate A 2x12</t>
  </si>
  <si>
    <t>diaf</t>
  </si>
  <si>
    <t>Diatom G: pennate A 2x20</t>
  </si>
  <si>
    <t>diag</t>
  </si>
  <si>
    <t>Diatom H: pennate A 3x12</t>
  </si>
  <si>
    <t>diah</t>
  </si>
  <si>
    <t>Diatom I: pennate A 4x10</t>
  </si>
  <si>
    <t>diai</t>
  </si>
  <si>
    <t>Diatom J: pennate A 4x24</t>
  </si>
  <si>
    <t>diaj</t>
  </si>
  <si>
    <t>Diatom K: pennate A 4x36</t>
  </si>
  <si>
    <t>diak</t>
  </si>
  <si>
    <t>Diatom L: pennate B 2x20</t>
  </si>
  <si>
    <t>dial</t>
  </si>
  <si>
    <t>Diatom M: pennate B 3x20</t>
  </si>
  <si>
    <t>diam</t>
  </si>
  <si>
    <t>Diatom N: pennate B4x12</t>
  </si>
  <si>
    <t>dian</t>
  </si>
  <si>
    <t>Diatom O: pennate B 4x16</t>
  </si>
  <si>
    <t>diao</t>
  </si>
  <si>
    <t>Diatom P: pennate B 4x20</t>
  </si>
  <si>
    <t>diap</t>
  </si>
  <si>
    <t>Diatom Q: pennate C 1x20</t>
  </si>
  <si>
    <t>diaq</t>
  </si>
  <si>
    <t>Diatom R: pennate C 2x16</t>
  </si>
  <si>
    <t>diar</t>
  </si>
  <si>
    <t>Diatom S: pennate C 2x18</t>
  </si>
  <si>
    <t>dias</t>
  </si>
  <si>
    <t>Diatom T: pennate C 2x20</t>
  </si>
  <si>
    <t>diat</t>
  </si>
  <si>
    <t>Diatom U: pennate C 2x30</t>
  </si>
  <si>
    <t>diau</t>
  </si>
  <si>
    <t>Diatom V:pennate C 4x10</t>
  </si>
  <si>
    <t>diav</t>
  </si>
  <si>
    <t>Diatom W: pennate C 4x24</t>
  </si>
  <si>
    <t>diaw</t>
  </si>
  <si>
    <t>Diatom X: pennate C 4x26</t>
  </si>
  <si>
    <t>diax</t>
  </si>
  <si>
    <t>Flagellate A: Cryptomonas 4 to 7 µm</t>
  </si>
  <si>
    <t>flaga</t>
  </si>
  <si>
    <t>Flagellate B: Cryptomonas 8 to 11 µm</t>
  </si>
  <si>
    <t>flagb</t>
  </si>
  <si>
    <t>Flagellate C: Cryptomonas 12 to 16 µm</t>
  </si>
  <si>
    <t>flagc</t>
  </si>
  <si>
    <t>Flagellate D: Other 4 to 7 µm</t>
  </si>
  <si>
    <t>flagd</t>
  </si>
  <si>
    <t>Flagellate E: Other 8 to 11 µm</t>
  </si>
  <si>
    <t>flage</t>
  </si>
  <si>
    <t>Flagellate F: Other 12 to 16 µm</t>
  </si>
  <si>
    <t>flagf</t>
  </si>
  <si>
    <t>Flagellate G: in a cone</t>
  </si>
  <si>
    <t>in a cone</t>
  </si>
  <si>
    <t>flagg</t>
  </si>
  <si>
    <t>Flagellate H: in a cone</t>
  </si>
  <si>
    <t>flagh</t>
  </si>
  <si>
    <t>Unidentified A triangle</t>
  </si>
  <si>
    <t>triangle</t>
  </si>
  <si>
    <t>una</t>
  </si>
  <si>
    <t>Unidentified A1</t>
  </si>
  <si>
    <t>una1</t>
  </si>
  <si>
    <t>Unidentified A2</t>
  </si>
  <si>
    <t>una2</t>
  </si>
  <si>
    <t>Unidentified A3</t>
  </si>
  <si>
    <t>una3</t>
  </si>
  <si>
    <t>Unidentified A4</t>
  </si>
  <si>
    <t>una4</t>
  </si>
  <si>
    <t>Unidentified A5</t>
  </si>
  <si>
    <t>una5</t>
  </si>
  <si>
    <t>Unidentified A6</t>
  </si>
  <si>
    <t>una6</t>
  </si>
  <si>
    <t>Unidentified A7</t>
  </si>
  <si>
    <t>una7</t>
  </si>
  <si>
    <t>Unidentified A8</t>
  </si>
  <si>
    <t>una8</t>
  </si>
  <si>
    <t>Unidentified A9</t>
  </si>
  <si>
    <t>una9</t>
  </si>
  <si>
    <t>Unidentified B1 flag/chloro</t>
  </si>
  <si>
    <t>flagchloro</t>
  </si>
  <si>
    <t>unb1</t>
  </si>
  <si>
    <t>Unidentified B2 flag/chloro</t>
  </si>
  <si>
    <t>unb2</t>
  </si>
  <si>
    <t>Unidentified B3 flag/chloro</t>
  </si>
  <si>
    <t>unb3</t>
  </si>
  <si>
    <t>Unidentified B4 flag/chloro</t>
  </si>
  <si>
    <t>unb4</t>
  </si>
  <si>
    <t>Unidentified B5 flag/chloro</t>
  </si>
  <si>
    <t>unb5</t>
  </si>
  <si>
    <t>Unidentified B6 flag/chloro</t>
  </si>
  <si>
    <t>unb6</t>
  </si>
  <si>
    <t>Unidentified Round A: 4 to 7 µm</t>
  </si>
  <si>
    <t>unrna</t>
  </si>
  <si>
    <t>Unidentified Round B: 8 to 11 µm</t>
  </si>
  <si>
    <t>unrnb</t>
  </si>
  <si>
    <t>Unidentified Round C: 12 to 16 µm</t>
  </si>
  <si>
    <t>unrnc</t>
  </si>
  <si>
    <t>YBP2 T24-1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</si>
</sst>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slantDashDot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slantDashDot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slantDashDot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12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164" fontId="4" fillId="0" borderId="3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1" xfId="0" applyFont="1" applyBorder="1" applyAlignment="1">
      <alignment horizontal="right" wrapText="1"/>
    </xf>
    <xf numFmtId="0" fontId="2" fillId="0" borderId="5" xfId="0" applyFont="1" applyBorder="1"/>
    <xf numFmtId="1" fontId="4" fillId="0" borderId="11" xfId="1" applyNumberFormat="1" applyFont="1" applyBorder="1"/>
    <xf numFmtId="0" fontId="2" fillId="0" borderId="2" xfId="0" applyFont="1" applyBorder="1" applyAlignment="1">
      <alignment horizontal="right" wrapText="1"/>
    </xf>
    <xf numFmtId="1" fontId="4" fillId="0" borderId="11" xfId="1" applyNumberFormat="1" applyFont="1" applyBorder="1" applyAlignment="1">
      <alignment horizontal="right"/>
    </xf>
    <xf numFmtId="1" fontId="4" fillId="0" borderId="1" xfId="1" applyNumberFormat="1" applyFont="1" applyBorder="1" applyAlignment="1">
      <alignment horizontal="right"/>
    </xf>
    <xf numFmtId="2" fontId="2" fillId="0" borderId="1" xfId="0" applyNumberFormat="1" applyFont="1" applyBorder="1" applyAlignment="1">
      <alignment vertical="center" wrapText="1"/>
    </xf>
    <xf numFmtId="1" fontId="4" fillId="0" borderId="1" xfId="1" applyNumberFormat="1" applyFont="1" applyBorder="1"/>
    <xf numFmtId="0" fontId="2" fillId="0" borderId="1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wrapText="1"/>
    </xf>
    <xf numFmtId="0" fontId="2" fillId="0" borderId="0" xfId="0" applyFont="1" applyAlignment="1">
      <alignment horizontal="right" vertical="center" wrapText="1"/>
    </xf>
    <xf numFmtId="0" fontId="2" fillId="0" borderId="4" xfId="0" applyFont="1" applyBorder="1"/>
    <xf numFmtId="1" fontId="2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/>
    <xf numFmtId="1" fontId="3" fillId="0" borderId="1" xfId="0" applyNumberFormat="1" applyFont="1" applyBorder="1" applyAlignment="1">
      <alignment horizontal="right"/>
    </xf>
    <xf numFmtId="0" fontId="4" fillId="0" borderId="4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2" fillId="0" borderId="0" xfId="0" applyFont="1" applyAlignment="1">
      <alignment horizontal="right" wrapText="1"/>
    </xf>
    <xf numFmtId="2" fontId="2" fillId="0" borderId="1" xfId="1" applyNumberFormat="1" applyFont="1" applyBorder="1"/>
    <xf numFmtId="0" fontId="2" fillId="0" borderId="1" xfId="1" applyFont="1" applyBorder="1"/>
    <xf numFmtId="0" fontId="2" fillId="0" borderId="0" xfId="0" applyFont="1" applyAlignment="1">
      <alignment wrapText="1"/>
    </xf>
    <xf numFmtId="0" fontId="2" fillId="0" borderId="13" xfId="0" applyFont="1" applyBorder="1" applyAlignment="1">
      <alignment vertical="center" wrapText="1"/>
    </xf>
    <xf numFmtId="0" fontId="2" fillId="0" borderId="8" xfId="0" applyFont="1" applyBorder="1" applyAlignment="1">
      <alignment horizontal="right" wrapText="1"/>
    </xf>
    <xf numFmtId="0" fontId="2" fillId="0" borderId="8" xfId="0" applyFont="1" applyBorder="1" applyAlignment="1">
      <alignment horizontal="right"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4" fillId="0" borderId="9" xfId="1" applyFont="1" applyBorder="1" applyAlignment="1">
      <alignment horizontal="left"/>
    </xf>
    <xf numFmtId="0" fontId="4" fillId="0" borderId="13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2" fillId="0" borderId="8" xfId="0" applyFont="1" applyBorder="1" applyAlignment="1">
      <alignment wrapText="1"/>
    </xf>
    <xf numFmtId="1" fontId="4" fillId="0" borderId="8" xfId="1" applyNumberFormat="1" applyFont="1" applyBorder="1"/>
    <xf numFmtId="1" fontId="3" fillId="0" borderId="8" xfId="0" applyNumberFormat="1" applyFont="1" applyBorder="1"/>
    <xf numFmtId="1" fontId="4" fillId="0" borderId="8" xfId="1" applyNumberFormat="1" applyFont="1" applyBorder="1" applyAlignment="1">
      <alignment horizontal="right"/>
    </xf>
    <xf numFmtId="1" fontId="3" fillId="0" borderId="8" xfId="0" applyNumberFormat="1" applyFont="1" applyBorder="1" applyAlignment="1">
      <alignment horizontal="right"/>
    </xf>
  </cellXfs>
  <cellStyles count="2">
    <cellStyle name="Normal" xfId="0" builtinId="0"/>
    <cellStyle name="Normal 2" xfId="1" xr:uid="{82B983B2-160B-204A-ABBC-702497A4F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6E28-6D0D-5D48-90ED-B4AE53BED6ED}">
  <dimension ref="A1:BP339"/>
  <sheetViews>
    <sheetView tabSelected="1" topLeftCell="A263" zoomScale="150" zoomScaleNormal="150" workbookViewId="0">
      <selection activeCell="C322" sqref="C322:C330"/>
    </sheetView>
  </sheetViews>
  <sheetFormatPr baseColWidth="10" defaultRowHeight="13" x14ac:dyDescent="0.15"/>
  <cols>
    <col min="1" max="1" width="33.5" bestFit="1" customWidth="1"/>
    <col min="2" max="2" width="15" bestFit="1" customWidth="1"/>
    <col min="3" max="3" width="15.1640625" bestFit="1" customWidth="1"/>
    <col min="4" max="4" width="6.5" bestFit="1" customWidth="1"/>
    <col min="5" max="5" width="5.83203125" bestFit="1" customWidth="1"/>
    <col min="6" max="6" width="4.1640625" bestFit="1" customWidth="1"/>
    <col min="7" max="7" width="4.5" bestFit="1" customWidth="1"/>
    <col min="8" max="8" width="4.1640625" bestFit="1" customWidth="1"/>
  </cols>
  <sheetData>
    <row r="1" spans="1:68" ht="15" x14ac:dyDescent="0.2">
      <c r="A1" s="3" t="s">
        <v>0</v>
      </c>
      <c r="B1" s="3" t="s">
        <v>1</v>
      </c>
      <c r="C1" s="3" t="s">
        <v>2</v>
      </c>
      <c r="D1" s="32" t="s">
        <v>3</v>
      </c>
      <c r="E1" s="32" t="s">
        <v>4</v>
      </c>
      <c r="F1" s="3" t="s">
        <v>5</v>
      </c>
      <c r="G1" s="4" t="s">
        <v>6</v>
      </c>
      <c r="H1" s="5" t="s">
        <v>7</v>
      </c>
      <c r="I1" s="33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 t="s">
        <v>41</v>
      </c>
      <c r="AQ1" s="34" t="s">
        <v>42</v>
      </c>
      <c r="AR1" s="34" t="s">
        <v>43</v>
      </c>
      <c r="AS1" s="34" t="s">
        <v>44</v>
      </c>
      <c r="AT1" s="34" t="s">
        <v>45</v>
      </c>
      <c r="AU1" s="34" t="s">
        <v>46</v>
      </c>
      <c r="AV1" s="34" t="s">
        <v>47</v>
      </c>
      <c r="AW1" s="34" t="s">
        <v>48</v>
      </c>
      <c r="AX1" s="34" t="s">
        <v>49</v>
      </c>
      <c r="AY1" s="34" t="s">
        <v>50</v>
      </c>
      <c r="AZ1" s="34" t="s">
        <v>51</v>
      </c>
      <c r="BA1" s="34" t="s">
        <v>52</v>
      </c>
      <c r="BB1" s="34" t="s">
        <v>53</v>
      </c>
      <c r="BC1" s="34" t="s">
        <v>54</v>
      </c>
      <c r="BD1" s="34" t="s">
        <v>55</v>
      </c>
      <c r="BE1" s="34" t="s">
        <v>56</v>
      </c>
      <c r="BF1" s="34" t="s">
        <v>57</v>
      </c>
      <c r="BG1" s="34" t="s">
        <v>58</v>
      </c>
      <c r="BH1" s="34" t="s">
        <v>59</v>
      </c>
      <c r="BI1" s="34" t="s">
        <v>790</v>
      </c>
      <c r="BJ1" s="34" t="s">
        <v>60</v>
      </c>
      <c r="BK1" s="34" t="s">
        <v>61</v>
      </c>
      <c r="BL1" s="34" t="s">
        <v>62</v>
      </c>
      <c r="BM1" s="34" t="s">
        <v>63</v>
      </c>
      <c r="BN1" s="34" t="s">
        <v>64</v>
      </c>
      <c r="BO1" s="34" t="s">
        <v>65</v>
      </c>
      <c r="BP1" s="34" t="s">
        <v>66</v>
      </c>
    </row>
    <row r="2" spans="1:68" ht="15" x14ac:dyDescent="0.2">
      <c r="A2" s="1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3">
        <v>24</v>
      </c>
      <c r="G2" s="4">
        <v>24</v>
      </c>
      <c r="H2" s="5"/>
      <c r="I2" s="35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8"/>
      <c r="AA2" s="26">
        <v>5</v>
      </c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>
        <v>50</v>
      </c>
      <c r="BH2" s="26">
        <v>5</v>
      </c>
      <c r="BI2" s="26">
        <v>5</v>
      </c>
      <c r="BJ2" s="26"/>
      <c r="BK2" s="26"/>
      <c r="BL2" s="36">
        <v>45</v>
      </c>
      <c r="BM2" s="36">
        <v>5</v>
      </c>
      <c r="BN2" s="36">
        <v>40</v>
      </c>
      <c r="BO2" s="36">
        <v>20</v>
      </c>
      <c r="BP2" s="36">
        <v>20</v>
      </c>
    </row>
    <row r="3" spans="1:68" ht="15" x14ac:dyDescent="0.2">
      <c r="A3" s="1" t="s">
        <v>72</v>
      </c>
      <c r="B3" s="2" t="s">
        <v>68</v>
      </c>
      <c r="C3" s="2" t="s">
        <v>73</v>
      </c>
      <c r="D3" s="2" t="s">
        <v>74</v>
      </c>
      <c r="E3" s="2" t="s">
        <v>75</v>
      </c>
      <c r="F3" s="3">
        <v>16</v>
      </c>
      <c r="G3" s="4">
        <v>16</v>
      </c>
      <c r="H3" s="5"/>
      <c r="I3" s="35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>
        <v>1</v>
      </c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>
        <f>12+6</f>
        <v>18</v>
      </c>
      <c r="BH3" s="26"/>
      <c r="BI3" s="26"/>
      <c r="BJ3" s="26"/>
      <c r="BK3" s="26"/>
      <c r="BL3" s="26"/>
      <c r="BM3" s="26"/>
      <c r="BN3" s="26">
        <v>4</v>
      </c>
      <c r="BO3" s="26">
        <v>4</v>
      </c>
      <c r="BP3" s="26">
        <f>3+2</f>
        <v>5</v>
      </c>
    </row>
    <row r="4" spans="1:68" ht="15" x14ac:dyDescent="0.2">
      <c r="A4" s="1" t="s">
        <v>76</v>
      </c>
      <c r="B4" s="2" t="s">
        <v>68</v>
      </c>
      <c r="C4" s="2" t="s">
        <v>73</v>
      </c>
      <c r="D4" s="2" t="s">
        <v>77</v>
      </c>
      <c r="E4" s="2" t="s">
        <v>75</v>
      </c>
      <c r="F4" s="3">
        <v>24</v>
      </c>
      <c r="G4" s="4">
        <v>24</v>
      </c>
      <c r="H4" s="5"/>
      <c r="I4" s="35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>
        <v>2</v>
      </c>
      <c r="BC4" s="26"/>
      <c r="BD4" s="26"/>
      <c r="BE4" s="26"/>
      <c r="BF4" s="26"/>
      <c r="BG4" s="26">
        <f>2+4</f>
        <v>6</v>
      </c>
      <c r="BH4" s="26"/>
      <c r="BI4" s="26"/>
      <c r="BJ4" s="26"/>
      <c r="BK4" s="26"/>
      <c r="BL4" s="26">
        <v>3</v>
      </c>
      <c r="BM4" s="26"/>
      <c r="BN4" s="26">
        <v>4</v>
      </c>
      <c r="BO4" s="26"/>
      <c r="BP4" s="26"/>
    </row>
    <row r="5" spans="1:68" ht="15" x14ac:dyDescent="0.2">
      <c r="A5" s="1" t="s">
        <v>78</v>
      </c>
      <c r="B5" s="2" t="s">
        <v>68</v>
      </c>
      <c r="C5" s="2" t="s">
        <v>73</v>
      </c>
      <c r="D5" s="2" t="s">
        <v>79</v>
      </c>
      <c r="E5" s="2" t="s">
        <v>75</v>
      </c>
      <c r="F5" s="3">
        <v>32</v>
      </c>
      <c r="G5" s="4">
        <v>32</v>
      </c>
      <c r="H5" s="5"/>
      <c r="I5" s="35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>
        <v>1</v>
      </c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>
        <v>1</v>
      </c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>
        <v>13</v>
      </c>
      <c r="BM5" s="26"/>
      <c r="BN5" s="26">
        <v>2</v>
      </c>
      <c r="BO5" s="26"/>
      <c r="BP5" s="26"/>
    </row>
    <row r="6" spans="1:68" ht="15" x14ac:dyDescent="0.2">
      <c r="A6" s="1" t="s">
        <v>80</v>
      </c>
      <c r="B6" s="2" t="s">
        <v>68</v>
      </c>
      <c r="C6" s="2" t="s">
        <v>73</v>
      </c>
      <c r="D6" s="2" t="s">
        <v>81</v>
      </c>
      <c r="E6" s="2" t="s">
        <v>75</v>
      </c>
      <c r="F6" s="3">
        <v>32</v>
      </c>
      <c r="G6" s="4">
        <v>104</v>
      </c>
      <c r="H6" s="5"/>
      <c r="I6" s="3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>
        <v>1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>
        <v>2</v>
      </c>
    </row>
    <row r="7" spans="1:68" ht="15" x14ac:dyDescent="0.2">
      <c r="A7" s="1" t="s">
        <v>82</v>
      </c>
      <c r="B7" s="2" t="s">
        <v>68</v>
      </c>
      <c r="C7" s="2" t="s">
        <v>73</v>
      </c>
      <c r="D7" s="2" t="s">
        <v>83</v>
      </c>
      <c r="E7" s="2" t="s">
        <v>75</v>
      </c>
      <c r="F7" s="3">
        <v>40</v>
      </c>
      <c r="G7" s="4">
        <v>40</v>
      </c>
      <c r="H7" s="5"/>
      <c r="I7" s="3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>
        <v>1</v>
      </c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>
        <v>1</v>
      </c>
      <c r="BP7" s="26"/>
    </row>
    <row r="8" spans="1:68" ht="15" x14ac:dyDescent="0.2">
      <c r="A8" s="1" t="s">
        <v>84</v>
      </c>
      <c r="B8" s="2" t="s">
        <v>68</v>
      </c>
      <c r="C8" s="2" t="s">
        <v>73</v>
      </c>
      <c r="D8" s="2" t="s">
        <v>85</v>
      </c>
      <c r="E8" s="2" t="s">
        <v>75</v>
      </c>
      <c r="F8" s="3">
        <v>64</v>
      </c>
      <c r="G8" s="4">
        <v>64</v>
      </c>
      <c r="H8" s="5"/>
      <c r="I8" s="35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>
        <v>1</v>
      </c>
      <c r="BO8" s="26"/>
      <c r="BP8" s="26"/>
    </row>
    <row r="9" spans="1:68" ht="15" x14ac:dyDescent="0.2">
      <c r="A9" s="1" t="s">
        <v>86</v>
      </c>
      <c r="B9" s="2" t="s">
        <v>68</v>
      </c>
      <c r="C9" s="2" t="s">
        <v>87</v>
      </c>
      <c r="D9" s="2" t="s">
        <v>88</v>
      </c>
      <c r="E9" s="2" t="s">
        <v>75</v>
      </c>
      <c r="F9" s="3">
        <v>16</v>
      </c>
      <c r="G9" s="4">
        <v>16</v>
      </c>
      <c r="H9" s="5"/>
      <c r="I9" s="3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>
        <v>1</v>
      </c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>
        <f>1+7+2+27</f>
        <v>37</v>
      </c>
      <c r="BH9" s="26"/>
      <c r="BI9" s="26"/>
      <c r="BJ9" s="26"/>
      <c r="BK9" s="26"/>
      <c r="BL9" s="26"/>
      <c r="BM9" s="26"/>
      <c r="BN9" s="26"/>
      <c r="BO9" s="26"/>
      <c r="BP9" s="26"/>
    </row>
    <row r="10" spans="1:68" ht="15" x14ac:dyDescent="0.2">
      <c r="A10" s="1" t="s">
        <v>89</v>
      </c>
      <c r="B10" s="2" t="s">
        <v>68</v>
      </c>
      <c r="C10" s="2" t="s">
        <v>90</v>
      </c>
      <c r="D10" s="2" t="s">
        <v>91</v>
      </c>
      <c r="E10" s="2" t="s">
        <v>92</v>
      </c>
      <c r="F10" s="3">
        <v>16</v>
      </c>
      <c r="G10" s="4">
        <v>16</v>
      </c>
      <c r="H10" s="5">
        <v>16</v>
      </c>
      <c r="I10" s="35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>
        <v>1</v>
      </c>
      <c r="BH10" s="26">
        <v>6</v>
      </c>
      <c r="BI10" s="26"/>
      <c r="BJ10" s="26"/>
      <c r="BK10" s="26"/>
      <c r="BL10" s="26">
        <v>1</v>
      </c>
      <c r="BM10" s="26"/>
      <c r="BN10" s="26"/>
      <c r="BO10" s="26"/>
      <c r="BP10" s="26"/>
    </row>
    <row r="11" spans="1:68" ht="15" x14ac:dyDescent="0.2">
      <c r="A11" s="1" t="s">
        <v>93</v>
      </c>
      <c r="B11" s="2" t="s">
        <v>68</v>
      </c>
      <c r="C11" s="2" t="s">
        <v>90</v>
      </c>
      <c r="D11" s="2" t="s">
        <v>94</v>
      </c>
      <c r="E11" s="2" t="s">
        <v>92</v>
      </c>
      <c r="F11" s="3">
        <v>40</v>
      </c>
      <c r="G11" s="4">
        <v>40</v>
      </c>
      <c r="H11" s="5">
        <v>40</v>
      </c>
      <c r="I11" s="35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>
        <v>1</v>
      </c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>
        <v>3</v>
      </c>
      <c r="BP11" s="26"/>
    </row>
    <row r="12" spans="1:68" ht="15" x14ac:dyDescent="0.2">
      <c r="A12" s="1" t="s">
        <v>95</v>
      </c>
      <c r="B12" s="2" t="s">
        <v>68</v>
      </c>
      <c r="C12" s="2" t="s">
        <v>96</v>
      </c>
      <c r="D12" s="2" t="s">
        <v>97</v>
      </c>
      <c r="E12" s="2" t="s">
        <v>98</v>
      </c>
      <c r="F12" s="3">
        <v>12</v>
      </c>
      <c r="G12" s="4">
        <v>16</v>
      </c>
      <c r="H12" s="5"/>
      <c r="I12" s="35"/>
      <c r="J12" s="26"/>
      <c r="K12" s="26"/>
      <c r="L12" s="26"/>
      <c r="M12" s="26"/>
      <c r="N12" s="26">
        <v>1</v>
      </c>
      <c r="O12" s="26"/>
      <c r="P12" s="26"/>
      <c r="Q12" s="26"/>
      <c r="R12" s="26"/>
      <c r="S12" s="26">
        <v>1</v>
      </c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>
        <v>1</v>
      </c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>
        <v>11</v>
      </c>
      <c r="BH12" s="26"/>
      <c r="BI12" s="26"/>
      <c r="BJ12" s="26"/>
      <c r="BK12" s="26"/>
      <c r="BL12" s="26">
        <v>3</v>
      </c>
      <c r="BM12" s="26"/>
      <c r="BN12" s="26"/>
      <c r="BO12" s="26"/>
      <c r="BP12" s="26"/>
    </row>
    <row r="13" spans="1:68" ht="15" x14ac:dyDescent="0.2">
      <c r="A13" s="1" t="s">
        <v>99</v>
      </c>
      <c r="B13" s="2" t="s">
        <v>68</v>
      </c>
      <c r="C13" s="2" t="s">
        <v>96</v>
      </c>
      <c r="D13" s="2" t="s">
        <v>100</v>
      </c>
      <c r="E13" s="2" t="s">
        <v>98</v>
      </c>
      <c r="F13" s="3">
        <v>16</v>
      </c>
      <c r="G13" s="4">
        <v>24</v>
      </c>
      <c r="H13" s="5"/>
      <c r="I13" s="35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>
        <v>3</v>
      </c>
      <c r="AD13" s="26"/>
      <c r="AE13" s="26"/>
      <c r="AF13" s="26"/>
      <c r="AG13" s="26"/>
      <c r="AH13" s="26"/>
      <c r="AI13" s="26">
        <v>1</v>
      </c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>
        <v>2</v>
      </c>
      <c r="BK13" s="26"/>
      <c r="BL13" s="26"/>
      <c r="BM13" s="26"/>
      <c r="BN13" s="26">
        <f>1+2</f>
        <v>3</v>
      </c>
      <c r="BO13" s="26"/>
      <c r="BP13" s="26"/>
    </row>
    <row r="14" spans="1:68" ht="15" x14ac:dyDescent="0.2">
      <c r="A14" s="1" t="s">
        <v>101</v>
      </c>
      <c r="B14" s="2" t="s">
        <v>68</v>
      </c>
      <c r="C14" s="2" t="s">
        <v>96</v>
      </c>
      <c r="D14" s="2" t="s">
        <v>102</v>
      </c>
      <c r="E14" s="2" t="s">
        <v>98</v>
      </c>
      <c r="F14" s="3">
        <v>16</v>
      </c>
      <c r="G14" s="4">
        <v>32</v>
      </c>
      <c r="H14" s="5"/>
      <c r="I14" s="35"/>
      <c r="J14" s="26">
        <v>1</v>
      </c>
      <c r="K14" s="26"/>
      <c r="L14" s="26"/>
      <c r="M14" s="26"/>
      <c r="N14" s="26"/>
      <c r="O14" s="26"/>
      <c r="P14" s="26">
        <v>1</v>
      </c>
      <c r="Q14" s="26">
        <v>1</v>
      </c>
      <c r="R14" s="26"/>
      <c r="S14" s="26"/>
      <c r="T14" s="26">
        <v>1</v>
      </c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>
        <v>1</v>
      </c>
      <c r="BK14" s="26"/>
      <c r="BL14" s="26"/>
      <c r="BM14" s="26"/>
      <c r="BN14" s="26"/>
      <c r="BO14" s="26"/>
      <c r="BP14" s="26">
        <v>4</v>
      </c>
    </row>
    <row r="15" spans="1:68" ht="15" x14ac:dyDescent="0.2">
      <c r="A15" s="1" t="s">
        <v>103</v>
      </c>
      <c r="B15" s="2" t="s">
        <v>104</v>
      </c>
      <c r="C15" s="2" t="s">
        <v>105</v>
      </c>
      <c r="D15" s="2" t="s">
        <v>106</v>
      </c>
      <c r="E15" s="2" t="s">
        <v>107</v>
      </c>
      <c r="F15" s="3">
        <v>12</v>
      </c>
      <c r="G15" s="4">
        <v>20</v>
      </c>
      <c r="H15" s="5"/>
      <c r="I15" s="35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>
        <v>11</v>
      </c>
      <c r="BJ15" s="26"/>
      <c r="BK15" s="26"/>
      <c r="BL15" s="26"/>
      <c r="BM15" s="26"/>
      <c r="BN15" s="26"/>
      <c r="BO15" s="26"/>
      <c r="BP15" s="26"/>
    </row>
    <row r="16" spans="1:68" ht="15" x14ac:dyDescent="0.2">
      <c r="A16" s="1" t="s">
        <v>108</v>
      </c>
      <c r="B16" s="2" t="s">
        <v>104</v>
      </c>
      <c r="C16" s="2" t="s">
        <v>105</v>
      </c>
      <c r="D16" s="2" t="s">
        <v>109</v>
      </c>
      <c r="E16" s="2" t="s">
        <v>107</v>
      </c>
      <c r="F16" s="3">
        <v>16</v>
      </c>
      <c r="G16" s="4">
        <v>24</v>
      </c>
      <c r="H16" s="5"/>
      <c r="I16" s="35">
        <v>20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>
        <v>1</v>
      </c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>
        <v>13</v>
      </c>
      <c r="BI16" s="26"/>
      <c r="BJ16" s="26"/>
      <c r="BK16" s="26">
        <v>4</v>
      </c>
      <c r="BL16" s="26">
        <v>29</v>
      </c>
      <c r="BM16" s="26">
        <v>19</v>
      </c>
      <c r="BN16" s="26"/>
      <c r="BO16" s="26"/>
      <c r="BP16" s="26"/>
    </row>
    <row r="17" spans="1:68" ht="15" x14ac:dyDescent="0.2">
      <c r="A17" s="1" t="s">
        <v>110</v>
      </c>
      <c r="B17" s="2" t="s">
        <v>104</v>
      </c>
      <c r="C17" s="2" t="s">
        <v>105</v>
      </c>
      <c r="D17" s="2" t="s">
        <v>111</v>
      </c>
      <c r="E17" s="2" t="s">
        <v>107</v>
      </c>
      <c r="F17" s="3">
        <v>24</v>
      </c>
      <c r="G17" s="4">
        <v>24</v>
      </c>
      <c r="H17" s="5"/>
      <c r="I17" s="35"/>
      <c r="J17" s="26"/>
      <c r="K17" s="26"/>
      <c r="L17" s="26"/>
      <c r="M17" s="26"/>
      <c r="N17" s="26">
        <v>151</v>
      </c>
      <c r="O17" s="26">
        <v>47</v>
      </c>
      <c r="P17" s="26">
        <v>38</v>
      </c>
      <c r="Q17" s="26">
        <v>59</v>
      </c>
      <c r="R17" s="26">
        <v>36</v>
      </c>
      <c r="S17" s="26"/>
      <c r="T17" s="26">
        <v>129</v>
      </c>
      <c r="U17" s="26"/>
      <c r="V17" s="26">
        <v>169</v>
      </c>
      <c r="W17" s="26">
        <v>71</v>
      </c>
      <c r="X17" s="26">
        <v>131</v>
      </c>
      <c r="Y17" s="26">
        <v>34</v>
      </c>
      <c r="Z17" s="26">
        <v>30</v>
      </c>
      <c r="AA17" s="26">
        <v>29</v>
      </c>
      <c r="AB17" s="26">
        <v>26</v>
      </c>
      <c r="AC17" s="26"/>
      <c r="AD17" s="26">
        <v>207</v>
      </c>
      <c r="AE17" s="26">
        <v>17</v>
      </c>
      <c r="AF17" s="26">
        <v>156</v>
      </c>
      <c r="AG17" s="37">
        <v>20</v>
      </c>
      <c r="AH17" s="26">
        <v>212</v>
      </c>
      <c r="AI17" s="26">
        <v>65</v>
      </c>
      <c r="AJ17" s="26">
        <v>41</v>
      </c>
      <c r="AK17" s="26">
        <v>64</v>
      </c>
      <c r="AL17" s="26">
        <v>55</v>
      </c>
      <c r="AM17" s="26"/>
      <c r="AN17" s="26">
        <v>126</v>
      </c>
      <c r="AO17" s="26">
        <v>33</v>
      </c>
      <c r="AP17" s="26">
        <v>126</v>
      </c>
      <c r="AQ17" s="26">
        <v>16</v>
      </c>
      <c r="AR17" s="26">
        <v>99</v>
      </c>
      <c r="AS17" s="26">
        <v>27</v>
      </c>
      <c r="AT17" s="26">
        <v>27</v>
      </c>
      <c r="AU17" s="26">
        <v>26</v>
      </c>
      <c r="AV17" s="26">
        <v>10</v>
      </c>
      <c r="AW17" s="26"/>
      <c r="AX17" s="26">
        <v>116</v>
      </c>
      <c r="AY17" s="26">
        <v>22</v>
      </c>
      <c r="AZ17" s="26">
        <v>3</v>
      </c>
      <c r="BA17" s="26">
        <v>8</v>
      </c>
      <c r="BB17" s="26">
        <v>156</v>
      </c>
      <c r="BC17" s="26">
        <v>47</v>
      </c>
      <c r="BD17" s="26">
        <v>77</v>
      </c>
      <c r="BE17" s="26">
        <v>70</v>
      </c>
      <c r="BF17" s="26">
        <v>114</v>
      </c>
      <c r="BG17" s="26"/>
      <c r="BH17" s="26"/>
      <c r="BI17" s="26"/>
      <c r="BJ17" s="26"/>
      <c r="BK17" s="26"/>
      <c r="BL17" s="26"/>
      <c r="BM17" s="28"/>
      <c r="BN17" s="26">
        <v>110</v>
      </c>
      <c r="BO17" s="26"/>
      <c r="BP17" s="26">
        <v>100</v>
      </c>
    </row>
    <row r="18" spans="1:68" ht="15" x14ac:dyDescent="0.2">
      <c r="A18" s="1" t="s">
        <v>112</v>
      </c>
      <c r="B18" s="2" t="s">
        <v>104</v>
      </c>
      <c r="C18" s="2" t="s">
        <v>105</v>
      </c>
      <c r="D18" s="2" t="s">
        <v>113</v>
      </c>
      <c r="E18" s="2" t="s">
        <v>107</v>
      </c>
      <c r="F18" s="3">
        <v>24</v>
      </c>
      <c r="G18" s="4">
        <v>40</v>
      </c>
      <c r="H18" s="5"/>
      <c r="I18" s="35"/>
      <c r="J18" s="26"/>
      <c r="K18" s="26"/>
      <c r="L18" s="26"/>
      <c r="M18" s="26"/>
      <c r="N18" s="26">
        <v>1</v>
      </c>
      <c r="O18" s="26"/>
      <c r="P18" s="26">
        <v>4</v>
      </c>
      <c r="Q18" s="26"/>
      <c r="R18" s="26"/>
      <c r="S18" s="26">
        <v>4</v>
      </c>
      <c r="T18" s="26"/>
      <c r="U18" s="26"/>
      <c r="V18" s="26"/>
      <c r="W18" s="26"/>
      <c r="X18" s="26">
        <v>131</v>
      </c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>
        <v>7</v>
      </c>
      <c r="AO18" s="26">
        <v>1</v>
      </c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</row>
    <row r="19" spans="1:68" ht="15" x14ac:dyDescent="0.2">
      <c r="A19" s="1" t="s">
        <v>114</v>
      </c>
      <c r="B19" s="2" t="s">
        <v>104</v>
      </c>
      <c r="C19" s="2" t="s">
        <v>105</v>
      </c>
      <c r="D19" s="2" t="s">
        <v>115</v>
      </c>
      <c r="E19" s="2" t="s">
        <v>107</v>
      </c>
      <c r="F19" s="3">
        <v>32</v>
      </c>
      <c r="G19" s="4">
        <v>36</v>
      </c>
      <c r="H19" s="5"/>
      <c r="I19" s="35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>
        <v>2</v>
      </c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>
        <v>2</v>
      </c>
      <c r="AQ19" s="26"/>
      <c r="AR19" s="26"/>
      <c r="AS19" s="26"/>
      <c r="AT19" s="26"/>
      <c r="AU19" s="26"/>
      <c r="AV19" s="26"/>
      <c r="AW19" s="26">
        <v>2</v>
      </c>
      <c r="AX19" s="26"/>
      <c r="AY19" s="26"/>
      <c r="AZ19" s="26">
        <v>5</v>
      </c>
      <c r="BA19" s="26"/>
      <c r="BB19" s="26"/>
      <c r="BC19" s="26"/>
      <c r="BD19" s="26"/>
      <c r="BE19" s="26"/>
      <c r="BF19" s="26">
        <v>3</v>
      </c>
      <c r="BG19" s="26"/>
      <c r="BH19" s="26"/>
      <c r="BI19" s="26">
        <v>4</v>
      </c>
      <c r="BJ19" s="26"/>
      <c r="BK19" s="26"/>
      <c r="BL19" s="26"/>
      <c r="BM19" s="26"/>
      <c r="BN19" s="26"/>
      <c r="BO19" s="26"/>
      <c r="BP19" s="26"/>
    </row>
    <row r="20" spans="1:68" ht="15" x14ac:dyDescent="0.2">
      <c r="A20" s="1" t="s">
        <v>116</v>
      </c>
      <c r="B20" s="2" t="s">
        <v>104</v>
      </c>
      <c r="C20" s="2" t="s">
        <v>105</v>
      </c>
      <c r="D20" s="2" t="s">
        <v>117</v>
      </c>
      <c r="E20" s="2" t="s">
        <v>107</v>
      </c>
      <c r="F20" s="3">
        <v>32</v>
      </c>
      <c r="G20" s="4">
        <v>56</v>
      </c>
      <c r="H20" s="5"/>
      <c r="I20" s="35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>
        <v>1</v>
      </c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>
        <v>1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>
        <v>1</v>
      </c>
      <c r="BK20" s="26"/>
      <c r="BL20" s="26"/>
      <c r="BM20" s="26"/>
      <c r="BN20" s="26"/>
      <c r="BO20" s="26"/>
      <c r="BP20" s="26"/>
    </row>
    <row r="21" spans="1:68" ht="15" x14ac:dyDescent="0.2">
      <c r="A21" s="1" t="s">
        <v>118</v>
      </c>
      <c r="B21" s="2" t="s">
        <v>104</v>
      </c>
      <c r="C21" s="2" t="s">
        <v>105</v>
      </c>
      <c r="D21" s="2" t="s">
        <v>119</v>
      </c>
      <c r="E21" s="2" t="s">
        <v>107</v>
      </c>
      <c r="F21" s="3">
        <v>40</v>
      </c>
      <c r="G21" s="4">
        <v>48</v>
      </c>
      <c r="H21" s="5"/>
      <c r="I21" s="35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>
        <v>1</v>
      </c>
      <c r="AG21" s="26"/>
      <c r="AH21" s="26">
        <v>4</v>
      </c>
      <c r="AI21" s="26"/>
      <c r="AJ21" s="26"/>
      <c r="AK21" s="26"/>
      <c r="AL21" s="26"/>
      <c r="AM21" s="26">
        <v>1</v>
      </c>
      <c r="AN21" s="26"/>
      <c r="AO21" s="26"/>
      <c r="AP21" s="26"/>
      <c r="AQ21" s="26"/>
      <c r="AR21" s="26"/>
      <c r="AS21" s="26">
        <v>1</v>
      </c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>
        <v>1</v>
      </c>
      <c r="BI21" s="26"/>
      <c r="BJ21" s="26"/>
      <c r="BK21" s="26"/>
      <c r="BL21" s="26">
        <v>1</v>
      </c>
      <c r="BM21" s="26">
        <v>3</v>
      </c>
      <c r="BN21" s="26"/>
      <c r="BO21" s="26"/>
      <c r="BP21" s="26"/>
    </row>
    <row r="22" spans="1:68" ht="15" x14ac:dyDescent="0.2">
      <c r="A22" s="1" t="s">
        <v>120</v>
      </c>
      <c r="B22" s="2" t="s">
        <v>104</v>
      </c>
      <c r="C22" s="2" t="s">
        <v>121</v>
      </c>
      <c r="D22" s="2" t="s">
        <v>122</v>
      </c>
      <c r="E22" s="2" t="s">
        <v>98</v>
      </c>
      <c r="F22" s="3">
        <v>8</v>
      </c>
      <c r="G22" s="4">
        <v>20</v>
      </c>
      <c r="H22" s="5"/>
      <c r="I22" s="35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>
        <v>6</v>
      </c>
      <c r="AS22" s="26">
        <v>1</v>
      </c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</row>
    <row r="23" spans="1:68" ht="15" x14ac:dyDescent="0.2">
      <c r="A23" s="1" t="s">
        <v>123</v>
      </c>
      <c r="B23" s="2" t="s">
        <v>104</v>
      </c>
      <c r="C23" s="2" t="s">
        <v>121</v>
      </c>
      <c r="D23" s="2" t="s">
        <v>124</v>
      </c>
      <c r="E23" s="2" t="s">
        <v>98</v>
      </c>
      <c r="F23" s="3">
        <v>8</v>
      </c>
      <c r="G23" s="4">
        <v>40</v>
      </c>
      <c r="H23" s="5"/>
      <c r="I23" s="35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>
        <v>1</v>
      </c>
      <c r="AU23" s="26">
        <v>2</v>
      </c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>
        <v>1</v>
      </c>
      <c r="BH23" s="26"/>
      <c r="BI23" s="26"/>
      <c r="BJ23" s="26"/>
      <c r="BK23" s="26"/>
      <c r="BL23" s="26"/>
      <c r="BM23" s="26"/>
      <c r="BN23" s="26"/>
      <c r="BO23" s="26"/>
      <c r="BP23" s="26"/>
    </row>
    <row r="24" spans="1:68" ht="15" x14ac:dyDescent="0.2">
      <c r="A24" s="1" t="s">
        <v>125</v>
      </c>
      <c r="B24" s="2" t="s">
        <v>104</v>
      </c>
      <c r="C24" s="2" t="s">
        <v>121</v>
      </c>
      <c r="D24" s="2" t="s">
        <v>126</v>
      </c>
      <c r="E24" s="2" t="s">
        <v>98</v>
      </c>
      <c r="F24" s="3">
        <v>8</v>
      </c>
      <c r="G24" s="4">
        <v>72</v>
      </c>
      <c r="H24" s="5"/>
      <c r="I24" s="35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>
        <v>2</v>
      </c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</row>
    <row r="25" spans="1:68" ht="15" x14ac:dyDescent="0.2">
      <c r="A25" s="1" t="s">
        <v>127</v>
      </c>
      <c r="B25" s="2" t="s">
        <v>104</v>
      </c>
      <c r="C25" s="2" t="s">
        <v>121</v>
      </c>
      <c r="D25" s="2" t="s">
        <v>128</v>
      </c>
      <c r="E25" s="2" t="s">
        <v>98</v>
      </c>
      <c r="F25" s="3">
        <v>12</v>
      </c>
      <c r="G25" s="4">
        <v>32</v>
      </c>
      <c r="H25" s="5"/>
      <c r="I25" s="35"/>
      <c r="J25" s="26"/>
      <c r="K25" s="26"/>
      <c r="L25" s="26"/>
      <c r="M25" s="26"/>
      <c r="N25" s="26"/>
      <c r="O25" s="26"/>
      <c r="P25" s="26">
        <v>1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>
        <v>1</v>
      </c>
      <c r="AR25" s="26">
        <v>3</v>
      </c>
      <c r="AS25" s="26">
        <v>1</v>
      </c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</row>
    <row r="26" spans="1:68" ht="15" x14ac:dyDescent="0.2">
      <c r="A26" s="1" t="s">
        <v>129</v>
      </c>
      <c r="B26" s="2" t="s">
        <v>104</v>
      </c>
      <c r="C26" s="2" t="s">
        <v>121</v>
      </c>
      <c r="D26" s="2" t="s">
        <v>130</v>
      </c>
      <c r="E26" s="2" t="s">
        <v>98</v>
      </c>
      <c r="F26" s="3">
        <v>12</v>
      </c>
      <c r="G26" s="4">
        <v>56</v>
      </c>
      <c r="H26" s="5"/>
      <c r="I26" s="35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>
        <v>1</v>
      </c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</row>
    <row r="27" spans="1:68" ht="15" x14ac:dyDescent="0.2">
      <c r="A27" s="6" t="s">
        <v>131</v>
      </c>
      <c r="B27" s="2" t="s">
        <v>104</v>
      </c>
      <c r="C27" s="2" t="s">
        <v>121</v>
      </c>
      <c r="D27" s="6" t="s">
        <v>132</v>
      </c>
      <c r="E27" s="2" t="s">
        <v>98</v>
      </c>
      <c r="F27" s="3">
        <v>16</v>
      </c>
      <c r="G27" s="4">
        <v>24</v>
      </c>
      <c r="H27" s="5"/>
      <c r="I27" s="35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>
        <v>1</v>
      </c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>
        <v>11</v>
      </c>
      <c r="BH27" s="26">
        <f>2</f>
        <v>2</v>
      </c>
      <c r="BI27" s="26"/>
      <c r="BJ27" s="26"/>
      <c r="BK27" s="26">
        <v>1</v>
      </c>
      <c r="BL27" s="26">
        <v>4</v>
      </c>
      <c r="BM27" s="26"/>
      <c r="BN27" s="26"/>
      <c r="BO27" s="26"/>
      <c r="BP27" s="26"/>
    </row>
    <row r="28" spans="1:68" ht="15" x14ac:dyDescent="0.2">
      <c r="A28" s="1" t="s">
        <v>133</v>
      </c>
      <c r="B28" s="2" t="s">
        <v>104</v>
      </c>
      <c r="C28" s="2" t="s">
        <v>121</v>
      </c>
      <c r="D28" s="2" t="s">
        <v>134</v>
      </c>
      <c r="E28" s="2" t="s">
        <v>98</v>
      </c>
      <c r="F28" s="3">
        <v>16</v>
      </c>
      <c r="G28" s="4">
        <v>32</v>
      </c>
      <c r="H28" s="5"/>
      <c r="I28" s="35"/>
      <c r="J28" s="26"/>
      <c r="K28" s="26"/>
      <c r="L28" s="26"/>
      <c r="M28" s="26"/>
      <c r="N28" s="26"/>
      <c r="O28" s="26"/>
      <c r="P28" s="26"/>
      <c r="Q28" s="26"/>
      <c r="R28" s="26"/>
      <c r="S28" s="26">
        <v>1</v>
      </c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>
        <f>1+3</f>
        <v>4</v>
      </c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</row>
    <row r="29" spans="1:68" ht="15" x14ac:dyDescent="0.2">
      <c r="A29" s="1" t="s">
        <v>135</v>
      </c>
      <c r="B29" s="2" t="s">
        <v>104</v>
      </c>
      <c r="C29" s="2" t="s">
        <v>121</v>
      </c>
      <c r="D29" s="2" t="s">
        <v>136</v>
      </c>
      <c r="E29" s="2" t="s">
        <v>98</v>
      </c>
      <c r="F29" s="3">
        <v>16</v>
      </c>
      <c r="G29" s="4">
        <v>48</v>
      </c>
      <c r="H29" s="5"/>
      <c r="I29" s="35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>
        <v>1</v>
      </c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>
        <v>4</v>
      </c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>
        <v>1</v>
      </c>
      <c r="BO29" s="26"/>
      <c r="BP29" s="26"/>
    </row>
    <row r="30" spans="1:68" ht="15" x14ac:dyDescent="0.2">
      <c r="A30" s="1" t="s">
        <v>137</v>
      </c>
      <c r="B30" s="2" t="s">
        <v>104</v>
      </c>
      <c r="C30" s="2" t="s">
        <v>121</v>
      </c>
      <c r="D30" s="2" t="s">
        <v>138</v>
      </c>
      <c r="E30" s="2" t="s">
        <v>98</v>
      </c>
      <c r="F30" s="3">
        <v>20</v>
      </c>
      <c r="G30" s="4">
        <v>64</v>
      </c>
      <c r="H30" s="5"/>
      <c r="I30" s="35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>
        <v>1</v>
      </c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>
        <v>1</v>
      </c>
      <c r="BM30" s="26"/>
      <c r="BN30" s="26">
        <v>1</v>
      </c>
      <c r="BO30" s="26"/>
      <c r="BP30" s="26"/>
    </row>
    <row r="31" spans="1:68" ht="15" x14ac:dyDescent="0.2">
      <c r="A31" s="1" t="s">
        <v>139</v>
      </c>
      <c r="B31" s="2" t="s">
        <v>104</v>
      </c>
      <c r="C31" s="2" t="s">
        <v>121</v>
      </c>
      <c r="D31" s="2" t="s">
        <v>140</v>
      </c>
      <c r="E31" s="2" t="s">
        <v>98</v>
      </c>
      <c r="F31" s="3">
        <v>40</v>
      </c>
      <c r="G31" s="4">
        <v>56</v>
      </c>
      <c r="H31" s="5"/>
      <c r="I31" s="35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>
        <v>1</v>
      </c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>
        <v>2</v>
      </c>
      <c r="BK31" s="26"/>
      <c r="BL31" s="26"/>
      <c r="BM31" s="26"/>
      <c r="BN31" s="26"/>
      <c r="BO31" s="26"/>
      <c r="BP31" s="26"/>
    </row>
    <row r="32" spans="1:68" ht="15" x14ac:dyDescent="0.2">
      <c r="A32" s="1" t="s">
        <v>141</v>
      </c>
      <c r="B32" s="2" t="s">
        <v>104</v>
      </c>
      <c r="C32" s="2" t="s">
        <v>121</v>
      </c>
      <c r="D32" s="2" t="s">
        <v>142</v>
      </c>
      <c r="E32" s="2" t="s">
        <v>98</v>
      </c>
      <c r="F32" s="3">
        <v>40</v>
      </c>
      <c r="G32" s="4">
        <v>72</v>
      </c>
      <c r="H32" s="5"/>
      <c r="I32" s="35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>
        <v>1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>
        <v>1</v>
      </c>
      <c r="BM32" s="26"/>
      <c r="BN32" s="26"/>
      <c r="BO32" s="26"/>
      <c r="BP32" s="26"/>
    </row>
    <row r="33" spans="1:68" ht="15" x14ac:dyDescent="0.2">
      <c r="A33" s="1" t="s">
        <v>143</v>
      </c>
      <c r="B33" s="2" t="s">
        <v>104</v>
      </c>
      <c r="C33" s="2" t="s">
        <v>121</v>
      </c>
      <c r="D33" s="2" t="s">
        <v>144</v>
      </c>
      <c r="E33" s="2" t="s">
        <v>98</v>
      </c>
      <c r="F33" s="3">
        <v>72</v>
      </c>
      <c r="G33" s="4">
        <v>80</v>
      </c>
      <c r="H33" s="5"/>
      <c r="I33" s="35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>
        <v>1</v>
      </c>
      <c r="BP33" s="26"/>
    </row>
    <row r="34" spans="1:68" ht="15" x14ac:dyDescent="0.2">
      <c r="A34" s="1" t="s">
        <v>145</v>
      </c>
      <c r="B34" s="2" t="s">
        <v>104</v>
      </c>
      <c r="C34" s="2" t="s">
        <v>121</v>
      </c>
      <c r="D34" s="2" t="s">
        <v>146</v>
      </c>
      <c r="E34" s="2" t="s">
        <v>98</v>
      </c>
      <c r="F34" s="3">
        <v>80</v>
      </c>
      <c r="G34" s="4">
        <v>120</v>
      </c>
      <c r="H34" s="5"/>
      <c r="I34" s="35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>
        <v>1</v>
      </c>
      <c r="BO34" s="26"/>
      <c r="BP34" s="26"/>
    </row>
    <row r="35" spans="1:68" ht="15" x14ac:dyDescent="0.2">
      <c r="A35" s="1" t="s">
        <v>147</v>
      </c>
      <c r="B35" s="2" t="s">
        <v>104</v>
      </c>
      <c r="C35" s="2" t="s">
        <v>87</v>
      </c>
      <c r="D35" s="2" t="s">
        <v>148</v>
      </c>
      <c r="E35" s="2" t="s">
        <v>98</v>
      </c>
      <c r="F35" s="3">
        <v>16</v>
      </c>
      <c r="G35" s="4">
        <v>24</v>
      </c>
      <c r="H35" s="5"/>
      <c r="I35" s="35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>
        <v>2</v>
      </c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</row>
    <row r="36" spans="1:68" ht="15" x14ac:dyDescent="0.2">
      <c r="A36" s="1" t="s">
        <v>149</v>
      </c>
      <c r="B36" s="2" t="s">
        <v>104</v>
      </c>
      <c r="C36" s="2" t="s">
        <v>87</v>
      </c>
      <c r="D36" s="2" t="s">
        <v>150</v>
      </c>
      <c r="E36" s="2" t="s">
        <v>98</v>
      </c>
      <c r="F36" s="3">
        <v>19.2</v>
      </c>
      <c r="G36" s="4">
        <v>32</v>
      </c>
      <c r="H36" s="5"/>
      <c r="I36" s="35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>
        <v>2</v>
      </c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</row>
    <row r="37" spans="1:68" ht="15" x14ac:dyDescent="0.2">
      <c r="A37" s="1" t="s">
        <v>151</v>
      </c>
      <c r="B37" s="2" t="s">
        <v>104</v>
      </c>
      <c r="C37" s="2" t="s">
        <v>87</v>
      </c>
      <c r="D37" s="2" t="s">
        <v>152</v>
      </c>
      <c r="E37" s="2" t="s">
        <v>98</v>
      </c>
      <c r="F37" s="3">
        <v>32</v>
      </c>
      <c r="G37" s="4">
        <v>40</v>
      </c>
      <c r="H37" s="5"/>
      <c r="I37" s="35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>
        <v>1</v>
      </c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</row>
    <row r="38" spans="1:68" ht="15" x14ac:dyDescent="0.2">
      <c r="A38" s="1" t="s">
        <v>153</v>
      </c>
      <c r="B38" s="2" t="s">
        <v>104</v>
      </c>
      <c r="C38" s="2" t="s">
        <v>154</v>
      </c>
      <c r="D38" s="2" t="s">
        <v>155</v>
      </c>
      <c r="E38" s="2" t="s">
        <v>98</v>
      </c>
      <c r="F38" s="3">
        <v>32</v>
      </c>
      <c r="G38" s="4">
        <v>136</v>
      </c>
      <c r="H38" s="5"/>
      <c r="I38" s="35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>
        <v>1</v>
      </c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>
        <v>1</v>
      </c>
      <c r="BF38" s="26"/>
      <c r="BG38" s="26"/>
      <c r="BH38" s="26"/>
      <c r="BI38" s="26"/>
      <c r="BJ38" s="26"/>
      <c r="BK38" s="26"/>
      <c r="BL38" s="26">
        <v>1</v>
      </c>
      <c r="BM38" s="26"/>
      <c r="BN38" s="26"/>
      <c r="BO38" s="26"/>
      <c r="BP38" s="26"/>
    </row>
    <row r="39" spans="1:68" ht="15" x14ac:dyDescent="0.2">
      <c r="A39" s="1" t="s">
        <v>156</v>
      </c>
      <c r="B39" s="2" t="s">
        <v>104</v>
      </c>
      <c r="C39" s="2" t="s">
        <v>157</v>
      </c>
      <c r="D39" s="2" t="s">
        <v>158</v>
      </c>
      <c r="E39" s="2" t="s">
        <v>75</v>
      </c>
      <c r="F39" s="3">
        <v>36</v>
      </c>
      <c r="G39" s="4">
        <v>36</v>
      </c>
      <c r="H39" s="5"/>
      <c r="I39" s="35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>
        <v>2</v>
      </c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>
        <v>1</v>
      </c>
      <c r="AU39" s="26"/>
      <c r="AV39" s="26"/>
      <c r="AW39" s="26">
        <v>3</v>
      </c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>
        <v>1</v>
      </c>
      <c r="BM39" s="26"/>
      <c r="BN39" s="26"/>
      <c r="BO39" s="26"/>
      <c r="BP39" s="26"/>
    </row>
    <row r="40" spans="1:68" ht="15" x14ac:dyDescent="0.2">
      <c r="A40" s="1" t="s">
        <v>159</v>
      </c>
      <c r="B40" s="2" t="s">
        <v>104</v>
      </c>
      <c r="C40" s="2" t="s">
        <v>157</v>
      </c>
      <c r="D40" s="2" t="s">
        <v>160</v>
      </c>
      <c r="E40" s="2" t="s">
        <v>75</v>
      </c>
      <c r="F40" s="3">
        <v>40</v>
      </c>
      <c r="G40" s="4">
        <v>40</v>
      </c>
      <c r="H40" s="5"/>
      <c r="I40" s="35"/>
      <c r="J40" s="28"/>
      <c r="K40" s="26">
        <v>1</v>
      </c>
      <c r="L40" s="26">
        <v>3</v>
      </c>
      <c r="M40" s="26"/>
      <c r="N40" s="26"/>
      <c r="O40" s="26">
        <v>1</v>
      </c>
      <c r="P40" s="26"/>
      <c r="Q40" s="26">
        <v>1</v>
      </c>
      <c r="R40" s="26">
        <v>4</v>
      </c>
      <c r="S40" s="26"/>
      <c r="T40" s="26"/>
      <c r="U40" s="26"/>
      <c r="V40" s="26">
        <v>1</v>
      </c>
      <c r="W40" s="26">
        <v>2</v>
      </c>
      <c r="X40" s="26"/>
      <c r="Y40" s="26">
        <v>4</v>
      </c>
      <c r="Z40" s="26">
        <v>1</v>
      </c>
      <c r="AA40" s="26"/>
      <c r="AB40" s="26">
        <v>3</v>
      </c>
      <c r="AC40" s="26"/>
      <c r="AD40" s="26"/>
      <c r="AE40" s="26">
        <v>4</v>
      </c>
      <c r="AF40" s="26"/>
      <c r="AG40" s="26"/>
      <c r="AH40" s="26"/>
      <c r="AI40" s="26"/>
      <c r="AJ40" s="26"/>
      <c r="AK40" s="26"/>
      <c r="AL40" s="26"/>
      <c r="AM40" s="26"/>
      <c r="AN40" s="26">
        <v>2</v>
      </c>
      <c r="AO40" s="26"/>
      <c r="AP40" s="26">
        <v>1</v>
      </c>
      <c r="AQ40" s="26"/>
      <c r="AR40" s="26"/>
      <c r="AS40" s="26">
        <v>1</v>
      </c>
      <c r="AT40" s="26"/>
      <c r="AU40" s="26">
        <v>1</v>
      </c>
      <c r="AV40" s="26">
        <v>2</v>
      </c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>
        <v>6</v>
      </c>
      <c r="BI40" s="26"/>
      <c r="BJ40" s="26"/>
      <c r="BK40" s="26">
        <f>21</f>
        <v>21</v>
      </c>
      <c r="BL40" s="26">
        <v>3</v>
      </c>
      <c r="BM40" s="26"/>
      <c r="BN40" s="26">
        <v>1</v>
      </c>
      <c r="BO40" s="26">
        <v>1</v>
      </c>
      <c r="BP40" s="26"/>
    </row>
    <row r="41" spans="1:68" ht="15" x14ac:dyDescent="0.2">
      <c r="A41" s="1" t="s">
        <v>161</v>
      </c>
      <c r="B41" s="2" t="s">
        <v>104</v>
      </c>
      <c r="C41" s="2" t="s">
        <v>157</v>
      </c>
      <c r="D41" s="2" t="s">
        <v>162</v>
      </c>
      <c r="E41" s="2" t="s">
        <v>75</v>
      </c>
      <c r="F41" s="3">
        <v>48</v>
      </c>
      <c r="G41" s="4">
        <v>48</v>
      </c>
      <c r="H41" s="5"/>
      <c r="I41" s="35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>
        <v>1</v>
      </c>
      <c r="W41" s="26"/>
      <c r="X41" s="26"/>
      <c r="Y41" s="26"/>
      <c r="Z41" s="26"/>
      <c r="AA41" s="26">
        <v>1</v>
      </c>
      <c r="AB41" s="28"/>
      <c r="AC41" s="26"/>
      <c r="AD41" s="26"/>
      <c r="AE41" s="26"/>
      <c r="AF41" s="26"/>
      <c r="AG41" s="26">
        <v>3</v>
      </c>
      <c r="AH41" s="26"/>
      <c r="AI41" s="26"/>
      <c r="AJ41" s="26"/>
      <c r="AK41" s="26"/>
      <c r="AL41" s="26"/>
      <c r="AM41" s="26">
        <v>1</v>
      </c>
      <c r="AN41" s="26">
        <v>1</v>
      </c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>
        <v>1</v>
      </c>
      <c r="BC41" s="26"/>
      <c r="BD41" s="26"/>
      <c r="BE41" s="26"/>
      <c r="BF41" s="26">
        <v>1</v>
      </c>
      <c r="BG41" s="26"/>
      <c r="BH41" s="26"/>
      <c r="BI41" s="26">
        <v>1</v>
      </c>
      <c r="BJ41" s="26"/>
      <c r="BK41" s="26"/>
      <c r="BL41" s="26"/>
      <c r="BM41" s="26"/>
      <c r="BN41" s="26"/>
      <c r="BO41" s="26"/>
      <c r="BP41" s="26">
        <v>3</v>
      </c>
    </row>
    <row r="42" spans="1:68" ht="15" x14ac:dyDescent="0.2">
      <c r="A42" s="1" t="s">
        <v>163</v>
      </c>
      <c r="B42" s="2" t="s">
        <v>104</v>
      </c>
      <c r="C42" s="2" t="s">
        <v>157</v>
      </c>
      <c r="D42" s="2" t="s">
        <v>164</v>
      </c>
      <c r="E42" s="2" t="s">
        <v>75</v>
      </c>
      <c r="F42" s="3">
        <v>56</v>
      </c>
      <c r="G42" s="4">
        <v>56</v>
      </c>
      <c r="H42" s="5"/>
      <c r="I42" s="35"/>
      <c r="J42" s="26"/>
      <c r="K42" s="26"/>
      <c r="L42" s="26"/>
      <c r="M42" s="26"/>
      <c r="N42" s="26"/>
      <c r="O42" s="26"/>
      <c r="P42" s="26"/>
      <c r="Q42" s="26"/>
      <c r="R42" s="26"/>
      <c r="S42" s="26">
        <v>3</v>
      </c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>
        <v>2</v>
      </c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</row>
    <row r="43" spans="1:68" ht="15" x14ac:dyDescent="0.2">
      <c r="A43" s="1" t="s">
        <v>165</v>
      </c>
      <c r="B43" s="2" t="s">
        <v>104</v>
      </c>
      <c r="C43" s="2" t="s">
        <v>157</v>
      </c>
      <c r="D43" s="2" t="s">
        <v>166</v>
      </c>
      <c r="E43" s="2" t="s">
        <v>75</v>
      </c>
      <c r="F43" s="3">
        <v>120</v>
      </c>
      <c r="G43" s="4">
        <v>120</v>
      </c>
      <c r="H43" s="5"/>
      <c r="I43" s="35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>
        <v>6</v>
      </c>
      <c r="BK43" s="26"/>
      <c r="BL43" s="26">
        <v>3</v>
      </c>
      <c r="BM43" s="26"/>
      <c r="BN43" s="26"/>
      <c r="BO43" s="26"/>
      <c r="BP43" s="26">
        <v>2</v>
      </c>
    </row>
    <row r="44" spans="1:68" ht="15" x14ac:dyDescent="0.2">
      <c r="A44" s="7" t="s">
        <v>167</v>
      </c>
      <c r="B44" s="2" t="s">
        <v>104</v>
      </c>
      <c r="C44" s="2" t="s">
        <v>157</v>
      </c>
      <c r="D44" s="8" t="s">
        <v>168</v>
      </c>
      <c r="E44" s="2" t="s">
        <v>75</v>
      </c>
      <c r="F44" s="3">
        <v>24</v>
      </c>
      <c r="G44" s="4">
        <v>24</v>
      </c>
      <c r="H44" s="5"/>
      <c r="I44" s="35">
        <v>4</v>
      </c>
      <c r="J44" s="26">
        <v>137</v>
      </c>
      <c r="K44" s="26">
        <v>22</v>
      </c>
      <c r="L44" s="26">
        <v>172</v>
      </c>
      <c r="M44" s="26">
        <v>47</v>
      </c>
      <c r="N44" s="26"/>
      <c r="O44" s="26"/>
      <c r="P44" s="26"/>
      <c r="Q44" s="26"/>
      <c r="R44" s="26"/>
      <c r="S44" s="26">
        <v>46</v>
      </c>
      <c r="T44" s="26">
        <v>8</v>
      </c>
      <c r="U44" s="26">
        <v>49</v>
      </c>
      <c r="V44" s="26"/>
      <c r="W44" s="26"/>
      <c r="X44" s="26">
        <v>7</v>
      </c>
      <c r="Y44" s="26"/>
      <c r="Z44" s="26"/>
      <c r="AA44" s="26">
        <v>7</v>
      </c>
      <c r="AB44" s="28">
        <v>8</v>
      </c>
      <c r="AC44" s="26">
        <v>12</v>
      </c>
      <c r="AD44" s="26">
        <v>13</v>
      </c>
      <c r="AE44" s="26">
        <v>3</v>
      </c>
      <c r="AF44" s="26"/>
      <c r="AG44" s="26"/>
      <c r="AH44" s="26">
        <v>5</v>
      </c>
      <c r="AI44" s="26"/>
      <c r="AJ44" s="26">
        <v>2</v>
      </c>
      <c r="AK44" s="26"/>
      <c r="AL44" s="26"/>
      <c r="AM44" s="26">
        <v>18</v>
      </c>
      <c r="AN44" s="28">
        <v>16</v>
      </c>
      <c r="AO44" s="26"/>
      <c r="AP44" s="26"/>
      <c r="AQ44" s="26"/>
      <c r="AR44" s="26">
        <v>9</v>
      </c>
      <c r="AS44" s="26"/>
      <c r="AT44" s="26">
        <v>2</v>
      </c>
      <c r="AU44" s="26">
        <v>11</v>
      </c>
      <c r="AV44" s="26">
        <v>2</v>
      </c>
      <c r="AW44" s="37">
        <v>40</v>
      </c>
      <c r="AX44" s="26"/>
      <c r="AY44" s="26">
        <v>1</v>
      </c>
      <c r="AZ44" s="26">
        <v>3</v>
      </c>
      <c r="BA44" s="26">
        <v>4</v>
      </c>
      <c r="BB44" s="26">
        <v>9</v>
      </c>
      <c r="BC44" s="26">
        <v>5</v>
      </c>
      <c r="BD44" s="26">
        <v>4</v>
      </c>
      <c r="BE44" s="26">
        <v>9</v>
      </c>
      <c r="BF44" s="26"/>
      <c r="BG44" s="26">
        <f>50+29</f>
        <v>79</v>
      </c>
      <c r="BH44" s="26">
        <f>38+10</f>
        <v>48</v>
      </c>
      <c r="BI44" s="26">
        <v>7</v>
      </c>
      <c r="BJ44" s="26">
        <f>1+16</f>
        <v>17</v>
      </c>
      <c r="BK44" s="26">
        <v>5</v>
      </c>
      <c r="BL44" s="26">
        <v>69</v>
      </c>
      <c r="BM44" s="26"/>
      <c r="BN44" s="26"/>
      <c r="BO44" s="26">
        <v>109</v>
      </c>
      <c r="BP44" s="26"/>
    </row>
    <row r="45" spans="1:68" ht="15" x14ac:dyDescent="0.2">
      <c r="A45" s="1" t="s">
        <v>169</v>
      </c>
      <c r="B45" s="2" t="s">
        <v>170</v>
      </c>
      <c r="C45" s="2" t="s">
        <v>171</v>
      </c>
      <c r="D45" s="2" t="s">
        <v>172</v>
      </c>
      <c r="E45" s="2" t="s">
        <v>173</v>
      </c>
      <c r="F45" s="3">
        <v>4</v>
      </c>
      <c r="G45" s="4">
        <v>56</v>
      </c>
      <c r="H45" s="5"/>
      <c r="I45" s="35"/>
      <c r="J45" s="26">
        <v>14</v>
      </c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>
        <v>123</v>
      </c>
      <c r="BM45" s="26"/>
      <c r="BN45" s="26"/>
      <c r="BO45" s="26"/>
      <c r="BP45" s="26"/>
    </row>
    <row r="46" spans="1:68" ht="15" x14ac:dyDescent="0.2">
      <c r="A46" s="1" t="s">
        <v>174</v>
      </c>
      <c r="B46" s="2" t="s">
        <v>170</v>
      </c>
      <c r="C46" s="2" t="s">
        <v>171</v>
      </c>
      <c r="D46" s="2" t="s">
        <v>175</v>
      </c>
      <c r="E46" s="2" t="s">
        <v>173</v>
      </c>
      <c r="F46" s="3">
        <v>4</v>
      </c>
      <c r="G46" s="4">
        <v>72</v>
      </c>
      <c r="H46" s="5"/>
      <c r="I46" s="35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>
        <v>5</v>
      </c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</row>
    <row r="47" spans="1:68" ht="15" x14ac:dyDescent="0.2">
      <c r="A47" s="1" t="s">
        <v>176</v>
      </c>
      <c r="B47" s="2" t="s">
        <v>170</v>
      </c>
      <c r="C47" s="2" t="s">
        <v>171</v>
      </c>
      <c r="D47" s="2" t="s">
        <v>177</v>
      </c>
      <c r="E47" s="2" t="s">
        <v>173</v>
      </c>
      <c r="F47" s="3">
        <v>4</v>
      </c>
      <c r="G47" s="4">
        <v>80</v>
      </c>
      <c r="H47" s="5"/>
      <c r="I47" s="35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>
        <v>5</v>
      </c>
      <c r="X47" s="26"/>
      <c r="Y47" s="26"/>
      <c r="Z47" s="26">
        <v>2</v>
      </c>
      <c r="AA47" s="26"/>
      <c r="AB47" s="26"/>
      <c r="AC47" s="26"/>
      <c r="AD47" s="26"/>
      <c r="AE47" s="26">
        <v>11</v>
      </c>
      <c r="AF47" s="26"/>
      <c r="AG47" s="26"/>
      <c r="AH47" s="26"/>
      <c r="AI47" s="26"/>
      <c r="AJ47" s="26">
        <v>10</v>
      </c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>
        <v>10</v>
      </c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</row>
    <row r="48" spans="1:68" ht="15" x14ac:dyDescent="0.2">
      <c r="A48" s="1" t="s">
        <v>178</v>
      </c>
      <c r="B48" s="2" t="s">
        <v>170</v>
      </c>
      <c r="C48" s="2" t="s">
        <v>171</v>
      </c>
      <c r="D48" s="2" t="s">
        <v>179</v>
      </c>
      <c r="E48" s="2" t="s">
        <v>173</v>
      </c>
      <c r="F48" s="3">
        <v>4</v>
      </c>
      <c r="G48" s="4">
        <v>128</v>
      </c>
      <c r="H48" s="5"/>
      <c r="I48" s="35"/>
      <c r="J48" s="26"/>
      <c r="K48" s="26"/>
      <c r="L48" s="26"/>
      <c r="M48" s="26"/>
      <c r="N48" s="26"/>
      <c r="O48" s="26"/>
      <c r="P48" s="26"/>
      <c r="Q48" s="26"/>
      <c r="R48" s="26"/>
      <c r="S48" s="26">
        <v>3</v>
      </c>
      <c r="T48" s="26"/>
      <c r="U48" s="26"/>
      <c r="V48" s="26"/>
      <c r="W48" s="26"/>
      <c r="X48" s="26"/>
      <c r="Y48" s="26">
        <v>1</v>
      </c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>
        <v>4</v>
      </c>
      <c r="AZ48" s="26"/>
      <c r="BA48" s="26">
        <v>4</v>
      </c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</row>
    <row r="49" spans="1:68" ht="15" x14ac:dyDescent="0.2">
      <c r="A49" s="1" t="s">
        <v>180</v>
      </c>
      <c r="B49" s="2" t="s">
        <v>170</v>
      </c>
      <c r="C49" s="2" t="s">
        <v>171</v>
      </c>
      <c r="D49" s="2" t="s">
        <v>181</v>
      </c>
      <c r="E49" s="2" t="s">
        <v>173</v>
      </c>
      <c r="F49" s="3">
        <v>6</v>
      </c>
      <c r="G49" s="4">
        <v>72</v>
      </c>
      <c r="H49" s="5"/>
      <c r="I49" s="35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>
        <v>1</v>
      </c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</row>
    <row r="50" spans="1:68" ht="15" x14ac:dyDescent="0.2">
      <c r="A50" s="1" t="s">
        <v>182</v>
      </c>
      <c r="B50" s="2" t="s">
        <v>170</v>
      </c>
      <c r="C50" s="2" t="s">
        <v>171</v>
      </c>
      <c r="D50" s="2" t="s">
        <v>183</v>
      </c>
      <c r="E50" s="2" t="s">
        <v>173</v>
      </c>
      <c r="F50" s="3">
        <v>6</v>
      </c>
      <c r="G50" s="4">
        <v>160</v>
      </c>
      <c r="H50" s="5"/>
      <c r="I50" s="35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>
        <v>3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>
        <v>44</v>
      </c>
      <c r="BH50" s="26"/>
      <c r="BI50" s="26"/>
      <c r="BJ50" s="26"/>
      <c r="BK50" s="26"/>
      <c r="BL50" s="26"/>
      <c r="BM50" s="26"/>
      <c r="BN50" s="26"/>
      <c r="BO50" s="26"/>
      <c r="BP50" s="26"/>
    </row>
    <row r="51" spans="1:68" ht="15" x14ac:dyDescent="0.2">
      <c r="A51" s="1" t="s">
        <v>184</v>
      </c>
      <c r="B51" s="2" t="s">
        <v>170</v>
      </c>
      <c r="C51" s="2" t="s">
        <v>171</v>
      </c>
      <c r="D51" s="2" t="s">
        <v>185</v>
      </c>
      <c r="E51" s="2" t="s">
        <v>173</v>
      </c>
      <c r="F51" s="3">
        <v>8</v>
      </c>
      <c r="G51" s="4">
        <v>32</v>
      </c>
      <c r="H51" s="5"/>
      <c r="I51" s="35"/>
      <c r="J51" s="26"/>
      <c r="K51" s="26"/>
      <c r="L51" s="26"/>
      <c r="M51" s="26"/>
      <c r="N51" s="26"/>
      <c r="O51" s="26"/>
      <c r="P51" s="26"/>
      <c r="Q51" s="26"/>
      <c r="R51" s="26"/>
      <c r="S51" s="26">
        <f>13+3</f>
        <v>16</v>
      </c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>
        <v>143</v>
      </c>
      <c r="BK51" s="26"/>
      <c r="BL51" s="26"/>
      <c r="BM51" s="26"/>
      <c r="BN51" s="26"/>
      <c r="BO51" s="26"/>
      <c r="BP51" s="26"/>
    </row>
    <row r="52" spans="1:68" ht="15" x14ac:dyDescent="0.2">
      <c r="A52" s="9" t="s">
        <v>186</v>
      </c>
      <c r="B52" s="10" t="s">
        <v>170</v>
      </c>
      <c r="C52" s="10" t="s">
        <v>171</v>
      </c>
      <c r="D52" s="10" t="s">
        <v>187</v>
      </c>
      <c r="E52" s="2" t="s">
        <v>173</v>
      </c>
      <c r="F52" s="11">
        <v>8</v>
      </c>
      <c r="G52" s="12">
        <v>80</v>
      </c>
      <c r="H52" s="13"/>
      <c r="I52" s="35"/>
      <c r="J52" s="28"/>
      <c r="K52" s="26">
        <v>15</v>
      </c>
      <c r="L52" s="26">
        <v>30</v>
      </c>
      <c r="M52" s="26">
        <v>7</v>
      </c>
      <c r="N52" s="26"/>
      <c r="O52" s="26">
        <v>6</v>
      </c>
      <c r="P52" s="26">
        <v>27</v>
      </c>
      <c r="Q52" s="26">
        <v>20</v>
      </c>
      <c r="R52" s="26">
        <v>33</v>
      </c>
      <c r="S52" s="26"/>
      <c r="T52" s="26">
        <v>17</v>
      </c>
      <c r="U52" s="26"/>
      <c r="V52" s="26"/>
      <c r="W52" s="26"/>
      <c r="X52" s="26"/>
      <c r="Y52" s="26"/>
      <c r="Z52" s="26">
        <v>7</v>
      </c>
      <c r="AA52" s="26">
        <v>20</v>
      </c>
      <c r="AB52" s="28">
        <v>8</v>
      </c>
      <c r="AC52" s="26"/>
      <c r="AD52" s="26">
        <v>12</v>
      </c>
      <c r="AE52" s="26"/>
      <c r="AF52" s="26"/>
      <c r="AG52" s="26"/>
      <c r="AH52" s="26"/>
      <c r="AI52" s="26">
        <v>5</v>
      </c>
      <c r="AJ52" s="26"/>
      <c r="AK52" s="26"/>
      <c r="AL52" s="26"/>
      <c r="AM52" s="26"/>
      <c r="AN52" s="26">
        <v>54</v>
      </c>
      <c r="AO52" s="26">
        <v>18</v>
      </c>
      <c r="AP52" s="26">
        <v>43</v>
      </c>
      <c r="AQ52" s="26"/>
      <c r="AR52" s="26">
        <v>51</v>
      </c>
      <c r="AS52" s="26">
        <v>23</v>
      </c>
      <c r="AT52" s="26">
        <v>28</v>
      </c>
      <c r="AU52" s="26">
        <v>50</v>
      </c>
      <c r="AV52" s="26">
        <v>28</v>
      </c>
      <c r="AW52" s="26"/>
      <c r="AX52" s="26"/>
      <c r="AY52" s="26"/>
      <c r="AZ52" s="26"/>
      <c r="BA52" s="26"/>
      <c r="BB52" s="26">
        <v>3</v>
      </c>
      <c r="BC52" s="26"/>
      <c r="BD52" s="26"/>
      <c r="BE52" s="26"/>
      <c r="BF52" s="26">
        <v>16</v>
      </c>
      <c r="BG52" s="26"/>
      <c r="BH52" s="26">
        <v>7</v>
      </c>
      <c r="BI52" s="26">
        <v>48</v>
      </c>
      <c r="BJ52" s="26"/>
      <c r="BK52" s="26">
        <v>57</v>
      </c>
      <c r="BL52" s="26"/>
      <c r="BM52" s="26"/>
      <c r="BN52" s="26">
        <v>129</v>
      </c>
      <c r="BO52" s="26">
        <v>117</v>
      </c>
      <c r="BP52" s="26">
        <v>169</v>
      </c>
    </row>
    <row r="53" spans="1:68" ht="15" x14ac:dyDescent="0.2">
      <c r="A53" s="1" t="s">
        <v>188</v>
      </c>
      <c r="B53" s="2" t="s">
        <v>170</v>
      </c>
      <c r="C53" s="2" t="s">
        <v>171</v>
      </c>
      <c r="D53" s="2" t="s">
        <v>189</v>
      </c>
      <c r="E53" s="2" t="s">
        <v>173</v>
      </c>
      <c r="F53" s="3">
        <v>8</v>
      </c>
      <c r="G53" s="4">
        <v>120</v>
      </c>
      <c r="H53" s="5"/>
      <c r="I53" s="35"/>
      <c r="J53" s="26"/>
      <c r="K53" s="26"/>
      <c r="L53" s="26"/>
      <c r="M53" s="26"/>
      <c r="N53" s="26">
        <v>64</v>
      </c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>
        <v>1</v>
      </c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>
        <v>6</v>
      </c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>
        <v>130</v>
      </c>
      <c r="BN53" s="26"/>
      <c r="BO53" s="26"/>
      <c r="BP53" s="26"/>
    </row>
    <row r="54" spans="1:68" ht="15" x14ac:dyDescent="0.2">
      <c r="A54" s="1" t="s">
        <v>190</v>
      </c>
      <c r="B54" s="2" t="s">
        <v>170</v>
      </c>
      <c r="C54" s="2" t="s">
        <v>171</v>
      </c>
      <c r="D54" s="2" t="s">
        <v>191</v>
      </c>
      <c r="E54" s="2" t="s">
        <v>173</v>
      </c>
      <c r="F54" s="3">
        <v>8</v>
      </c>
      <c r="G54" s="4">
        <v>320</v>
      </c>
      <c r="H54" s="5"/>
      <c r="I54" s="35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>
        <v>1</v>
      </c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>
        <v>4</v>
      </c>
      <c r="BJ54" s="26"/>
      <c r="BK54" s="26"/>
      <c r="BL54" s="26"/>
      <c r="BM54" s="26"/>
      <c r="BN54" s="26"/>
      <c r="BO54" s="26"/>
      <c r="BP54" s="26"/>
    </row>
    <row r="55" spans="1:68" ht="15" x14ac:dyDescent="0.2">
      <c r="A55" s="1" t="s">
        <v>192</v>
      </c>
      <c r="B55" s="2" t="s">
        <v>170</v>
      </c>
      <c r="C55" s="2" t="s">
        <v>193</v>
      </c>
      <c r="D55" s="2" t="s">
        <v>194</v>
      </c>
      <c r="E55" s="2" t="s">
        <v>173</v>
      </c>
      <c r="F55" s="3">
        <v>4</v>
      </c>
      <c r="G55" s="4">
        <v>16</v>
      </c>
      <c r="H55" s="5"/>
      <c r="I55" s="35"/>
      <c r="J55" s="26"/>
      <c r="K55" s="26"/>
      <c r="L55" s="26"/>
      <c r="M55" s="26"/>
      <c r="N55" s="26"/>
      <c r="O55" s="26"/>
      <c r="P55" s="26"/>
      <c r="Q55" s="26"/>
      <c r="R55" s="26"/>
      <c r="S55" s="26">
        <v>7</v>
      </c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</row>
    <row r="56" spans="1:68" ht="15" x14ac:dyDescent="0.2">
      <c r="A56" s="1" t="s">
        <v>195</v>
      </c>
      <c r="B56" s="2" t="s">
        <v>170</v>
      </c>
      <c r="C56" s="2" t="s">
        <v>193</v>
      </c>
      <c r="D56" s="2" t="s">
        <v>196</v>
      </c>
      <c r="E56" s="2" t="s">
        <v>173</v>
      </c>
      <c r="F56" s="3">
        <v>4</v>
      </c>
      <c r="G56" s="4">
        <v>40</v>
      </c>
      <c r="H56" s="5"/>
      <c r="I56" s="35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>
        <v>22</v>
      </c>
      <c r="BM56" s="26"/>
      <c r="BN56" s="26"/>
      <c r="BO56" s="26"/>
      <c r="BP56" s="26">
        <v>76</v>
      </c>
    </row>
    <row r="57" spans="1:68" ht="15" x14ac:dyDescent="0.2">
      <c r="A57" s="1" t="s">
        <v>197</v>
      </c>
      <c r="B57" s="2" t="s">
        <v>170</v>
      </c>
      <c r="C57" s="2" t="s">
        <v>193</v>
      </c>
      <c r="D57" s="2" t="s">
        <v>198</v>
      </c>
      <c r="E57" s="2" t="s">
        <v>173</v>
      </c>
      <c r="F57" s="3">
        <v>4</v>
      </c>
      <c r="G57" s="4">
        <v>48</v>
      </c>
      <c r="H57" s="5"/>
      <c r="I57" s="35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>
        <v>3</v>
      </c>
      <c r="X57" s="26"/>
      <c r="Y57" s="26"/>
      <c r="Z57" s="26"/>
      <c r="AA57" s="26"/>
      <c r="AB57" s="26">
        <v>3</v>
      </c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>
        <v>1</v>
      </c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</row>
    <row r="58" spans="1:68" ht="15" x14ac:dyDescent="0.2">
      <c r="A58" s="1" t="s">
        <v>199</v>
      </c>
      <c r="B58" s="2" t="s">
        <v>170</v>
      </c>
      <c r="C58" s="2" t="s">
        <v>193</v>
      </c>
      <c r="D58" s="2" t="s">
        <v>200</v>
      </c>
      <c r="E58" s="2" t="s">
        <v>173</v>
      </c>
      <c r="F58" s="3">
        <v>4</v>
      </c>
      <c r="G58" s="4">
        <v>64</v>
      </c>
      <c r="H58" s="5"/>
      <c r="I58" s="35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8"/>
      <c r="AA58" s="26">
        <v>13</v>
      </c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>
        <v>3</v>
      </c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>
        <v>123</v>
      </c>
      <c r="BM58" s="26"/>
      <c r="BN58" s="26"/>
      <c r="BO58" s="26"/>
      <c r="BP58" s="26"/>
    </row>
    <row r="59" spans="1:68" ht="15" x14ac:dyDescent="0.2">
      <c r="A59" s="1" t="s">
        <v>201</v>
      </c>
      <c r="B59" s="2" t="s">
        <v>170</v>
      </c>
      <c r="C59" s="2" t="s">
        <v>193</v>
      </c>
      <c r="D59" s="2" t="s">
        <v>202</v>
      </c>
      <c r="E59" s="2" t="s">
        <v>173</v>
      </c>
      <c r="F59" s="3">
        <v>4</v>
      </c>
      <c r="G59" s="4">
        <v>80</v>
      </c>
      <c r="H59" s="5"/>
      <c r="I59" s="35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>
        <v>1</v>
      </c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>
        <v>1</v>
      </c>
      <c r="AN59" s="26"/>
      <c r="AO59" s="26"/>
      <c r="AP59" s="26"/>
      <c r="AQ59" s="26"/>
      <c r="AR59" s="26"/>
      <c r="AS59" s="26"/>
      <c r="AT59" s="26"/>
      <c r="AU59" s="26">
        <v>9</v>
      </c>
      <c r="AV59" s="26"/>
      <c r="AW59" s="26"/>
      <c r="AX59" s="26"/>
      <c r="AY59" s="26"/>
      <c r="AZ59" s="26"/>
      <c r="BA59" s="26"/>
      <c r="BB59" s="26"/>
      <c r="BC59" s="26"/>
      <c r="BD59" s="26"/>
      <c r="BE59" s="26">
        <v>15</v>
      </c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</row>
    <row r="60" spans="1:68" ht="15" x14ac:dyDescent="0.2">
      <c r="A60" s="1" t="s">
        <v>203</v>
      </c>
      <c r="B60" s="2" t="s">
        <v>170</v>
      </c>
      <c r="C60" s="2" t="s">
        <v>193</v>
      </c>
      <c r="D60" s="2" t="s">
        <v>204</v>
      </c>
      <c r="E60" s="2" t="s">
        <v>173</v>
      </c>
      <c r="F60" s="3">
        <v>4</v>
      </c>
      <c r="G60" s="4">
        <v>120</v>
      </c>
      <c r="H60" s="5"/>
      <c r="I60" s="35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>
        <v>28</v>
      </c>
      <c r="BP60" s="26"/>
    </row>
    <row r="61" spans="1:68" ht="15" x14ac:dyDescent="0.2">
      <c r="A61" s="1" t="s">
        <v>205</v>
      </c>
      <c r="B61" s="2" t="s">
        <v>170</v>
      </c>
      <c r="C61" s="2" t="s">
        <v>193</v>
      </c>
      <c r="D61" s="2" t="s">
        <v>206</v>
      </c>
      <c r="E61" s="2" t="s">
        <v>173</v>
      </c>
      <c r="F61" s="3">
        <v>4</v>
      </c>
      <c r="G61" s="4">
        <v>160</v>
      </c>
      <c r="H61" s="5"/>
      <c r="I61" s="35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>
        <v>1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</row>
    <row r="62" spans="1:68" ht="15" x14ac:dyDescent="0.2">
      <c r="A62" s="1" t="s">
        <v>207</v>
      </c>
      <c r="B62" s="2" t="s">
        <v>170</v>
      </c>
      <c r="C62" s="2" t="s">
        <v>193</v>
      </c>
      <c r="D62" s="2" t="s">
        <v>208</v>
      </c>
      <c r="E62" s="2" t="s">
        <v>173</v>
      </c>
      <c r="F62" s="3">
        <v>4</v>
      </c>
      <c r="G62" s="4">
        <v>240</v>
      </c>
      <c r="H62" s="5"/>
      <c r="I62" s="35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>
        <v>1</v>
      </c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</row>
    <row r="63" spans="1:68" ht="15" x14ac:dyDescent="0.2">
      <c r="A63" s="1" t="s">
        <v>209</v>
      </c>
      <c r="B63" s="2" t="s">
        <v>170</v>
      </c>
      <c r="C63" s="2" t="s">
        <v>193</v>
      </c>
      <c r="D63" s="2" t="s">
        <v>210</v>
      </c>
      <c r="E63" s="2" t="s">
        <v>173</v>
      </c>
      <c r="F63" s="3">
        <v>6</v>
      </c>
      <c r="G63" s="4">
        <v>40</v>
      </c>
      <c r="H63" s="5"/>
      <c r="I63" s="35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>
        <v>1</v>
      </c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</row>
    <row r="64" spans="1:68" ht="15" x14ac:dyDescent="0.2">
      <c r="A64" s="1" t="s">
        <v>211</v>
      </c>
      <c r="B64" s="2" t="s">
        <v>170</v>
      </c>
      <c r="C64" s="2" t="s">
        <v>193</v>
      </c>
      <c r="D64" s="2" t="s">
        <v>212</v>
      </c>
      <c r="E64" s="2" t="s">
        <v>173</v>
      </c>
      <c r="F64" s="3">
        <v>6</v>
      </c>
      <c r="G64" s="4">
        <v>56</v>
      </c>
      <c r="H64" s="5"/>
      <c r="I64" s="35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8"/>
      <c r="X64" s="26">
        <v>3</v>
      </c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>
        <v>2</v>
      </c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</row>
    <row r="65" spans="1:68" ht="15" x14ac:dyDescent="0.2">
      <c r="A65" s="1" t="s">
        <v>213</v>
      </c>
      <c r="B65" s="2" t="s">
        <v>170</v>
      </c>
      <c r="C65" s="2" t="s">
        <v>193</v>
      </c>
      <c r="D65" s="2" t="s">
        <v>214</v>
      </c>
      <c r="E65" s="2" t="s">
        <v>173</v>
      </c>
      <c r="F65" s="3">
        <v>6</v>
      </c>
      <c r="G65" s="4">
        <v>64</v>
      </c>
      <c r="H65" s="5"/>
      <c r="I65" s="35"/>
      <c r="J65" s="26">
        <v>5</v>
      </c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</row>
    <row r="66" spans="1:68" ht="15" x14ac:dyDescent="0.2">
      <c r="A66" s="1" t="s">
        <v>215</v>
      </c>
      <c r="B66" s="2" t="s">
        <v>170</v>
      </c>
      <c r="C66" s="2" t="s">
        <v>193</v>
      </c>
      <c r="D66" s="2" t="s">
        <v>216</v>
      </c>
      <c r="E66" s="2" t="s">
        <v>173</v>
      </c>
      <c r="F66" s="3">
        <v>6</v>
      </c>
      <c r="G66" s="4">
        <v>80</v>
      </c>
      <c r="H66" s="5"/>
      <c r="I66" s="35"/>
      <c r="J66" s="26"/>
      <c r="K66" s="26"/>
      <c r="L66" s="26"/>
      <c r="M66" s="26"/>
      <c r="N66" s="26"/>
      <c r="O66" s="26">
        <v>9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>
        <v>11</v>
      </c>
      <c r="BH66" s="26"/>
      <c r="BI66" s="26"/>
      <c r="BJ66" s="26"/>
      <c r="BK66" s="26"/>
      <c r="BL66" s="26"/>
      <c r="BM66" s="26"/>
      <c r="BN66" s="26"/>
      <c r="BO66" s="26"/>
      <c r="BP66" s="26"/>
    </row>
    <row r="67" spans="1:68" ht="15" x14ac:dyDescent="0.2">
      <c r="A67" s="1" t="s">
        <v>217</v>
      </c>
      <c r="B67" s="2" t="s">
        <v>170</v>
      </c>
      <c r="C67" s="2" t="s">
        <v>193</v>
      </c>
      <c r="D67" s="2" t="s">
        <v>218</v>
      </c>
      <c r="E67" s="2" t="s">
        <v>173</v>
      </c>
      <c r="F67" s="3">
        <v>6</v>
      </c>
      <c r="G67" s="4">
        <v>200</v>
      </c>
      <c r="H67" s="5"/>
      <c r="I67" s="35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>
        <v>6</v>
      </c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>
        <v>2</v>
      </c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>
        <v>5</v>
      </c>
      <c r="BN67" s="26"/>
      <c r="BO67" s="26"/>
      <c r="BP67" s="26"/>
    </row>
    <row r="68" spans="1:68" ht="15" x14ac:dyDescent="0.2">
      <c r="A68" s="1" t="s">
        <v>219</v>
      </c>
      <c r="B68" s="2" t="s">
        <v>170</v>
      </c>
      <c r="C68" s="2" t="s">
        <v>193</v>
      </c>
      <c r="D68" s="2" t="s">
        <v>220</v>
      </c>
      <c r="E68" s="2" t="s">
        <v>173</v>
      </c>
      <c r="F68" s="3">
        <v>8</v>
      </c>
      <c r="G68" s="4">
        <v>40</v>
      </c>
      <c r="H68" s="5"/>
      <c r="I68" s="35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>
        <v>1</v>
      </c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>
        <v>11</v>
      </c>
      <c r="BD68" s="26"/>
      <c r="BE68" s="26">
        <v>1</v>
      </c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</row>
    <row r="69" spans="1:68" ht="15" x14ac:dyDescent="0.2">
      <c r="A69" s="1" t="s">
        <v>221</v>
      </c>
      <c r="B69" s="2" t="s">
        <v>170</v>
      </c>
      <c r="C69" s="2" t="s">
        <v>193</v>
      </c>
      <c r="D69" s="2" t="s">
        <v>222</v>
      </c>
      <c r="E69" s="2" t="s">
        <v>173</v>
      </c>
      <c r="F69" s="3">
        <v>8</v>
      </c>
      <c r="G69" s="4">
        <v>80</v>
      </c>
      <c r="H69" s="5"/>
      <c r="I69" s="35"/>
      <c r="J69" s="26"/>
      <c r="K69" s="26"/>
      <c r="L69" s="26">
        <v>10</v>
      </c>
      <c r="M69" s="26"/>
      <c r="N69" s="26"/>
      <c r="O69" s="26"/>
      <c r="P69" s="26">
        <v>28</v>
      </c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>
        <v>1</v>
      </c>
      <c r="BK69" s="26"/>
      <c r="BL69" s="26"/>
      <c r="BM69" s="26"/>
      <c r="BN69" s="26">
        <v>16</v>
      </c>
      <c r="BO69" s="26"/>
      <c r="BP69" s="26"/>
    </row>
    <row r="70" spans="1:68" ht="15" x14ac:dyDescent="0.2">
      <c r="A70" s="1" t="s">
        <v>223</v>
      </c>
      <c r="B70" s="2" t="s">
        <v>170</v>
      </c>
      <c r="C70" s="2" t="s">
        <v>193</v>
      </c>
      <c r="D70" s="2" t="s">
        <v>224</v>
      </c>
      <c r="E70" s="2" t="s">
        <v>173</v>
      </c>
      <c r="F70" s="3">
        <v>8</v>
      </c>
      <c r="G70" s="4">
        <v>144</v>
      </c>
      <c r="H70" s="5"/>
      <c r="I70" s="35"/>
      <c r="J70" s="26"/>
      <c r="K70" s="26"/>
      <c r="L70" s="26"/>
      <c r="M70" s="26"/>
      <c r="N70" s="26"/>
      <c r="O70" s="26"/>
      <c r="P70" s="26"/>
      <c r="Q70" s="26"/>
      <c r="R70" s="26"/>
      <c r="S70" s="26">
        <v>4</v>
      </c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>
        <v>2</v>
      </c>
      <c r="BI70" s="26"/>
      <c r="BJ70" s="26"/>
      <c r="BK70" s="26"/>
      <c r="BL70" s="26"/>
      <c r="BM70" s="26"/>
      <c r="BN70" s="26"/>
      <c r="BO70" s="26"/>
      <c r="BP70" s="26"/>
    </row>
    <row r="71" spans="1:68" ht="15" x14ac:dyDescent="0.2">
      <c r="A71" s="1" t="s">
        <v>225</v>
      </c>
      <c r="B71" s="2" t="s">
        <v>170</v>
      </c>
      <c r="C71" s="2" t="s">
        <v>87</v>
      </c>
      <c r="D71" s="2" t="s">
        <v>226</v>
      </c>
      <c r="E71" s="2" t="s">
        <v>173</v>
      </c>
      <c r="F71" s="3">
        <v>1.6</v>
      </c>
      <c r="G71" s="4">
        <v>80</v>
      </c>
      <c r="H71" s="5"/>
      <c r="I71" s="35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>
        <v>1</v>
      </c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</row>
    <row r="72" spans="1:68" ht="15" x14ac:dyDescent="0.2">
      <c r="A72" s="1" t="s">
        <v>227</v>
      </c>
      <c r="B72" s="2" t="s">
        <v>170</v>
      </c>
      <c r="C72" s="2" t="s">
        <v>87</v>
      </c>
      <c r="D72" s="2" t="s">
        <v>228</v>
      </c>
      <c r="E72" s="2" t="s">
        <v>173</v>
      </c>
      <c r="F72" s="3">
        <v>4</v>
      </c>
      <c r="G72" s="4">
        <v>64</v>
      </c>
      <c r="H72" s="5"/>
      <c r="I72" s="35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>
        <v>1</v>
      </c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</row>
    <row r="73" spans="1:68" ht="15" x14ac:dyDescent="0.2">
      <c r="A73" s="1" t="s">
        <v>229</v>
      </c>
      <c r="B73" s="2" t="s">
        <v>170</v>
      </c>
      <c r="C73" s="2" t="s">
        <v>87</v>
      </c>
      <c r="D73" s="14" t="s">
        <v>230</v>
      </c>
      <c r="E73" s="2" t="s">
        <v>173</v>
      </c>
      <c r="F73" s="15">
        <v>4</v>
      </c>
      <c r="G73" s="4">
        <v>80</v>
      </c>
      <c r="H73" s="5"/>
      <c r="I73" s="35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>
        <v>42</v>
      </c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</row>
    <row r="74" spans="1:68" ht="15" x14ac:dyDescent="0.2">
      <c r="A74" s="1" t="s">
        <v>231</v>
      </c>
      <c r="B74" s="2" t="s">
        <v>170</v>
      </c>
      <c r="C74" s="2" t="s">
        <v>87</v>
      </c>
      <c r="D74" s="14" t="s">
        <v>232</v>
      </c>
      <c r="E74" s="2" t="s">
        <v>173</v>
      </c>
      <c r="F74" s="15">
        <v>4</v>
      </c>
      <c r="G74" s="4">
        <v>96</v>
      </c>
      <c r="H74" s="5"/>
      <c r="I74" s="35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>
        <v>11</v>
      </c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</row>
    <row r="75" spans="1:68" ht="15" x14ac:dyDescent="0.2">
      <c r="A75" s="1" t="s">
        <v>233</v>
      </c>
      <c r="B75" s="2" t="s">
        <v>170</v>
      </c>
      <c r="C75" s="2" t="s">
        <v>87</v>
      </c>
      <c r="D75" s="14" t="s">
        <v>234</v>
      </c>
      <c r="E75" s="2" t="s">
        <v>173</v>
      </c>
      <c r="F75" s="15">
        <v>4</v>
      </c>
      <c r="G75" s="4">
        <v>128</v>
      </c>
      <c r="H75" s="5"/>
      <c r="I75" s="35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>
        <v>11</v>
      </c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>
        <v>1</v>
      </c>
      <c r="BK75" s="26"/>
      <c r="BL75" s="26"/>
      <c r="BM75" s="26"/>
      <c r="BN75" s="26"/>
      <c r="BO75" s="26">
        <v>1</v>
      </c>
      <c r="BP75" s="26"/>
    </row>
    <row r="76" spans="1:68" ht="15" x14ac:dyDescent="0.2">
      <c r="A76" s="1" t="s">
        <v>235</v>
      </c>
      <c r="B76" s="2" t="s">
        <v>170</v>
      </c>
      <c r="C76" s="2" t="s">
        <v>87</v>
      </c>
      <c r="D76" s="14" t="s">
        <v>236</v>
      </c>
      <c r="E76" s="2" t="s">
        <v>173</v>
      </c>
      <c r="F76" s="15">
        <v>6</v>
      </c>
      <c r="G76" s="4">
        <v>80</v>
      </c>
      <c r="H76" s="5"/>
      <c r="I76" s="35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>
        <v>5</v>
      </c>
      <c r="AO76" s="26"/>
      <c r="AP76" s="26"/>
      <c r="AQ76" s="26"/>
      <c r="AR76" s="26">
        <v>8</v>
      </c>
      <c r="AS76" s="28"/>
      <c r="AT76" s="26"/>
      <c r="AU76" s="26"/>
      <c r="AV76" s="26">
        <v>14</v>
      </c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</row>
    <row r="77" spans="1:68" ht="15" x14ac:dyDescent="0.2">
      <c r="A77" s="1" t="s">
        <v>237</v>
      </c>
      <c r="B77" s="2" t="s">
        <v>170</v>
      </c>
      <c r="C77" s="2" t="s">
        <v>87</v>
      </c>
      <c r="D77" s="2" t="s">
        <v>238</v>
      </c>
      <c r="E77" s="2" t="s">
        <v>173</v>
      </c>
      <c r="F77" s="3">
        <v>8</v>
      </c>
      <c r="G77" s="4">
        <v>40</v>
      </c>
      <c r="H77" s="5"/>
      <c r="I77" s="35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>
        <v>3</v>
      </c>
      <c r="BH77" s="26"/>
      <c r="BI77" s="26"/>
      <c r="BJ77" s="26"/>
      <c r="BK77" s="26"/>
      <c r="BL77" s="26"/>
      <c r="BM77" s="26"/>
      <c r="BN77" s="26"/>
      <c r="BO77" s="26"/>
      <c r="BP77" s="26"/>
    </row>
    <row r="78" spans="1:68" ht="15" x14ac:dyDescent="0.2">
      <c r="A78" s="1" t="s">
        <v>239</v>
      </c>
      <c r="B78" s="2" t="s">
        <v>170</v>
      </c>
      <c r="C78" s="2" t="s">
        <v>87</v>
      </c>
      <c r="D78" s="2" t="s">
        <v>240</v>
      </c>
      <c r="E78" s="2" t="s">
        <v>173</v>
      </c>
      <c r="F78" s="3">
        <v>8</v>
      </c>
      <c r="G78" s="4">
        <v>72</v>
      </c>
      <c r="H78" s="5"/>
      <c r="I78" s="35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>
        <v>1</v>
      </c>
      <c r="AU78" s="26"/>
      <c r="AV78" s="26"/>
      <c r="AW78" s="26">
        <v>15</v>
      </c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>
        <v>1</v>
      </c>
      <c r="BL78" s="26"/>
      <c r="BM78" s="26"/>
      <c r="BN78" s="26"/>
      <c r="BO78" s="26"/>
      <c r="BP78" s="26"/>
    </row>
    <row r="79" spans="1:68" ht="15" x14ac:dyDescent="0.2">
      <c r="A79" s="1" t="s">
        <v>241</v>
      </c>
      <c r="B79" s="2" t="s">
        <v>170</v>
      </c>
      <c r="C79" s="2" t="s">
        <v>87</v>
      </c>
      <c r="D79" s="2" t="s">
        <v>242</v>
      </c>
      <c r="E79" s="2" t="s">
        <v>173</v>
      </c>
      <c r="F79" s="3">
        <v>8</v>
      </c>
      <c r="G79" s="4">
        <v>168</v>
      </c>
      <c r="H79" s="5"/>
      <c r="I79" s="35">
        <v>8</v>
      </c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>
        <v>17</v>
      </c>
      <c r="BI79" s="26"/>
      <c r="BJ79" s="26">
        <v>5</v>
      </c>
      <c r="BK79" s="26"/>
      <c r="BL79" s="26">
        <v>1</v>
      </c>
      <c r="BM79" s="26"/>
      <c r="BN79" s="26"/>
      <c r="BO79" s="26"/>
      <c r="BP79" s="26"/>
    </row>
    <row r="80" spans="1:68" ht="15" x14ac:dyDescent="0.2">
      <c r="A80" s="16" t="s">
        <v>243</v>
      </c>
      <c r="B80" s="17" t="s">
        <v>244</v>
      </c>
      <c r="C80" s="17" t="s">
        <v>245</v>
      </c>
      <c r="D80" s="17" t="s">
        <v>246</v>
      </c>
      <c r="E80" s="2" t="s">
        <v>173</v>
      </c>
      <c r="F80" s="18">
        <v>32</v>
      </c>
      <c r="G80" s="19">
        <v>32</v>
      </c>
      <c r="H80" s="20"/>
      <c r="I80" s="35"/>
      <c r="J80" s="26"/>
      <c r="K80" s="26">
        <v>1</v>
      </c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</row>
    <row r="81" spans="1:68" ht="15" x14ac:dyDescent="0.2">
      <c r="A81" s="16" t="s">
        <v>247</v>
      </c>
      <c r="B81" s="17" t="s">
        <v>244</v>
      </c>
      <c r="C81" s="17" t="s">
        <v>245</v>
      </c>
      <c r="D81" s="17" t="s">
        <v>248</v>
      </c>
      <c r="E81" s="2" t="s">
        <v>173</v>
      </c>
      <c r="F81" s="18">
        <v>40</v>
      </c>
      <c r="G81" s="19">
        <v>40</v>
      </c>
      <c r="H81" s="20"/>
      <c r="I81" s="35"/>
      <c r="J81" s="26"/>
      <c r="K81" s="26"/>
      <c r="L81" s="26"/>
      <c r="M81" s="26"/>
      <c r="N81" s="26"/>
      <c r="O81" s="26"/>
      <c r="P81" s="26">
        <v>2</v>
      </c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>
        <v>12</v>
      </c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>
        <v>1</v>
      </c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>
        <v>40</v>
      </c>
      <c r="BO81" s="26"/>
      <c r="BP81" s="26"/>
    </row>
    <row r="82" spans="1:68" ht="15" x14ac:dyDescent="0.2">
      <c r="A82" s="16" t="s">
        <v>249</v>
      </c>
      <c r="B82" s="17" t="s">
        <v>244</v>
      </c>
      <c r="C82" s="17" t="s">
        <v>245</v>
      </c>
      <c r="D82" s="17" t="s">
        <v>250</v>
      </c>
      <c r="E82" s="2" t="s">
        <v>173</v>
      </c>
      <c r="F82" s="18">
        <v>48</v>
      </c>
      <c r="G82" s="19">
        <v>48</v>
      </c>
      <c r="H82" s="20"/>
      <c r="I82" s="35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>
        <v>3</v>
      </c>
      <c r="BA82" s="26"/>
      <c r="BB82" s="26"/>
      <c r="BC82" s="26"/>
      <c r="BD82" s="26">
        <v>4</v>
      </c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</row>
    <row r="83" spans="1:68" ht="15" x14ac:dyDescent="0.2">
      <c r="A83" s="1" t="s">
        <v>251</v>
      </c>
      <c r="B83" s="17" t="s">
        <v>244</v>
      </c>
      <c r="C83" s="17" t="s">
        <v>245</v>
      </c>
      <c r="D83" s="17" t="s">
        <v>252</v>
      </c>
      <c r="E83" s="2" t="s">
        <v>173</v>
      </c>
      <c r="F83" s="3">
        <v>24.5</v>
      </c>
      <c r="G83" s="4">
        <v>24.5</v>
      </c>
      <c r="H83" s="5"/>
      <c r="I83" s="35">
        <v>30</v>
      </c>
      <c r="J83" s="26">
        <v>17</v>
      </c>
      <c r="K83" s="26"/>
      <c r="L83" s="26">
        <v>14</v>
      </c>
      <c r="M83" s="26">
        <v>2</v>
      </c>
      <c r="N83" s="26">
        <v>19</v>
      </c>
      <c r="O83" s="26">
        <v>2</v>
      </c>
      <c r="P83" s="26">
        <v>19</v>
      </c>
      <c r="Q83" s="26">
        <v>32</v>
      </c>
      <c r="R83" s="26">
        <f>3+24</f>
        <v>27</v>
      </c>
      <c r="S83" s="26">
        <v>28</v>
      </c>
      <c r="T83" s="26">
        <v>14</v>
      </c>
      <c r="U83" s="26">
        <v>3</v>
      </c>
      <c r="V83" s="26">
        <v>13</v>
      </c>
      <c r="W83" s="26"/>
      <c r="X83" s="26">
        <v>13</v>
      </c>
      <c r="Y83" s="26"/>
      <c r="Z83" s="26">
        <v>9</v>
      </c>
      <c r="AA83" s="26">
        <v>18</v>
      </c>
      <c r="AB83" s="26">
        <f>10+2</f>
        <v>12</v>
      </c>
      <c r="AC83" s="26"/>
      <c r="AD83" s="26">
        <v>754</v>
      </c>
      <c r="AE83" s="26">
        <v>67</v>
      </c>
      <c r="AF83" s="26">
        <v>474</v>
      </c>
      <c r="AG83" s="37">
        <v>111</v>
      </c>
      <c r="AH83" s="26">
        <v>669</v>
      </c>
      <c r="AI83" s="26">
        <v>169</v>
      </c>
      <c r="AJ83" s="26">
        <v>604</v>
      </c>
      <c r="AK83" s="26">
        <v>730</v>
      </c>
      <c r="AL83" s="26">
        <v>622</v>
      </c>
      <c r="AM83" s="26">
        <v>14</v>
      </c>
      <c r="AN83" s="26">
        <v>7</v>
      </c>
      <c r="AO83" s="26">
        <v>3</v>
      </c>
      <c r="AP83" s="26">
        <v>12</v>
      </c>
      <c r="AQ83" s="26">
        <v>4</v>
      </c>
      <c r="AR83" s="26">
        <v>5</v>
      </c>
      <c r="AS83" s="26"/>
      <c r="AT83" s="26"/>
      <c r="AU83" s="26">
        <f>4+4</f>
        <v>8</v>
      </c>
      <c r="AV83" s="26">
        <v>2</v>
      </c>
      <c r="AW83" s="26">
        <v>791</v>
      </c>
      <c r="AX83" s="26">
        <v>467</v>
      </c>
      <c r="AY83" s="26">
        <v>77</v>
      </c>
      <c r="AZ83" s="26">
        <v>167</v>
      </c>
      <c r="BA83" s="26">
        <v>120</v>
      </c>
      <c r="BB83" s="26">
        <v>237</v>
      </c>
      <c r="BC83" s="26">
        <v>179</v>
      </c>
      <c r="BD83" s="26">
        <v>542</v>
      </c>
      <c r="BE83" s="26">
        <v>356</v>
      </c>
      <c r="BF83" s="26">
        <v>802</v>
      </c>
      <c r="BG83" s="26">
        <v>46</v>
      </c>
      <c r="BH83" s="26">
        <v>11</v>
      </c>
      <c r="BI83" s="26">
        <v>10</v>
      </c>
      <c r="BJ83" s="26">
        <v>15</v>
      </c>
      <c r="BK83" s="26">
        <v>3</v>
      </c>
      <c r="BL83" s="26">
        <v>11</v>
      </c>
      <c r="BM83" s="26">
        <v>8</v>
      </c>
      <c r="BN83" s="26"/>
      <c r="BO83" s="26">
        <v>29</v>
      </c>
      <c r="BP83" s="26">
        <v>29</v>
      </c>
    </row>
    <row r="84" spans="1:68" ht="15" x14ac:dyDescent="0.2">
      <c r="A84" s="16" t="s">
        <v>253</v>
      </c>
      <c r="B84" s="17" t="s">
        <v>244</v>
      </c>
      <c r="C84" s="17" t="s">
        <v>254</v>
      </c>
      <c r="D84" s="17" t="s">
        <v>255</v>
      </c>
      <c r="E84" s="2" t="s">
        <v>173</v>
      </c>
      <c r="F84" s="18">
        <v>4</v>
      </c>
      <c r="G84" s="19">
        <v>20</v>
      </c>
      <c r="H84" s="20"/>
      <c r="I84" s="35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>
        <v>3</v>
      </c>
      <c r="BH84" s="26"/>
      <c r="BI84" s="26"/>
      <c r="BJ84" s="26"/>
      <c r="BK84" s="26"/>
      <c r="BL84" s="26">
        <v>7</v>
      </c>
      <c r="BM84" s="26"/>
      <c r="BN84" s="26"/>
      <c r="BO84" s="26"/>
      <c r="BP84" s="26"/>
    </row>
    <row r="85" spans="1:68" ht="15" x14ac:dyDescent="0.2">
      <c r="A85" s="16" t="s">
        <v>256</v>
      </c>
      <c r="B85" s="17" t="s">
        <v>244</v>
      </c>
      <c r="C85" s="17" t="s">
        <v>254</v>
      </c>
      <c r="D85" s="17" t="s">
        <v>257</v>
      </c>
      <c r="E85" s="2" t="s">
        <v>173</v>
      </c>
      <c r="F85" s="18">
        <v>4</v>
      </c>
      <c r="G85" s="19">
        <v>32</v>
      </c>
      <c r="H85" s="20"/>
      <c r="I85" s="35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>
        <v>1</v>
      </c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>
        <v>105</v>
      </c>
      <c r="BH85" s="26"/>
      <c r="BI85" s="26"/>
      <c r="BJ85" s="26"/>
      <c r="BK85" s="26"/>
      <c r="BL85" s="26"/>
      <c r="BM85" s="26"/>
      <c r="BN85" s="26"/>
      <c r="BO85" s="26"/>
      <c r="BP85" s="26"/>
    </row>
    <row r="86" spans="1:68" ht="15" x14ac:dyDescent="0.2">
      <c r="A86" s="16" t="s">
        <v>258</v>
      </c>
      <c r="B86" s="17" t="s">
        <v>244</v>
      </c>
      <c r="C86" s="17" t="s">
        <v>254</v>
      </c>
      <c r="D86" s="17" t="s">
        <v>259</v>
      </c>
      <c r="E86" s="2" t="s">
        <v>173</v>
      </c>
      <c r="F86" s="18">
        <v>4</v>
      </c>
      <c r="G86" s="19">
        <v>64</v>
      </c>
      <c r="H86" s="20"/>
      <c r="I86" s="35">
        <v>1</v>
      </c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>
        <v>3</v>
      </c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>
        <v>2</v>
      </c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</row>
    <row r="87" spans="1:68" ht="15" x14ac:dyDescent="0.2">
      <c r="A87" s="16" t="s">
        <v>260</v>
      </c>
      <c r="B87" s="17" t="s">
        <v>244</v>
      </c>
      <c r="C87" s="17" t="s">
        <v>254</v>
      </c>
      <c r="D87" s="17" t="s">
        <v>261</v>
      </c>
      <c r="E87" s="2" t="s">
        <v>173</v>
      </c>
      <c r="F87" s="18">
        <v>4</v>
      </c>
      <c r="G87" s="19">
        <v>104</v>
      </c>
      <c r="H87" s="20"/>
      <c r="I87" s="35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>
        <v>1</v>
      </c>
      <c r="AB87" s="28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>
        <v>1</v>
      </c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</row>
    <row r="88" spans="1:68" ht="15" x14ac:dyDescent="0.2">
      <c r="A88" s="16" t="s">
        <v>262</v>
      </c>
      <c r="B88" s="17" t="s">
        <v>244</v>
      </c>
      <c r="C88" s="17" t="s">
        <v>254</v>
      </c>
      <c r="D88" s="17" t="s">
        <v>263</v>
      </c>
      <c r="E88" s="2" t="s">
        <v>173</v>
      </c>
      <c r="F88" s="18">
        <v>4</v>
      </c>
      <c r="G88" s="19">
        <v>160</v>
      </c>
      <c r="H88" s="20"/>
      <c r="I88" s="35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>
        <v>6</v>
      </c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>
        <v>1</v>
      </c>
      <c r="BL88" s="26"/>
      <c r="BM88" s="26"/>
      <c r="BN88" s="26"/>
      <c r="BO88" s="26"/>
      <c r="BP88" s="26">
        <v>49</v>
      </c>
    </row>
    <row r="89" spans="1:68" ht="15" x14ac:dyDescent="0.2">
      <c r="A89" s="16" t="s">
        <v>264</v>
      </c>
      <c r="B89" s="17" t="s">
        <v>244</v>
      </c>
      <c r="C89" s="17" t="s">
        <v>254</v>
      </c>
      <c r="D89" s="17" t="s">
        <v>265</v>
      </c>
      <c r="E89" s="2" t="s">
        <v>173</v>
      </c>
      <c r="F89" s="18">
        <v>6</v>
      </c>
      <c r="G89" s="19">
        <v>176</v>
      </c>
      <c r="H89" s="20"/>
      <c r="I89" s="35"/>
      <c r="J89" s="26"/>
      <c r="K89" s="26"/>
      <c r="L89" s="26"/>
      <c r="M89" s="26"/>
      <c r="N89" s="26"/>
      <c r="O89" s="26"/>
      <c r="P89" s="26"/>
      <c r="Q89" s="26"/>
      <c r="R89" s="26"/>
      <c r="S89" s="26">
        <v>3</v>
      </c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>
        <v>58</v>
      </c>
      <c r="BM89" s="26"/>
      <c r="BN89" s="26"/>
      <c r="BO89" s="26"/>
      <c r="BP89" s="26"/>
    </row>
    <row r="90" spans="1:68" ht="15" x14ac:dyDescent="0.2">
      <c r="A90" s="16" t="s">
        <v>266</v>
      </c>
      <c r="B90" s="17" t="s">
        <v>244</v>
      </c>
      <c r="C90" s="17" t="s">
        <v>254</v>
      </c>
      <c r="D90" s="17" t="s">
        <v>267</v>
      </c>
      <c r="E90" s="2" t="s">
        <v>173</v>
      </c>
      <c r="F90" s="18">
        <v>6</v>
      </c>
      <c r="G90" s="19">
        <v>248</v>
      </c>
      <c r="H90" s="20"/>
      <c r="I90" s="35">
        <v>1</v>
      </c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>
        <v>1</v>
      </c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</row>
    <row r="91" spans="1:68" ht="15" x14ac:dyDescent="0.2">
      <c r="A91" s="16" t="s">
        <v>268</v>
      </c>
      <c r="B91" s="17" t="s">
        <v>244</v>
      </c>
      <c r="C91" s="17" t="s">
        <v>254</v>
      </c>
      <c r="D91" s="17" t="s">
        <v>269</v>
      </c>
      <c r="E91" s="2" t="s">
        <v>173</v>
      </c>
      <c r="F91" s="18">
        <v>8</v>
      </c>
      <c r="G91" s="19">
        <v>80</v>
      </c>
      <c r="H91" s="20"/>
      <c r="I91" s="35"/>
      <c r="J91" s="26"/>
      <c r="K91" s="26"/>
      <c r="L91" s="26">
        <v>1</v>
      </c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>
        <v>2</v>
      </c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>
        <v>4</v>
      </c>
      <c r="BH91" s="26"/>
      <c r="BI91" s="26">
        <v>2</v>
      </c>
      <c r="BJ91" s="26"/>
      <c r="BK91" s="26"/>
      <c r="BL91" s="26"/>
      <c r="BM91" s="26"/>
      <c r="BN91" s="26"/>
      <c r="BO91" s="26"/>
      <c r="BP91" s="26"/>
    </row>
    <row r="92" spans="1:68" ht="15" x14ac:dyDescent="0.2">
      <c r="A92" s="16" t="s">
        <v>270</v>
      </c>
      <c r="B92" s="17" t="s">
        <v>244</v>
      </c>
      <c r="C92" s="17" t="s">
        <v>254</v>
      </c>
      <c r="D92" s="17" t="s">
        <v>271</v>
      </c>
      <c r="E92" s="2" t="s">
        <v>173</v>
      </c>
      <c r="F92" s="18">
        <v>8</v>
      </c>
      <c r="G92" s="19">
        <v>120</v>
      </c>
      <c r="H92" s="20"/>
      <c r="I92" s="35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>
        <v>1</v>
      </c>
      <c r="AD92" s="26"/>
      <c r="AE92" s="26"/>
      <c r="AF92" s="26">
        <v>6</v>
      </c>
      <c r="AG92" s="28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>
        <v>1</v>
      </c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</row>
    <row r="93" spans="1:68" ht="14" x14ac:dyDescent="0.2">
      <c r="A93" s="16" t="s">
        <v>272</v>
      </c>
      <c r="B93" s="17" t="s">
        <v>244</v>
      </c>
      <c r="C93" s="17" t="s">
        <v>254</v>
      </c>
      <c r="D93" s="17" t="s">
        <v>273</v>
      </c>
      <c r="E93" s="17" t="s">
        <v>274</v>
      </c>
      <c r="F93" s="18">
        <v>8</v>
      </c>
      <c r="G93" s="19">
        <v>136</v>
      </c>
      <c r="H93" s="20">
        <v>8</v>
      </c>
      <c r="I93" s="35"/>
      <c r="J93" s="26"/>
      <c r="K93" s="26"/>
      <c r="L93" s="26"/>
      <c r="M93" s="26"/>
      <c r="N93" s="26"/>
      <c r="O93" s="26"/>
      <c r="P93" s="26">
        <v>3</v>
      </c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>
        <v>2</v>
      </c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</row>
    <row r="94" spans="1:68" ht="14" x14ac:dyDescent="0.2">
      <c r="A94" s="16" t="s">
        <v>275</v>
      </c>
      <c r="B94" s="17" t="s">
        <v>244</v>
      </c>
      <c r="C94" s="17" t="s">
        <v>254</v>
      </c>
      <c r="D94" s="17" t="s">
        <v>276</v>
      </c>
      <c r="E94" s="17" t="s">
        <v>173</v>
      </c>
      <c r="F94" s="18">
        <v>8</v>
      </c>
      <c r="G94" s="19">
        <v>144</v>
      </c>
      <c r="H94" s="20"/>
      <c r="I94" s="35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>
        <v>10</v>
      </c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</row>
    <row r="95" spans="1:68" ht="14" x14ac:dyDescent="0.2">
      <c r="A95" s="16" t="s">
        <v>277</v>
      </c>
      <c r="B95" s="17" t="s">
        <v>244</v>
      </c>
      <c r="C95" s="17" t="s">
        <v>254</v>
      </c>
      <c r="D95" s="17" t="s">
        <v>278</v>
      </c>
      <c r="E95" s="17" t="s">
        <v>274</v>
      </c>
      <c r="F95" s="18">
        <v>8</v>
      </c>
      <c r="G95" s="19">
        <v>160</v>
      </c>
      <c r="H95" s="20">
        <v>8</v>
      </c>
      <c r="I95" s="35"/>
      <c r="J95" s="26"/>
      <c r="K95" s="26"/>
      <c r="L95" s="26"/>
      <c r="M95" s="26"/>
      <c r="N95" s="26"/>
      <c r="O95" s="26"/>
      <c r="P95" s="26"/>
      <c r="Q95" s="28"/>
      <c r="R95" s="26">
        <v>4</v>
      </c>
      <c r="S95" s="26">
        <v>1</v>
      </c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>
        <v>9</v>
      </c>
      <c r="AE95" s="26"/>
      <c r="AF95" s="26">
        <v>2</v>
      </c>
      <c r="AG95" s="28"/>
      <c r="AH95" s="26">
        <v>3</v>
      </c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>
        <v>1</v>
      </c>
      <c r="BI95" s="26"/>
      <c r="BJ95" s="26">
        <v>28</v>
      </c>
      <c r="BK95" s="26"/>
      <c r="BL95" s="26"/>
      <c r="BM95" s="26"/>
      <c r="BN95" s="26"/>
      <c r="BO95" s="26"/>
      <c r="BP95" s="26"/>
    </row>
    <row r="96" spans="1:68" ht="14" x14ac:dyDescent="0.2">
      <c r="A96" s="16" t="s">
        <v>279</v>
      </c>
      <c r="B96" s="17" t="s">
        <v>244</v>
      </c>
      <c r="C96" s="17" t="s">
        <v>254</v>
      </c>
      <c r="D96" s="17" t="s">
        <v>280</v>
      </c>
      <c r="E96" s="17" t="s">
        <v>173</v>
      </c>
      <c r="F96" s="18">
        <v>8</v>
      </c>
      <c r="G96" s="19">
        <v>200</v>
      </c>
      <c r="H96" s="20"/>
      <c r="I96" s="35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>
        <v>7</v>
      </c>
      <c r="AK96" s="26"/>
      <c r="AL96" s="26">
        <v>3</v>
      </c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>
        <v>1</v>
      </c>
      <c r="BG96" s="26"/>
      <c r="BH96" s="26"/>
      <c r="BI96" s="26"/>
      <c r="BJ96" s="26"/>
      <c r="BK96" s="26"/>
      <c r="BL96" s="26"/>
      <c r="BM96" s="26"/>
      <c r="BN96" s="26"/>
      <c r="BO96" s="26"/>
      <c r="BP96" s="26"/>
    </row>
    <row r="97" spans="1:68" ht="14" x14ac:dyDescent="0.2">
      <c r="A97" s="16" t="s">
        <v>281</v>
      </c>
      <c r="B97" s="17" t="s">
        <v>244</v>
      </c>
      <c r="C97" s="17" t="s">
        <v>254</v>
      </c>
      <c r="D97" s="17" t="s">
        <v>282</v>
      </c>
      <c r="E97" s="17" t="s">
        <v>173</v>
      </c>
      <c r="F97" s="18">
        <v>8</v>
      </c>
      <c r="G97" s="19">
        <v>256</v>
      </c>
      <c r="H97" s="20"/>
      <c r="I97" s="35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>
        <v>1</v>
      </c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>
        <v>3</v>
      </c>
      <c r="BN97" s="26"/>
      <c r="BO97" s="26">
        <v>12</v>
      </c>
      <c r="BP97" s="26">
        <v>14</v>
      </c>
    </row>
    <row r="98" spans="1:68" ht="14" x14ac:dyDescent="0.2">
      <c r="A98" s="16" t="s">
        <v>283</v>
      </c>
      <c r="B98" s="17" t="s">
        <v>244</v>
      </c>
      <c r="C98" s="17" t="s">
        <v>254</v>
      </c>
      <c r="D98" s="17" t="s">
        <v>284</v>
      </c>
      <c r="E98" s="17" t="s">
        <v>173</v>
      </c>
      <c r="F98" s="18">
        <v>8</v>
      </c>
      <c r="G98" s="19">
        <v>408</v>
      </c>
      <c r="H98" s="20"/>
      <c r="I98" s="35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>
        <v>1</v>
      </c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</row>
    <row r="99" spans="1:68" ht="14" x14ac:dyDescent="0.2">
      <c r="A99" s="16" t="s">
        <v>285</v>
      </c>
      <c r="B99" s="17" t="s">
        <v>244</v>
      </c>
      <c r="C99" s="17" t="s">
        <v>254</v>
      </c>
      <c r="D99" s="17" t="s">
        <v>286</v>
      </c>
      <c r="E99" s="17" t="s">
        <v>173</v>
      </c>
      <c r="F99" s="18">
        <v>12</v>
      </c>
      <c r="G99" s="19">
        <v>128</v>
      </c>
      <c r="H99" s="20"/>
      <c r="I99" s="35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>
        <v>1</v>
      </c>
      <c r="AE99" s="26"/>
      <c r="AF99" s="26"/>
      <c r="AG99" s="26"/>
      <c r="AH99" s="26"/>
      <c r="AI99" s="26"/>
      <c r="AJ99" s="26"/>
      <c r="AK99" s="26"/>
      <c r="AL99" s="26"/>
      <c r="AM99" s="26">
        <v>1</v>
      </c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</row>
    <row r="100" spans="1:68" ht="14" x14ac:dyDescent="0.2">
      <c r="A100" s="16" t="s">
        <v>287</v>
      </c>
      <c r="B100" s="17" t="s">
        <v>244</v>
      </c>
      <c r="C100" s="17" t="s">
        <v>254</v>
      </c>
      <c r="D100" s="17" t="s">
        <v>288</v>
      </c>
      <c r="E100" s="17" t="s">
        <v>173</v>
      </c>
      <c r="F100" s="18">
        <v>16</v>
      </c>
      <c r="G100" s="19">
        <v>160</v>
      </c>
      <c r="H100" s="20"/>
      <c r="I100" s="35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>
        <v>1</v>
      </c>
      <c r="BF100" s="26"/>
      <c r="BG100" s="26">
        <v>14</v>
      </c>
      <c r="BH100" s="26"/>
      <c r="BI100" s="26"/>
      <c r="BJ100" s="26"/>
      <c r="BK100" s="26"/>
      <c r="BL100" s="26">
        <v>1</v>
      </c>
      <c r="BM100" s="26">
        <v>1</v>
      </c>
      <c r="BN100" s="26"/>
      <c r="BO100" s="26"/>
      <c r="BP100" s="26"/>
    </row>
    <row r="101" spans="1:68" ht="14" x14ac:dyDescent="0.2">
      <c r="A101" s="16" t="s">
        <v>289</v>
      </c>
      <c r="B101" s="17" t="s">
        <v>244</v>
      </c>
      <c r="C101" s="17" t="s">
        <v>254</v>
      </c>
      <c r="D101" s="17" t="s">
        <v>290</v>
      </c>
      <c r="E101" s="17" t="s">
        <v>173</v>
      </c>
      <c r="F101" s="18">
        <v>16</v>
      </c>
      <c r="G101" s="19">
        <v>240</v>
      </c>
      <c r="H101" s="20"/>
      <c r="I101" s="35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8"/>
      <c r="X101" s="26">
        <v>2</v>
      </c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>
        <v>1</v>
      </c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>
        <v>1</v>
      </c>
      <c r="BH101" s="26"/>
      <c r="BI101" s="26"/>
      <c r="BJ101" s="26"/>
      <c r="BK101" s="26"/>
      <c r="BL101" s="26"/>
      <c r="BM101" s="26"/>
      <c r="BN101" s="26">
        <v>4</v>
      </c>
      <c r="BO101" s="26">
        <v>2</v>
      </c>
      <c r="BP101" s="26">
        <v>5</v>
      </c>
    </row>
    <row r="102" spans="1:68" ht="14" x14ac:dyDescent="0.2">
      <c r="A102" s="16" t="s">
        <v>291</v>
      </c>
      <c r="B102" s="17" t="s">
        <v>244</v>
      </c>
      <c r="C102" s="17" t="s">
        <v>254</v>
      </c>
      <c r="D102" s="17" t="s">
        <v>292</v>
      </c>
      <c r="E102" s="17" t="s">
        <v>173</v>
      </c>
      <c r="F102" s="18">
        <v>24</v>
      </c>
      <c r="G102" s="19">
        <v>64</v>
      </c>
      <c r="H102" s="20"/>
      <c r="I102" s="35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>
        <v>2</v>
      </c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>
        <v>1</v>
      </c>
      <c r="BG102" s="26">
        <v>4</v>
      </c>
      <c r="BH102" s="26"/>
      <c r="BI102" s="26"/>
      <c r="BJ102" s="26"/>
      <c r="BK102" s="26"/>
      <c r="BL102" s="26"/>
      <c r="BM102" s="26"/>
      <c r="BN102" s="26"/>
      <c r="BO102" s="26"/>
      <c r="BP102" s="26"/>
    </row>
    <row r="103" spans="1:68" ht="14" x14ac:dyDescent="0.2">
      <c r="A103" s="16" t="s">
        <v>293</v>
      </c>
      <c r="B103" s="17" t="s">
        <v>244</v>
      </c>
      <c r="C103" s="17" t="s">
        <v>254</v>
      </c>
      <c r="D103" s="17" t="s">
        <v>294</v>
      </c>
      <c r="E103" s="17" t="s">
        <v>173</v>
      </c>
      <c r="F103" s="18">
        <v>32</v>
      </c>
      <c r="G103" s="19">
        <v>1400</v>
      </c>
      <c r="H103" s="20"/>
      <c r="I103" s="35">
        <v>1</v>
      </c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</row>
    <row r="104" spans="1:68" ht="14" x14ac:dyDescent="0.2">
      <c r="A104" s="16" t="s">
        <v>295</v>
      </c>
      <c r="B104" s="17" t="s">
        <v>244</v>
      </c>
      <c r="C104" s="17" t="s">
        <v>296</v>
      </c>
      <c r="D104" s="17" t="s">
        <v>297</v>
      </c>
      <c r="E104" s="17" t="s">
        <v>98</v>
      </c>
      <c r="F104" s="18">
        <v>16</v>
      </c>
      <c r="G104" s="19">
        <v>32</v>
      </c>
      <c r="H104" s="20"/>
      <c r="I104" s="35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>
        <v>1</v>
      </c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>
        <v>1</v>
      </c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>
        <v>1</v>
      </c>
      <c r="BH104" s="26"/>
      <c r="BI104" s="26">
        <v>1</v>
      </c>
      <c r="BJ104" s="26"/>
      <c r="BK104" s="26">
        <v>1</v>
      </c>
      <c r="BL104" s="26"/>
      <c r="BM104" s="26"/>
      <c r="BN104" s="26">
        <v>1</v>
      </c>
      <c r="BO104" s="26"/>
      <c r="BP104" s="26"/>
    </row>
    <row r="105" spans="1:68" ht="14" x14ac:dyDescent="0.2">
      <c r="A105" s="16" t="s">
        <v>298</v>
      </c>
      <c r="B105" s="17" t="s">
        <v>244</v>
      </c>
      <c r="C105" s="17" t="s">
        <v>296</v>
      </c>
      <c r="D105" s="17" t="s">
        <v>299</v>
      </c>
      <c r="E105" s="17" t="s">
        <v>98</v>
      </c>
      <c r="F105" s="18">
        <v>32</v>
      </c>
      <c r="G105" s="19">
        <v>48</v>
      </c>
      <c r="H105" s="20"/>
      <c r="I105" s="35"/>
      <c r="J105" s="26"/>
      <c r="K105" s="26"/>
      <c r="L105" s="26"/>
      <c r="M105" s="26"/>
      <c r="N105" s="26"/>
      <c r="O105" s="26"/>
      <c r="P105" s="26"/>
      <c r="Q105" s="26"/>
      <c r="R105" s="26"/>
      <c r="S105" s="26">
        <v>5</v>
      </c>
      <c r="T105" s="26"/>
      <c r="U105" s="26"/>
      <c r="V105" s="26"/>
      <c r="W105" s="26"/>
      <c r="X105" s="26">
        <v>1</v>
      </c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>
        <v>2</v>
      </c>
      <c r="BJ105" s="26"/>
      <c r="BK105" s="26"/>
      <c r="BL105" s="26"/>
      <c r="BM105" s="26"/>
      <c r="BN105" s="26">
        <v>3</v>
      </c>
      <c r="BO105" s="26">
        <v>4</v>
      </c>
      <c r="BP105" s="26"/>
    </row>
    <row r="106" spans="1:68" ht="14" x14ac:dyDescent="0.2">
      <c r="A106" s="16" t="s">
        <v>300</v>
      </c>
      <c r="B106" s="17" t="s">
        <v>244</v>
      </c>
      <c r="C106" s="17" t="s">
        <v>296</v>
      </c>
      <c r="D106" s="17" t="s">
        <v>301</v>
      </c>
      <c r="E106" s="17" t="s">
        <v>98</v>
      </c>
      <c r="F106" s="18">
        <v>32</v>
      </c>
      <c r="G106" s="19">
        <v>80</v>
      </c>
      <c r="H106" s="20"/>
      <c r="I106" s="35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>
        <v>1</v>
      </c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>
        <v>4</v>
      </c>
      <c r="BH106" s="26">
        <v>1</v>
      </c>
      <c r="BI106" s="26"/>
      <c r="BJ106" s="26">
        <v>1</v>
      </c>
      <c r="BK106" s="26"/>
      <c r="BL106" s="26"/>
      <c r="BM106" s="26"/>
      <c r="BN106" s="26"/>
      <c r="BO106" s="26"/>
      <c r="BP106" s="26">
        <v>3</v>
      </c>
    </row>
    <row r="107" spans="1:68" ht="14" x14ac:dyDescent="0.2">
      <c r="A107" s="16" t="s">
        <v>302</v>
      </c>
      <c r="B107" s="17" t="s">
        <v>244</v>
      </c>
      <c r="C107" s="17" t="s">
        <v>87</v>
      </c>
      <c r="D107" s="17" t="s">
        <v>303</v>
      </c>
      <c r="E107" s="17" t="s">
        <v>98</v>
      </c>
      <c r="F107" s="18">
        <v>8</v>
      </c>
      <c r="G107" s="19">
        <v>24</v>
      </c>
      <c r="H107" s="20"/>
      <c r="I107" s="35"/>
      <c r="J107" s="26"/>
      <c r="K107" s="26"/>
      <c r="L107" s="26"/>
      <c r="M107" s="26">
        <v>1</v>
      </c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>
        <v>2</v>
      </c>
      <c r="BM107" s="26"/>
      <c r="BN107" s="26"/>
      <c r="BO107" s="26"/>
      <c r="BP107" s="26"/>
    </row>
    <row r="108" spans="1:68" ht="14" x14ac:dyDescent="0.2">
      <c r="A108" s="16" t="s">
        <v>304</v>
      </c>
      <c r="B108" s="17" t="s">
        <v>244</v>
      </c>
      <c r="C108" s="17" t="s">
        <v>87</v>
      </c>
      <c r="D108" s="17" t="s">
        <v>305</v>
      </c>
      <c r="E108" s="17" t="s">
        <v>98</v>
      </c>
      <c r="F108" s="18">
        <v>9.6</v>
      </c>
      <c r="G108" s="19">
        <v>24</v>
      </c>
      <c r="H108" s="20"/>
      <c r="I108" s="35"/>
      <c r="J108" s="26"/>
      <c r="K108" s="26"/>
      <c r="L108" s="26"/>
      <c r="M108" s="26"/>
      <c r="N108" s="26"/>
      <c r="O108" s="26"/>
      <c r="P108" s="26"/>
      <c r="Q108" s="26"/>
      <c r="R108" s="26"/>
      <c r="S108" s="26">
        <v>3</v>
      </c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</row>
    <row r="109" spans="1:68" ht="14" x14ac:dyDescent="0.2">
      <c r="A109" s="16" t="s">
        <v>306</v>
      </c>
      <c r="B109" s="17" t="s">
        <v>244</v>
      </c>
      <c r="C109" s="17" t="s">
        <v>87</v>
      </c>
      <c r="D109" s="17" t="s">
        <v>307</v>
      </c>
      <c r="E109" s="17" t="s">
        <v>92</v>
      </c>
      <c r="F109" s="18">
        <v>16</v>
      </c>
      <c r="G109" s="19">
        <v>32</v>
      </c>
      <c r="H109" s="21">
        <v>16</v>
      </c>
      <c r="I109" s="35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>
        <v>1</v>
      </c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</row>
    <row r="110" spans="1:68" ht="14" x14ac:dyDescent="0.2">
      <c r="A110" s="16" t="s">
        <v>308</v>
      </c>
      <c r="B110" s="17" t="s">
        <v>244</v>
      </c>
      <c r="C110" s="17" t="s">
        <v>309</v>
      </c>
      <c r="D110" s="17" t="s">
        <v>310</v>
      </c>
      <c r="E110" s="17" t="s">
        <v>92</v>
      </c>
      <c r="F110" s="18">
        <v>2</v>
      </c>
      <c r="G110" s="19">
        <v>96</v>
      </c>
      <c r="H110" s="21">
        <v>2</v>
      </c>
      <c r="I110" s="35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>
        <v>1</v>
      </c>
      <c r="BN110" s="26">
        <v>1</v>
      </c>
      <c r="BO110" s="26"/>
      <c r="BP110" s="26">
        <v>4</v>
      </c>
    </row>
    <row r="111" spans="1:68" ht="14" x14ac:dyDescent="0.2">
      <c r="A111" s="16" t="s">
        <v>311</v>
      </c>
      <c r="B111" s="17" t="s">
        <v>244</v>
      </c>
      <c r="C111" s="17" t="s">
        <v>309</v>
      </c>
      <c r="D111" s="17" t="s">
        <v>312</v>
      </c>
      <c r="E111" s="17" t="s">
        <v>173</v>
      </c>
      <c r="F111" s="18">
        <v>4</v>
      </c>
      <c r="G111" s="19">
        <v>16</v>
      </c>
      <c r="H111" s="20"/>
      <c r="I111" s="35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>
        <v>8</v>
      </c>
      <c r="BH111" s="26"/>
      <c r="BI111" s="26"/>
      <c r="BJ111" s="26"/>
      <c r="BK111" s="26"/>
      <c r="BL111" s="26"/>
      <c r="BM111" s="26"/>
      <c r="BN111" s="26"/>
      <c r="BO111" s="26"/>
      <c r="BP111" s="26"/>
    </row>
    <row r="112" spans="1:68" ht="14" x14ac:dyDescent="0.2">
      <c r="A112" s="16" t="s">
        <v>313</v>
      </c>
      <c r="B112" s="17" t="s">
        <v>244</v>
      </c>
      <c r="C112" s="17" t="s">
        <v>309</v>
      </c>
      <c r="D112" s="17" t="s">
        <v>314</v>
      </c>
      <c r="E112" s="17" t="s">
        <v>173</v>
      </c>
      <c r="F112" s="18">
        <v>4</v>
      </c>
      <c r="G112" s="19">
        <v>24</v>
      </c>
      <c r="H112" s="20"/>
      <c r="I112" s="35"/>
      <c r="J112" s="26"/>
      <c r="K112" s="26"/>
      <c r="L112" s="26"/>
      <c r="M112" s="26"/>
      <c r="N112" s="26"/>
      <c r="O112" s="26"/>
      <c r="P112" s="26"/>
      <c r="Q112" s="26"/>
      <c r="R112" s="26"/>
      <c r="S112" s="26">
        <v>2</v>
      </c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>
        <v>4</v>
      </c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>
        <v>33</v>
      </c>
      <c r="BH112" s="26"/>
      <c r="BI112" s="26"/>
      <c r="BJ112" s="26"/>
      <c r="BK112" s="26"/>
      <c r="BL112" s="26"/>
      <c r="BM112" s="26"/>
      <c r="BN112" s="26"/>
      <c r="BO112" s="26"/>
      <c r="BP112" s="26"/>
    </row>
    <row r="113" spans="1:68" ht="14" x14ac:dyDescent="0.2">
      <c r="A113" s="16" t="s">
        <v>315</v>
      </c>
      <c r="B113" s="17" t="s">
        <v>244</v>
      </c>
      <c r="C113" s="17" t="s">
        <v>309</v>
      </c>
      <c r="D113" s="17" t="s">
        <v>316</v>
      </c>
      <c r="E113" s="17" t="s">
        <v>173</v>
      </c>
      <c r="F113" s="18">
        <v>4</v>
      </c>
      <c r="G113" s="19">
        <v>32</v>
      </c>
      <c r="H113" s="22"/>
      <c r="I113" s="35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>
        <v>4</v>
      </c>
      <c r="BO113" s="26">
        <v>12</v>
      </c>
      <c r="BP113" s="26"/>
    </row>
    <row r="114" spans="1:68" ht="14" x14ac:dyDescent="0.2">
      <c r="A114" s="16" t="s">
        <v>317</v>
      </c>
      <c r="B114" s="17" t="s">
        <v>244</v>
      </c>
      <c r="C114" s="17" t="s">
        <v>309</v>
      </c>
      <c r="D114" s="17" t="s">
        <v>318</v>
      </c>
      <c r="E114" s="17" t="s">
        <v>92</v>
      </c>
      <c r="F114" s="18">
        <v>4</v>
      </c>
      <c r="G114" s="19">
        <v>40</v>
      </c>
      <c r="H114" s="21">
        <v>4</v>
      </c>
      <c r="I114" s="35"/>
      <c r="J114" s="26"/>
      <c r="K114" s="26"/>
      <c r="L114" s="26">
        <v>2</v>
      </c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>
        <v>17</v>
      </c>
      <c r="AN114" s="26"/>
      <c r="AO114" s="26">
        <f>1+1</f>
        <v>2</v>
      </c>
      <c r="AP114" s="26"/>
      <c r="AQ114" s="26"/>
      <c r="AR114" s="26"/>
      <c r="AS114" s="26"/>
      <c r="AT114" s="26"/>
      <c r="AU114" s="26">
        <f>4+11</f>
        <v>15</v>
      </c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</row>
    <row r="115" spans="1:68" ht="14" x14ac:dyDescent="0.2">
      <c r="A115" s="16" t="s">
        <v>319</v>
      </c>
      <c r="B115" s="17" t="s">
        <v>244</v>
      </c>
      <c r="C115" s="17" t="s">
        <v>309</v>
      </c>
      <c r="D115" s="17" t="s">
        <v>320</v>
      </c>
      <c r="E115" s="17" t="s">
        <v>92</v>
      </c>
      <c r="F115" s="18">
        <v>4</v>
      </c>
      <c r="G115" s="19">
        <v>56</v>
      </c>
      <c r="H115" s="21">
        <v>4</v>
      </c>
      <c r="I115" s="35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>
        <v>8</v>
      </c>
      <c r="BN115" s="26"/>
      <c r="BO115" s="26"/>
      <c r="BP115" s="26">
        <v>81</v>
      </c>
    </row>
    <row r="116" spans="1:68" ht="14" x14ac:dyDescent="0.2">
      <c r="A116" s="16" t="s">
        <v>321</v>
      </c>
      <c r="B116" s="17" t="s">
        <v>244</v>
      </c>
      <c r="C116" s="17" t="s">
        <v>309</v>
      </c>
      <c r="D116" s="17" t="s">
        <v>322</v>
      </c>
      <c r="E116" s="17" t="s">
        <v>92</v>
      </c>
      <c r="F116" s="18">
        <v>4</v>
      </c>
      <c r="G116" s="19">
        <v>64</v>
      </c>
      <c r="H116" s="21">
        <v>4</v>
      </c>
      <c r="I116" s="35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>
        <v>1</v>
      </c>
      <c r="AO116" s="26">
        <v>1</v>
      </c>
      <c r="AP116" s="26">
        <v>1</v>
      </c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>
        <v>1</v>
      </c>
      <c r="BL116" s="26"/>
      <c r="BM116" s="26"/>
      <c r="BN116" s="26"/>
      <c r="BO116" s="26">
        <f>74+12</f>
        <v>86</v>
      </c>
      <c r="BP116" s="26">
        <v>15</v>
      </c>
    </row>
    <row r="117" spans="1:68" ht="14" x14ac:dyDescent="0.2">
      <c r="A117" s="16" t="s">
        <v>323</v>
      </c>
      <c r="B117" s="17" t="s">
        <v>244</v>
      </c>
      <c r="C117" s="17" t="s">
        <v>309</v>
      </c>
      <c r="D117" s="17" t="s">
        <v>324</v>
      </c>
      <c r="E117" s="17" t="s">
        <v>92</v>
      </c>
      <c r="F117" s="18">
        <v>4</v>
      </c>
      <c r="G117" s="19">
        <v>96</v>
      </c>
      <c r="H117" s="21">
        <v>4</v>
      </c>
      <c r="I117" s="35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>
        <v>1</v>
      </c>
      <c r="AD117" s="26"/>
      <c r="AE117" s="26">
        <v>1</v>
      </c>
      <c r="AF117" s="26"/>
      <c r="AG117" s="26"/>
      <c r="AH117" s="26"/>
      <c r="AI117" s="26"/>
      <c r="AJ117" s="26"/>
      <c r="AK117" s="26"/>
      <c r="AL117" s="26"/>
      <c r="AM117" s="26">
        <v>7</v>
      </c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>
        <v>14</v>
      </c>
      <c r="BO117" s="26"/>
      <c r="BP117" s="26"/>
    </row>
    <row r="118" spans="1:68" ht="14" x14ac:dyDescent="0.2">
      <c r="A118" s="16" t="s">
        <v>325</v>
      </c>
      <c r="B118" s="17" t="s">
        <v>244</v>
      </c>
      <c r="C118" s="17" t="s">
        <v>309</v>
      </c>
      <c r="D118" s="17" t="s">
        <v>326</v>
      </c>
      <c r="E118" s="17" t="s">
        <v>92</v>
      </c>
      <c r="F118" s="18">
        <v>4</v>
      </c>
      <c r="G118" s="19">
        <v>120</v>
      </c>
      <c r="H118" s="21">
        <v>4</v>
      </c>
      <c r="I118" s="35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>
        <v>1</v>
      </c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</row>
    <row r="119" spans="1:68" ht="14" x14ac:dyDescent="0.2">
      <c r="A119" s="16" t="s">
        <v>327</v>
      </c>
      <c r="B119" s="17" t="s">
        <v>244</v>
      </c>
      <c r="C119" s="17" t="s">
        <v>309</v>
      </c>
      <c r="D119" s="17" t="s">
        <v>328</v>
      </c>
      <c r="E119" s="17" t="s">
        <v>92</v>
      </c>
      <c r="F119" s="18">
        <v>4</v>
      </c>
      <c r="G119" s="19">
        <v>160</v>
      </c>
      <c r="H119" s="21">
        <v>4</v>
      </c>
      <c r="I119" s="35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>
        <v>1</v>
      </c>
      <c r="BL119" s="26"/>
      <c r="BM119" s="26"/>
      <c r="BN119" s="26">
        <v>34</v>
      </c>
      <c r="BO119" s="26">
        <v>5</v>
      </c>
      <c r="BP119" s="26"/>
    </row>
    <row r="120" spans="1:68" ht="14" x14ac:dyDescent="0.2">
      <c r="A120" s="16" t="s">
        <v>329</v>
      </c>
      <c r="B120" s="17" t="s">
        <v>244</v>
      </c>
      <c r="C120" s="17" t="s">
        <v>309</v>
      </c>
      <c r="D120" s="17" t="s">
        <v>330</v>
      </c>
      <c r="E120" s="17" t="s">
        <v>92</v>
      </c>
      <c r="F120" s="18">
        <v>4</v>
      </c>
      <c r="G120" s="19">
        <v>200</v>
      </c>
      <c r="H120" s="21">
        <v>4</v>
      </c>
      <c r="I120" s="35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>
        <v>1</v>
      </c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>
        <v>7</v>
      </c>
      <c r="BI120" s="26"/>
      <c r="BJ120" s="26"/>
      <c r="BK120" s="26"/>
      <c r="BL120" s="26"/>
      <c r="BM120" s="26"/>
      <c r="BN120" s="26"/>
      <c r="BO120" s="26"/>
      <c r="BP120" s="26"/>
    </row>
    <row r="121" spans="1:68" ht="14" x14ac:dyDescent="0.2">
      <c r="A121" s="16" t="s">
        <v>331</v>
      </c>
      <c r="B121" s="17" t="s">
        <v>244</v>
      </c>
      <c r="C121" s="17" t="s">
        <v>309</v>
      </c>
      <c r="D121" s="17" t="s">
        <v>332</v>
      </c>
      <c r="E121" s="17" t="s">
        <v>98</v>
      </c>
      <c r="F121" s="18">
        <v>4</v>
      </c>
      <c r="G121" s="19">
        <v>240</v>
      </c>
      <c r="H121" s="20"/>
      <c r="I121" s="35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>
        <v>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>
        <v>30</v>
      </c>
      <c r="BP121" s="26"/>
    </row>
    <row r="122" spans="1:68" ht="14" x14ac:dyDescent="0.2">
      <c r="A122" s="16" t="s">
        <v>333</v>
      </c>
      <c r="B122" s="17" t="s">
        <v>244</v>
      </c>
      <c r="C122" s="17" t="s">
        <v>309</v>
      </c>
      <c r="D122" s="17" t="s">
        <v>334</v>
      </c>
      <c r="E122" s="17" t="s">
        <v>173</v>
      </c>
      <c r="F122" s="18">
        <v>6</v>
      </c>
      <c r="G122" s="19">
        <v>40</v>
      </c>
      <c r="H122" s="20"/>
      <c r="I122" s="35"/>
      <c r="J122" s="26"/>
      <c r="K122" s="26"/>
      <c r="L122" s="26"/>
      <c r="M122" s="26"/>
      <c r="N122" s="26"/>
      <c r="O122" s="26">
        <v>1</v>
      </c>
      <c r="P122" s="26"/>
      <c r="Q122" s="26"/>
      <c r="R122" s="26">
        <v>2</v>
      </c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>
        <v>7</v>
      </c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</row>
    <row r="123" spans="1:68" ht="14" x14ac:dyDescent="0.2">
      <c r="A123" s="16" t="s">
        <v>335</v>
      </c>
      <c r="B123" s="17" t="s">
        <v>244</v>
      </c>
      <c r="C123" s="17" t="s">
        <v>309</v>
      </c>
      <c r="D123" s="17" t="s">
        <v>336</v>
      </c>
      <c r="E123" s="17" t="s">
        <v>173</v>
      </c>
      <c r="F123" s="18">
        <v>6</v>
      </c>
      <c r="G123" s="19">
        <v>48</v>
      </c>
      <c r="H123" s="20"/>
      <c r="I123" s="35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>
        <v>11</v>
      </c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>
        <v>41</v>
      </c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>
        <v>8</v>
      </c>
      <c r="BM123" s="26"/>
      <c r="BN123" s="26"/>
      <c r="BO123" s="26"/>
      <c r="BP123" s="26"/>
    </row>
    <row r="124" spans="1:68" ht="14" x14ac:dyDescent="0.2">
      <c r="A124" s="16" t="s">
        <v>337</v>
      </c>
      <c r="B124" s="17" t="s">
        <v>244</v>
      </c>
      <c r="C124" s="17" t="s">
        <v>309</v>
      </c>
      <c r="D124" s="17" t="s">
        <v>338</v>
      </c>
      <c r="E124" s="17" t="s">
        <v>92</v>
      </c>
      <c r="F124" s="18">
        <v>6</v>
      </c>
      <c r="G124" s="19">
        <v>56</v>
      </c>
      <c r="H124" s="21">
        <v>6</v>
      </c>
      <c r="I124" s="35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8"/>
      <c r="U124" s="26">
        <v>6</v>
      </c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>
        <v>1</v>
      </c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</row>
    <row r="125" spans="1:68" ht="14" x14ac:dyDescent="0.2">
      <c r="A125" s="16" t="s">
        <v>339</v>
      </c>
      <c r="B125" s="17" t="s">
        <v>244</v>
      </c>
      <c r="C125" s="17" t="s">
        <v>309</v>
      </c>
      <c r="D125" s="17" t="s">
        <v>340</v>
      </c>
      <c r="E125" s="17" t="s">
        <v>92</v>
      </c>
      <c r="F125" s="18">
        <v>6</v>
      </c>
      <c r="G125" s="19">
        <v>64</v>
      </c>
      <c r="H125" s="21">
        <v>6</v>
      </c>
      <c r="I125" s="35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>
        <v>7</v>
      </c>
      <c r="AA125" s="26"/>
      <c r="AB125" s="26">
        <v>19</v>
      </c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>
        <v>10</v>
      </c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</row>
    <row r="126" spans="1:68" ht="14" x14ac:dyDescent="0.2">
      <c r="A126" s="16" t="s">
        <v>341</v>
      </c>
      <c r="B126" s="17" t="s">
        <v>244</v>
      </c>
      <c r="C126" s="17" t="s">
        <v>309</v>
      </c>
      <c r="D126" s="17" t="s">
        <v>342</v>
      </c>
      <c r="E126" s="17" t="s">
        <v>92</v>
      </c>
      <c r="F126" s="18">
        <v>6</v>
      </c>
      <c r="G126" s="19">
        <v>72</v>
      </c>
      <c r="H126" s="21">
        <v>6</v>
      </c>
      <c r="I126" s="35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>
        <v>6</v>
      </c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>
        <v>1</v>
      </c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</row>
    <row r="127" spans="1:68" ht="14" x14ac:dyDescent="0.2">
      <c r="A127" s="16" t="s">
        <v>343</v>
      </c>
      <c r="B127" s="17" t="s">
        <v>244</v>
      </c>
      <c r="C127" s="17" t="s">
        <v>309</v>
      </c>
      <c r="D127" s="17" t="s">
        <v>344</v>
      </c>
      <c r="E127" s="17" t="s">
        <v>173</v>
      </c>
      <c r="F127" s="18">
        <v>6</v>
      </c>
      <c r="G127" s="19">
        <v>80</v>
      </c>
      <c r="H127" s="20"/>
      <c r="I127" s="35"/>
      <c r="J127" s="26"/>
      <c r="K127" s="26"/>
      <c r="L127" s="26"/>
      <c r="M127" s="26"/>
      <c r="N127" s="26"/>
      <c r="O127" s="26"/>
      <c r="P127" s="26"/>
      <c r="Q127" s="26">
        <v>3</v>
      </c>
      <c r="R127" s="26"/>
      <c r="S127" s="26"/>
      <c r="T127" s="26">
        <v>3</v>
      </c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>
        <v>3</v>
      </c>
      <c r="AL127" s="26">
        <v>1</v>
      </c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</row>
    <row r="128" spans="1:68" ht="14" x14ac:dyDescent="0.2">
      <c r="A128" s="16" t="s">
        <v>345</v>
      </c>
      <c r="B128" s="17" t="s">
        <v>244</v>
      </c>
      <c r="C128" s="17" t="s">
        <v>309</v>
      </c>
      <c r="D128" s="17" t="s">
        <v>346</v>
      </c>
      <c r="E128" s="17" t="s">
        <v>173</v>
      </c>
      <c r="F128" s="18">
        <v>6</v>
      </c>
      <c r="G128" s="19">
        <v>120</v>
      </c>
      <c r="H128" s="20"/>
      <c r="I128" s="35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8"/>
      <c r="U128" s="26">
        <v>2</v>
      </c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>
        <v>2</v>
      </c>
      <c r="AL128" s="26"/>
      <c r="AM128" s="26"/>
      <c r="AN128" s="26"/>
      <c r="AO128" s="26"/>
      <c r="AP128" s="26"/>
      <c r="AQ128" s="26"/>
      <c r="AR128" s="26"/>
      <c r="AS128" s="26"/>
      <c r="AT128" s="26">
        <v>3</v>
      </c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</row>
    <row r="129" spans="1:68" ht="14" x14ac:dyDescent="0.2">
      <c r="A129" s="16" t="s">
        <v>347</v>
      </c>
      <c r="B129" s="17" t="s">
        <v>244</v>
      </c>
      <c r="C129" s="17" t="s">
        <v>309</v>
      </c>
      <c r="D129" s="17" t="s">
        <v>348</v>
      </c>
      <c r="E129" s="17" t="s">
        <v>92</v>
      </c>
      <c r="F129" s="18">
        <v>6</v>
      </c>
      <c r="G129" s="19">
        <v>160</v>
      </c>
      <c r="H129" s="20">
        <v>6</v>
      </c>
      <c r="I129" s="35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>
        <v>1</v>
      </c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>
        <v>27</v>
      </c>
      <c r="BH129" s="26"/>
      <c r="BI129" s="26"/>
      <c r="BJ129" s="26"/>
      <c r="BK129" s="26"/>
      <c r="BL129" s="26"/>
      <c r="BM129" s="26"/>
      <c r="BN129" s="26">
        <v>11</v>
      </c>
      <c r="BO129" s="26">
        <v>16</v>
      </c>
      <c r="BP129" s="26"/>
    </row>
    <row r="130" spans="1:68" ht="14" x14ac:dyDescent="0.2">
      <c r="A130" s="16" t="s">
        <v>349</v>
      </c>
      <c r="B130" s="17" t="s">
        <v>244</v>
      </c>
      <c r="C130" s="17" t="s">
        <v>309</v>
      </c>
      <c r="D130" s="17" t="s">
        <v>350</v>
      </c>
      <c r="E130" s="17" t="s">
        <v>92</v>
      </c>
      <c r="F130" s="18">
        <v>6.4</v>
      </c>
      <c r="G130" s="19">
        <v>36</v>
      </c>
      <c r="H130" s="20">
        <v>6.4</v>
      </c>
      <c r="I130" s="35"/>
      <c r="J130" s="26"/>
      <c r="K130" s="26"/>
      <c r="L130" s="26"/>
      <c r="M130" s="26"/>
      <c r="N130" s="26"/>
      <c r="O130" s="26"/>
      <c r="P130" s="26"/>
      <c r="Q130" s="26"/>
      <c r="R130" s="26"/>
      <c r="S130" s="26">
        <v>24</v>
      </c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</row>
    <row r="131" spans="1:68" ht="14" x14ac:dyDescent="0.2">
      <c r="A131" s="16" t="s">
        <v>351</v>
      </c>
      <c r="B131" s="17" t="s">
        <v>244</v>
      </c>
      <c r="C131" s="17" t="s">
        <v>309</v>
      </c>
      <c r="D131" s="17" t="s">
        <v>352</v>
      </c>
      <c r="E131" s="17" t="s">
        <v>98</v>
      </c>
      <c r="F131" s="18">
        <v>8</v>
      </c>
      <c r="G131" s="19">
        <v>24</v>
      </c>
      <c r="H131" s="20"/>
      <c r="I131" s="35"/>
      <c r="J131" s="26"/>
      <c r="K131" s="26"/>
      <c r="L131" s="26">
        <v>1</v>
      </c>
      <c r="M131" s="26"/>
      <c r="N131" s="26"/>
      <c r="O131" s="26"/>
      <c r="P131" s="26"/>
      <c r="Q131" s="26"/>
      <c r="R131" s="26"/>
      <c r="S131" s="26">
        <v>17</v>
      </c>
      <c r="T131" s="26"/>
      <c r="U131" s="26"/>
      <c r="V131" s="26"/>
      <c r="W131" s="26"/>
      <c r="X131" s="26"/>
      <c r="Y131" s="26"/>
      <c r="Z131" s="26"/>
      <c r="AA131" s="26">
        <v>3</v>
      </c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>
        <v>3</v>
      </c>
      <c r="AO131" s="26"/>
      <c r="AP131" s="26"/>
      <c r="AQ131" s="26"/>
      <c r="AR131" s="26">
        <v>4</v>
      </c>
      <c r="AS131" s="26"/>
      <c r="AT131" s="26"/>
      <c r="AU131" s="26">
        <v>5</v>
      </c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>
        <v>3</v>
      </c>
      <c r="BH131" s="26"/>
      <c r="BI131" s="26"/>
      <c r="BJ131" s="26"/>
      <c r="BK131" s="26"/>
      <c r="BL131" s="26"/>
      <c r="BM131" s="26"/>
      <c r="BN131" s="26"/>
      <c r="BO131" s="26">
        <v>3</v>
      </c>
      <c r="BP131" s="26">
        <v>3</v>
      </c>
    </row>
    <row r="132" spans="1:68" ht="14" x14ac:dyDescent="0.2">
      <c r="A132" s="16" t="s">
        <v>353</v>
      </c>
      <c r="B132" s="17" t="s">
        <v>244</v>
      </c>
      <c r="C132" s="17" t="s">
        <v>309</v>
      </c>
      <c r="D132" s="17" t="s">
        <v>354</v>
      </c>
      <c r="E132" s="17" t="s">
        <v>92</v>
      </c>
      <c r="F132" s="18">
        <v>8</v>
      </c>
      <c r="G132" s="19">
        <v>32</v>
      </c>
      <c r="H132" s="21">
        <v>8</v>
      </c>
      <c r="I132" s="35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>
        <v>1</v>
      </c>
      <c r="AU132" s="26"/>
      <c r="AV132" s="26"/>
      <c r="AW132" s="26"/>
      <c r="AX132" s="26">
        <v>1</v>
      </c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>
        <v>6</v>
      </c>
      <c r="BK132" s="26"/>
      <c r="BL132" s="26"/>
      <c r="BM132" s="26"/>
      <c r="BN132" s="26"/>
      <c r="BO132" s="26"/>
      <c r="BP132" s="26"/>
    </row>
    <row r="133" spans="1:68" ht="14" x14ac:dyDescent="0.2">
      <c r="A133" s="16" t="s">
        <v>355</v>
      </c>
      <c r="B133" s="17" t="s">
        <v>244</v>
      </c>
      <c r="C133" s="17" t="s">
        <v>309</v>
      </c>
      <c r="D133" s="17" t="s">
        <v>356</v>
      </c>
      <c r="E133" s="17" t="s">
        <v>92</v>
      </c>
      <c r="F133" s="18">
        <v>8</v>
      </c>
      <c r="G133" s="19">
        <v>40</v>
      </c>
      <c r="H133" s="21">
        <v>8</v>
      </c>
      <c r="I133" s="35"/>
      <c r="J133" s="26"/>
      <c r="K133" s="26"/>
      <c r="L133" s="26"/>
      <c r="M133" s="26"/>
      <c r="N133" s="26"/>
      <c r="O133" s="26"/>
      <c r="P133" s="26">
        <v>1</v>
      </c>
      <c r="Q133" s="26"/>
      <c r="R133" s="26"/>
      <c r="S133" s="26"/>
      <c r="T133" s="26"/>
      <c r="U133" s="26"/>
      <c r="V133" s="26"/>
      <c r="W133" s="26">
        <v>2</v>
      </c>
      <c r="X133" s="26">
        <v>3</v>
      </c>
      <c r="Y133" s="26"/>
      <c r="Z133" s="26"/>
      <c r="AA133" s="26"/>
      <c r="AB133" s="26"/>
      <c r="AC133" s="26">
        <v>1</v>
      </c>
      <c r="AD133" s="26"/>
      <c r="AE133" s="26"/>
      <c r="AF133" s="26"/>
      <c r="AG133" s="26"/>
      <c r="AH133" s="26"/>
      <c r="AI133" s="26"/>
      <c r="AJ133" s="26"/>
      <c r="AK133" s="26"/>
      <c r="AL133" s="26"/>
      <c r="AM133" s="26">
        <v>2</v>
      </c>
      <c r="AN133" s="26">
        <v>1</v>
      </c>
      <c r="AO133" s="26"/>
      <c r="AP133" s="26"/>
      <c r="AQ133" s="26">
        <v>1</v>
      </c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>
        <v>5</v>
      </c>
      <c r="BJ133" s="26"/>
      <c r="BK133" s="26"/>
      <c r="BL133" s="26"/>
      <c r="BM133" s="26"/>
      <c r="BN133" s="26"/>
      <c r="BO133" s="26"/>
      <c r="BP133" s="26">
        <f>8+1</f>
        <v>9</v>
      </c>
    </row>
    <row r="134" spans="1:68" ht="14" x14ac:dyDescent="0.2">
      <c r="A134" s="16" t="s">
        <v>357</v>
      </c>
      <c r="B134" s="17" t="s">
        <v>244</v>
      </c>
      <c r="C134" s="17" t="s">
        <v>309</v>
      </c>
      <c r="D134" s="17" t="s">
        <v>358</v>
      </c>
      <c r="E134" s="17" t="s">
        <v>173</v>
      </c>
      <c r="F134" s="18">
        <v>8</v>
      </c>
      <c r="G134" s="19">
        <v>48</v>
      </c>
      <c r="H134" s="21"/>
      <c r="I134" s="35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>
        <v>6</v>
      </c>
      <c r="U134" s="26"/>
      <c r="V134" s="26"/>
      <c r="W134" s="26"/>
      <c r="X134" s="26"/>
      <c r="Y134" s="28"/>
      <c r="Z134" s="26">
        <v>2</v>
      </c>
      <c r="AA134" s="26"/>
      <c r="AB134" s="26"/>
      <c r="AC134" s="26"/>
      <c r="AD134" s="26"/>
      <c r="AE134" s="26"/>
      <c r="AF134" s="26"/>
      <c r="AG134" s="26">
        <v>1</v>
      </c>
      <c r="AH134" s="26"/>
      <c r="AI134" s="26"/>
      <c r="AJ134" s="26"/>
      <c r="AK134" s="26"/>
      <c r="AL134" s="26"/>
      <c r="AM134" s="26"/>
      <c r="AN134" s="26"/>
      <c r="AO134" s="26"/>
      <c r="AP134" s="26">
        <v>9</v>
      </c>
      <c r="AQ134" s="26"/>
      <c r="AR134" s="26">
        <f>11+3</f>
        <v>14</v>
      </c>
      <c r="AS134" s="26"/>
      <c r="AT134" s="26"/>
      <c r="AU134" s="26">
        <v>62</v>
      </c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>
        <v>91</v>
      </c>
      <c r="BK134" s="26"/>
      <c r="BL134" s="26">
        <v>8</v>
      </c>
      <c r="BM134" s="26"/>
      <c r="BN134" s="26"/>
      <c r="BO134" s="26">
        <v>6</v>
      </c>
      <c r="BP134" s="26"/>
    </row>
    <row r="135" spans="1:68" ht="14" x14ac:dyDescent="0.2">
      <c r="A135" s="16" t="s">
        <v>359</v>
      </c>
      <c r="B135" s="17" t="s">
        <v>244</v>
      </c>
      <c r="C135" s="17" t="s">
        <v>309</v>
      </c>
      <c r="D135" s="17" t="s">
        <v>360</v>
      </c>
      <c r="E135" s="17" t="s">
        <v>98</v>
      </c>
      <c r="F135" s="18">
        <v>8</v>
      </c>
      <c r="G135" s="19">
        <v>56</v>
      </c>
      <c r="H135" s="21"/>
      <c r="I135" s="35"/>
      <c r="J135" s="26">
        <f>3</f>
        <v>3</v>
      </c>
      <c r="K135" s="26">
        <v>2</v>
      </c>
      <c r="L135" s="26">
        <v>1</v>
      </c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>
        <v>2</v>
      </c>
      <c r="AN135" s="26"/>
      <c r="AO135" s="26"/>
      <c r="AP135" s="26"/>
      <c r="AQ135" s="26"/>
      <c r="AR135" s="26"/>
      <c r="AS135" s="26"/>
      <c r="AT135" s="26">
        <v>2</v>
      </c>
      <c r="AU135" s="26"/>
      <c r="AV135" s="26">
        <v>5</v>
      </c>
      <c r="AW135" s="26"/>
      <c r="AX135" s="26"/>
      <c r="AY135" s="26"/>
      <c r="AZ135" s="26"/>
      <c r="BA135" s="26"/>
      <c r="BB135" s="26">
        <v>2</v>
      </c>
      <c r="BC135" s="26"/>
      <c r="BD135" s="26"/>
      <c r="BE135" s="26"/>
      <c r="BF135" s="26"/>
      <c r="BG135" s="26"/>
      <c r="BH135" s="26"/>
      <c r="BI135" s="26"/>
      <c r="BJ135" s="26">
        <v>14</v>
      </c>
      <c r="BK135" s="26"/>
      <c r="BL135" s="26"/>
      <c r="BM135" s="26">
        <v>5</v>
      </c>
      <c r="BN135" s="26">
        <v>6</v>
      </c>
      <c r="BO135" s="26"/>
      <c r="BP135" s="26">
        <v>7</v>
      </c>
    </row>
    <row r="136" spans="1:68" ht="14" x14ac:dyDescent="0.2">
      <c r="A136" s="16" t="s">
        <v>361</v>
      </c>
      <c r="B136" s="17" t="s">
        <v>244</v>
      </c>
      <c r="C136" s="17" t="s">
        <v>309</v>
      </c>
      <c r="D136" s="17" t="s">
        <v>362</v>
      </c>
      <c r="E136" s="17" t="s">
        <v>92</v>
      </c>
      <c r="F136" s="18">
        <v>8</v>
      </c>
      <c r="G136" s="19">
        <v>64</v>
      </c>
      <c r="H136" s="21">
        <v>8</v>
      </c>
      <c r="I136" s="35"/>
      <c r="J136" s="26"/>
      <c r="K136" s="26"/>
      <c r="L136" s="26"/>
      <c r="M136" s="26"/>
      <c r="N136" s="26"/>
      <c r="O136" s="26"/>
      <c r="P136" s="26"/>
      <c r="Q136" s="26">
        <v>1</v>
      </c>
      <c r="R136" s="26"/>
      <c r="S136" s="26">
        <v>7</v>
      </c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>
        <v>1</v>
      </c>
      <c r="BA136" s="26"/>
      <c r="BB136" s="26"/>
      <c r="BC136" s="26"/>
      <c r="BD136" s="26"/>
      <c r="BE136" s="26"/>
      <c r="BF136" s="26"/>
      <c r="BG136" s="26">
        <v>12</v>
      </c>
      <c r="BH136" s="26"/>
      <c r="BI136" s="26"/>
      <c r="BJ136" s="26"/>
      <c r="BK136" s="26">
        <v>1</v>
      </c>
      <c r="BL136" s="26">
        <v>20</v>
      </c>
      <c r="BM136" s="26"/>
      <c r="BN136" s="26"/>
      <c r="BO136" s="26"/>
      <c r="BP136" s="26">
        <v>3</v>
      </c>
    </row>
    <row r="137" spans="1:68" ht="14" x14ac:dyDescent="0.2">
      <c r="A137" s="16" t="s">
        <v>363</v>
      </c>
      <c r="B137" s="17" t="s">
        <v>364</v>
      </c>
      <c r="C137" s="17" t="s">
        <v>309</v>
      </c>
      <c r="D137" s="17" t="s">
        <v>365</v>
      </c>
      <c r="E137" s="17" t="s">
        <v>98</v>
      </c>
      <c r="F137" s="18">
        <v>8</v>
      </c>
      <c r="G137" s="19">
        <v>72</v>
      </c>
      <c r="H137" s="21"/>
      <c r="I137" s="35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8"/>
      <c r="X137" s="26">
        <v>12</v>
      </c>
      <c r="Y137" s="26">
        <v>6</v>
      </c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>
        <v>13</v>
      </c>
      <c r="BI137" s="26">
        <f>7+1</f>
        <v>8</v>
      </c>
      <c r="BJ137" s="26">
        <f>31+10</f>
        <v>41</v>
      </c>
      <c r="BK137" s="26">
        <v>4</v>
      </c>
      <c r="BL137" s="26">
        <v>22</v>
      </c>
      <c r="BM137" s="26">
        <v>2</v>
      </c>
      <c r="BN137" s="26">
        <v>15</v>
      </c>
      <c r="BO137" s="26">
        <v>16</v>
      </c>
      <c r="BP137" s="26">
        <v>11</v>
      </c>
    </row>
    <row r="138" spans="1:68" ht="14" x14ac:dyDescent="0.2">
      <c r="A138" s="16" t="s">
        <v>366</v>
      </c>
      <c r="B138" s="17" t="s">
        <v>244</v>
      </c>
      <c r="C138" s="17" t="s">
        <v>309</v>
      </c>
      <c r="D138" s="17" t="s">
        <v>367</v>
      </c>
      <c r="E138" s="17" t="s">
        <v>92</v>
      </c>
      <c r="F138" s="18">
        <v>8</v>
      </c>
      <c r="G138" s="19">
        <v>80</v>
      </c>
      <c r="H138" s="21">
        <v>8</v>
      </c>
      <c r="I138" s="35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>
        <v>1</v>
      </c>
      <c r="AO138" s="26"/>
      <c r="AP138" s="26"/>
      <c r="AQ138" s="26"/>
      <c r="AR138" s="26">
        <v>3</v>
      </c>
      <c r="AS138" s="26"/>
      <c r="AT138" s="26"/>
      <c r="AU138" s="26"/>
      <c r="AV138" s="26">
        <v>18</v>
      </c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>
        <v>5</v>
      </c>
      <c r="BK138" s="26">
        <f>2+4</f>
        <v>6</v>
      </c>
      <c r="BL138" s="26">
        <v>6</v>
      </c>
      <c r="BM138" s="26"/>
      <c r="BN138" s="26"/>
      <c r="BO138" s="26"/>
      <c r="BP138" s="26"/>
    </row>
    <row r="139" spans="1:68" ht="14" x14ac:dyDescent="0.2">
      <c r="A139" s="16" t="s">
        <v>368</v>
      </c>
      <c r="B139" s="17" t="s">
        <v>244</v>
      </c>
      <c r="C139" s="17" t="s">
        <v>309</v>
      </c>
      <c r="D139" s="17" t="s">
        <v>369</v>
      </c>
      <c r="E139" s="17" t="s">
        <v>370</v>
      </c>
      <c r="F139" s="18">
        <v>8</v>
      </c>
      <c r="G139" s="19">
        <v>120</v>
      </c>
      <c r="H139" s="21">
        <v>8</v>
      </c>
      <c r="I139" s="35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>
        <v>3</v>
      </c>
      <c r="BI139" s="26">
        <v>1</v>
      </c>
      <c r="BJ139" s="26"/>
      <c r="BK139" s="26"/>
      <c r="BL139" s="26"/>
      <c r="BM139" s="26"/>
      <c r="BN139" s="26"/>
      <c r="BO139" s="26">
        <v>4</v>
      </c>
      <c r="BP139" s="26">
        <v>5</v>
      </c>
    </row>
    <row r="140" spans="1:68" ht="14" x14ac:dyDescent="0.2">
      <c r="A140" s="16" t="s">
        <v>371</v>
      </c>
      <c r="B140" s="17" t="s">
        <v>244</v>
      </c>
      <c r="C140" s="17" t="s">
        <v>309</v>
      </c>
      <c r="D140" s="17" t="s">
        <v>372</v>
      </c>
      <c r="E140" s="17" t="s">
        <v>92</v>
      </c>
      <c r="F140" s="18">
        <v>8</v>
      </c>
      <c r="G140" s="19">
        <v>144</v>
      </c>
      <c r="H140" s="21">
        <v>8</v>
      </c>
      <c r="I140" s="35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>
        <v>4</v>
      </c>
      <c r="AK140" s="26"/>
      <c r="AL140" s="26">
        <v>1</v>
      </c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</row>
    <row r="141" spans="1:68" ht="14" x14ac:dyDescent="0.2">
      <c r="A141" s="16" t="s">
        <v>373</v>
      </c>
      <c r="B141" s="17" t="s">
        <v>244</v>
      </c>
      <c r="C141" s="17" t="s">
        <v>309</v>
      </c>
      <c r="D141" s="17" t="s">
        <v>374</v>
      </c>
      <c r="E141" s="17" t="s">
        <v>92</v>
      </c>
      <c r="F141" s="18">
        <v>8</v>
      </c>
      <c r="G141" s="19">
        <v>168</v>
      </c>
      <c r="H141" s="21">
        <v>8</v>
      </c>
      <c r="I141" s="35"/>
      <c r="J141" s="26">
        <v>1</v>
      </c>
      <c r="K141" s="26"/>
      <c r="L141" s="26">
        <v>1</v>
      </c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>
        <v>11</v>
      </c>
      <c r="BH141" s="26"/>
      <c r="BI141" s="26"/>
      <c r="BJ141" s="26"/>
      <c r="BK141" s="26"/>
      <c r="BL141" s="26"/>
      <c r="BM141" s="26"/>
      <c r="BN141" s="26"/>
      <c r="BO141" s="26">
        <v>6</v>
      </c>
      <c r="BP141" s="26">
        <v>1</v>
      </c>
    </row>
    <row r="142" spans="1:68" ht="14" x14ac:dyDescent="0.2">
      <c r="A142" s="16" t="s">
        <v>375</v>
      </c>
      <c r="B142" s="17" t="s">
        <v>244</v>
      </c>
      <c r="C142" s="17" t="s">
        <v>309</v>
      </c>
      <c r="D142" s="17" t="s">
        <v>376</v>
      </c>
      <c r="E142" s="17" t="s">
        <v>173</v>
      </c>
      <c r="F142" s="18">
        <v>8</v>
      </c>
      <c r="G142" s="19">
        <v>184</v>
      </c>
      <c r="H142" s="21"/>
      <c r="I142" s="35"/>
      <c r="J142" s="26"/>
      <c r="K142" s="26"/>
      <c r="L142" s="26"/>
      <c r="M142" s="26"/>
      <c r="N142" s="26"/>
      <c r="O142" s="26"/>
      <c r="P142" s="26"/>
      <c r="Q142" s="26"/>
      <c r="R142" s="26">
        <v>2</v>
      </c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>
        <v>5</v>
      </c>
      <c r="BH142" s="26">
        <v>12</v>
      </c>
      <c r="BI142" s="26"/>
      <c r="BJ142" s="26">
        <v>13</v>
      </c>
      <c r="BK142" s="26"/>
      <c r="BL142" s="26">
        <v>11</v>
      </c>
      <c r="BM142" s="26"/>
      <c r="BN142" s="26"/>
      <c r="BO142" s="26"/>
      <c r="BP142" s="26">
        <f>23+7</f>
        <v>30</v>
      </c>
    </row>
    <row r="143" spans="1:68" ht="14" x14ac:dyDescent="0.2">
      <c r="A143" s="16" t="s">
        <v>377</v>
      </c>
      <c r="B143" s="17" t="s">
        <v>244</v>
      </c>
      <c r="C143" s="17" t="s">
        <v>309</v>
      </c>
      <c r="D143" s="17" t="s">
        <v>378</v>
      </c>
      <c r="E143" s="17" t="s">
        <v>92</v>
      </c>
      <c r="F143" s="18">
        <v>8</v>
      </c>
      <c r="G143" s="19">
        <v>256</v>
      </c>
      <c r="H143" s="21">
        <v>8</v>
      </c>
      <c r="I143" s="35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>
        <v>7</v>
      </c>
      <c r="BM143" s="26"/>
      <c r="BN143" s="26"/>
      <c r="BO143" s="26">
        <v>1</v>
      </c>
      <c r="BP143" s="26"/>
    </row>
    <row r="144" spans="1:68" ht="14" x14ac:dyDescent="0.2">
      <c r="A144" s="16" t="s">
        <v>379</v>
      </c>
      <c r="B144" s="17" t="s">
        <v>244</v>
      </c>
      <c r="C144" s="17" t="s">
        <v>309</v>
      </c>
      <c r="D144" s="17" t="s">
        <v>380</v>
      </c>
      <c r="E144" s="17" t="s">
        <v>92</v>
      </c>
      <c r="F144" s="18">
        <v>8</v>
      </c>
      <c r="G144" s="19">
        <v>320</v>
      </c>
      <c r="H144" s="21">
        <v>8</v>
      </c>
      <c r="I144" s="35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>
        <v>13</v>
      </c>
      <c r="BH144" s="26"/>
      <c r="BI144" s="26"/>
      <c r="BJ144" s="26">
        <v>7</v>
      </c>
      <c r="BK144" s="26"/>
      <c r="BL144" s="26"/>
      <c r="BM144" s="26"/>
      <c r="BN144" s="26"/>
      <c r="BO144" s="26"/>
      <c r="BP144" s="26"/>
    </row>
    <row r="145" spans="1:68" ht="14" x14ac:dyDescent="0.2">
      <c r="A145" s="16" t="s">
        <v>381</v>
      </c>
      <c r="B145" s="17" t="s">
        <v>244</v>
      </c>
      <c r="C145" s="17" t="s">
        <v>309</v>
      </c>
      <c r="D145" s="17" t="s">
        <v>382</v>
      </c>
      <c r="E145" s="17" t="s">
        <v>92</v>
      </c>
      <c r="F145" s="18">
        <v>12</v>
      </c>
      <c r="G145" s="19">
        <v>48</v>
      </c>
      <c r="H145" s="21">
        <v>12</v>
      </c>
      <c r="I145" s="35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>
        <v>3</v>
      </c>
      <c r="AN145" s="26"/>
      <c r="AO145" s="26"/>
      <c r="AP145" s="26"/>
      <c r="AQ145" s="26"/>
      <c r="AR145" s="26"/>
      <c r="AS145" s="26"/>
      <c r="AT145" s="26"/>
      <c r="AU145" s="26"/>
      <c r="AV145" s="26">
        <v>1</v>
      </c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</row>
    <row r="146" spans="1:68" ht="14" x14ac:dyDescent="0.2">
      <c r="A146" s="16" t="s">
        <v>383</v>
      </c>
      <c r="B146" s="17" t="s">
        <v>244</v>
      </c>
      <c r="C146" s="17" t="s">
        <v>309</v>
      </c>
      <c r="D146" s="17" t="s">
        <v>384</v>
      </c>
      <c r="E146" s="17" t="s">
        <v>92</v>
      </c>
      <c r="F146" s="18">
        <v>12</v>
      </c>
      <c r="G146" s="19">
        <v>56</v>
      </c>
      <c r="H146" s="21">
        <v>12</v>
      </c>
      <c r="I146" s="35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>
        <v>1</v>
      </c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>
        <v>4</v>
      </c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</row>
    <row r="147" spans="1:68" ht="14" x14ac:dyDescent="0.2">
      <c r="A147" s="16" t="s">
        <v>385</v>
      </c>
      <c r="B147" s="17" t="s">
        <v>244</v>
      </c>
      <c r="C147" s="17" t="s">
        <v>309</v>
      </c>
      <c r="D147" s="17" t="s">
        <v>386</v>
      </c>
      <c r="E147" s="17" t="s">
        <v>98</v>
      </c>
      <c r="F147" s="18">
        <v>12</v>
      </c>
      <c r="G147" s="19">
        <v>80</v>
      </c>
      <c r="H147" s="20"/>
      <c r="I147" s="35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>
        <v>2</v>
      </c>
      <c r="AB147" s="28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</row>
    <row r="148" spans="1:68" ht="14" x14ac:dyDescent="0.2">
      <c r="A148" s="16" t="s">
        <v>387</v>
      </c>
      <c r="B148" s="17" t="s">
        <v>244</v>
      </c>
      <c r="C148" s="17" t="s">
        <v>309</v>
      </c>
      <c r="D148" s="17" t="s">
        <v>388</v>
      </c>
      <c r="E148" s="17" t="s">
        <v>92</v>
      </c>
      <c r="F148" s="18">
        <v>12</v>
      </c>
      <c r="G148" s="19">
        <v>128</v>
      </c>
      <c r="H148" s="20">
        <v>12</v>
      </c>
      <c r="I148" s="35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>
        <v>11</v>
      </c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</row>
    <row r="149" spans="1:68" ht="14" x14ac:dyDescent="0.2">
      <c r="A149" s="16" t="s">
        <v>389</v>
      </c>
      <c r="B149" s="17" t="s">
        <v>244</v>
      </c>
      <c r="C149" s="17" t="s">
        <v>309</v>
      </c>
      <c r="D149" s="17" t="s">
        <v>390</v>
      </c>
      <c r="E149" s="17" t="s">
        <v>92</v>
      </c>
      <c r="F149" s="18">
        <v>16</v>
      </c>
      <c r="G149" s="19">
        <v>40</v>
      </c>
      <c r="H149" s="20">
        <v>16</v>
      </c>
      <c r="I149" s="35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>
        <v>1</v>
      </c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</row>
    <row r="150" spans="1:68" ht="14" x14ac:dyDescent="0.2">
      <c r="A150" s="16" t="s">
        <v>391</v>
      </c>
      <c r="B150" s="17" t="s">
        <v>364</v>
      </c>
      <c r="C150" s="17" t="s">
        <v>309</v>
      </c>
      <c r="D150" s="17" t="s">
        <v>392</v>
      </c>
      <c r="E150" s="17" t="s">
        <v>98</v>
      </c>
      <c r="F150" s="18">
        <v>16</v>
      </c>
      <c r="G150" s="19">
        <v>48</v>
      </c>
      <c r="H150" s="20"/>
      <c r="I150" s="35"/>
      <c r="J150" s="26"/>
      <c r="K150" s="26"/>
      <c r="L150" s="26"/>
      <c r="M150" s="26"/>
      <c r="N150" s="26"/>
      <c r="O150" s="26"/>
      <c r="P150" s="26"/>
      <c r="Q150" s="26"/>
      <c r="R150" s="26"/>
      <c r="S150" s="26">
        <f>5+4</f>
        <v>9</v>
      </c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</row>
    <row r="151" spans="1:68" ht="14" x14ac:dyDescent="0.2">
      <c r="A151" s="16" t="s">
        <v>393</v>
      </c>
      <c r="B151" s="17" t="s">
        <v>244</v>
      </c>
      <c r="C151" s="17" t="s">
        <v>309</v>
      </c>
      <c r="D151" s="17" t="s">
        <v>394</v>
      </c>
      <c r="E151" s="23" t="s">
        <v>274</v>
      </c>
      <c r="F151" s="18">
        <v>16</v>
      </c>
      <c r="G151" s="19">
        <v>64</v>
      </c>
      <c r="H151" s="20">
        <v>16</v>
      </c>
      <c r="I151" s="35">
        <v>1</v>
      </c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>
        <v>1</v>
      </c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>
        <v>1</v>
      </c>
      <c r="BP151" s="26"/>
    </row>
    <row r="152" spans="1:68" ht="14" x14ac:dyDescent="0.2">
      <c r="A152" s="16" t="s">
        <v>395</v>
      </c>
      <c r="B152" s="17" t="s">
        <v>244</v>
      </c>
      <c r="C152" s="17" t="s">
        <v>309</v>
      </c>
      <c r="D152" s="17" t="s">
        <v>396</v>
      </c>
      <c r="E152" s="17" t="s">
        <v>92</v>
      </c>
      <c r="F152" s="18">
        <v>16</v>
      </c>
      <c r="G152" s="19">
        <v>104</v>
      </c>
      <c r="H152" s="20">
        <v>16</v>
      </c>
      <c r="I152" s="35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>
        <v>1</v>
      </c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</row>
    <row r="153" spans="1:68" ht="14" x14ac:dyDescent="0.2">
      <c r="A153" s="24" t="s">
        <v>397</v>
      </c>
      <c r="B153" s="17" t="s">
        <v>244</v>
      </c>
      <c r="C153" s="17" t="s">
        <v>309</v>
      </c>
      <c r="D153" s="23" t="s">
        <v>398</v>
      </c>
      <c r="E153" s="23" t="s">
        <v>274</v>
      </c>
      <c r="F153" s="25">
        <v>16</v>
      </c>
      <c r="G153" s="19">
        <v>160</v>
      </c>
      <c r="H153" s="20">
        <v>16</v>
      </c>
      <c r="I153" s="35">
        <v>3</v>
      </c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>
        <v>2</v>
      </c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>
        <v>1</v>
      </c>
      <c r="BI153" s="26"/>
      <c r="BJ153" s="26"/>
      <c r="BK153" s="26"/>
      <c r="BL153" s="26"/>
      <c r="BM153" s="26"/>
      <c r="BN153" s="26"/>
      <c r="BO153" s="26"/>
      <c r="BP153" s="26"/>
    </row>
    <row r="154" spans="1:68" ht="14" x14ac:dyDescent="0.2">
      <c r="A154" s="24" t="s">
        <v>399</v>
      </c>
      <c r="B154" s="17" t="s">
        <v>244</v>
      </c>
      <c r="C154" s="17" t="s">
        <v>309</v>
      </c>
      <c r="D154" s="23" t="s">
        <v>400</v>
      </c>
      <c r="E154" s="23" t="s">
        <v>274</v>
      </c>
      <c r="F154" s="25">
        <v>16</v>
      </c>
      <c r="G154" s="19">
        <v>360</v>
      </c>
      <c r="H154" s="20">
        <v>16</v>
      </c>
      <c r="I154" s="35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>
        <v>2</v>
      </c>
    </row>
    <row r="155" spans="1:68" ht="14" x14ac:dyDescent="0.2">
      <c r="A155" s="16" t="s">
        <v>401</v>
      </c>
      <c r="B155" s="17" t="s">
        <v>244</v>
      </c>
      <c r="C155" s="17" t="s">
        <v>309</v>
      </c>
      <c r="D155" s="17" t="s">
        <v>402</v>
      </c>
      <c r="E155" s="17" t="s">
        <v>92</v>
      </c>
      <c r="F155" s="18">
        <v>20</v>
      </c>
      <c r="G155" s="19">
        <v>56</v>
      </c>
      <c r="H155" s="20">
        <v>20</v>
      </c>
      <c r="I155" s="35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>
        <v>3</v>
      </c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>
        <v>2</v>
      </c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</row>
    <row r="156" spans="1:68" ht="14" x14ac:dyDescent="0.2">
      <c r="A156" s="16" t="s">
        <v>403</v>
      </c>
      <c r="B156" s="17" t="s">
        <v>244</v>
      </c>
      <c r="C156" s="17" t="s">
        <v>309</v>
      </c>
      <c r="D156" s="17" t="s">
        <v>404</v>
      </c>
      <c r="E156" s="17" t="s">
        <v>92</v>
      </c>
      <c r="F156" s="18">
        <v>20</v>
      </c>
      <c r="G156" s="19">
        <v>112</v>
      </c>
      <c r="H156" s="20">
        <v>20</v>
      </c>
      <c r="I156" s="35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>
        <v>1</v>
      </c>
      <c r="BO156" s="26"/>
      <c r="BP156" s="26"/>
    </row>
    <row r="157" spans="1:68" ht="14" x14ac:dyDescent="0.2">
      <c r="A157" s="16" t="s">
        <v>405</v>
      </c>
      <c r="B157" s="17" t="s">
        <v>244</v>
      </c>
      <c r="C157" s="17" t="s">
        <v>309</v>
      </c>
      <c r="D157" s="17" t="s">
        <v>406</v>
      </c>
      <c r="E157" s="17" t="s">
        <v>98</v>
      </c>
      <c r="F157" s="18">
        <v>24</v>
      </c>
      <c r="G157" s="19">
        <v>32</v>
      </c>
      <c r="H157" s="20"/>
      <c r="I157" s="35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>
        <v>10</v>
      </c>
      <c r="BH157" s="26"/>
      <c r="BI157" s="26"/>
      <c r="BJ157" s="26"/>
      <c r="BK157" s="26"/>
      <c r="BL157" s="26"/>
      <c r="BM157" s="26">
        <v>5</v>
      </c>
      <c r="BN157" s="26"/>
      <c r="BO157" s="26"/>
      <c r="BP157" s="26"/>
    </row>
    <row r="158" spans="1:68" ht="14" x14ac:dyDescent="0.2">
      <c r="A158" s="16" t="s">
        <v>407</v>
      </c>
      <c r="B158" s="17" t="s">
        <v>244</v>
      </c>
      <c r="C158" s="17" t="s">
        <v>309</v>
      </c>
      <c r="D158" s="17" t="s">
        <v>408</v>
      </c>
      <c r="E158" s="17" t="s">
        <v>92</v>
      </c>
      <c r="F158" s="18">
        <v>24</v>
      </c>
      <c r="G158" s="19">
        <v>72</v>
      </c>
      <c r="H158" s="20">
        <v>24</v>
      </c>
      <c r="I158" s="35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>
        <v>1</v>
      </c>
      <c r="BM158" s="26">
        <v>1</v>
      </c>
      <c r="BN158" s="26">
        <v>1</v>
      </c>
      <c r="BO158" s="26"/>
      <c r="BP158" s="26"/>
    </row>
    <row r="159" spans="1:68" ht="14" x14ac:dyDescent="0.2">
      <c r="A159" s="16" t="s">
        <v>409</v>
      </c>
      <c r="B159" s="17" t="s">
        <v>244</v>
      </c>
      <c r="C159" s="17" t="s">
        <v>309</v>
      </c>
      <c r="D159" s="17" t="s">
        <v>410</v>
      </c>
      <c r="E159" s="17" t="s">
        <v>274</v>
      </c>
      <c r="F159" s="26">
        <v>104</v>
      </c>
      <c r="G159" s="27">
        <v>200</v>
      </c>
      <c r="H159" s="28">
        <v>104</v>
      </c>
      <c r="I159" s="35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>
        <v>2</v>
      </c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</row>
    <row r="160" spans="1:68" ht="14" x14ac:dyDescent="0.2">
      <c r="A160" s="16" t="s">
        <v>411</v>
      </c>
      <c r="B160" s="17" t="s">
        <v>244</v>
      </c>
      <c r="C160" s="17" t="s">
        <v>412</v>
      </c>
      <c r="D160" s="17" t="s">
        <v>413</v>
      </c>
      <c r="E160" s="17" t="s">
        <v>92</v>
      </c>
      <c r="F160" s="18">
        <v>16</v>
      </c>
      <c r="G160" s="19">
        <v>48</v>
      </c>
      <c r="H160" s="20">
        <v>16</v>
      </c>
      <c r="I160" s="35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>
        <v>1</v>
      </c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</row>
    <row r="161" spans="1:68" ht="14" x14ac:dyDescent="0.2">
      <c r="A161" s="16" t="s">
        <v>414</v>
      </c>
      <c r="B161" s="17" t="s">
        <v>244</v>
      </c>
      <c r="C161" s="17" t="s">
        <v>412</v>
      </c>
      <c r="D161" s="17" t="s">
        <v>415</v>
      </c>
      <c r="E161" s="17" t="s">
        <v>92</v>
      </c>
      <c r="F161" s="18">
        <v>16</v>
      </c>
      <c r="G161" s="19">
        <v>96</v>
      </c>
      <c r="H161" s="20">
        <v>16</v>
      </c>
      <c r="I161" s="35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>
        <v>1</v>
      </c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</row>
    <row r="162" spans="1:68" ht="14" x14ac:dyDescent="0.2">
      <c r="A162" s="16" t="s">
        <v>416</v>
      </c>
      <c r="B162" s="17" t="s">
        <v>244</v>
      </c>
      <c r="C162" s="17" t="s">
        <v>412</v>
      </c>
      <c r="D162" s="17" t="s">
        <v>417</v>
      </c>
      <c r="E162" s="17" t="s">
        <v>92</v>
      </c>
      <c r="F162" s="18">
        <v>24</v>
      </c>
      <c r="G162" s="19">
        <v>64</v>
      </c>
      <c r="H162" s="20">
        <v>24</v>
      </c>
      <c r="I162" s="35"/>
      <c r="J162" s="26"/>
      <c r="K162" s="26"/>
      <c r="L162" s="26">
        <v>1</v>
      </c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</row>
    <row r="163" spans="1:68" ht="14" x14ac:dyDescent="0.2">
      <c r="A163" s="16" t="s">
        <v>418</v>
      </c>
      <c r="B163" s="17" t="s">
        <v>244</v>
      </c>
      <c r="C163" s="17" t="s">
        <v>412</v>
      </c>
      <c r="D163" s="17" t="s">
        <v>419</v>
      </c>
      <c r="E163" s="17" t="s">
        <v>92</v>
      </c>
      <c r="F163" s="18">
        <v>48</v>
      </c>
      <c r="G163" s="19">
        <v>64</v>
      </c>
      <c r="H163" s="20">
        <v>48</v>
      </c>
      <c r="I163" s="35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>
        <v>1</v>
      </c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</row>
    <row r="164" spans="1:68" ht="14" x14ac:dyDescent="0.2">
      <c r="A164" s="16" t="s">
        <v>420</v>
      </c>
      <c r="B164" s="17" t="s">
        <v>244</v>
      </c>
      <c r="C164" s="17" t="s">
        <v>412</v>
      </c>
      <c r="D164" s="17" t="s">
        <v>421</v>
      </c>
      <c r="E164" s="17" t="s">
        <v>92</v>
      </c>
      <c r="F164" s="18">
        <v>64</v>
      </c>
      <c r="G164" s="19">
        <v>80</v>
      </c>
      <c r="H164" s="20">
        <v>64</v>
      </c>
      <c r="I164" s="35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>
        <v>1</v>
      </c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>
        <v>6</v>
      </c>
      <c r="BN164" s="26"/>
      <c r="BO164" s="26"/>
      <c r="BP164" s="26"/>
    </row>
    <row r="165" spans="1:68" ht="14" x14ac:dyDescent="0.2">
      <c r="A165" s="16" t="s">
        <v>422</v>
      </c>
      <c r="B165" s="17" t="s">
        <v>244</v>
      </c>
      <c r="C165" s="17" t="s">
        <v>423</v>
      </c>
      <c r="D165" s="17" t="s">
        <v>424</v>
      </c>
      <c r="E165" s="17" t="s">
        <v>370</v>
      </c>
      <c r="F165" s="18">
        <v>4</v>
      </c>
      <c r="G165" s="19">
        <v>64</v>
      </c>
      <c r="H165" s="20">
        <v>4</v>
      </c>
      <c r="I165" s="35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>
        <v>1</v>
      </c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</row>
    <row r="166" spans="1:68" ht="14" x14ac:dyDescent="0.2">
      <c r="A166" s="16" t="s">
        <v>425</v>
      </c>
      <c r="B166" s="17" t="s">
        <v>244</v>
      </c>
      <c r="C166" s="17" t="s">
        <v>423</v>
      </c>
      <c r="D166" s="17" t="s">
        <v>426</v>
      </c>
      <c r="E166" s="17" t="s">
        <v>370</v>
      </c>
      <c r="F166" s="18">
        <v>4</v>
      </c>
      <c r="G166" s="19">
        <v>160</v>
      </c>
      <c r="H166" s="20">
        <v>4</v>
      </c>
      <c r="I166" s="35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>
        <v>7</v>
      </c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</row>
    <row r="167" spans="1:68" ht="14" x14ac:dyDescent="0.2">
      <c r="A167" s="16" t="s">
        <v>427</v>
      </c>
      <c r="B167" s="17" t="s">
        <v>244</v>
      </c>
      <c r="C167" s="17" t="s">
        <v>423</v>
      </c>
      <c r="D167" s="17" t="s">
        <v>428</v>
      </c>
      <c r="E167" s="17" t="s">
        <v>370</v>
      </c>
      <c r="F167" s="18">
        <v>6</v>
      </c>
      <c r="G167" s="19">
        <v>56</v>
      </c>
      <c r="H167" s="20">
        <v>6</v>
      </c>
      <c r="I167" s="35"/>
      <c r="J167" s="26"/>
      <c r="K167" s="26"/>
      <c r="L167" s="26"/>
      <c r="M167" s="26"/>
      <c r="N167" s="26"/>
      <c r="O167" s="26"/>
      <c r="P167" s="26">
        <v>12</v>
      </c>
      <c r="Q167" s="26"/>
      <c r="R167" s="26"/>
      <c r="S167" s="26"/>
      <c r="T167" s="26">
        <v>9</v>
      </c>
      <c r="U167" s="26"/>
      <c r="V167" s="26"/>
      <c r="W167" s="26"/>
      <c r="X167" s="26"/>
      <c r="Y167" s="26"/>
      <c r="Z167" s="26">
        <v>7</v>
      </c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</row>
    <row r="168" spans="1:68" ht="14" x14ac:dyDescent="0.2">
      <c r="A168" s="16" t="s">
        <v>429</v>
      </c>
      <c r="B168" s="17" t="s">
        <v>244</v>
      </c>
      <c r="C168" s="17" t="s">
        <v>423</v>
      </c>
      <c r="D168" s="17" t="s">
        <v>430</v>
      </c>
      <c r="E168" s="17" t="s">
        <v>370</v>
      </c>
      <c r="F168" s="18">
        <v>6</v>
      </c>
      <c r="G168" s="19">
        <v>88</v>
      </c>
      <c r="H168" s="20">
        <v>6</v>
      </c>
      <c r="I168" s="35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>
        <v>2</v>
      </c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</row>
    <row r="169" spans="1:68" ht="14" x14ac:dyDescent="0.2">
      <c r="A169" s="16" t="s">
        <v>431</v>
      </c>
      <c r="B169" s="17" t="s">
        <v>244</v>
      </c>
      <c r="C169" s="17" t="s">
        <v>423</v>
      </c>
      <c r="D169" s="17" t="s">
        <v>432</v>
      </c>
      <c r="E169" s="17" t="s">
        <v>370</v>
      </c>
      <c r="F169" s="18">
        <v>8</v>
      </c>
      <c r="G169" s="19">
        <v>44</v>
      </c>
      <c r="H169" s="20">
        <v>8</v>
      </c>
      <c r="I169" s="35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8"/>
      <c r="AA169" s="26">
        <v>21</v>
      </c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>
        <v>5</v>
      </c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</row>
    <row r="170" spans="1:68" ht="14" x14ac:dyDescent="0.2">
      <c r="A170" s="16" t="s">
        <v>433</v>
      </c>
      <c r="B170" s="17" t="s">
        <v>244</v>
      </c>
      <c r="C170" s="17" t="s">
        <v>423</v>
      </c>
      <c r="D170" s="17" t="s">
        <v>434</v>
      </c>
      <c r="E170" s="17" t="s">
        <v>370</v>
      </c>
      <c r="F170" s="18">
        <v>8</v>
      </c>
      <c r="G170" s="19">
        <v>64</v>
      </c>
      <c r="H170" s="20">
        <v>8</v>
      </c>
      <c r="I170" s="35"/>
      <c r="J170" s="26"/>
      <c r="K170" s="26"/>
      <c r="L170" s="26"/>
      <c r="M170" s="26"/>
      <c r="N170" s="26"/>
      <c r="O170" s="26">
        <v>3</v>
      </c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>
        <v>4</v>
      </c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</row>
    <row r="171" spans="1:68" ht="14" x14ac:dyDescent="0.2">
      <c r="A171" s="16" t="s">
        <v>435</v>
      </c>
      <c r="B171" s="17" t="s">
        <v>244</v>
      </c>
      <c r="C171" s="17" t="s">
        <v>423</v>
      </c>
      <c r="D171" s="17" t="s">
        <v>436</v>
      </c>
      <c r="E171" s="17" t="s">
        <v>370</v>
      </c>
      <c r="F171" s="18">
        <v>8</v>
      </c>
      <c r="G171" s="19">
        <v>80</v>
      </c>
      <c r="H171" s="20">
        <v>8</v>
      </c>
      <c r="I171" s="35">
        <v>2</v>
      </c>
      <c r="J171" s="26"/>
      <c r="K171" s="26"/>
      <c r="L171" s="26">
        <v>3</v>
      </c>
      <c r="M171" s="26"/>
      <c r="N171" s="26"/>
      <c r="O171" s="26"/>
      <c r="P171" s="26"/>
      <c r="Q171" s="26">
        <v>3</v>
      </c>
      <c r="R171" s="26"/>
      <c r="S171" s="26"/>
      <c r="T171" s="26"/>
      <c r="U171" s="26"/>
      <c r="V171" s="26">
        <v>2</v>
      </c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>
        <v>1</v>
      </c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</row>
    <row r="172" spans="1:68" ht="14" x14ac:dyDescent="0.2">
      <c r="A172" s="16" t="s">
        <v>437</v>
      </c>
      <c r="B172" s="17" t="s">
        <v>244</v>
      </c>
      <c r="C172" s="17" t="s">
        <v>423</v>
      </c>
      <c r="D172" s="17" t="s">
        <v>438</v>
      </c>
      <c r="E172" s="17" t="s">
        <v>370</v>
      </c>
      <c r="F172" s="18">
        <v>8</v>
      </c>
      <c r="G172" s="19">
        <v>96</v>
      </c>
      <c r="H172" s="20">
        <v>8</v>
      </c>
      <c r="I172" s="35"/>
      <c r="J172" s="26"/>
      <c r="K172" s="26"/>
      <c r="L172" s="26"/>
      <c r="M172" s="26"/>
      <c r="N172" s="26"/>
      <c r="O172" s="26"/>
      <c r="P172" s="26"/>
      <c r="Q172" s="26"/>
      <c r="R172" s="26"/>
      <c r="S172" s="26">
        <v>32</v>
      </c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</row>
    <row r="173" spans="1:68" ht="14" x14ac:dyDescent="0.2">
      <c r="A173" s="16" t="s">
        <v>439</v>
      </c>
      <c r="B173" s="17" t="s">
        <v>244</v>
      </c>
      <c r="C173" s="17" t="s">
        <v>423</v>
      </c>
      <c r="D173" s="17" t="s">
        <v>440</v>
      </c>
      <c r="E173" s="17" t="s">
        <v>370</v>
      </c>
      <c r="F173" s="18">
        <v>8</v>
      </c>
      <c r="G173" s="19">
        <v>120</v>
      </c>
      <c r="H173" s="20">
        <v>8</v>
      </c>
      <c r="I173" s="35"/>
      <c r="J173" s="26"/>
      <c r="K173" s="26"/>
      <c r="L173" s="26"/>
      <c r="M173" s="26"/>
      <c r="N173" s="26"/>
      <c r="O173" s="26"/>
      <c r="P173" s="26"/>
      <c r="Q173" s="26"/>
      <c r="R173" s="26">
        <v>4</v>
      </c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>
        <v>1</v>
      </c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</row>
    <row r="174" spans="1:68" ht="14" x14ac:dyDescent="0.2">
      <c r="A174" s="16" t="s">
        <v>441</v>
      </c>
      <c r="B174" s="17" t="s">
        <v>244</v>
      </c>
      <c r="C174" s="17" t="s">
        <v>423</v>
      </c>
      <c r="D174" s="17" t="s">
        <v>442</v>
      </c>
      <c r="E174" s="17" t="s">
        <v>370</v>
      </c>
      <c r="F174" s="18">
        <v>12</v>
      </c>
      <c r="G174" s="19">
        <v>96</v>
      </c>
      <c r="H174" s="20">
        <v>12</v>
      </c>
      <c r="I174" s="35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>
        <v>4</v>
      </c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</row>
    <row r="175" spans="1:68" ht="14" x14ac:dyDescent="0.2">
      <c r="A175" s="16" t="s">
        <v>443</v>
      </c>
      <c r="B175" s="17" t="s">
        <v>244</v>
      </c>
      <c r="C175" s="17" t="s">
        <v>423</v>
      </c>
      <c r="D175" s="17" t="s">
        <v>444</v>
      </c>
      <c r="E175" s="17" t="s">
        <v>370</v>
      </c>
      <c r="F175" s="18">
        <v>16</v>
      </c>
      <c r="G175" s="19">
        <v>64</v>
      </c>
      <c r="H175" s="20">
        <v>16</v>
      </c>
      <c r="I175" s="35"/>
      <c r="J175" s="26"/>
      <c r="K175" s="26"/>
      <c r="L175" s="26"/>
      <c r="M175" s="26"/>
      <c r="N175" s="26">
        <v>7</v>
      </c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</row>
    <row r="176" spans="1:68" ht="14" x14ac:dyDescent="0.2">
      <c r="A176" s="16" t="s">
        <v>445</v>
      </c>
      <c r="B176" s="17" t="s">
        <v>244</v>
      </c>
      <c r="C176" s="17" t="s">
        <v>423</v>
      </c>
      <c r="D176" s="17" t="s">
        <v>446</v>
      </c>
      <c r="E176" s="17" t="s">
        <v>370</v>
      </c>
      <c r="F176" s="18">
        <v>16</v>
      </c>
      <c r="G176" s="19">
        <v>88</v>
      </c>
      <c r="H176" s="20">
        <v>16</v>
      </c>
      <c r="I176" s="35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>
        <v>1</v>
      </c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>
        <v>3</v>
      </c>
      <c r="BI176" s="26"/>
      <c r="BJ176" s="26"/>
      <c r="BK176" s="26"/>
      <c r="BL176" s="26"/>
      <c r="BM176" s="26"/>
      <c r="BN176" s="26"/>
      <c r="BO176" s="26"/>
      <c r="BP176" s="26"/>
    </row>
    <row r="177" spans="1:68" ht="14" x14ac:dyDescent="0.2">
      <c r="A177" s="16" t="s">
        <v>447</v>
      </c>
      <c r="B177" s="17" t="s">
        <v>244</v>
      </c>
      <c r="C177" s="17" t="s">
        <v>423</v>
      </c>
      <c r="D177" s="17" t="s">
        <v>448</v>
      </c>
      <c r="E177" s="17" t="s">
        <v>370</v>
      </c>
      <c r="F177" s="18">
        <v>16</v>
      </c>
      <c r="G177" s="19">
        <v>144</v>
      </c>
      <c r="H177" s="20">
        <v>16</v>
      </c>
      <c r="I177" s="35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>
        <v>11</v>
      </c>
      <c r="BH177" s="26"/>
      <c r="BI177" s="26">
        <v>2</v>
      </c>
      <c r="BJ177" s="26"/>
      <c r="BK177" s="26"/>
      <c r="BL177" s="26"/>
      <c r="BM177" s="26"/>
      <c r="BN177" s="26">
        <v>4</v>
      </c>
      <c r="BO177" s="26"/>
      <c r="BP177" s="26"/>
    </row>
    <row r="178" spans="1:68" ht="14" x14ac:dyDescent="0.2">
      <c r="A178" s="16" t="s">
        <v>449</v>
      </c>
      <c r="B178" s="17" t="s">
        <v>244</v>
      </c>
      <c r="C178" s="17" t="s">
        <v>423</v>
      </c>
      <c r="D178" s="17" t="s">
        <v>450</v>
      </c>
      <c r="E178" s="17" t="s">
        <v>370</v>
      </c>
      <c r="F178" s="18">
        <v>16</v>
      </c>
      <c r="G178" s="19">
        <v>184</v>
      </c>
      <c r="H178" s="20">
        <v>16</v>
      </c>
      <c r="I178" s="35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>
        <v>3</v>
      </c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>
        <v>2</v>
      </c>
    </row>
    <row r="179" spans="1:68" ht="15" x14ac:dyDescent="0.2">
      <c r="A179" s="1" t="s">
        <v>451</v>
      </c>
      <c r="B179" s="2" t="s">
        <v>452</v>
      </c>
      <c r="C179" s="2" t="s">
        <v>453</v>
      </c>
      <c r="D179" s="2" t="s">
        <v>454</v>
      </c>
      <c r="E179" s="2" t="s">
        <v>455</v>
      </c>
      <c r="F179" s="3">
        <v>16</v>
      </c>
      <c r="G179" s="4">
        <v>16</v>
      </c>
      <c r="H179" s="5">
        <v>16</v>
      </c>
      <c r="I179" s="35"/>
      <c r="J179" s="26">
        <v>3</v>
      </c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>
        <v>1</v>
      </c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>
        <v>1</v>
      </c>
      <c r="BP179" s="26">
        <v>14</v>
      </c>
    </row>
    <row r="180" spans="1:68" ht="15" x14ac:dyDescent="0.2">
      <c r="A180" s="1" t="s">
        <v>456</v>
      </c>
      <c r="B180" s="2" t="s">
        <v>452</v>
      </c>
      <c r="C180" s="2" t="s">
        <v>453</v>
      </c>
      <c r="D180" s="2" t="s">
        <v>457</v>
      </c>
      <c r="E180" s="2" t="s">
        <v>455</v>
      </c>
      <c r="F180" s="3">
        <v>20</v>
      </c>
      <c r="G180" s="4">
        <v>20</v>
      </c>
      <c r="H180" s="5">
        <v>20</v>
      </c>
      <c r="I180" s="35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>
        <v>10</v>
      </c>
      <c r="AE180" s="26"/>
      <c r="AF180" s="26">
        <v>5</v>
      </c>
      <c r="AG180" s="26"/>
      <c r="AH180" s="26">
        <v>14</v>
      </c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</row>
    <row r="181" spans="1:68" ht="15" x14ac:dyDescent="0.2">
      <c r="A181" s="1" t="s">
        <v>458</v>
      </c>
      <c r="B181" s="2" t="s">
        <v>452</v>
      </c>
      <c r="C181" s="2" t="s">
        <v>453</v>
      </c>
      <c r="D181" s="2" t="s">
        <v>459</v>
      </c>
      <c r="E181" s="2" t="s">
        <v>455</v>
      </c>
      <c r="F181" s="3">
        <v>20</v>
      </c>
      <c r="G181" s="4">
        <v>24</v>
      </c>
      <c r="H181" s="5">
        <v>20</v>
      </c>
      <c r="I181" s="35"/>
      <c r="J181" s="26"/>
      <c r="K181" s="26"/>
      <c r="L181" s="26">
        <v>6</v>
      </c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>
        <v>13</v>
      </c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</row>
    <row r="182" spans="1:68" ht="15" x14ac:dyDescent="0.2">
      <c r="A182" s="1" t="s">
        <v>460</v>
      </c>
      <c r="B182" s="2" t="s">
        <v>452</v>
      </c>
      <c r="C182" s="2" t="s">
        <v>453</v>
      </c>
      <c r="D182" s="2" t="s">
        <v>461</v>
      </c>
      <c r="E182" s="2" t="s">
        <v>455</v>
      </c>
      <c r="F182" s="3">
        <v>24</v>
      </c>
      <c r="G182" s="4">
        <v>24</v>
      </c>
      <c r="H182" s="5">
        <v>24</v>
      </c>
      <c r="I182" s="35"/>
      <c r="J182" s="26"/>
      <c r="K182" s="26"/>
      <c r="L182" s="26"/>
      <c r="M182" s="26"/>
      <c r="N182" s="26"/>
      <c r="O182" s="26"/>
      <c r="P182" s="26">
        <v>7</v>
      </c>
      <c r="Q182" s="26">
        <v>5</v>
      </c>
      <c r="R182" s="26">
        <v>7</v>
      </c>
      <c r="S182" s="26"/>
      <c r="T182" s="26">
        <v>1</v>
      </c>
      <c r="U182" s="26"/>
      <c r="V182" s="26"/>
      <c r="W182" s="26"/>
      <c r="X182" s="26"/>
      <c r="Y182" s="26"/>
      <c r="Z182" s="26"/>
      <c r="AA182" s="26"/>
      <c r="AB182" s="26"/>
      <c r="AC182" s="26">
        <v>9</v>
      </c>
      <c r="AD182" s="26"/>
      <c r="AE182" s="26">
        <v>1</v>
      </c>
      <c r="AF182" s="26"/>
      <c r="AG182" s="26"/>
      <c r="AH182" s="26"/>
      <c r="AI182" s="26"/>
      <c r="AJ182" s="26">
        <v>9</v>
      </c>
      <c r="AK182" s="26">
        <v>7</v>
      </c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>
        <v>8</v>
      </c>
      <c r="BO182" s="26">
        <v>11</v>
      </c>
      <c r="BP182" s="26"/>
    </row>
    <row r="183" spans="1:68" ht="15" x14ac:dyDescent="0.2">
      <c r="A183" s="1" t="s">
        <v>462</v>
      </c>
      <c r="B183" s="2" t="s">
        <v>452</v>
      </c>
      <c r="C183" s="2" t="s">
        <v>463</v>
      </c>
      <c r="D183" s="2" t="s">
        <v>464</v>
      </c>
      <c r="E183" s="2" t="s">
        <v>455</v>
      </c>
      <c r="F183" s="3">
        <v>17.600000000000001</v>
      </c>
      <c r="G183" s="4">
        <v>17.600000000000001</v>
      </c>
      <c r="H183" s="5">
        <v>17.600000000000001</v>
      </c>
      <c r="I183" s="35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>
        <v>13</v>
      </c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</row>
    <row r="184" spans="1:68" ht="15" x14ac:dyDescent="0.2">
      <c r="A184" s="1" t="s">
        <v>465</v>
      </c>
      <c r="B184" s="2" t="s">
        <v>244</v>
      </c>
      <c r="C184" s="2" t="s">
        <v>87</v>
      </c>
      <c r="D184" s="2" t="s">
        <v>466</v>
      </c>
      <c r="E184" s="2" t="s">
        <v>92</v>
      </c>
      <c r="F184" s="3">
        <v>16</v>
      </c>
      <c r="G184" s="4">
        <v>40</v>
      </c>
      <c r="H184" s="5">
        <v>16</v>
      </c>
      <c r="I184" s="35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>
        <v>9</v>
      </c>
      <c r="AD184" s="26"/>
      <c r="AE184" s="26"/>
      <c r="AF184" s="26"/>
      <c r="AG184" s="26"/>
      <c r="AH184" s="26"/>
      <c r="AI184" s="26"/>
      <c r="AJ184" s="26"/>
      <c r="AK184" s="26"/>
      <c r="AL184" s="26"/>
      <c r="AM184" s="26">
        <v>10</v>
      </c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>
        <v>1</v>
      </c>
      <c r="BH184" s="26"/>
      <c r="BI184" s="26"/>
      <c r="BJ184" s="26"/>
      <c r="BK184" s="26"/>
      <c r="BL184" s="26"/>
      <c r="BM184" s="26"/>
      <c r="BN184" s="26"/>
      <c r="BO184" s="26"/>
      <c r="BP184" s="26"/>
    </row>
    <row r="185" spans="1:68" ht="15" x14ac:dyDescent="0.2">
      <c r="A185" s="1" t="s">
        <v>467</v>
      </c>
      <c r="B185" s="2" t="s">
        <v>468</v>
      </c>
      <c r="C185" s="2" t="s">
        <v>87</v>
      </c>
      <c r="D185" s="2" t="s">
        <v>469</v>
      </c>
      <c r="E185" s="2" t="s">
        <v>98</v>
      </c>
      <c r="F185" s="3">
        <v>8</v>
      </c>
      <c r="G185" s="4">
        <v>16</v>
      </c>
      <c r="H185" s="5"/>
      <c r="I185" s="35">
        <v>12</v>
      </c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>
        <v>20</v>
      </c>
      <c r="BO185" s="26"/>
      <c r="BP185" s="26"/>
    </row>
    <row r="186" spans="1:68" ht="15" x14ac:dyDescent="0.2">
      <c r="A186" s="1" t="s">
        <v>470</v>
      </c>
      <c r="B186" s="2" t="s">
        <v>468</v>
      </c>
      <c r="C186" s="2" t="s">
        <v>87</v>
      </c>
      <c r="D186" s="2" t="s">
        <v>471</v>
      </c>
      <c r="E186" s="2" t="s">
        <v>98</v>
      </c>
      <c r="F186" s="3">
        <v>12</v>
      </c>
      <c r="G186" s="4">
        <v>20</v>
      </c>
      <c r="H186" s="5"/>
      <c r="I186" s="35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>
        <v>3</v>
      </c>
      <c r="BP186" s="26"/>
    </row>
    <row r="187" spans="1:68" ht="15" x14ac:dyDescent="0.2">
      <c r="A187" s="1" t="s">
        <v>472</v>
      </c>
      <c r="B187" s="2" t="s">
        <v>468</v>
      </c>
      <c r="C187" s="2" t="s">
        <v>87</v>
      </c>
      <c r="D187" s="2" t="s">
        <v>473</v>
      </c>
      <c r="E187" s="2" t="s">
        <v>98</v>
      </c>
      <c r="F187" s="3">
        <v>16</v>
      </c>
      <c r="G187" s="4">
        <v>32</v>
      </c>
      <c r="H187" s="5"/>
      <c r="I187" s="35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>
        <v>1</v>
      </c>
      <c r="BD187" s="26"/>
      <c r="BE187" s="26">
        <v>1</v>
      </c>
      <c r="BF187" s="26"/>
      <c r="BG187" s="26"/>
      <c r="BH187" s="26"/>
      <c r="BI187" s="26"/>
      <c r="BJ187" s="26"/>
      <c r="BK187" s="26"/>
      <c r="BL187" s="26">
        <v>4</v>
      </c>
      <c r="BM187" s="26"/>
      <c r="BN187" s="26">
        <v>4</v>
      </c>
      <c r="BO187" s="26"/>
      <c r="BP187" s="26"/>
    </row>
    <row r="188" spans="1:68" ht="15" x14ac:dyDescent="0.2">
      <c r="A188" s="1" t="s">
        <v>474</v>
      </c>
      <c r="B188" s="2" t="s">
        <v>468</v>
      </c>
      <c r="C188" s="2" t="s">
        <v>87</v>
      </c>
      <c r="D188" s="2" t="s">
        <v>475</v>
      </c>
      <c r="E188" s="2" t="s">
        <v>98</v>
      </c>
      <c r="F188" s="3">
        <v>24</v>
      </c>
      <c r="G188" s="4">
        <v>32</v>
      </c>
      <c r="H188" s="5"/>
      <c r="I188" s="35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>
        <v>1</v>
      </c>
      <c r="BO188" s="26">
        <v>18</v>
      </c>
      <c r="BP188" s="26">
        <v>12</v>
      </c>
    </row>
    <row r="189" spans="1:68" ht="15" x14ac:dyDescent="0.2">
      <c r="A189" s="1" t="s">
        <v>476</v>
      </c>
      <c r="B189" s="2" t="s">
        <v>468</v>
      </c>
      <c r="C189" s="2" t="s">
        <v>73</v>
      </c>
      <c r="D189" s="2" t="s">
        <v>477</v>
      </c>
      <c r="E189" s="2" t="s">
        <v>98</v>
      </c>
      <c r="F189" s="3">
        <v>16</v>
      </c>
      <c r="G189" s="4">
        <v>16</v>
      </c>
      <c r="H189" s="5"/>
      <c r="I189" s="35"/>
      <c r="J189" s="26"/>
      <c r="K189" s="26"/>
      <c r="L189" s="26"/>
      <c r="M189" s="26"/>
      <c r="N189" s="26"/>
      <c r="O189" s="26"/>
      <c r="P189" s="26"/>
      <c r="Q189" s="26"/>
      <c r="R189" s="26">
        <v>1</v>
      </c>
      <c r="S189" s="26"/>
      <c r="T189" s="26"/>
      <c r="U189" s="26"/>
      <c r="V189" s="26"/>
      <c r="W189" s="26"/>
      <c r="X189" s="26"/>
      <c r="Y189" s="26"/>
      <c r="Z189" s="28"/>
      <c r="AA189" s="26">
        <v>1</v>
      </c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</row>
    <row r="190" spans="1:68" ht="15" x14ac:dyDescent="0.2">
      <c r="A190" s="1" t="s">
        <v>478</v>
      </c>
      <c r="B190" s="2" t="s">
        <v>468</v>
      </c>
      <c r="C190" s="2" t="s">
        <v>479</v>
      </c>
      <c r="D190" s="29" t="s">
        <v>480</v>
      </c>
      <c r="E190" s="2" t="s">
        <v>98</v>
      </c>
      <c r="F190" s="3">
        <v>6</v>
      </c>
      <c r="G190" s="4">
        <v>16</v>
      </c>
      <c r="H190" s="5"/>
      <c r="I190" s="35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>
        <v>4</v>
      </c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</row>
    <row r="191" spans="1:68" ht="15" x14ac:dyDescent="0.2">
      <c r="A191" s="1" t="s">
        <v>481</v>
      </c>
      <c r="B191" s="2" t="s">
        <v>468</v>
      </c>
      <c r="C191" s="2" t="s">
        <v>479</v>
      </c>
      <c r="D191" s="29" t="s">
        <v>482</v>
      </c>
      <c r="E191" s="2" t="s">
        <v>98</v>
      </c>
      <c r="F191" s="3">
        <v>8</v>
      </c>
      <c r="G191" s="4">
        <v>16</v>
      </c>
      <c r="H191" s="5"/>
      <c r="I191" s="35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>
        <v>8</v>
      </c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</row>
    <row r="192" spans="1:68" ht="15" x14ac:dyDescent="0.2">
      <c r="A192" s="1" t="s">
        <v>483</v>
      </c>
      <c r="B192" s="2" t="s">
        <v>468</v>
      </c>
      <c r="C192" s="2" t="s">
        <v>479</v>
      </c>
      <c r="D192" s="29" t="s">
        <v>484</v>
      </c>
      <c r="E192" s="2" t="s">
        <v>98</v>
      </c>
      <c r="F192" s="3">
        <v>8</v>
      </c>
      <c r="G192" s="4">
        <v>24</v>
      </c>
      <c r="H192" s="5"/>
      <c r="I192" s="35">
        <v>23</v>
      </c>
      <c r="J192" s="26">
        <v>23</v>
      </c>
      <c r="K192" s="26"/>
      <c r="L192" s="26"/>
      <c r="M192" s="26"/>
      <c r="N192" s="26">
        <v>23</v>
      </c>
      <c r="O192" s="26">
        <v>2</v>
      </c>
      <c r="P192" s="26">
        <v>18</v>
      </c>
      <c r="Q192" s="26">
        <v>27</v>
      </c>
      <c r="R192" s="26">
        <v>30</v>
      </c>
      <c r="S192" s="26"/>
      <c r="T192" s="26"/>
      <c r="U192" s="26"/>
      <c r="V192" s="26"/>
      <c r="W192" s="26"/>
      <c r="X192" s="26"/>
      <c r="Y192" s="26"/>
      <c r="Z192" s="26">
        <v>3</v>
      </c>
      <c r="AA192" s="26"/>
      <c r="AB192" s="26">
        <v>13</v>
      </c>
      <c r="AC192" s="26"/>
      <c r="AD192" s="26"/>
      <c r="AE192" s="26"/>
      <c r="AF192" s="26">
        <v>16</v>
      </c>
      <c r="AG192" s="26"/>
      <c r="AH192" s="26"/>
      <c r="AI192" s="26"/>
      <c r="AJ192" s="26">
        <v>39</v>
      </c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>
        <v>20</v>
      </c>
      <c r="AV192" s="26">
        <v>3</v>
      </c>
      <c r="AW192" s="28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>
        <v>95</v>
      </c>
      <c r="BH192" s="26"/>
      <c r="BI192" s="26"/>
      <c r="BJ192" s="26"/>
      <c r="BK192" s="26"/>
      <c r="BL192" s="26"/>
      <c r="BM192" s="26"/>
      <c r="BN192" s="26"/>
      <c r="BO192" s="26">
        <v>80</v>
      </c>
      <c r="BP192" s="26">
        <v>94</v>
      </c>
    </row>
    <row r="193" spans="1:68" ht="15" x14ac:dyDescent="0.2">
      <c r="A193" s="1" t="s">
        <v>485</v>
      </c>
      <c r="B193" s="2" t="s">
        <v>468</v>
      </c>
      <c r="C193" s="2" t="s">
        <v>479</v>
      </c>
      <c r="D193" s="29" t="s">
        <v>486</v>
      </c>
      <c r="E193" s="2" t="s">
        <v>98</v>
      </c>
      <c r="F193" s="3">
        <v>12</v>
      </c>
      <c r="G193" s="4">
        <v>40</v>
      </c>
      <c r="H193" s="5"/>
      <c r="I193" s="35"/>
      <c r="J193" s="26"/>
      <c r="K193" s="26"/>
      <c r="L193" s="26"/>
      <c r="M193" s="26"/>
      <c r="N193" s="26"/>
      <c r="O193" s="26"/>
      <c r="P193" s="26"/>
      <c r="Q193" s="26">
        <v>1</v>
      </c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</row>
    <row r="194" spans="1:68" ht="15" x14ac:dyDescent="0.2">
      <c r="A194" s="1" t="s">
        <v>487</v>
      </c>
      <c r="B194" s="2" t="s">
        <v>468</v>
      </c>
      <c r="C194" s="2" t="s">
        <v>479</v>
      </c>
      <c r="D194" s="5" t="s">
        <v>488</v>
      </c>
      <c r="E194" s="2" t="s">
        <v>98</v>
      </c>
      <c r="F194" s="3">
        <v>16</v>
      </c>
      <c r="G194" s="4">
        <v>24</v>
      </c>
      <c r="H194" s="5"/>
      <c r="I194" s="35"/>
      <c r="J194" s="26"/>
      <c r="K194" s="26"/>
      <c r="L194" s="26">
        <v>15</v>
      </c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>
        <v>10</v>
      </c>
      <c r="AB194" s="28"/>
      <c r="AC194" s="26"/>
      <c r="AD194" s="26">
        <v>26</v>
      </c>
      <c r="AE194" s="26"/>
      <c r="AF194" s="26"/>
      <c r="AG194" s="26"/>
      <c r="AH194" s="26">
        <v>7</v>
      </c>
      <c r="AI194" s="26"/>
      <c r="AJ194" s="26"/>
      <c r="AK194" s="26">
        <v>14</v>
      </c>
      <c r="AL194" s="26">
        <v>19</v>
      </c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>
        <v>96</v>
      </c>
      <c r="BO194" s="26"/>
      <c r="BP194" s="26"/>
    </row>
    <row r="195" spans="1:68" ht="15" x14ac:dyDescent="0.2">
      <c r="A195" s="1" t="s">
        <v>489</v>
      </c>
      <c r="B195" s="2" t="s">
        <v>468</v>
      </c>
      <c r="C195" s="2" t="s">
        <v>479</v>
      </c>
      <c r="D195" s="5" t="s">
        <v>490</v>
      </c>
      <c r="E195" s="2" t="s">
        <v>98</v>
      </c>
      <c r="F195" s="3">
        <v>16</v>
      </c>
      <c r="G195" s="4">
        <v>48</v>
      </c>
      <c r="H195" s="5"/>
      <c r="I195" s="35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>
        <v>14</v>
      </c>
      <c r="BH195" s="26">
        <v>1</v>
      </c>
      <c r="BI195" s="26"/>
      <c r="BJ195" s="26"/>
      <c r="BK195" s="26"/>
      <c r="BL195" s="26"/>
      <c r="BM195" s="26"/>
      <c r="BN195" s="26">
        <v>7</v>
      </c>
      <c r="BO195" s="26"/>
      <c r="BP195" s="26"/>
    </row>
    <row r="196" spans="1:68" ht="15" x14ac:dyDescent="0.2">
      <c r="A196" s="1" t="s">
        <v>491</v>
      </c>
      <c r="B196" s="2" t="s">
        <v>468</v>
      </c>
      <c r="C196" s="2" t="s">
        <v>492</v>
      </c>
      <c r="D196" s="2" t="s">
        <v>493</v>
      </c>
      <c r="E196" s="2" t="s">
        <v>98</v>
      </c>
      <c r="F196" s="3">
        <v>8</v>
      </c>
      <c r="G196" s="4">
        <v>20</v>
      </c>
      <c r="H196" s="5"/>
      <c r="I196" s="35"/>
      <c r="J196" s="26"/>
      <c r="K196" s="26"/>
      <c r="L196" s="26"/>
      <c r="M196" s="26"/>
      <c r="N196" s="26"/>
      <c r="O196" s="26"/>
      <c r="P196" s="26"/>
      <c r="Q196" s="26"/>
      <c r="R196" s="26"/>
      <c r="S196" s="26">
        <v>3</v>
      </c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</row>
    <row r="197" spans="1:68" ht="15" x14ac:dyDescent="0.2">
      <c r="A197" s="1" t="s">
        <v>494</v>
      </c>
      <c r="B197" s="2" t="s">
        <v>468</v>
      </c>
      <c r="C197" s="2" t="s">
        <v>492</v>
      </c>
      <c r="D197" s="2" t="s">
        <v>495</v>
      </c>
      <c r="E197" s="2" t="s">
        <v>98</v>
      </c>
      <c r="F197" s="3">
        <v>8</v>
      </c>
      <c r="G197" s="4">
        <v>32</v>
      </c>
      <c r="H197" s="5"/>
      <c r="I197" s="35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>
        <v>2</v>
      </c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</row>
    <row r="198" spans="1:68" ht="15" x14ac:dyDescent="0.2">
      <c r="A198" s="1" t="s">
        <v>496</v>
      </c>
      <c r="B198" s="2" t="s">
        <v>468</v>
      </c>
      <c r="C198" s="2" t="s">
        <v>492</v>
      </c>
      <c r="D198" s="2" t="s">
        <v>497</v>
      </c>
      <c r="E198" s="2" t="s">
        <v>98</v>
      </c>
      <c r="F198" s="3">
        <v>8</v>
      </c>
      <c r="G198" s="4">
        <v>40</v>
      </c>
      <c r="H198" s="5"/>
      <c r="I198" s="35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>
        <v>17</v>
      </c>
    </row>
    <row r="199" spans="1:68" ht="15" x14ac:dyDescent="0.2">
      <c r="A199" s="1" t="s">
        <v>498</v>
      </c>
      <c r="B199" s="2" t="s">
        <v>468</v>
      </c>
      <c r="C199" s="2" t="s">
        <v>492</v>
      </c>
      <c r="D199" s="2" t="s">
        <v>499</v>
      </c>
      <c r="E199" s="2" t="s">
        <v>98</v>
      </c>
      <c r="F199" s="3">
        <v>8</v>
      </c>
      <c r="G199" s="4">
        <v>136</v>
      </c>
      <c r="H199" s="5"/>
      <c r="I199" s="35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>
        <v>1</v>
      </c>
      <c r="BM199" s="26">
        <v>1</v>
      </c>
      <c r="BN199" s="26"/>
      <c r="BO199" s="26"/>
      <c r="BP199" s="26"/>
    </row>
    <row r="200" spans="1:68" ht="15" x14ac:dyDescent="0.2">
      <c r="A200" s="1" t="s">
        <v>500</v>
      </c>
      <c r="B200" s="2" t="s">
        <v>468</v>
      </c>
      <c r="C200" s="2" t="s">
        <v>492</v>
      </c>
      <c r="D200" s="2" t="s">
        <v>501</v>
      </c>
      <c r="E200" s="2" t="s">
        <v>98</v>
      </c>
      <c r="F200" s="3">
        <v>12</v>
      </c>
      <c r="G200" s="4">
        <v>80</v>
      </c>
      <c r="H200" s="5"/>
      <c r="I200" s="35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>
        <v>1</v>
      </c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>
        <v>4</v>
      </c>
      <c r="BO200" s="26">
        <v>6</v>
      </c>
      <c r="BP200" s="26"/>
    </row>
    <row r="201" spans="1:68" ht="15" x14ac:dyDescent="0.2">
      <c r="A201" s="1" t="s">
        <v>502</v>
      </c>
      <c r="B201" s="2" t="s">
        <v>468</v>
      </c>
      <c r="C201" s="2" t="s">
        <v>492</v>
      </c>
      <c r="D201" s="2" t="s">
        <v>503</v>
      </c>
      <c r="E201" s="2" t="s">
        <v>98</v>
      </c>
      <c r="F201" s="3">
        <v>16</v>
      </c>
      <c r="G201" s="4">
        <v>48</v>
      </c>
      <c r="H201" s="5"/>
      <c r="I201" s="35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>
        <f>1+1</f>
        <v>2</v>
      </c>
      <c r="BI201" s="26"/>
      <c r="BJ201" s="26">
        <v>2</v>
      </c>
      <c r="BK201" s="26">
        <v>1</v>
      </c>
      <c r="BL201" s="26"/>
      <c r="BM201" s="26"/>
      <c r="BN201" s="26">
        <v>1</v>
      </c>
      <c r="BO201" s="26"/>
      <c r="BP201" s="26"/>
    </row>
    <row r="202" spans="1:68" ht="15" x14ac:dyDescent="0.2">
      <c r="A202" s="1" t="s">
        <v>504</v>
      </c>
      <c r="B202" s="2" t="s">
        <v>468</v>
      </c>
      <c r="C202" s="2" t="s">
        <v>492</v>
      </c>
      <c r="D202" s="2" t="s">
        <v>505</v>
      </c>
      <c r="E202" s="2" t="s">
        <v>98</v>
      </c>
      <c r="F202" s="3">
        <v>16</v>
      </c>
      <c r="G202" s="4">
        <v>144</v>
      </c>
      <c r="H202" s="5"/>
      <c r="I202" s="35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>
        <v>1</v>
      </c>
      <c r="BJ202" s="26"/>
      <c r="BK202" s="26"/>
      <c r="BL202" s="26"/>
      <c r="BM202" s="26"/>
      <c r="BN202" s="26"/>
      <c r="BO202" s="26"/>
      <c r="BP202" s="26"/>
    </row>
    <row r="203" spans="1:68" ht="15" x14ac:dyDescent="0.2">
      <c r="A203" s="1" t="s">
        <v>506</v>
      </c>
      <c r="B203" s="2" t="s">
        <v>468</v>
      </c>
      <c r="C203" s="2" t="s">
        <v>492</v>
      </c>
      <c r="D203" s="2" t="s">
        <v>507</v>
      </c>
      <c r="E203" s="2" t="s">
        <v>98</v>
      </c>
      <c r="F203" s="3">
        <v>40</v>
      </c>
      <c r="G203" s="4">
        <v>40</v>
      </c>
      <c r="H203" s="5"/>
      <c r="I203" s="35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>
        <v>7</v>
      </c>
      <c r="BH203" s="26"/>
      <c r="BI203" s="26"/>
      <c r="BJ203" s="26"/>
      <c r="BK203" s="26"/>
      <c r="BL203" s="26">
        <v>3</v>
      </c>
      <c r="BM203" s="26"/>
      <c r="BN203" s="26"/>
      <c r="BO203" s="26"/>
      <c r="BP203" s="26"/>
    </row>
    <row r="204" spans="1:68" ht="15" x14ac:dyDescent="0.2">
      <c r="A204" s="1" t="s">
        <v>508</v>
      </c>
      <c r="B204" s="2" t="s">
        <v>509</v>
      </c>
      <c r="C204" s="2" t="s">
        <v>510</v>
      </c>
      <c r="D204" s="2" t="s">
        <v>511</v>
      </c>
      <c r="E204" s="2" t="s">
        <v>98</v>
      </c>
      <c r="F204" s="3">
        <v>16</v>
      </c>
      <c r="G204" s="4">
        <v>16</v>
      </c>
      <c r="H204" s="5"/>
      <c r="I204" s="35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>
        <v>14</v>
      </c>
      <c r="AX204" s="26"/>
      <c r="AY204" s="26"/>
      <c r="AZ204" s="26">
        <v>1</v>
      </c>
      <c r="BA204" s="26"/>
      <c r="BB204" s="26">
        <v>1</v>
      </c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</row>
    <row r="205" spans="1:68" ht="15" x14ac:dyDescent="0.2">
      <c r="A205" s="1" t="s">
        <v>512</v>
      </c>
      <c r="B205" s="2" t="s">
        <v>509</v>
      </c>
      <c r="C205" s="2" t="s">
        <v>510</v>
      </c>
      <c r="D205" s="2" t="s">
        <v>513</v>
      </c>
      <c r="E205" s="2" t="s">
        <v>98</v>
      </c>
      <c r="F205" s="3">
        <v>32</v>
      </c>
      <c r="G205" s="4">
        <v>32</v>
      </c>
      <c r="H205" s="5"/>
      <c r="I205" s="35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>
        <v>1</v>
      </c>
      <c r="BF205" s="26"/>
      <c r="BG205" s="26"/>
      <c r="BH205" s="26"/>
      <c r="BI205" s="26"/>
      <c r="BJ205" s="26"/>
      <c r="BK205" s="26"/>
      <c r="BL205" s="26"/>
      <c r="BM205" s="26"/>
      <c r="BN205" s="26">
        <v>24</v>
      </c>
      <c r="BO205" s="26">
        <v>16</v>
      </c>
      <c r="BP205" s="26">
        <v>15</v>
      </c>
    </row>
    <row r="206" spans="1:68" ht="15" x14ac:dyDescent="0.2">
      <c r="A206" s="1" t="s">
        <v>514</v>
      </c>
      <c r="B206" s="2" t="s">
        <v>515</v>
      </c>
      <c r="C206" s="2" t="s">
        <v>516</v>
      </c>
      <c r="D206" s="2" t="s">
        <v>517</v>
      </c>
      <c r="E206" s="2" t="s">
        <v>98</v>
      </c>
      <c r="F206" s="3">
        <v>16</v>
      </c>
      <c r="G206" s="4">
        <v>24</v>
      </c>
      <c r="H206" s="5"/>
      <c r="I206" s="35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>
        <v>26</v>
      </c>
      <c r="W206" s="26"/>
      <c r="X206" s="26"/>
      <c r="Y206" s="26"/>
      <c r="Z206" s="26"/>
      <c r="AA206" s="26"/>
      <c r="AB206" s="26"/>
      <c r="AC206" s="26">
        <v>1</v>
      </c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</row>
    <row r="207" spans="1:68" ht="15" x14ac:dyDescent="0.2">
      <c r="A207" s="1" t="s">
        <v>518</v>
      </c>
      <c r="B207" s="2" t="s">
        <v>515</v>
      </c>
      <c r="C207" s="2" t="s">
        <v>516</v>
      </c>
      <c r="D207" s="2" t="s">
        <v>519</v>
      </c>
      <c r="E207" s="2" t="s">
        <v>98</v>
      </c>
      <c r="F207" s="3">
        <v>16</v>
      </c>
      <c r="G207" s="4">
        <v>80</v>
      </c>
      <c r="H207" s="5"/>
      <c r="I207" s="35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>
        <v>1</v>
      </c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</row>
    <row r="208" spans="1:68" ht="15" x14ac:dyDescent="0.2">
      <c r="A208" s="1" t="s">
        <v>520</v>
      </c>
      <c r="B208" s="2" t="s">
        <v>515</v>
      </c>
      <c r="C208" s="2" t="s">
        <v>516</v>
      </c>
      <c r="D208" s="2" t="s">
        <v>521</v>
      </c>
      <c r="E208" s="2" t="s">
        <v>98</v>
      </c>
      <c r="F208" s="3">
        <v>20</v>
      </c>
      <c r="G208" s="4">
        <v>40</v>
      </c>
      <c r="H208" s="5"/>
      <c r="I208" s="35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>
        <v>6</v>
      </c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</row>
    <row r="209" spans="1:68" ht="15" x14ac:dyDescent="0.2">
      <c r="A209" s="1" t="s">
        <v>522</v>
      </c>
      <c r="B209" s="2" t="s">
        <v>515</v>
      </c>
      <c r="C209" s="2" t="s">
        <v>516</v>
      </c>
      <c r="D209" s="2" t="s">
        <v>523</v>
      </c>
      <c r="E209" s="2" t="s">
        <v>98</v>
      </c>
      <c r="F209" s="3">
        <v>20</v>
      </c>
      <c r="G209" s="4">
        <v>64</v>
      </c>
      <c r="H209" s="5"/>
      <c r="I209" s="35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>
        <v>26</v>
      </c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</row>
    <row r="210" spans="1:68" ht="15" x14ac:dyDescent="0.2">
      <c r="A210" s="1" t="s">
        <v>524</v>
      </c>
      <c r="B210" s="2" t="s">
        <v>515</v>
      </c>
      <c r="C210" s="2" t="s">
        <v>516</v>
      </c>
      <c r="D210" s="2" t="s">
        <v>525</v>
      </c>
      <c r="E210" s="2" t="s">
        <v>98</v>
      </c>
      <c r="F210" s="3">
        <v>24</v>
      </c>
      <c r="G210" s="4">
        <v>32</v>
      </c>
      <c r="H210" s="5"/>
      <c r="I210" s="35"/>
      <c r="J210" s="26"/>
      <c r="K210" s="26"/>
      <c r="L210" s="26"/>
      <c r="M210" s="26"/>
      <c r="N210" s="26"/>
      <c r="O210" s="26"/>
      <c r="P210" s="26">
        <v>1</v>
      </c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>
        <v>21</v>
      </c>
      <c r="BH210" s="26"/>
      <c r="BI210" s="26"/>
      <c r="BJ210" s="26"/>
      <c r="BK210" s="26"/>
      <c r="BL210" s="26"/>
      <c r="BM210" s="26">
        <v>1</v>
      </c>
      <c r="BN210" s="26"/>
      <c r="BO210" s="26"/>
      <c r="BP210" s="26"/>
    </row>
    <row r="211" spans="1:68" ht="15" x14ac:dyDescent="0.2">
      <c r="A211" s="1" t="s">
        <v>526</v>
      </c>
      <c r="B211" s="2" t="s">
        <v>515</v>
      </c>
      <c r="C211" s="2" t="s">
        <v>516</v>
      </c>
      <c r="D211" s="2" t="s">
        <v>527</v>
      </c>
      <c r="E211" s="2" t="s">
        <v>98</v>
      </c>
      <c r="F211" s="3">
        <v>24</v>
      </c>
      <c r="G211" s="4">
        <v>40</v>
      </c>
      <c r="H211" s="5"/>
      <c r="I211" s="35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>
        <v>4</v>
      </c>
      <c r="Z211" s="26"/>
      <c r="AA211" s="26">
        <v>3</v>
      </c>
      <c r="AB211" s="26"/>
      <c r="AC211" s="26">
        <v>3</v>
      </c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</row>
    <row r="212" spans="1:68" ht="15" x14ac:dyDescent="0.2">
      <c r="A212" s="1" t="s">
        <v>528</v>
      </c>
      <c r="B212" s="2" t="s">
        <v>515</v>
      </c>
      <c r="C212" s="2" t="s">
        <v>516</v>
      </c>
      <c r="D212" s="2" t="s">
        <v>529</v>
      </c>
      <c r="E212" s="2" t="s">
        <v>98</v>
      </c>
      <c r="F212" s="3">
        <v>24</v>
      </c>
      <c r="G212" s="4">
        <v>48</v>
      </c>
      <c r="H212" s="5"/>
      <c r="I212" s="35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>
        <v>3</v>
      </c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>
        <v>14</v>
      </c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</row>
    <row r="213" spans="1:68" ht="15" x14ac:dyDescent="0.2">
      <c r="A213" s="1" t="s">
        <v>530</v>
      </c>
      <c r="B213" s="2" t="s">
        <v>515</v>
      </c>
      <c r="C213" s="2" t="s">
        <v>516</v>
      </c>
      <c r="D213" s="2" t="s">
        <v>531</v>
      </c>
      <c r="E213" s="2" t="s">
        <v>98</v>
      </c>
      <c r="F213" s="3">
        <v>24</v>
      </c>
      <c r="G213" s="4">
        <v>56</v>
      </c>
      <c r="H213" s="5"/>
      <c r="I213" s="35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>
        <v>22</v>
      </c>
      <c r="U213" s="26"/>
      <c r="V213" s="26"/>
      <c r="W213" s="26"/>
      <c r="X213" s="26"/>
      <c r="Y213" s="26"/>
      <c r="Z213" s="26"/>
      <c r="AA213" s="26"/>
      <c r="AB213" s="26"/>
      <c r="AC213" s="26"/>
      <c r="AD213" s="26">
        <v>6</v>
      </c>
      <c r="AE213" s="26"/>
      <c r="AF213" s="26">
        <v>7</v>
      </c>
      <c r="AG213" s="26"/>
      <c r="AH213" s="26"/>
      <c r="AI213" s="26"/>
      <c r="AJ213" s="26">
        <v>2</v>
      </c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>
        <v>2</v>
      </c>
      <c r="BH213" s="26"/>
      <c r="BI213" s="26"/>
      <c r="BJ213" s="26"/>
      <c r="BK213" s="26"/>
      <c r="BL213" s="26"/>
      <c r="BM213" s="26"/>
      <c r="BN213" s="26"/>
      <c r="BO213" s="26"/>
      <c r="BP213" s="26"/>
    </row>
    <row r="214" spans="1:68" ht="15" x14ac:dyDescent="0.2">
      <c r="A214" s="1" t="s">
        <v>532</v>
      </c>
      <c r="B214" s="2" t="s">
        <v>515</v>
      </c>
      <c r="C214" s="2" t="s">
        <v>516</v>
      </c>
      <c r="D214" s="2" t="s">
        <v>533</v>
      </c>
      <c r="E214" s="2" t="s">
        <v>98</v>
      </c>
      <c r="F214" s="3">
        <v>24</v>
      </c>
      <c r="G214" s="4">
        <v>64</v>
      </c>
      <c r="H214" s="5"/>
      <c r="I214" s="35"/>
      <c r="J214" s="26"/>
      <c r="K214" s="26"/>
      <c r="L214" s="26"/>
      <c r="M214" s="26"/>
      <c r="N214" s="26"/>
      <c r="O214" s="26"/>
      <c r="P214" s="26"/>
      <c r="Q214" s="26"/>
      <c r="R214" s="26">
        <v>1</v>
      </c>
      <c r="S214" s="26"/>
      <c r="T214" s="26"/>
      <c r="U214" s="26"/>
      <c r="V214" s="26"/>
      <c r="W214" s="26"/>
      <c r="X214" s="26">
        <v>14</v>
      </c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>
        <v>20</v>
      </c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>
        <v>8</v>
      </c>
      <c r="BM214" s="26"/>
      <c r="BN214" s="26"/>
      <c r="BO214" s="26"/>
      <c r="BP214" s="26"/>
    </row>
    <row r="215" spans="1:68" ht="15" x14ac:dyDescent="0.2">
      <c r="A215" s="1" t="s">
        <v>534</v>
      </c>
      <c r="B215" s="2" t="s">
        <v>515</v>
      </c>
      <c r="C215" s="2" t="s">
        <v>516</v>
      </c>
      <c r="D215" s="2" t="s">
        <v>535</v>
      </c>
      <c r="E215" s="2" t="s">
        <v>98</v>
      </c>
      <c r="F215" s="3">
        <v>24</v>
      </c>
      <c r="G215" s="4">
        <v>72</v>
      </c>
      <c r="H215" s="5"/>
      <c r="I215" s="35"/>
      <c r="J215" s="26"/>
      <c r="K215" s="26"/>
      <c r="L215" s="26"/>
      <c r="M215" s="26"/>
      <c r="N215" s="26"/>
      <c r="O215" s="26"/>
      <c r="P215" s="26"/>
      <c r="Q215" s="26"/>
      <c r="R215" s="26"/>
      <c r="S215" s="26">
        <v>4</v>
      </c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</row>
    <row r="216" spans="1:68" ht="15" x14ac:dyDescent="0.2">
      <c r="A216" s="1" t="s">
        <v>536</v>
      </c>
      <c r="B216" s="2" t="s">
        <v>515</v>
      </c>
      <c r="C216" s="2" t="s">
        <v>516</v>
      </c>
      <c r="D216" s="2" t="s">
        <v>537</v>
      </c>
      <c r="E216" s="2" t="s">
        <v>98</v>
      </c>
      <c r="F216" s="3">
        <v>24</v>
      </c>
      <c r="G216" s="4">
        <v>96</v>
      </c>
      <c r="H216" s="5"/>
      <c r="I216" s="35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>
        <v>5</v>
      </c>
      <c r="BH216" s="26">
        <v>5</v>
      </c>
      <c r="BI216" s="26"/>
      <c r="BJ216" s="26">
        <v>2</v>
      </c>
      <c r="BK216" s="26"/>
      <c r="BL216" s="26"/>
      <c r="BM216" s="26"/>
      <c r="BN216" s="26">
        <v>167</v>
      </c>
      <c r="BO216" s="26"/>
      <c r="BP216" s="26">
        <v>121</v>
      </c>
    </row>
    <row r="217" spans="1:68" ht="15" x14ac:dyDescent="0.2">
      <c r="A217" s="1" t="s">
        <v>538</v>
      </c>
      <c r="B217" s="2" t="s">
        <v>515</v>
      </c>
      <c r="C217" s="2" t="s">
        <v>516</v>
      </c>
      <c r="D217" s="2" t="s">
        <v>539</v>
      </c>
      <c r="E217" s="2" t="s">
        <v>98</v>
      </c>
      <c r="F217" s="3">
        <v>24</v>
      </c>
      <c r="G217" s="4">
        <v>120</v>
      </c>
      <c r="H217" s="5"/>
      <c r="I217" s="35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>
        <v>120</v>
      </c>
      <c r="BP217" s="26"/>
    </row>
    <row r="218" spans="1:68" ht="15" x14ac:dyDescent="0.2">
      <c r="A218" s="1" t="s">
        <v>540</v>
      </c>
      <c r="B218" s="2" t="s">
        <v>515</v>
      </c>
      <c r="C218" s="2" t="s">
        <v>516</v>
      </c>
      <c r="D218" s="2" t="s">
        <v>541</v>
      </c>
      <c r="E218" s="2" t="s">
        <v>98</v>
      </c>
      <c r="F218" s="3">
        <v>32</v>
      </c>
      <c r="G218" s="4">
        <v>40</v>
      </c>
      <c r="H218" s="5"/>
      <c r="I218" s="35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>
        <v>2</v>
      </c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</row>
    <row r="219" spans="1:68" ht="15" x14ac:dyDescent="0.2">
      <c r="A219" s="1" t="s">
        <v>542</v>
      </c>
      <c r="B219" s="2" t="s">
        <v>515</v>
      </c>
      <c r="C219" s="2" t="s">
        <v>516</v>
      </c>
      <c r="D219" s="2" t="s">
        <v>543</v>
      </c>
      <c r="E219" s="2" t="s">
        <v>98</v>
      </c>
      <c r="F219" s="3">
        <v>32</v>
      </c>
      <c r="G219" s="4">
        <v>48</v>
      </c>
      <c r="H219" s="5"/>
      <c r="I219" s="35"/>
      <c r="J219" s="26"/>
      <c r="K219" s="26"/>
      <c r="L219" s="26"/>
      <c r="M219" s="26"/>
      <c r="N219" s="26"/>
      <c r="O219" s="26"/>
      <c r="P219" s="26"/>
      <c r="Q219" s="26"/>
      <c r="R219" s="26"/>
      <c r="S219" s="26">
        <v>4</v>
      </c>
      <c r="T219" s="26"/>
      <c r="U219" s="26">
        <v>2</v>
      </c>
      <c r="V219" s="26"/>
      <c r="W219" s="26"/>
      <c r="X219" s="26"/>
      <c r="Y219" s="26"/>
      <c r="Z219" s="26"/>
      <c r="AA219" s="26"/>
      <c r="AB219" s="26">
        <v>8</v>
      </c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>
        <v>1</v>
      </c>
      <c r="BK219" s="26"/>
      <c r="BL219" s="26"/>
      <c r="BM219" s="26"/>
      <c r="BN219" s="26"/>
      <c r="BO219" s="26"/>
      <c r="BP219" s="26"/>
    </row>
    <row r="220" spans="1:68" ht="15" x14ac:dyDescent="0.2">
      <c r="A220" s="1" t="s">
        <v>544</v>
      </c>
      <c r="B220" s="2" t="s">
        <v>515</v>
      </c>
      <c r="C220" s="2" t="s">
        <v>516</v>
      </c>
      <c r="D220" s="2" t="s">
        <v>545</v>
      </c>
      <c r="E220" s="2" t="s">
        <v>98</v>
      </c>
      <c r="F220" s="3">
        <v>32</v>
      </c>
      <c r="G220" s="4">
        <v>56</v>
      </c>
      <c r="H220" s="5"/>
      <c r="I220" s="35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>
        <v>2</v>
      </c>
      <c r="BM220" s="26"/>
      <c r="BN220" s="26"/>
      <c r="BO220" s="26">
        <v>4</v>
      </c>
      <c r="BP220" s="26"/>
    </row>
    <row r="221" spans="1:68" ht="15" x14ac:dyDescent="0.2">
      <c r="A221" s="1" t="s">
        <v>546</v>
      </c>
      <c r="B221" s="2" t="s">
        <v>515</v>
      </c>
      <c r="C221" s="2" t="s">
        <v>516</v>
      </c>
      <c r="D221" s="2" t="s">
        <v>547</v>
      </c>
      <c r="E221" s="2" t="s">
        <v>98</v>
      </c>
      <c r="F221" s="3">
        <v>32</v>
      </c>
      <c r="G221" s="4">
        <v>64</v>
      </c>
      <c r="H221" s="5"/>
      <c r="I221" s="35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>
        <v>1</v>
      </c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>
        <v>2</v>
      </c>
    </row>
    <row r="222" spans="1:68" ht="15" x14ac:dyDescent="0.2">
      <c r="A222" s="1" t="s">
        <v>548</v>
      </c>
      <c r="B222" s="2" t="s">
        <v>515</v>
      </c>
      <c r="C222" s="2" t="s">
        <v>549</v>
      </c>
      <c r="D222" s="2" t="s">
        <v>550</v>
      </c>
      <c r="E222" s="2" t="s">
        <v>98</v>
      </c>
      <c r="F222" s="3">
        <v>12</v>
      </c>
      <c r="G222" s="4">
        <v>32</v>
      </c>
      <c r="H222" s="5"/>
      <c r="I222" s="35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>
        <v>1</v>
      </c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</row>
    <row r="223" spans="1:68" ht="15" x14ac:dyDescent="0.2">
      <c r="A223" s="1" t="s">
        <v>551</v>
      </c>
      <c r="B223" s="2" t="s">
        <v>515</v>
      </c>
      <c r="C223" s="2" t="s">
        <v>549</v>
      </c>
      <c r="D223" s="2" t="s">
        <v>552</v>
      </c>
      <c r="E223" s="2" t="s">
        <v>98</v>
      </c>
      <c r="F223" s="3">
        <v>16</v>
      </c>
      <c r="G223" s="4">
        <v>20</v>
      </c>
      <c r="H223" s="5"/>
      <c r="I223" s="35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>
        <v>1</v>
      </c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>
        <v>2</v>
      </c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</row>
    <row r="224" spans="1:68" ht="15" x14ac:dyDescent="0.2">
      <c r="A224" s="1" t="s">
        <v>553</v>
      </c>
      <c r="B224" s="2" t="s">
        <v>515</v>
      </c>
      <c r="C224" s="2" t="s">
        <v>549</v>
      </c>
      <c r="D224" s="2" t="s">
        <v>554</v>
      </c>
      <c r="E224" s="2" t="s">
        <v>98</v>
      </c>
      <c r="F224" s="3">
        <v>16</v>
      </c>
      <c r="G224" s="4">
        <v>24</v>
      </c>
      <c r="H224" s="5"/>
      <c r="I224" s="35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>
        <v>1</v>
      </c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</row>
    <row r="225" spans="1:68" ht="15" x14ac:dyDescent="0.2">
      <c r="A225" s="1" t="s">
        <v>555</v>
      </c>
      <c r="B225" s="2" t="s">
        <v>515</v>
      </c>
      <c r="C225" s="2" t="s">
        <v>549</v>
      </c>
      <c r="D225" s="2" t="s">
        <v>556</v>
      </c>
      <c r="E225" s="2" t="s">
        <v>98</v>
      </c>
      <c r="F225" s="3">
        <v>16</v>
      </c>
      <c r="G225" s="4">
        <v>36</v>
      </c>
      <c r="H225" s="5"/>
      <c r="I225" s="35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>
        <v>1</v>
      </c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>
        <v>8</v>
      </c>
      <c r="BI225" s="26"/>
      <c r="BJ225" s="26"/>
      <c r="BK225" s="26"/>
      <c r="BL225" s="26"/>
      <c r="BM225" s="26"/>
      <c r="BN225" s="26"/>
      <c r="BO225" s="26"/>
      <c r="BP225" s="26"/>
    </row>
    <row r="226" spans="1:68" ht="15" x14ac:dyDescent="0.2">
      <c r="A226" s="1" t="s">
        <v>557</v>
      </c>
      <c r="B226" s="2" t="s">
        <v>515</v>
      </c>
      <c r="C226" s="2" t="s">
        <v>549</v>
      </c>
      <c r="D226" s="2" t="s">
        <v>558</v>
      </c>
      <c r="E226" s="2" t="s">
        <v>98</v>
      </c>
      <c r="F226" s="3">
        <v>32</v>
      </c>
      <c r="G226" s="4">
        <v>56</v>
      </c>
      <c r="H226" s="5"/>
      <c r="I226" s="35">
        <v>1</v>
      </c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</row>
    <row r="227" spans="1:68" ht="15" x14ac:dyDescent="0.2">
      <c r="A227" s="30" t="s">
        <v>559</v>
      </c>
      <c r="B227" s="31" t="s">
        <v>560</v>
      </c>
      <c r="C227" s="31" t="s">
        <v>87</v>
      </c>
      <c r="D227" s="31" t="s">
        <v>561</v>
      </c>
      <c r="E227" s="2" t="s">
        <v>98</v>
      </c>
      <c r="F227" s="3">
        <v>8</v>
      </c>
      <c r="G227" s="4">
        <v>48</v>
      </c>
      <c r="H227" s="5"/>
      <c r="I227" s="35"/>
      <c r="J227" s="26"/>
      <c r="K227" s="26"/>
      <c r="L227" s="26"/>
      <c r="M227" s="26"/>
      <c r="N227" s="26">
        <v>2</v>
      </c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>
        <v>14</v>
      </c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</row>
    <row r="228" spans="1:68" ht="15" x14ac:dyDescent="0.2">
      <c r="A228" s="30" t="s">
        <v>562</v>
      </c>
      <c r="B228" s="31" t="s">
        <v>560</v>
      </c>
      <c r="C228" s="31" t="s">
        <v>87</v>
      </c>
      <c r="D228" s="31" t="s">
        <v>563</v>
      </c>
      <c r="E228" s="2" t="s">
        <v>173</v>
      </c>
      <c r="F228" s="3">
        <v>8</v>
      </c>
      <c r="G228" s="4">
        <v>168</v>
      </c>
      <c r="H228" s="5"/>
      <c r="I228" s="35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>
        <v>1</v>
      </c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</row>
    <row r="229" spans="1:68" ht="15" x14ac:dyDescent="0.2">
      <c r="A229" s="30" t="s">
        <v>564</v>
      </c>
      <c r="B229" s="31" t="s">
        <v>560</v>
      </c>
      <c r="C229" s="31" t="s">
        <v>87</v>
      </c>
      <c r="D229" s="31" t="s">
        <v>565</v>
      </c>
      <c r="E229" s="2" t="s">
        <v>98</v>
      </c>
      <c r="F229" s="3">
        <v>16</v>
      </c>
      <c r="G229" s="4">
        <v>80</v>
      </c>
      <c r="H229" s="5"/>
      <c r="I229" s="35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>
        <v>3</v>
      </c>
      <c r="AZ229" s="26"/>
      <c r="BA229" s="26"/>
      <c r="BB229" s="26">
        <v>1</v>
      </c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</row>
    <row r="230" spans="1:68" ht="15" x14ac:dyDescent="0.2">
      <c r="A230" s="30" t="s">
        <v>566</v>
      </c>
      <c r="B230" s="31" t="s">
        <v>560</v>
      </c>
      <c r="C230" s="31" t="s">
        <v>87</v>
      </c>
      <c r="D230" s="31" t="s">
        <v>567</v>
      </c>
      <c r="E230" s="2" t="s">
        <v>98</v>
      </c>
      <c r="F230" s="3">
        <v>32</v>
      </c>
      <c r="G230" s="4">
        <v>40</v>
      </c>
      <c r="H230" s="5"/>
      <c r="I230" s="35"/>
      <c r="J230" s="26"/>
      <c r="K230" s="26"/>
      <c r="L230" s="26">
        <v>1</v>
      </c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</row>
    <row r="231" spans="1:68" ht="15" x14ac:dyDescent="0.2">
      <c r="A231" s="30" t="s">
        <v>568</v>
      </c>
      <c r="B231" s="31" t="s">
        <v>560</v>
      </c>
      <c r="C231" s="31" t="s">
        <v>87</v>
      </c>
      <c r="D231" s="31" t="s">
        <v>569</v>
      </c>
      <c r="E231" s="2" t="s">
        <v>98</v>
      </c>
      <c r="F231" s="3">
        <v>32</v>
      </c>
      <c r="G231" s="4">
        <v>56</v>
      </c>
      <c r="H231" s="5"/>
      <c r="I231" s="35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>
        <v>5</v>
      </c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>
        <v>4</v>
      </c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</row>
    <row r="232" spans="1:68" ht="15" x14ac:dyDescent="0.2">
      <c r="A232" s="1" t="s">
        <v>570</v>
      </c>
      <c r="B232" s="31" t="s">
        <v>560</v>
      </c>
      <c r="C232" s="31" t="s">
        <v>87</v>
      </c>
      <c r="D232" s="31" t="s">
        <v>571</v>
      </c>
      <c r="E232" s="2" t="s">
        <v>98</v>
      </c>
      <c r="F232" s="3">
        <v>32</v>
      </c>
      <c r="G232" s="4">
        <v>80</v>
      </c>
      <c r="H232" s="5"/>
      <c r="I232" s="35">
        <f>1+6</f>
        <v>7</v>
      </c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>
        <f>15+1</f>
        <v>16</v>
      </c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</row>
    <row r="233" spans="1:68" ht="15" x14ac:dyDescent="0.2">
      <c r="A233" s="30" t="s">
        <v>572</v>
      </c>
      <c r="B233" s="31" t="s">
        <v>560</v>
      </c>
      <c r="C233" s="31" t="s">
        <v>87</v>
      </c>
      <c r="D233" s="31" t="s">
        <v>573</v>
      </c>
      <c r="E233" s="2" t="s">
        <v>98</v>
      </c>
      <c r="F233" s="3">
        <v>40</v>
      </c>
      <c r="G233" s="4">
        <v>48</v>
      </c>
      <c r="H233" s="5"/>
      <c r="I233" s="35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>
        <v>54</v>
      </c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</row>
    <row r="234" spans="1:68" ht="15" x14ac:dyDescent="0.2">
      <c r="A234" s="30" t="s">
        <v>574</v>
      </c>
      <c r="B234" s="31" t="s">
        <v>560</v>
      </c>
      <c r="C234" s="31" t="s">
        <v>87</v>
      </c>
      <c r="D234" s="31" t="s">
        <v>575</v>
      </c>
      <c r="E234" s="2" t="s">
        <v>98</v>
      </c>
      <c r="F234" s="3">
        <v>40</v>
      </c>
      <c r="G234" s="4">
        <v>72</v>
      </c>
      <c r="H234" s="5"/>
      <c r="I234" s="35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>
        <v>1</v>
      </c>
    </row>
    <row r="235" spans="1:68" ht="15" x14ac:dyDescent="0.2">
      <c r="A235" s="30" t="s">
        <v>576</v>
      </c>
      <c r="B235" s="31" t="s">
        <v>560</v>
      </c>
      <c r="C235" s="31" t="s">
        <v>577</v>
      </c>
      <c r="D235" s="31" t="s">
        <v>578</v>
      </c>
      <c r="E235" s="2" t="s">
        <v>98</v>
      </c>
      <c r="F235" s="3">
        <v>24</v>
      </c>
      <c r="G235" s="4">
        <v>40</v>
      </c>
      <c r="H235" s="5"/>
      <c r="I235" s="35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>
        <v>3</v>
      </c>
    </row>
    <row r="236" spans="1:68" ht="15" x14ac:dyDescent="0.2">
      <c r="A236" s="30" t="s">
        <v>579</v>
      </c>
      <c r="B236" s="31" t="s">
        <v>560</v>
      </c>
      <c r="C236" s="31" t="s">
        <v>577</v>
      </c>
      <c r="D236" s="31" t="s">
        <v>580</v>
      </c>
      <c r="E236" s="2" t="s">
        <v>98</v>
      </c>
      <c r="F236" s="3">
        <v>32</v>
      </c>
      <c r="G236" s="4">
        <v>48</v>
      </c>
      <c r="H236" s="5"/>
      <c r="I236" s="35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>
        <v>1</v>
      </c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>
        <v>1</v>
      </c>
      <c r="BP236" s="26"/>
    </row>
    <row r="237" spans="1:68" ht="15" x14ac:dyDescent="0.2">
      <c r="A237" s="30" t="s">
        <v>581</v>
      </c>
      <c r="B237" s="31" t="s">
        <v>560</v>
      </c>
      <c r="C237" s="31" t="s">
        <v>577</v>
      </c>
      <c r="D237" s="31" t="s">
        <v>582</v>
      </c>
      <c r="E237" s="2" t="s">
        <v>98</v>
      </c>
      <c r="F237" s="3">
        <v>40</v>
      </c>
      <c r="G237" s="4">
        <v>64</v>
      </c>
      <c r="H237" s="5"/>
      <c r="I237" s="35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>
        <v>1</v>
      </c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>
        <v>3</v>
      </c>
      <c r="BM237" s="26"/>
      <c r="BN237" s="26">
        <v>1</v>
      </c>
      <c r="BO237" s="26"/>
      <c r="BP237" s="26"/>
    </row>
    <row r="238" spans="1:68" ht="15" x14ac:dyDescent="0.2">
      <c r="A238" s="30" t="s">
        <v>583</v>
      </c>
      <c r="B238" s="31" t="s">
        <v>560</v>
      </c>
      <c r="C238" s="31" t="s">
        <v>577</v>
      </c>
      <c r="D238" s="31" t="s">
        <v>584</v>
      </c>
      <c r="E238" s="2" t="s">
        <v>98</v>
      </c>
      <c r="F238" s="3">
        <v>40</v>
      </c>
      <c r="G238" s="4">
        <v>112</v>
      </c>
      <c r="H238" s="5"/>
      <c r="I238" s="35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>
        <v>1</v>
      </c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>
        <v>1</v>
      </c>
      <c r="BP238" s="26"/>
    </row>
    <row r="239" spans="1:68" ht="15" x14ac:dyDescent="0.2">
      <c r="A239" s="30" t="s">
        <v>585</v>
      </c>
      <c r="B239" s="31" t="s">
        <v>560</v>
      </c>
      <c r="C239" s="31" t="s">
        <v>577</v>
      </c>
      <c r="D239" s="31" t="s">
        <v>586</v>
      </c>
      <c r="E239" s="2" t="s">
        <v>98</v>
      </c>
      <c r="F239" s="3">
        <v>48</v>
      </c>
      <c r="G239" s="4">
        <v>120</v>
      </c>
      <c r="H239" s="5"/>
      <c r="I239" s="35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>
        <v>3</v>
      </c>
      <c r="AS239" s="26"/>
      <c r="AT239" s="26">
        <v>2</v>
      </c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>
        <v>2</v>
      </c>
      <c r="BF239" s="26"/>
      <c r="BG239" s="26"/>
      <c r="BH239" s="26"/>
      <c r="BI239" s="26"/>
      <c r="BJ239" s="26"/>
      <c r="BK239" s="26"/>
      <c r="BL239" s="26">
        <v>1</v>
      </c>
      <c r="BM239" s="26"/>
      <c r="BN239" s="26"/>
      <c r="BO239" s="26"/>
      <c r="BP239" s="26"/>
    </row>
    <row r="240" spans="1:68" ht="15" x14ac:dyDescent="0.2">
      <c r="A240" s="30" t="s">
        <v>587</v>
      </c>
      <c r="B240" s="31" t="s">
        <v>560</v>
      </c>
      <c r="C240" s="31" t="s">
        <v>577</v>
      </c>
      <c r="D240" s="31" t="s">
        <v>588</v>
      </c>
      <c r="E240" s="2" t="s">
        <v>98</v>
      </c>
      <c r="F240" s="3">
        <v>56</v>
      </c>
      <c r="G240" s="4">
        <v>80</v>
      </c>
      <c r="H240" s="5"/>
      <c r="I240" s="35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>
        <v>1</v>
      </c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</row>
    <row r="241" spans="1:68" ht="15" x14ac:dyDescent="0.2">
      <c r="A241" s="1" t="s">
        <v>589</v>
      </c>
      <c r="B241" s="31" t="s">
        <v>560</v>
      </c>
      <c r="C241" s="2" t="s">
        <v>87</v>
      </c>
      <c r="D241" s="2" t="s">
        <v>590</v>
      </c>
      <c r="E241" s="2" t="s">
        <v>98</v>
      </c>
      <c r="F241" s="3">
        <v>6</v>
      </c>
      <c r="G241" s="4">
        <v>32</v>
      </c>
      <c r="H241" s="5"/>
      <c r="I241" s="35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>
        <v>30</v>
      </c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</row>
    <row r="242" spans="1:68" ht="15" x14ac:dyDescent="0.2">
      <c r="A242" s="1" t="s">
        <v>591</v>
      </c>
      <c r="B242" s="31" t="s">
        <v>560</v>
      </c>
      <c r="C242" s="2" t="s">
        <v>87</v>
      </c>
      <c r="D242" s="2" t="s">
        <v>592</v>
      </c>
      <c r="E242" s="2" t="s">
        <v>98</v>
      </c>
      <c r="F242" s="3">
        <v>8</v>
      </c>
      <c r="G242" s="4">
        <v>16</v>
      </c>
      <c r="H242" s="5"/>
      <c r="I242" s="35"/>
      <c r="J242" s="26"/>
      <c r="K242" s="26"/>
      <c r="L242" s="26"/>
      <c r="M242" s="26"/>
      <c r="N242" s="26"/>
      <c r="O242" s="26"/>
      <c r="P242" s="26"/>
      <c r="Q242" s="26"/>
      <c r="R242" s="26"/>
      <c r="S242" s="26">
        <v>2</v>
      </c>
      <c r="T242" s="26"/>
      <c r="U242" s="26"/>
      <c r="V242" s="26"/>
      <c r="W242" s="26"/>
      <c r="X242" s="26"/>
      <c r="Y242" s="26"/>
      <c r="Z242" s="26"/>
      <c r="AA242" s="26"/>
      <c r="AB242" s="26"/>
      <c r="AC242" s="26">
        <v>1</v>
      </c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</row>
    <row r="243" spans="1:68" ht="15" x14ac:dyDescent="0.2">
      <c r="A243" s="1" t="s">
        <v>593</v>
      </c>
      <c r="B243" s="31" t="s">
        <v>560</v>
      </c>
      <c r="C243" s="2" t="s">
        <v>87</v>
      </c>
      <c r="D243" s="2" t="s">
        <v>594</v>
      </c>
      <c r="E243" s="2" t="s">
        <v>98</v>
      </c>
      <c r="F243" s="3">
        <v>8</v>
      </c>
      <c r="G243" s="4">
        <v>24</v>
      </c>
      <c r="H243" s="5"/>
      <c r="I243" s="35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>
        <v>15</v>
      </c>
      <c r="BB243" s="26"/>
      <c r="BC243" s="26"/>
      <c r="BD243" s="26"/>
      <c r="BE243" s="26"/>
      <c r="BF243" s="26"/>
      <c r="BG243" s="26">
        <v>10</v>
      </c>
      <c r="BH243" s="26">
        <v>19</v>
      </c>
      <c r="BI243" s="26"/>
      <c r="BJ243" s="26"/>
      <c r="BK243" s="26"/>
      <c r="BL243" s="26"/>
      <c r="BM243" s="26"/>
      <c r="BN243" s="26"/>
      <c r="BO243" s="26"/>
      <c r="BP243" s="26"/>
    </row>
    <row r="244" spans="1:68" ht="15" x14ac:dyDescent="0.2">
      <c r="A244" s="1" t="s">
        <v>595</v>
      </c>
      <c r="B244" s="31" t="s">
        <v>560</v>
      </c>
      <c r="C244" s="2" t="s">
        <v>87</v>
      </c>
      <c r="D244" s="2" t="s">
        <v>596</v>
      </c>
      <c r="E244" s="2" t="s">
        <v>173</v>
      </c>
      <c r="F244" s="3">
        <v>8</v>
      </c>
      <c r="G244" s="4">
        <v>32</v>
      </c>
      <c r="H244" s="5"/>
      <c r="I244" s="35"/>
      <c r="J244" s="26"/>
      <c r="K244" s="26"/>
      <c r="L244" s="26"/>
      <c r="M244" s="26"/>
      <c r="N244" s="26"/>
      <c r="O244" s="26"/>
      <c r="P244" s="26"/>
      <c r="Q244" s="26"/>
      <c r="R244" s="26"/>
      <c r="S244" s="26">
        <v>70</v>
      </c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>
        <v>15</v>
      </c>
      <c r="AX244" s="26"/>
      <c r="AY244" s="26"/>
      <c r="AZ244" s="26"/>
      <c r="BA244" s="26"/>
      <c r="BB244" s="26"/>
      <c r="BC244" s="26"/>
      <c r="BD244" s="26"/>
      <c r="BE244" s="26"/>
      <c r="BF244" s="26"/>
      <c r="BG244" s="26">
        <v>1</v>
      </c>
      <c r="BH244" s="26"/>
      <c r="BI244" s="26"/>
      <c r="BJ244" s="26"/>
      <c r="BK244" s="26"/>
      <c r="BL244" s="26"/>
      <c r="BM244" s="26"/>
      <c r="BN244" s="26"/>
      <c r="BO244" s="26"/>
      <c r="BP244" s="26"/>
    </row>
    <row r="245" spans="1:68" ht="15" x14ac:dyDescent="0.2">
      <c r="A245" s="1" t="s">
        <v>597</v>
      </c>
      <c r="B245" s="31" t="s">
        <v>560</v>
      </c>
      <c r="C245" s="2" t="s">
        <v>87</v>
      </c>
      <c r="D245" s="2" t="s">
        <v>598</v>
      </c>
      <c r="E245" s="2" t="s">
        <v>98</v>
      </c>
      <c r="F245" s="3">
        <v>12</v>
      </c>
      <c r="G245" s="4">
        <v>32</v>
      </c>
      <c r="H245" s="5"/>
      <c r="I245" s="35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>
        <v>1</v>
      </c>
      <c r="AM245" s="26"/>
      <c r="AN245" s="26">
        <v>7</v>
      </c>
      <c r="AO245" s="26"/>
      <c r="AP245" s="26"/>
      <c r="AQ245" s="26"/>
      <c r="AR245" s="26"/>
      <c r="AS245" s="26"/>
      <c r="AT245" s="26"/>
      <c r="AU245" s="26">
        <v>31</v>
      </c>
      <c r="AV245" s="26">
        <v>17</v>
      </c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</row>
    <row r="246" spans="1:68" ht="15" x14ac:dyDescent="0.2">
      <c r="A246" s="1" t="s">
        <v>599</v>
      </c>
      <c r="B246" s="31" t="s">
        <v>560</v>
      </c>
      <c r="C246" s="2" t="s">
        <v>87</v>
      </c>
      <c r="D246" s="2" t="s">
        <v>600</v>
      </c>
      <c r="E246" s="2" t="s">
        <v>98</v>
      </c>
      <c r="F246" s="3">
        <v>16</v>
      </c>
      <c r="G246" s="4">
        <v>24</v>
      </c>
      <c r="H246" s="5"/>
      <c r="I246" s="35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>
        <v>1</v>
      </c>
      <c r="AB246" s="28"/>
      <c r="AC246" s="26">
        <f>1+1</f>
        <v>2</v>
      </c>
      <c r="AD246" s="26"/>
      <c r="AE246" s="26"/>
      <c r="AF246" s="26"/>
      <c r="AG246" s="26"/>
      <c r="AH246" s="26"/>
      <c r="AI246" s="26"/>
      <c r="AJ246" s="26"/>
      <c r="AK246" s="26"/>
      <c r="AL246" s="26"/>
      <c r="AM246" s="26">
        <v>1</v>
      </c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>
        <v>1</v>
      </c>
      <c r="BH246" s="26"/>
      <c r="BI246" s="26"/>
      <c r="BJ246" s="26">
        <v>12</v>
      </c>
      <c r="BK246" s="26">
        <v>3</v>
      </c>
      <c r="BL246" s="26"/>
      <c r="BM246" s="26">
        <v>120</v>
      </c>
      <c r="BN246" s="26"/>
      <c r="BO246" s="26"/>
      <c r="BP246" s="26"/>
    </row>
    <row r="247" spans="1:68" ht="15" x14ac:dyDescent="0.2">
      <c r="A247" s="1" t="s">
        <v>601</v>
      </c>
      <c r="B247" s="31" t="s">
        <v>560</v>
      </c>
      <c r="C247" s="2" t="s">
        <v>87</v>
      </c>
      <c r="D247" s="2" t="s">
        <v>602</v>
      </c>
      <c r="E247" s="2" t="s">
        <v>98</v>
      </c>
      <c r="F247" s="3">
        <v>16</v>
      </c>
      <c r="G247" s="4">
        <v>32</v>
      </c>
      <c r="H247" s="5"/>
      <c r="I247" s="35">
        <v>49</v>
      </c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>
        <v>1</v>
      </c>
      <c r="AN247" s="26"/>
      <c r="AO247" s="26"/>
      <c r="AP247" s="26"/>
      <c r="AQ247" s="26"/>
      <c r="AR247" s="26"/>
      <c r="AS247" s="26"/>
      <c r="AT247" s="26">
        <v>1</v>
      </c>
      <c r="AU247" s="26"/>
      <c r="AV247" s="26"/>
      <c r="AW247" s="26"/>
      <c r="AX247" s="26"/>
      <c r="AY247" s="26"/>
      <c r="AZ247" s="26"/>
      <c r="BA247" s="26"/>
      <c r="BB247" s="26"/>
      <c r="BC247" s="26">
        <v>29</v>
      </c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>
        <v>1</v>
      </c>
      <c r="BO247" s="26"/>
      <c r="BP247" s="26"/>
    </row>
    <row r="248" spans="1:68" ht="15" x14ac:dyDescent="0.2">
      <c r="A248" s="1" t="s">
        <v>603</v>
      </c>
      <c r="B248" s="31" t="s">
        <v>560</v>
      </c>
      <c r="C248" s="2" t="s">
        <v>87</v>
      </c>
      <c r="D248" s="2" t="s">
        <v>604</v>
      </c>
      <c r="E248" s="2" t="s">
        <v>98</v>
      </c>
      <c r="F248" s="3">
        <v>16</v>
      </c>
      <c r="G248" s="4">
        <v>40</v>
      </c>
      <c r="H248" s="5"/>
      <c r="I248" s="35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>
        <v>7</v>
      </c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>
        <v>3</v>
      </c>
      <c r="BG248" s="26"/>
      <c r="BH248" s="26"/>
      <c r="BI248" s="26"/>
      <c r="BJ248" s="26"/>
      <c r="BK248" s="26">
        <v>11</v>
      </c>
      <c r="BL248" s="26"/>
      <c r="BM248" s="26"/>
      <c r="BN248" s="26"/>
      <c r="BO248" s="26"/>
      <c r="BP248" s="26"/>
    </row>
    <row r="249" spans="1:68" ht="15" x14ac:dyDescent="0.2">
      <c r="A249" s="1" t="s">
        <v>605</v>
      </c>
      <c r="B249" s="31" t="s">
        <v>560</v>
      </c>
      <c r="C249" s="2" t="s">
        <v>87</v>
      </c>
      <c r="D249" s="2" t="s">
        <v>606</v>
      </c>
      <c r="E249" s="2" t="s">
        <v>98</v>
      </c>
      <c r="F249" s="3">
        <v>16</v>
      </c>
      <c r="G249" s="4">
        <v>72</v>
      </c>
      <c r="H249" s="5"/>
      <c r="I249" s="35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>
        <v>1</v>
      </c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</row>
    <row r="250" spans="1:68" ht="15" x14ac:dyDescent="0.2">
      <c r="A250" s="1" t="s">
        <v>607</v>
      </c>
      <c r="B250" s="31" t="s">
        <v>560</v>
      </c>
      <c r="C250" s="2" t="s">
        <v>87</v>
      </c>
      <c r="D250" s="2" t="s">
        <v>608</v>
      </c>
      <c r="E250" s="2" t="s">
        <v>98</v>
      </c>
      <c r="F250" s="3">
        <v>20</v>
      </c>
      <c r="G250" s="4">
        <v>40</v>
      </c>
      <c r="H250" s="5"/>
      <c r="I250" s="35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>
        <v>1</v>
      </c>
      <c r="AE250" s="26"/>
      <c r="AF250" s="26"/>
      <c r="AG250" s="26"/>
      <c r="AH250" s="26"/>
      <c r="AI250" s="26"/>
      <c r="AJ250" s="26"/>
      <c r="AK250" s="26"/>
      <c r="AL250" s="26"/>
      <c r="AM250" s="26">
        <v>14</v>
      </c>
      <c r="AN250" s="26">
        <v>13</v>
      </c>
      <c r="AO250" s="26"/>
      <c r="AP250" s="26"/>
      <c r="AQ250" s="26"/>
      <c r="AR250" s="26"/>
      <c r="AS250" s="26"/>
      <c r="AT250" s="26">
        <v>18</v>
      </c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</row>
    <row r="251" spans="1:68" ht="15" x14ac:dyDescent="0.2">
      <c r="A251" s="1" t="s">
        <v>609</v>
      </c>
      <c r="B251" s="31" t="s">
        <v>560</v>
      </c>
      <c r="C251" s="2" t="s">
        <v>87</v>
      </c>
      <c r="D251" s="2" t="s">
        <v>610</v>
      </c>
      <c r="E251" s="2" t="s">
        <v>98</v>
      </c>
      <c r="F251" s="3">
        <v>24</v>
      </c>
      <c r="G251" s="4">
        <v>32</v>
      </c>
      <c r="H251" s="5"/>
      <c r="I251" s="35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>
        <v>1</v>
      </c>
      <c r="AD251" s="26"/>
      <c r="AE251" s="26"/>
      <c r="AF251" s="26"/>
      <c r="AG251" s="26"/>
      <c r="AH251" s="26"/>
      <c r="AI251" s="26"/>
      <c r="AJ251" s="26"/>
      <c r="AK251" s="26"/>
      <c r="AL251" s="26"/>
      <c r="AM251" s="26">
        <v>10</v>
      </c>
      <c r="AN251" s="26"/>
      <c r="AO251" s="26"/>
      <c r="AP251" s="26">
        <v>6</v>
      </c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</row>
    <row r="252" spans="1:68" ht="15" x14ac:dyDescent="0.2">
      <c r="A252" s="1" t="s">
        <v>611</v>
      </c>
      <c r="B252" s="31" t="s">
        <v>560</v>
      </c>
      <c r="C252" s="2" t="s">
        <v>87</v>
      </c>
      <c r="D252" s="2" t="s">
        <v>612</v>
      </c>
      <c r="E252" s="2" t="s">
        <v>98</v>
      </c>
      <c r="F252" s="3">
        <v>24</v>
      </c>
      <c r="G252" s="4">
        <v>40</v>
      </c>
      <c r="H252" s="5"/>
      <c r="I252" s="35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>
        <f>1+1</f>
        <v>2</v>
      </c>
      <c r="AP252" s="26"/>
      <c r="AQ252" s="26"/>
      <c r="AR252" s="26">
        <v>26</v>
      </c>
      <c r="AS252" s="26"/>
      <c r="AT252" s="26"/>
      <c r="AU252" s="26"/>
      <c r="AV252" s="26"/>
      <c r="AW252" s="26">
        <v>40</v>
      </c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>
        <f>1+4</f>
        <v>5</v>
      </c>
    </row>
    <row r="253" spans="1:68" ht="15" x14ac:dyDescent="0.2">
      <c r="A253" s="1" t="s">
        <v>613</v>
      </c>
      <c r="B253" s="31" t="s">
        <v>560</v>
      </c>
      <c r="C253" s="2" t="s">
        <v>87</v>
      </c>
      <c r="D253" s="2" t="s">
        <v>614</v>
      </c>
      <c r="E253" s="2" t="s">
        <v>75</v>
      </c>
      <c r="F253" s="3">
        <v>32</v>
      </c>
      <c r="G253" s="4">
        <v>32</v>
      </c>
      <c r="H253" s="5"/>
      <c r="I253" s="35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>
        <v>1</v>
      </c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</row>
    <row r="254" spans="1:68" ht="15" x14ac:dyDescent="0.2">
      <c r="A254" s="1" t="s">
        <v>615</v>
      </c>
      <c r="B254" s="31" t="s">
        <v>560</v>
      </c>
      <c r="C254" s="2" t="s">
        <v>87</v>
      </c>
      <c r="D254" s="2" t="s">
        <v>616</v>
      </c>
      <c r="E254" s="2" t="s">
        <v>98</v>
      </c>
      <c r="F254" s="3">
        <v>32</v>
      </c>
      <c r="G254" s="4">
        <v>56</v>
      </c>
      <c r="H254" s="5"/>
      <c r="I254" s="35"/>
      <c r="J254" s="26"/>
      <c r="K254" s="26"/>
      <c r="L254" s="26"/>
      <c r="M254" s="26">
        <v>1</v>
      </c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>
        <v>1</v>
      </c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>
        <v>4</v>
      </c>
      <c r="BH254" s="26"/>
      <c r="BI254" s="26"/>
      <c r="BJ254" s="26"/>
      <c r="BK254" s="26"/>
      <c r="BL254" s="26"/>
      <c r="BM254" s="26"/>
      <c r="BN254" s="26"/>
      <c r="BO254" s="26"/>
      <c r="BP254" s="26"/>
    </row>
    <row r="255" spans="1:68" ht="15" x14ac:dyDescent="0.2">
      <c r="A255" s="3" t="s">
        <v>617</v>
      </c>
      <c r="B255" s="31" t="s">
        <v>560</v>
      </c>
      <c r="C255" s="3" t="s">
        <v>157</v>
      </c>
      <c r="D255" s="29" t="s">
        <v>618</v>
      </c>
      <c r="E255" s="3" t="s">
        <v>75</v>
      </c>
      <c r="F255" s="3">
        <v>16</v>
      </c>
      <c r="G255" s="4">
        <v>16</v>
      </c>
      <c r="H255" s="5"/>
      <c r="I255" s="35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>
        <v>1</v>
      </c>
      <c r="AC255" s="26">
        <f>1+1</f>
        <v>2</v>
      </c>
      <c r="AD255" s="26">
        <v>1</v>
      </c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</row>
    <row r="256" spans="1:68" ht="15" x14ac:dyDescent="0.2">
      <c r="A256" s="1" t="s">
        <v>619</v>
      </c>
      <c r="B256" s="31" t="s">
        <v>560</v>
      </c>
      <c r="C256" s="3" t="s">
        <v>157</v>
      </c>
      <c r="D256" s="29" t="s">
        <v>620</v>
      </c>
      <c r="E256" s="3" t="s">
        <v>75</v>
      </c>
      <c r="F256" s="3">
        <v>28</v>
      </c>
      <c r="G256" s="4">
        <v>28</v>
      </c>
      <c r="H256" s="5"/>
      <c r="I256" s="35"/>
      <c r="J256" s="26"/>
      <c r="K256" s="26"/>
      <c r="L256" s="26"/>
      <c r="M256" s="26"/>
      <c r="N256" s="26"/>
      <c r="O256" s="26"/>
      <c r="P256" s="26">
        <v>4</v>
      </c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>
        <f>1+1</f>
        <v>2</v>
      </c>
      <c r="AN256" s="26">
        <v>8</v>
      </c>
      <c r="AO256" s="26">
        <f>1+4</f>
        <v>5</v>
      </c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>
        <v>2</v>
      </c>
      <c r="BH256" s="26"/>
      <c r="BI256" s="26"/>
      <c r="BJ256" s="26">
        <v>8</v>
      </c>
      <c r="BK256" s="26"/>
      <c r="BL256" s="26"/>
      <c r="BM256" s="26"/>
      <c r="BN256" s="26"/>
      <c r="BO256" s="26"/>
      <c r="BP256" s="26"/>
    </row>
    <row r="257" spans="1:68" ht="15" x14ac:dyDescent="0.2">
      <c r="A257" s="1" t="s">
        <v>621</v>
      </c>
      <c r="B257" s="31" t="s">
        <v>560</v>
      </c>
      <c r="C257" s="3" t="s">
        <v>157</v>
      </c>
      <c r="D257" s="29" t="s">
        <v>622</v>
      </c>
      <c r="E257" s="3" t="s">
        <v>75</v>
      </c>
      <c r="F257" s="3">
        <v>40</v>
      </c>
      <c r="G257" s="4">
        <v>40</v>
      </c>
      <c r="H257" s="5"/>
      <c r="I257" s="35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>
        <v>3</v>
      </c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>
        <v>4</v>
      </c>
      <c r="AX257" s="26"/>
      <c r="AY257" s="26">
        <v>4</v>
      </c>
      <c r="AZ257" s="26"/>
      <c r="BA257" s="26"/>
      <c r="BB257" s="26"/>
      <c r="BC257" s="26"/>
      <c r="BD257" s="26"/>
      <c r="BE257" s="26"/>
      <c r="BF257" s="26"/>
      <c r="BG257" s="26">
        <f>14+1+1</f>
        <v>16</v>
      </c>
      <c r="BH257" s="26"/>
      <c r="BI257" s="26"/>
      <c r="BJ257" s="26"/>
      <c r="BK257" s="26">
        <v>2</v>
      </c>
      <c r="BL257" s="26"/>
      <c r="BM257" s="26"/>
      <c r="BN257" s="26"/>
      <c r="BO257" s="26"/>
      <c r="BP257" s="26"/>
    </row>
    <row r="258" spans="1:68" ht="15" x14ac:dyDescent="0.2">
      <c r="A258" s="1" t="s">
        <v>623</v>
      </c>
      <c r="B258" s="31" t="s">
        <v>560</v>
      </c>
      <c r="C258" s="3" t="s">
        <v>157</v>
      </c>
      <c r="D258" s="29" t="s">
        <v>624</v>
      </c>
      <c r="E258" s="3" t="s">
        <v>75</v>
      </c>
      <c r="F258" s="3">
        <v>48</v>
      </c>
      <c r="G258" s="4">
        <v>48</v>
      </c>
      <c r="H258" s="5"/>
      <c r="I258" s="35"/>
      <c r="J258" s="26"/>
      <c r="K258" s="26"/>
      <c r="L258" s="26"/>
      <c r="M258" s="26"/>
      <c r="N258" s="26"/>
      <c r="O258" s="26"/>
      <c r="P258" s="26"/>
      <c r="Q258" s="26"/>
      <c r="R258" s="26"/>
      <c r="S258" s="26">
        <v>2</v>
      </c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>
        <v>4</v>
      </c>
      <c r="AU258" s="26"/>
      <c r="AV258" s="26"/>
      <c r="AW258" s="26"/>
      <c r="AX258" s="26">
        <v>3</v>
      </c>
      <c r="AY258" s="26"/>
      <c r="AZ258" s="26"/>
      <c r="BA258" s="26"/>
      <c r="BB258" s="26"/>
      <c r="BC258" s="26">
        <v>4</v>
      </c>
      <c r="BD258" s="26"/>
      <c r="BE258" s="26"/>
      <c r="BF258" s="26"/>
      <c r="BG258" s="26">
        <v>1</v>
      </c>
      <c r="BH258" s="26"/>
      <c r="BI258" s="26"/>
      <c r="BJ258" s="26"/>
      <c r="BK258" s="26"/>
      <c r="BL258" s="26"/>
      <c r="BM258" s="26"/>
      <c r="BN258" s="26"/>
      <c r="BO258" s="26">
        <v>1</v>
      </c>
      <c r="BP258" s="26"/>
    </row>
    <row r="259" spans="1:68" ht="15" x14ac:dyDescent="0.2">
      <c r="A259" s="1" t="s">
        <v>625</v>
      </c>
      <c r="B259" s="31" t="s">
        <v>560</v>
      </c>
      <c r="C259" s="3" t="s">
        <v>157</v>
      </c>
      <c r="D259" s="29" t="s">
        <v>626</v>
      </c>
      <c r="E259" s="3" t="s">
        <v>75</v>
      </c>
      <c r="F259" s="3">
        <v>56</v>
      </c>
      <c r="G259" s="4">
        <v>56</v>
      </c>
      <c r="H259" s="5"/>
      <c r="I259" s="35">
        <v>1</v>
      </c>
      <c r="J259" s="26"/>
      <c r="K259" s="26"/>
      <c r="L259" s="26"/>
      <c r="M259" s="26"/>
      <c r="N259" s="26"/>
      <c r="O259" s="26"/>
      <c r="P259" s="26"/>
      <c r="Q259" s="26"/>
      <c r="R259" s="26"/>
      <c r="S259" s="26">
        <v>3</v>
      </c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</row>
    <row r="260" spans="1:68" ht="15" x14ac:dyDescent="0.2">
      <c r="A260" s="1" t="s">
        <v>627</v>
      </c>
      <c r="B260" s="31" t="s">
        <v>560</v>
      </c>
      <c r="C260" s="3" t="s">
        <v>157</v>
      </c>
      <c r="D260" s="29" t="s">
        <v>628</v>
      </c>
      <c r="E260" s="3" t="s">
        <v>75</v>
      </c>
      <c r="F260" s="3">
        <v>64</v>
      </c>
      <c r="G260" s="4">
        <v>64</v>
      </c>
      <c r="H260" s="5"/>
      <c r="I260" s="35"/>
      <c r="J260" s="26"/>
      <c r="K260" s="26"/>
      <c r="L260" s="26"/>
      <c r="M260" s="26"/>
      <c r="N260" s="26"/>
      <c r="O260" s="26"/>
      <c r="P260" s="26"/>
      <c r="Q260" s="26"/>
      <c r="R260" s="26"/>
      <c r="S260" s="26">
        <v>1</v>
      </c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>
        <v>1</v>
      </c>
      <c r="BC260" s="26"/>
      <c r="BD260" s="26"/>
      <c r="BE260" s="26">
        <v>1</v>
      </c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</row>
    <row r="261" spans="1:68" ht="15" x14ac:dyDescent="0.2">
      <c r="A261" s="1" t="s">
        <v>629</v>
      </c>
      <c r="B261" s="31" t="s">
        <v>560</v>
      </c>
      <c r="C261" s="3" t="s">
        <v>157</v>
      </c>
      <c r="D261" s="29" t="s">
        <v>630</v>
      </c>
      <c r="E261" s="3" t="s">
        <v>75</v>
      </c>
      <c r="F261" s="3">
        <v>80</v>
      </c>
      <c r="G261" s="4">
        <v>80</v>
      </c>
      <c r="H261" s="5"/>
      <c r="I261" s="35"/>
      <c r="J261" s="26"/>
      <c r="K261" s="26">
        <v>1</v>
      </c>
      <c r="L261" s="26"/>
      <c r="M261" s="26"/>
      <c r="N261" s="26"/>
      <c r="O261" s="26"/>
      <c r="P261" s="26"/>
      <c r="Q261" s="26"/>
      <c r="R261" s="28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</row>
    <row r="262" spans="1:68" ht="15" x14ac:dyDescent="0.2">
      <c r="A262" s="7" t="s">
        <v>631</v>
      </c>
      <c r="B262" s="31" t="s">
        <v>560</v>
      </c>
      <c r="C262" s="3" t="s">
        <v>157</v>
      </c>
      <c r="D262" s="29" t="s">
        <v>632</v>
      </c>
      <c r="E262" s="3" t="s">
        <v>75</v>
      </c>
      <c r="F262" s="3">
        <v>24.5</v>
      </c>
      <c r="G262" s="4">
        <v>24.5</v>
      </c>
      <c r="H262" s="5"/>
      <c r="I262" s="35">
        <v>18</v>
      </c>
      <c r="J262" s="26">
        <f>1+3</f>
        <v>4</v>
      </c>
      <c r="K262" s="26">
        <v>3</v>
      </c>
      <c r="L262" s="26">
        <v>3</v>
      </c>
      <c r="M262" s="26">
        <v>3</v>
      </c>
      <c r="N262" s="26"/>
      <c r="O262" s="26"/>
      <c r="P262" s="26">
        <v>10</v>
      </c>
      <c r="Q262" s="26">
        <f>8+6</f>
        <v>14</v>
      </c>
      <c r="R262" s="26">
        <v>11</v>
      </c>
      <c r="S262" s="26">
        <v>18</v>
      </c>
      <c r="T262" s="26">
        <v>7</v>
      </c>
      <c r="U262" s="26">
        <v>6</v>
      </c>
      <c r="V262" s="26">
        <v>12</v>
      </c>
      <c r="W262" s="26">
        <v>32</v>
      </c>
      <c r="X262" s="26">
        <v>4</v>
      </c>
      <c r="Y262" s="26">
        <v>2</v>
      </c>
      <c r="Z262" s="26">
        <v>3</v>
      </c>
      <c r="AA262" s="26">
        <v>8</v>
      </c>
      <c r="AB262" s="26">
        <v>9</v>
      </c>
      <c r="AC262" s="26">
        <f>35+5</f>
        <v>40</v>
      </c>
      <c r="AD262" s="26">
        <v>8</v>
      </c>
      <c r="AE262" s="26">
        <v>3</v>
      </c>
      <c r="AF262" s="26"/>
      <c r="AG262" s="26">
        <v>5</v>
      </c>
      <c r="AH262" s="26"/>
      <c r="AI262" s="26"/>
      <c r="AJ262" s="26">
        <v>4</v>
      </c>
      <c r="AK262" s="26"/>
      <c r="AL262" s="26"/>
      <c r="AM262" s="26">
        <v>72</v>
      </c>
      <c r="AN262" s="26">
        <v>90</v>
      </c>
      <c r="AO262" s="26">
        <v>117</v>
      </c>
      <c r="AP262" s="26">
        <v>18</v>
      </c>
      <c r="AQ262" s="26">
        <v>22</v>
      </c>
      <c r="AR262" s="26">
        <v>41</v>
      </c>
      <c r="AS262" s="26"/>
      <c r="AT262" s="26">
        <f>8+7</f>
        <v>15</v>
      </c>
      <c r="AU262" s="26">
        <v>28</v>
      </c>
      <c r="AV262" s="26">
        <f>1+1+4</f>
        <v>6</v>
      </c>
      <c r="AW262" s="26">
        <v>35</v>
      </c>
      <c r="AX262" s="26">
        <f>1+5</f>
        <v>6</v>
      </c>
      <c r="AY262" s="26">
        <f>1+9+64</f>
        <v>74</v>
      </c>
      <c r="AZ262" s="26">
        <v>11</v>
      </c>
      <c r="BA262" s="26">
        <v>48</v>
      </c>
      <c r="BB262" s="26">
        <v>22</v>
      </c>
      <c r="BC262" s="26">
        <v>83</v>
      </c>
      <c r="BD262" s="26">
        <v>49</v>
      </c>
      <c r="BE262" s="26">
        <v>67</v>
      </c>
      <c r="BF262" s="26">
        <v>64</v>
      </c>
      <c r="BG262" s="26">
        <f>5+19+66</f>
        <v>90</v>
      </c>
      <c r="BH262" s="26">
        <f>32+12+1</f>
        <v>45</v>
      </c>
      <c r="BI262" s="26">
        <v>41</v>
      </c>
      <c r="BJ262" s="26">
        <f>4+3+5</f>
        <v>12</v>
      </c>
      <c r="BK262" s="26">
        <f>1+1+3+3</f>
        <v>8</v>
      </c>
      <c r="BL262" s="26">
        <v>49</v>
      </c>
      <c r="BM262" s="26">
        <v>14</v>
      </c>
      <c r="BN262" s="26">
        <v>28</v>
      </c>
      <c r="BO262" s="26">
        <v>20</v>
      </c>
      <c r="BP262" s="26">
        <v>27</v>
      </c>
    </row>
    <row r="263" spans="1:68" ht="15" x14ac:dyDescent="0.2">
      <c r="A263" s="1" t="s">
        <v>633</v>
      </c>
      <c r="B263" s="2" t="s">
        <v>68</v>
      </c>
      <c r="C263" s="3" t="s">
        <v>73</v>
      </c>
      <c r="D263" s="3" t="s">
        <v>634</v>
      </c>
      <c r="E263" s="5" t="s">
        <v>75</v>
      </c>
      <c r="F263" s="3">
        <v>4</v>
      </c>
      <c r="G263" s="3">
        <v>4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8">
        <f>2</f>
        <v>2</v>
      </c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9"/>
      <c r="AY263" s="39"/>
      <c r="AZ263" s="39"/>
      <c r="BA263" s="39"/>
      <c r="BB263" s="39"/>
      <c r="BC263" s="39"/>
      <c r="BD263" s="39"/>
      <c r="BE263" s="39"/>
      <c r="BF263" s="39"/>
      <c r="BG263" s="36">
        <v>8</v>
      </c>
      <c r="BH263" s="36"/>
      <c r="BI263" s="36"/>
      <c r="BJ263" s="40">
        <v>21</v>
      </c>
      <c r="BK263" s="36"/>
      <c r="BL263" s="36"/>
      <c r="BM263" s="36"/>
      <c r="BN263" s="36"/>
      <c r="BO263" s="36"/>
      <c r="BP263" s="36"/>
    </row>
    <row r="264" spans="1:68" ht="15" x14ac:dyDescent="0.2">
      <c r="A264" s="1" t="s">
        <v>635</v>
      </c>
      <c r="B264" s="2" t="s">
        <v>68</v>
      </c>
      <c r="C264" s="3" t="s">
        <v>73</v>
      </c>
      <c r="D264" s="3" t="s">
        <v>636</v>
      </c>
      <c r="E264" s="5" t="s">
        <v>75</v>
      </c>
      <c r="F264" s="3">
        <v>4</v>
      </c>
      <c r="G264" s="3">
        <v>16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9"/>
      <c r="AY264" s="39"/>
      <c r="AZ264" s="39"/>
      <c r="BA264" s="39"/>
      <c r="BB264" s="39"/>
      <c r="BC264" s="39"/>
      <c r="BD264" s="39"/>
      <c r="BE264" s="39"/>
      <c r="BF264" s="39"/>
      <c r="BG264" s="36">
        <v>1</v>
      </c>
      <c r="BH264" s="36"/>
      <c r="BI264" s="36"/>
      <c r="BJ264" s="36"/>
      <c r="BK264" s="36"/>
      <c r="BL264" s="36"/>
      <c r="BM264" s="36"/>
      <c r="BN264" s="36">
        <v>42</v>
      </c>
      <c r="BO264" s="36"/>
      <c r="BP264" s="36"/>
    </row>
    <row r="265" spans="1:68" ht="15" x14ac:dyDescent="0.2">
      <c r="A265" s="1" t="s">
        <v>637</v>
      </c>
      <c r="B265" s="2" t="s">
        <v>68</v>
      </c>
      <c r="C265" s="3" t="s">
        <v>73</v>
      </c>
      <c r="D265" s="3" t="s">
        <v>638</v>
      </c>
      <c r="E265" s="5" t="s">
        <v>173</v>
      </c>
      <c r="F265" s="3">
        <v>6</v>
      </c>
      <c r="G265" s="3">
        <v>6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8">
        <f>3</f>
        <v>3</v>
      </c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8">
        <f>2</f>
        <v>2</v>
      </c>
      <c r="AW265" s="36"/>
      <c r="AX265" s="39"/>
      <c r="AY265" s="39"/>
      <c r="AZ265" s="39"/>
      <c r="BA265" s="39"/>
      <c r="BB265" s="39"/>
      <c r="BC265" s="39"/>
      <c r="BD265" s="39"/>
      <c r="BE265" s="39"/>
      <c r="BF265" s="39"/>
      <c r="BG265" s="36"/>
      <c r="BH265" s="36"/>
      <c r="BI265" s="41">
        <v>5</v>
      </c>
      <c r="BJ265" s="36"/>
      <c r="BK265" s="36"/>
      <c r="BL265" s="36"/>
      <c r="BM265" s="36"/>
      <c r="BN265" s="36"/>
      <c r="BO265" s="36">
        <v>47</v>
      </c>
      <c r="BP265" s="36"/>
    </row>
    <row r="266" spans="1:68" ht="15" x14ac:dyDescent="0.2">
      <c r="A266" s="1" t="s">
        <v>639</v>
      </c>
      <c r="B266" s="2" t="s">
        <v>68</v>
      </c>
      <c r="C266" s="3" t="s">
        <v>73</v>
      </c>
      <c r="D266" s="3" t="s">
        <v>640</v>
      </c>
      <c r="E266" s="5" t="s">
        <v>75</v>
      </c>
      <c r="F266" s="3">
        <v>6</v>
      </c>
      <c r="G266" s="3">
        <v>12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8">
        <f>100</f>
        <v>100</v>
      </c>
      <c r="AN266" s="36"/>
      <c r="AO266" s="36"/>
      <c r="AP266" s="36"/>
      <c r="AQ266" s="36"/>
      <c r="AR266" s="36"/>
      <c r="AS266" s="36"/>
      <c r="AT266" s="38">
        <f>2</f>
        <v>2</v>
      </c>
      <c r="AU266" s="36"/>
      <c r="AV266" s="36"/>
      <c r="AW266" s="36"/>
      <c r="AX266" s="39"/>
      <c r="AY266" s="39"/>
      <c r="AZ266" s="39"/>
      <c r="BA266" s="39"/>
      <c r="BB266" s="39"/>
      <c r="BC266" s="39"/>
      <c r="BD266" s="39"/>
      <c r="BE266" s="39"/>
      <c r="BF266" s="39"/>
      <c r="BG266" s="36"/>
      <c r="BH266" s="36"/>
      <c r="BI266" s="36"/>
      <c r="BJ266" s="36"/>
      <c r="BK266" s="36">
        <v>3</v>
      </c>
      <c r="BL266" s="36"/>
      <c r="BM266" s="36"/>
      <c r="BN266" s="36"/>
      <c r="BO266" s="36"/>
      <c r="BP266" s="36"/>
    </row>
    <row r="267" spans="1:68" ht="15" x14ac:dyDescent="0.2">
      <c r="A267" s="1" t="s">
        <v>641</v>
      </c>
      <c r="B267" s="2" t="s">
        <v>68</v>
      </c>
      <c r="C267" s="3" t="s">
        <v>73</v>
      </c>
      <c r="D267" s="3" t="s">
        <v>642</v>
      </c>
      <c r="E267" s="5" t="s">
        <v>75</v>
      </c>
      <c r="F267" s="3">
        <v>8</v>
      </c>
      <c r="G267" s="3">
        <v>8</v>
      </c>
      <c r="H267" s="3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8">
        <f>1</f>
        <v>1</v>
      </c>
      <c r="AT267" s="36"/>
      <c r="AU267" s="36"/>
      <c r="AV267" s="36"/>
      <c r="AW267" s="36"/>
      <c r="AX267" s="39"/>
      <c r="AY267" s="39"/>
      <c r="AZ267" s="38">
        <f>6</f>
        <v>6</v>
      </c>
      <c r="BA267" s="39"/>
      <c r="BB267" s="39"/>
      <c r="BC267" s="39"/>
      <c r="BD267" s="39"/>
      <c r="BE267" s="39"/>
      <c r="BF267" s="39"/>
      <c r="BG267" s="36">
        <v>2</v>
      </c>
      <c r="BH267" s="36"/>
      <c r="BI267" s="36"/>
      <c r="BJ267" s="36"/>
      <c r="BK267" s="36"/>
      <c r="BL267" s="36"/>
      <c r="BM267" s="36"/>
      <c r="BN267" s="36"/>
      <c r="BO267" s="36"/>
      <c r="BP267" s="36">
        <v>77</v>
      </c>
    </row>
    <row r="268" spans="1:68" ht="15" x14ac:dyDescent="0.2">
      <c r="A268" s="1" t="s">
        <v>643</v>
      </c>
      <c r="B268" s="2" t="s">
        <v>68</v>
      </c>
      <c r="C268" s="3" t="s">
        <v>73</v>
      </c>
      <c r="D268" s="2" t="s">
        <v>644</v>
      </c>
      <c r="E268" s="5" t="s">
        <v>75</v>
      </c>
      <c r="F268" s="3">
        <v>8</v>
      </c>
      <c r="G268" s="3">
        <v>16</v>
      </c>
      <c r="H268" s="3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9"/>
      <c r="AY268" s="39"/>
      <c r="AZ268" s="39"/>
      <c r="BA268" s="39"/>
      <c r="BB268" s="39"/>
      <c r="BC268" s="39"/>
      <c r="BD268" s="39"/>
      <c r="BE268" s="39"/>
      <c r="BF268" s="39"/>
      <c r="BG268" s="36"/>
      <c r="BH268" s="36"/>
      <c r="BI268" s="36"/>
      <c r="BJ268" s="36"/>
      <c r="BK268" s="36"/>
      <c r="BL268" s="36"/>
      <c r="BM268" s="36"/>
      <c r="BN268" s="36">
        <v>2</v>
      </c>
      <c r="BO268" s="36">
        <v>5</v>
      </c>
      <c r="BP268" s="36"/>
    </row>
    <row r="269" spans="1:68" ht="15" x14ac:dyDescent="0.2">
      <c r="A269" s="1" t="s">
        <v>645</v>
      </c>
      <c r="B269" s="2" t="s">
        <v>68</v>
      </c>
      <c r="C269" s="3" t="s">
        <v>73</v>
      </c>
      <c r="D269" s="2" t="s">
        <v>646</v>
      </c>
      <c r="E269" s="5" t="s">
        <v>75</v>
      </c>
      <c r="F269" s="3">
        <v>10</v>
      </c>
      <c r="G269" s="3">
        <v>10</v>
      </c>
      <c r="H269" s="3"/>
      <c r="I269" s="3"/>
      <c r="J269" s="3">
        <v>13</v>
      </c>
      <c r="K269" s="3"/>
      <c r="L269" s="3"/>
      <c r="M269" s="3"/>
      <c r="N269" s="3"/>
      <c r="O269" s="3"/>
      <c r="P269" s="3"/>
      <c r="Q269" s="3"/>
      <c r="R269" s="3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8">
        <f>4</f>
        <v>4</v>
      </c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8">
        <f>2</f>
        <v>2</v>
      </c>
      <c r="AS269" s="36"/>
      <c r="AT269" s="36"/>
      <c r="AU269" s="36"/>
      <c r="AV269" s="36"/>
      <c r="AW269" s="36"/>
      <c r="AX269" s="39"/>
      <c r="AY269" s="39"/>
      <c r="AZ269" s="39"/>
      <c r="BA269" s="39"/>
      <c r="BB269" s="39"/>
      <c r="BC269" s="39"/>
      <c r="BD269" s="39"/>
      <c r="BE269" s="39"/>
      <c r="BF269" s="39"/>
      <c r="BG269" s="36">
        <v>3</v>
      </c>
      <c r="BH269" s="36"/>
      <c r="BI269" s="36"/>
      <c r="BJ269" s="36"/>
      <c r="BK269" s="36"/>
      <c r="BL269" s="36"/>
      <c r="BM269" s="40">
        <f>88</f>
        <v>88</v>
      </c>
      <c r="BN269" s="36"/>
      <c r="BO269" s="36">
        <v>6</v>
      </c>
      <c r="BP269" s="36">
        <v>13</v>
      </c>
    </row>
    <row r="270" spans="1:68" ht="15" x14ac:dyDescent="0.2">
      <c r="A270" s="1" t="s">
        <v>647</v>
      </c>
      <c r="B270" s="2" t="s">
        <v>68</v>
      </c>
      <c r="C270" s="3" t="s">
        <v>73</v>
      </c>
      <c r="D270" s="2" t="s">
        <v>648</v>
      </c>
      <c r="E270" s="5" t="s">
        <v>75</v>
      </c>
      <c r="F270" s="3">
        <v>12</v>
      </c>
      <c r="G270" s="3">
        <v>12</v>
      </c>
      <c r="H270" s="3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3"/>
      <c r="T270" s="3">
        <v>4</v>
      </c>
      <c r="U270" s="3"/>
      <c r="V270" s="3"/>
      <c r="W270" s="3"/>
      <c r="X270" s="3"/>
      <c r="Y270" s="3"/>
      <c r="Z270" s="3"/>
      <c r="AA270" s="3"/>
      <c r="AB270" s="3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8">
        <f>2</f>
        <v>2</v>
      </c>
      <c r="AO270" s="36"/>
      <c r="AP270" s="36"/>
      <c r="AQ270" s="36"/>
      <c r="AR270" s="36"/>
      <c r="AS270" s="36"/>
      <c r="AT270" s="36"/>
      <c r="AU270" s="36"/>
      <c r="AV270" s="36"/>
      <c r="AW270" s="36"/>
      <c r="AX270" s="39"/>
      <c r="AY270" s="39"/>
      <c r="AZ270" s="39"/>
      <c r="BA270" s="39"/>
      <c r="BB270" s="38">
        <f>1</f>
        <v>1</v>
      </c>
      <c r="BC270" s="39"/>
      <c r="BD270" s="39"/>
      <c r="BE270" s="39"/>
      <c r="BF270" s="39"/>
      <c r="BG270" s="36"/>
      <c r="BH270" s="36"/>
      <c r="BI270" s="36"/>
      <c r="BJ270" s="36"/>
      <c r="BK270" s="36"/>
      <c r="BL270" s="36">
        <v>20</v>
      </c>
      <c r="BM270" s="41">
        <f>3</f>
        <v>3</v>
      </c>
      <c r="BN270" s="36">
        <v>7</v>
      </c>
      <c r="BO270" s="36"/>
      <c r="BP270" s="36"/>
    </row>
    <row r="271" spans="1:68" ht="15" x14ac:dyDescent="0.2">
      <c r="A271" s="1" t="s">
        <v>649</v>
      </c>
      <c r="B271" s="2" t="s">
        <v>68</v>
      </c>
      <c r="C271" s="3" t="s">
        <v>73</v>
      </c>
      <c r="D271" s="2" t="s">
        <v>650</v>
      </c>
      <c r="E271" s="5" t="s">
        <v>75</v>
      </c>
      <c r="F271" s="3">
        <v>16</v>
      </c>
      <c r="G271" s="3">
        <v>16</v>
      </c>
      <c r="H271" s="3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9"/>
      <c r="AY271" s="39"/>
      <c r="AZ271" s="39"/>
      <c r="BA271" s="39"/>
      <c r="BB271" s="39"/>
      <c r="BC271" s="39"/>
      <c r="BD271" s="39"/>
      <c r="BE271" s="39"/>
      <c r="BF271" s="39"/>
      <c r="BG271" s="36"/>
      <c r="BH271" s="36"/>
      <c r="BI271" s="36"/>
      <c r="BJ271" s="36"/>
      <c r="BK271" s="36"/>
      <c r="BL271" s="36">
        <v>82</v>
      </c>
      <c r="BM271" s="36"/>
      <c r="BN271" s="36">
        <v>7</v>
      </c>
      <c r="BO271" s="36"/>
      <c r="BP271" s="36"/>
    </row>
    <row r="272" spans="1:68" ht="15" x14ac:dyDescent="0.2">
      <c r="A272" s="1" t="s">
        <v>651</v>
      </c>
      <c r="B272" s="2" t="s">
        <v>68</v>
      </c>
      <c r="C272" s="3" t="s">
        <v>73</v>
      </c>
      <c r="D272" s="2" t="s">
        <v>652</v>
      </c>
      <c r="E272" s="5" t="s">
        <v>75</v>
      </c>
      <c r="F272" s="3">
        <v>4</v>
      </c>
      <c r="G272" s="3">
        <v>10</v>
      </c>
      <c r="H272" s="3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9"/>
      <c r="AY272" s="39"/>
      <c r="AZ272" s="39"/>
      <c r="BA272" s="39"/>
      <c r="BB272" s="39"/>
      <c r="BC272" s="39"/>
      <c r="BD272" s="39"/>
      <c r="BE272" s="39"/>
      <c r="BF272" s="39"/>
      <c r="BG272" s="36">
        <f>1+1</f>
        <v>2</v>
      </c>
      <c r="BH272" s="36"/>
      <c r="BI272" s="36"/>
      <c r="BJ272" s="36"/>
      <c r="BK272" s="36"/>
      <c r="BL272" s="36"/>
      <c r="BM272" s="36"/>
      <c r="BN272" s="36"/>
      <c r="BO272" s="36"/>
      <c r="BP272" s="36"/>
    </row>
    <row r="273" spans="1:68" ht="15" x14ac:dyDescent="0.2">
      <c r="A273" s="1" t="s">
        <v>653</v>
      </c>
      <c r="B273" s="2" t="s">
        <v>68</v>
      </c>
      <c r="C273" s="2" t="s">
        <v>87</v>
      </c>
      <c r="D273" s="2" t="s">
        <v>654</v>
      </c>
      <c r="E273" s="5" t="s">
        <v>75</v>
      </c>
      <c r="F273" s="3">
        <v>10</v>
      </c>
      <c r="G273" s="3">
        <v>10</v>
      </c>
      <c r="H273" s="3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6"/>
      <c r="AD273" s="36"/>
      <c r="AE273" s="36"/>
      <c r="AF273" s="36"/>
      <c r="AG273" s="36"/>
      <c r="AH273" s="36"/>
      <c r="AI273" s="43">
        <f>1</f>
        <v>1</v>
      </c>
      <c r="AJ273" s="36"/>
      <c r="AK273" s="36"/>
      <c r="AL273" s="36"/>
      <c r="AM273" s="36"/>
      <c r="AN273" s="36"/>
      <c r="AO273" s="36"/>
      <c r="AP273" s="36"/>
      <c r="AQ273" s="36"/>
      <c r="AR273" s="36"/>
      <c r="AS273" s="43">
        <f>11</f>
        <v>11</v>
      </c>
      <c r="AT273" s="36"/>
      <c r="AU273" s="36"/>
      <c r="AV273" s="36"/>
      <c r="AW273" s="36"/>
      <c r="AX273" s="39"/>
      <c r="AY273" s="39"/>
      <c r="AZ273" s="39"/>
      <c r="BA273" s="39"/>
      <c r="BB273" s="39"/>
      <c r="BC273" s="39"/>
      <c r="BD273" s="39"/>
      <c r="BE273" s="43">
        <f>6</f>
        <v>6</v>
      </c>
      <c r="BF273" s="39"/>
      <c r="BG273" s="36"/>
      <c r="BH273" s="36"/>
      <c r="BI273" s="36"/>
      <c r="BJ273" s="36"/>
      <c r="BK273" s="36"/>
      <c r="BL273" s="36">
        <v>17</v>
      </c>
      <c r="BM273" s="36"/>
      <c r="BN273" s="36"/>
      <c r="BO273" s="36"/>
      <c r="BP273" s="36"/>
    </row>
    <row r="274" spans="1:68" ht="15" x14ac:dyDescent="0.2">
      <c r="A274" s="3" t="s">
        <v>655</v>
      </c>
      <c r="B274" s="3" t="s">
        <v>68</v>
      </c>
      <c r="C274" s="3" t="s">
        <v>96</v>
      </c>
      <c r="D274" s="3" t="s">
        <v>656</v>
      </c>
      <c r="E274" s="3" t="s">
        <v>98</v>
      </c>
      <c r="F274" s="3">
        <v>4</v>
      </c>
      <c r="G274" s="3">
        <v>4</v>
      </c>
      <c r="H274" s="3"/>
      <c r="I274" s="44">
        <v>7</v>
      </c>
      <c r="J274" s="44"/>
      <c r="K274" s="44"/>
      <c r="L274" s="44">
        <v>2</v>
      </c>
      <c r="M274" s="44"/>
      <c r="N274" s="44"/>
      <c r="O274" s="44">
        <f>2</f>
        <v>2</v>
      </c>
      <c r="P274" s="44"/>
      <c r="Q274" s="44">
        <f>4</f>
        <v>4</v>
      </c>
      <c r="R274" s="44">
        <f>4</f>
        <v>4</v>
      </c>
      <c r="S274" s="36">
        <v>9</v>
      </c>
      <c r="T274" s="36">
        <v>11</v>
      </c>
      <c r="U274" s="36"/>
      <c r="V274" s="36">
        <v>11</v>
      </c>
      <c r="W274" s="36">
        <v>6</v>
      </c>
      <c r="X274" s="36"/>
      <c r="Y274" s="36">
        <v>10</v>
      </c>
      <c r="Z274" s="36">
        <v>13</v>
      </c>
      <c r="AA274" s="36">
        <v>10</v>
      </c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43">
        <f>3</f>
        <v>3</v>
      </c>
      <c r="BF274" s="36"/>
      <c r="BG274" s="36"/>
      <c r="BH274" s="36"/>
      <c r="BI274" s="36">
        <v>10</v>
      </c>
      <c r="BJ274" s="36"/>
      <c r="BK274" s="36"/>
      <c r="BL274" s="36"/>
      <c r="BM274" s="36">
        <v>16</v>
      </c>
      <c r="BN274" s="36"/>
      <c r="BO274" s="36"/>
      <c r="BP274" s="36"/>
    </row>
    <row r="275" spans="1:68" ht="15" x14ac:dyDescent="0.2">
      <c r="A275" s="3" t="s">
        <v>657</v>
      </c>
      <c r="B275" s="3" t="s">
        <v>68</v>
      </c>
      <c r="C275" s="3" t="s">
        <v>96</v>
      </c>
      <c r="D275" s="3" t="s">
        <v>658</v>
      </c>
      <c r="E275" s="3" t="s">
        <v>98</v>
      </c>
      <c r="F275" s="3">
        <v>4</v>
      </c>
      <c r="G275" s="3">
        <v>6</v>
      </c>
      <c r="H275" s="3"/>
      <c r="I275" s="44"/>
      <c r="J275" s="44"/>
      <c r="K275" s="44"/>
      <c r="L275" s="44"/>
      <c r="M275" s="44">
        <f>1</f>
        <v>1</v>
      </c>
      <c r="N275" s="44"/>
      <c r="O275" s="44"/>
      <c r="P275" s="44"/>
      <c r="Q275" s="44"/>
      <c r="R275" s="44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43">
        <f>3</f>
        <v>3</v>
      </c>
      <c r="AE275" s="36"/>
      <c r="AF275" s="36"/>
      <c r="AG275" s="36"/>
      <c r="AH275" s="43">
        <f>3</f>
        <v>3</v>
      </c>
      <c r="AI275" s="36"/>
      <c r="AJ275" s="36"/>
      <c r="AK275" s="36"/>
      <c r="AL275" s="36">
        <v>5</v>
      </c>
      <c r="AM275" s="43">
        <f>3</f>
        <v>3</v>
      </c>
      <c r="AN275" s="43">
        <f>3</f>
        <v>3</v>
      </c>
      <c r="AO275" s="36"/>
      <c r="AP275" s="36"/>
      <c r="AQ275" s="36"/>
      <c r="AR275" s="36"/>
      <c r="AS275" s="43">
        <f>3</f>
        <v>3</v>
      </c>
      <c r="AT275" s="36"/>
      <c r="AU275" s="43">
        <f>4</f>
        <v>4</v>
      </c>
      <c r="AV275" s="43">
        <f>7</f>
        <v>7</v>
      </c>
      <c r="AW275" s="36"/>
      <c r="AX275" s="36"/>
      <c r="AY275" s="36"/>
      <c r="AZ275" s="36"/>
      <c r="BA275" s="36"/>
      <c r="BB275" s="36"/>
      <c r="BC275" s="36"/>
      <c r="BD275" s="45"/>
      <c r="BE275" s="36"/>
      <c r="BF275" s="45"/>
      <c r="BG275" s="36"/>
      <c r="BH275" s="41">
        <v>10</v>
      </c>
      <c r="BI275" s="36"/>
      <c r="BJ275" s="41">
        <v>17</v>
      </c>
      <c r="BK275" s="36"/>
      <c r="BL275" s="36">
        <v>35</v>
      </c>
      <c r="BM275" s="36">
        <v>41</v>
      </c>
      <c r="BN275" s="36"/>
      <c r="BO275" s="45">
        <v>7</v>
      </c>
      <c r="BP275" s="41">
        <f>41</f>
        <v>41</v>
      </c>
    </row>
    <row r="276" spans="1:68" ht="15" x14ac:dyDescent="0.2">
      <c r="A276" s="3" t="s">
        <v>659</v>
      </c>
      <c r="B276" s="3" t="s">
        <v>68</v>
      </c>
      <c r="C276" s="3" t="s">
        <v>96</v>
      </c>
      <c r="D276" s="3" t="s">
        <v>660</v>
      </c>
      <c r="E276" s="3" t="s">
        <v>98</v>
      </c>
      <c r="F276" s="3">
        <v>4</v>
      </c>
      <c r="G276" s="3">
        <v>8</v>
      </c>
      <c r="H276" s="3"/>
      <c r="I276" s="44"/>
      <c r="J276" s="44">
        <v>10</v>
      </c>
      <c r="K276" s="44">
        <v>6</v>
      </c>
      <c r="L276" s="44"/>
      <c r="M276" s="44"/>
      <c r="N276" s="44"/>
      <c r="O276" s="44"/>
      <c r="P276" s="44"/>
      <c r="Q276" s="44"/>
      <c r="R276" s="44"/>
      <c r="S276" s="36"/>
      <c r="T276" s="36"/>
      <c r="U276" s="36"/>
      <c r="V276" s="36"/>
      <c r="W276" s="36"/>
      <c r="X276" s="36">
        <v>7</v>
      </c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43">
        <f>3</f>
        <v>3</v>
      </c>
      <c r="AP276" s="36"/>
      <c r="AQ276" s="43">
        <f>7</f>
        <v>7</v>
      </c>
      <c r="AR276" s="43">
        <f>5</f>
        <v>5</v>
      </c>
      <c r="AS276" s="36"/>
      <c r="AT276" s="36"/>
      <c r="AU276" s="36"/>
      <c r="AV276" s="36"/>
      <c r="AW276" s="36"/>
      <c r="AX276" s="36"/>
      <c r="AY276" s="43">
        <f>3</f>
        <v>3</v>
      </c>
      <c r="AZ276" s="36"/>
      <c r="BA276" s="36"/>
      <c r="BB276" s="43">
        <f>3</f>
        <v>3</v>
      </c>
      <c r="BC276" s="36"/>
      <c r="BD276" s="38">
        <f>7</f>
        <v>7</v>
      </c>
      <c r="BE276" s="36"/>
      <c r="BF276" s="45"/>
      <c r="BG276" s="36"/>
      <c r="BH276" s="36"/>
      <c r="BI276" s="36"/>
      <c r="BJ276" s="36"/>
      <c r="BK276" s="41">
        <v>14</v>
      </c>
      <c r="BL276" s="36"/>
      <c r="BM276" s="36"/>
      <c r="BN276" s="36"/>
      <c r="BO276" s="45"/>
      <c r="BP276" s="36"/>
    </row>
    <row r="277" spans="1:68" ht="15" x14ac:dyDescent="0.2">
      <c r="A277" s="1" t="s">
        <v>661</v>
      </c>
      <c r="B277" s="2" t="s">
        <v>68</v>
      </c>
      <c r="C277" s="3" t="s">
        <v>96</v>
      </c>
      <c r="D277" s="2" t="s">
        <v>662</v>
      </c>
      <c r="E277" s="3" t="s">
        <v>98</v>
      </c>
      <c r="F277" s="3">
        <v>6</v>
      </c>
      <c r="G277" s="3">
        <v>14</v>
      </c>
      <c r="H277" s="3"/>
      <c r="I277" s="44"/>
      <c r="J277" s="44"/>
      <c r="K277" s="44"/>
      <c r="L277" s="44"/>
      <c r="M277" s="44"/>
      <c r="N277" s="44"/>
      <c r="O277" s="44"/>
      <c r="P277" s="44">
        <f>9</f>
        <v>9</v>
      </c>
      <c r="Q277" s="46"/>
      <c r="R277" s="44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</row>
    <row r="278" spans="1:68" ht="15" x14ac:dyDescent="0.2">
      <c r="A278" s="1" t="s">
        <v>663</v>
      </c>
      <c r="B278" s="2" t="s">
        <v>68</v>
      </c>
      <c r="C278" s="3" t="s">
        <v>96</v>
      </c>
      <c r="D278" s="2" t="s">
        <v>664</v>
      </c>
      <c r="E278" s="3" t="s">
        <v>98</v>
      </c>
      <c r="F278" s="3">
        <v>6</v>
      </c>
      <c r="G278" s="3">
        <v>6</v>
      </c>
      <c r="H278" s="3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36"/>
      <c r="T278" s="36"/>
      <c r="U278" s="36">
        <v>5</v>
      </c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>
        <v>1</v>
      </c>
      <c r="BO278" s="36"/>
      <c r="BP278" s="36"/>
    </row>
    <row r="279" spans="1:68" ht="15" x14ac:dyDescent="0.2">
      <c r="A279" s="1" t="s">
        <v>665</v>
      </c>
      <c r="B279" s="2" t="s">
        <v>68</v>
      </c>
      <c r="C279" s="3" t="s">
        <v>96</v>
      </c>
      <c r="D279" s="2" t="s">
        <v>666</v>
      </c>
      <c r="E279" s="3" t="s">
        <v>98</v>
      </c>
      <c r="F279" s="3">
        <v>6</v>
      </c>
      <c r="G279" s="3">
        <v>8</v>
      </c>
      <c r="H279" s="3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43">
        <f>1</f>
        <v>1</v>
      </c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43">
        <v>11</v>
      </c>
      <c r="BB279" s="36"/>
      <c r="BC279" s="36"/>
      <c r="BD279" s="36"/>
      <c r="BE279" s="36"/>
      <c r="BF279" s="36"/>
      <c r="BG279" s="36"/>
      <c r="BH279" s="36"/>
      <c r="BI279" s="36">
        <v>8</v>
      </c>
      <c r="BJ279" s="36"/>
      <c r="BK279" s="36"/>
      <c r="BL279" s="36"/>
      <c r="BM279" s="36"/>
      <c r="BN279" s="36"/>
      <c r="BO279" s="36"/>
      <c r="BP279" s="36"/>
    </row>
    <row r="280" spans="1:68" ht="15" x14ac:dyDescent="0.2">
      <c r="A280" s="1" t="s">
        <v>667</v>
      </c>
      <c r="B280" s="2" t="s">
        <v>68</v>
      </c>
      <c r="C280" s="3" t="s">
        <v>96</v>
      </c>
      <c r="D280" s="2" t="s">
        <v>668</v>
      </c>
      <c r="E280" s="3" t="s">
        <v>98</v>
      </c>
      <c r="F280" s="3">
        <v>8</v>
      </c>
      <c r="G280" s="3">
        <v>10</v>
      </c>
      <c r="H280" s="3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44"/>
      <c r="T280" s="44"/>
      <c r="U280" s="44"/>
      <c r="V280" s="44"/>
      <c r="W280" s="44"/>
      <c r="X280" s="44"/>
      <c r="Y280" s="44"/>
      <c r="Z280" s="44"/>
      <c r="AA280" s="44"/>
      <c r="AB280" s="44">
        <v>3</v>
      </c>
      <c r="AC280" s="36"/>
      <c r="AD280" s="36"/>
      <c r="AE280" s="36"/>
      <c r="AF280" s="36"/>
      <c r="AG280" s="36"/>
      <c r="AH280" s="36"/>
      <c r="AI280" s="36"/>
      <c r="AJ280" s="36"/>
      <c r="AK280" s="43">
        <f>2</f>
        <v>2</v>
      </c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</row>
    <row r="281" spans="1:68" ht="15" x14ac:dyDescent="0.2">
      <c r="A281" s="3" t="s">
        <v>669</v>
      </c>
      <c r="B281" s="3" t="s">
        <v>68</v>
      </c>
      <c r="C281" s="3" t="s">
        <v>96</v>
      </c>
      <c r="D281" s="3" t="s">
        <v>670</v>
      </c>
      <c r="E281" s="3" t="s">
        <v>98</v>
      </c>
      <c r="F281" s="3">
        <v>8</v>
      </c>
      <c r="G281" s="3">
        <v>12</v>
      </c>
      <c r="H281" s="3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44"/>
      <c r="T281" s="44"/>
      <c r="U281" s="44"/>
      <c r="V281" s="44"/>
      <c r="W281" s="44"/>
      <c r="X281" s="44">
        <v>5</v>
      </c>
      <c r="Y281" s="44"/>
      <c r="Z281" s="44"/>
      <c r="AA281" s="44"/>
      <c r="AB281" s="44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>
        <v>8</v>
      </c>
      <c r="BP281" s="36"/>
    </row>
    <row r="282" spans="1:68" ht="15" x14ac:dyDescent="0.2">
      <c r="A282" s="3" t="s">
        <v>671</v>
      </c>
      <c r="B282" s="3" t="s">
        <v>68</v>
      </c>
      <c r="C282" s="3" t="s">
        <v>96</v>
      </c>
      <c r="D282" s="3" t="s">
        <v>672</v>
      </c>
      <c r="E282" s="3" t="s">
        <v>98</v>
      </c>
      <c r="F282" s="3">
        <v>10</v>
      </c>
      <c r="G282" s="3">
        <v>16</v>
      </c>
      <c r="H282" s="3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36"/>
      <c r="AD282" s="36"/>
      <c r="AE282" s="43">
        <f>4</f>
        <v>4</v>
      </c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45"/>
      <c r="AY282" s="36"/>
      <c r="AZ282" s="36"/>
      <c r="BA282" s="45"/>
      <c r="BB282" s="45"/>
      <c r="BC282" s="45"/>
      <c r="BD282" s="45"/>
      <c r="BE282" s="36"/>
      <c r="BF282" s="36"/>
      <c r="BG282" s="36"/>
      <c r="BH282" s="36"/>
      <c r="BI282" s="36"/>
      <c r="BJ282" s="36"/>
      <c r="BK282" s="36"/>
      <c r="BL282" s="45"/>
      <c r="BM282" s="36"/>
      <c r="BN282" s="36">
        <v>7</v>
      </c>
      <c r="BO282" s="36"/>
      <c r="BP282" s="45"/>
    </row>
    <row r="283" spans="1:68" ht="15" x14ac:dyDescent="0.2">
      <c r="A283" s="3" t="s">
        <v>673</v>
      </c>
      <c r="B283" s="3" t="s">
        <v>68</v>
      </c>
      <c r="C283" s="3" t="s">
        <v>96</v>
      </c>
      <c r="D283" s="3" t="s">
        <v>674</v>
      </c>
      <c r="E283" s="3" t="s">
        <v>98</v>
      </c>
      <c r="F283" s="3">
        <v>14</v>
      </c>
      <c r="G283" s="3">
        <v>20</v>
      </c>
      <c r="H283" s="3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36"/>
      <c r="AD283" s="36"/>
      <c r="AE283" s="36"/>
      <c r="AF283" s="43">
        <f>3</f>
        <v>3</v>
      </c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45"/>
      <c r="AY283" s="36"/>
      <c r="AZ283" s="36"/>
      <c r="BA283" s="45"/>
      <c r="BB283" s="45"/>
      <c r="BC283" s="45"/>
      <c r="BD283" s="45"/>
      <c r="BE283" s="36"/>
      <c r="BF283" s="36"/>
      <c r="BG283" s="36"/>
      <c r="BH283" s="36"/>
      <c r="BI283" s="36"/>
      <c r="BJ283" s="36"/>
      <c r="BK283" s="36"/>
      <c r="BL283" s="45"/>
      <c r="BM283" s="36"/>
      <c r="BN283" s="36">
        <v>2</v>
      </c>
      <c r="BO283" s="36"/>
      <c r="BP283" s="36"/>
    </row>
    <row r="284" spans="1:68" ht="14" x14ac:dyDescent="0.2">
      <c r="A284" s="47" t="s">
        <v>675</v>
      </c>
      <c r="B284" s="35" t="s">
        <v>104</v>
      </c>
      <c r="C284" s="35" t="s">
        <v>157</v>
      </c>
      <c r="D284" s="35" t="s">
        <v>676</v>
      </c>
      <c r="E284" s="35" t="s">
        <v>75</v>
      </c>
      <c r="F284" s="3">
        <v>5.5</v>
      </c>
      <c r="G284" s="3">
        <v>5.5</v>
      </c>
      <c r="H284" s="3"/>
      <c r="I284" s="42"/>
      <c r="J284" s="48">
        <v>4</v>
      </c>
      <c r="K284" s="48">
        <v>4</v>
      </c>
      <c r="L284" s="48">
        <v>4</v>
      </c>
      <c r="M284" s="42"/>
      <c r="N284" s="48">
        <v>1</v>
      </c>
      <c r="O284" s="48">
        <v>1</v>
      </c>
      <c r="P284" s="42"/>
      <c r="Q284" s="48">
        <f>1</f>
        <v>1</v>
      </c>
      <c r="R284" s="42"/>
      <c r="S284" s="3"/>
      <c r="T284" s="3">
        <v>19</v>
      </c>
      <c r="U284" s="3">
        <v>13</v>
      </c>
      <c r="V284" s="3">
        <v>15</v>
      </c>
      <c r="W284" s="3">
        <v>4</v>
      </c>
      <c r="X284" s="3">
        <v>13</v>
      </c>
      <c r="Y284" s="3">
        <v>7</v>
      </c>
      <c r="Z284" s="3">
        <v>5</v>
      </c>
      <c r="AA284" s="3">
        <v>2</v>
      </c>
      <c r="AB284" s="3">
        <v>2</v>
      </c>
      <c r="AC284" s="36"/>
      <c r="AD284" s="43">
        <f>3</f>
        <v>3</v>
      </c>
      <c r="AE284" s="43">
        <v>1</v>
      </c>
      <c r="AF284" s="36"/>
      <c r="AG284" s="36"/>
      <c r="AH284" s="43">
        <f>2</f>
        <v>2</v>
      </c>
      <c r="AI284" s="43">
        <f>2</f>
        <v>2</v>
      </c>
      <c r="AJ284" s="43">
        <f>3</f>
        <v>3</v>
      </c>
      <c r="AK284" s="43">
        <f>2</f>
        <v>2</v>
      </c>
      <c r="AL284" s="43">
        <f>2</f>
        <v>2</v>
      </c>
      <c r="AM284" s="43">
        <f>1</f>
        <v>1</v>
      </c>
      <c r="AN284" s="43">
        <f>15</f>
        <v>15</v>
      </c>
      <c r="AO284" s="43">
        <f>9</f>
        <v>9</v>
      </c>
      <c r="AP284" s="43">
        <v>24</v>
      </c>
      <c r="AQ284" s="43">
        <f>8</f>
        <v>8</v>
      </c>
      <c r="AR284" s="43">
        <f>32</f>
        <v>32</v>
      </c>
      <c r="AS284" s="43">
        <f>7</f>
        <v>7</v>
      </c>
      <c r="AT284" s="43">
        <f>2</f>
        <v>2</v>
      </c>
      <c r="AU284" s="43">
        <f>4</f>
        <v>4</v>
      </c>
      <c r="AV284" s="43">
        <f>2</f>
        <v>2</v>
      </c>
      <c r="AW284" s="36"/>
      <c r="AX284" s="43">
        <f>18</f>
        <v>18</v>
      </c>
      <c r="AY284" s="43">
        <f>1</f>
        <v>1</v>
      </c>
      <c r="AZ284" s="43">
        <f>5</f>
        <v>5</v>
      </c>
      <c r="BA284" s="43">
        <f>3</f>
        <v>3</v>
      </c>
      <c r="BB284" s="43">
        <f>89</f>
        <v>89</v>
      </c>
      <c r="BC284" s="43">
        <f>2</f>
        <v>2</v>
      </c>
      <c r="BD284" s="49">
        <v>2</v>
      </c>
      <c r="BE284" s="43">
        <f>3</f>
        <v>3</v>
      </c>
      <c r="BF284" s="49">
        <v>1</v>
      </c>
      <c r="BG284" s="36"/>
      <c r="BH284" s="36"/>
      <c r="BI284" s="36"/>
      <c r="BJ284" s="41">
        <v>1</v>
      </c>
      <c r="BK284" s="36"/>
      <c r="BL284" s="41">
        <f>3</f>
        <v>3</v>
      </c>
      <c r="BM284" s="41">
        <f>19</f>
        <v>19</v>
      </c>
      <c r="BN284" s="41">
        <v>14</v>
      </c>
      <c r="BO284" s="50">
        <v>7</v>
      </c>
      <c r="BP284" s="41">
        <f>23</f>
        <v>23</v>
      </c>
    </row>
    <row r="285" spans="1:68" ht="14" x14ac:dyDescent="0.2">
      <c r="A285" s="47" t="s">
        <v>677</v>
      </c>
      <c r="B285" s="35" t="s">
        <v>104</v>
      </c>
      <c r="C285" s="35" t="s">
        <v>157</v>
      </c>
      <c r="D285" s="35" t="s">
        <v>678</v>
      </c>
      <c r="E285" s="35" t="s">
        <v>75</v>
      </c>
      <c r="F285" s="3">
        <v>9.5</v>
      </c>
      <c r="G285" s="3">
        <v>9.5</v>
      </c>
      <c r="H285" s="3"/>
      <c r="I285" s="42"/>
      <c r="J285" s="48">
        <v>19</v>
      </c>
      <c r="K285" s="48">
        <v>8</v>
      </c>
      <c r="L285" s="48">
        <v>20</v>
      </c>
      <c r="M285" s="48">
        <f>8</f>
        <v>8</v>
      </c>
      <c r="N285" s="48">
        <v>13</v>
      </c>
      <c r="O285" s="48">
        <v>7</v>
      </c>
      <c r="P285" s="48">
        <f>5</f>
        <v>5</v>
      </c>
      <c r="Q285" s="48">
        <f>9</f>
        <v>9</v>
      </c>
      <c r="R285" s="48">
        <f>11</f>
        <v>11</v>
      </c>
      <c r="S285" s="3">
        <v>4</v>
      </c>
      <c r="T285" s="3">
        <v>54</v>
      </c>
      <c r="U285" s="3">
        <v>32</v>
      </c>
      <c r="V285" s="3">
        <v>93</v>
      </c>
      <c r="W285" s="3">
        <v>43</v>
      </c>
      <c r="X285" s="3">
        <v>52</v>
      </c>
      <c r="Y285" s="3">
        <v>31</v>
      </c>
      <c r="Z285" s="3">
        <v>17</v>
      </c>
      <c r="AA285" s="3">
        <v>6</v>
      </c>
      <c r="AB285" s="3">
        <v>12</v>
      </c>
      <c r="AC285" s="36"/>
      <c r="AD285" s="43">
        <f>32</f>
        <v>32</v>
      </c>
      <c r="AE285" s="43">
        <f>9</f>
        <v>9</v>
      </c>
      <c r="AF285" s="43">
        <f>13</f>
        <v>13</v>
      </c>
      <c r="AG285" s="43">
        <f>5</f>
        <v>5</v>
      </c>
      <c r="AH285" s="43">
        <f>31</f>
        <v>31</v>
      </c>
      <c r="AI285" s="43">
        <f>11</f>
        <v>11</v>
      </c>
      <c r="AJ285" s="43">
        <f>2</f>
        <v>2</v>
      </c>
      <c r="AK285" s="43">
        <f>6</f>
        <v>6</v>
      </c>
      <c r="AL285" s="43">
        <f>7</f>
        <v>7</v>
      </c>
      <c r="AM285" s="43">
        <f>1</f>
        <v>1</v>
      </c>
      <c r="AN285" s="43">
        <f>46</f>
        <v>46</v>
      </c>
      <c r="AO285" s="43">
        <f>24</f>
        <v>24</v>
      </c>
      <c r="AP285" s="43">
        <v>46</v>
      </c>
      <c r="AQ285" s="43">
        <f>15</f>
        <v>15</v>
      </c>
      <c r="AR285" s="43">
        <f>52</f>
        <v>52</v>
      </c>
      <c r="AS285" s="43">
        <f>36</f>
        <v>36</v>
      </c>
      <c r="AT285" s="43">
        <f>24</f>
        <v>24</v>
      </c>
      <c r="AU285" s="43">
        <f>11</f>
        <v>11</v>
      </c>
      <c r="AV285" s="43">
        <f>19</f>
        <v>19</v>
      </c>
      <c r="AW285" s="36"/>
      <c r="AX285" s="43">
        <f>29</f>
        <v>29</v>
      </c>
      <c r="AY285" s="43">
        <f>6</f>
        <v>6</v>
      </c>
      <c r="AZ285" s="43">
        <f>18</f>
        <v>18</v>
      </c>
      <c r="BA285" s="43">
        <f>7</f>
        <v>7</v>
      </c>
      <c r="BB285" s="43">
        <f>24</f>
        <v>24</v>
      </c>
      <c r="BC285" s="43">
        <f>11</f>
        <v>11</v>
      </c>
      <c r="BD285" s="49">
        <v>30</v>
      </c>
      <c r="BE285" s="43">
        <f>23</f>
        <v>23</v>
      </c>
      <c r="BF285" s="49">
        <v>35</v>
      </c>
      <c r="BG285" s="36"/>
      <c r="BH285" s="41">
        <v>23</v>
      </c>
      <c r="BI285" s="36"/>
      <c r="BJ285" s="41">
        <v>25</v>
      </c>
      <c r="BK285" s="36">
        <v>3</v>
      </c>
      <c r="BL285" s="41">
        <f>98</f>
        <v>98</v>
      </c>
      <c r="BM285" s="41">
        <f>11</f>
        <v>11</v>
      </c>
      <c r="BN285" s="41">
        <v>8</v>
      </c>
      <c r="BO285" s="50">
        <v>22</v>
      </c>
      <c r="BP285" s="41">
        <f>34</f>
        <v>34</v>
      </c>
    </row>
    <row r="286" spans="1:68" ht="14" x14ac:dyDescent="0.2">
      <c r="A286" s="47" t="s">
        <v>679</v>
      </c>
      <c r="B286" s="35" t="s">
        <v>104</v>
      </c>
      <c r="C286" s="35" t="s">
        <v>157</v>
      </c>
      <c r="D286" s="35" t="s">
        <v>680</v>
      </c>
      <c r="E286" s="35" t="s">
        <v>75</v>
      </c>
      <c r="F286" s="3">
        <v>14</v>
      </c>
      <c r="G286" s="3">
        <v>14</v>
      </c>
      <c r="H286" s="3"/>
      <c r="I286" s="48">
        <v>3</v>
      </c>
      <c r="J286" s="48">
        <v>22</v>
      </c>
      <c r="K286" s="48">
        <v>5</v>
      </c>
      <c r="L286" s="48">
        <v>29</v>
      </c>
      <c r="M286" s="48">
        <f>2</f>
        <v>2</v>
      </c>
      <c r="N286" s="48">
        <v>18</v>
      </c>
      <c r="O286" s="48">
        <v>1</v>
      </c>
      <c r="P286" s="48">
        <f>6</f>
        <v>6</v>
      </c>
      <c r="Q286" s="44">
        <f>14</f>
        <v>14</v>
      </c>
      <c r="R286" s="48">
        <f>8</f>
        <v>8</v>
      </c>
      <c r="S286" s="3">
        <v>24</v>
      </c>
      <c r="T286" s="3">
        <v>28</v>
      </c>
      <c r="U286" s="3">
        <v>24</v>
      </c>
      <c r="V286" s="3">
        <v>56</v>
      </c>
      <c r="W286" s="3">
        <v>10</v>
      </c>
      <c r="X286" s="3">
        <v>44</v>
      </c>
      <c r="Y286" s="3">
        <v>22</v>
      </c>
      <c r="Z286" s="3">
        <v>12</v>
      </c>
      <c r="AA286" s="3">
        <v>2</v>
      </c>
      <c r="AB286" s="3">
        <v>12</v>
      </c>
      <c r="AC286" s="43">
        <f>10</f>
        <v>10</v>
      </c>
      <c r="AD286" s="43">
        <f>18</f>
        <v>18</v>
      </c>
      <c r="AE286" s="43">
        <v>2</v>
      </c>
      <c r="AF286" s="43">
        <f>17</f>
        <v>17</v>
      </c>
      <c r="AG286" s="43">
        <f>5</f>
        <v>5</v>
      </c>
      <c r="AH286" s="43">
        <f>19</f>
        <v>19</v>
      </c>
      <c r="AI286" s="43">
        <f>10</f>
        <v>10</v>
      </c>
      <c r="AJ286" s="43">
        <f>9</f>
        <v>9</v>
      </c>
      <c r="AK286" s="43">
        <f>2</f>
        <v>2</v>
      </c>
      <c r="AL286" s="43">
        <f>6</f>
        <v>6</v>
      </c>
      <c r="AM286" s="43">
        <f>2</f>
        <v>2</v>
      </c>
      <c r="AN286" s="43">
        <f>30</f>
        <v>30</v>
      </c>
      <c r="AO286" s="43">
        <f>8</f>
        <v>8</v>
      </c>
      <c r="AP286" s="43">
        <v>19</v>
      </c>
      <c r="AQ286" s="43">
        <v>3</v>
      </c>
      <c r="AR286" s="43">
        <f>23</f>
        <v>23</v>
      </c>
      <c r="AS286" s="43">
        <f>9</f>
        <v>9</v>
      </c>
      <c r="AT286" s="43">
        <f>7</f>
        <v>7</v>
      </c>
      <c r="AU286" s="43">
        <f>15</f>
        <v>15</v>
      </c>
      <c r="AV286" s="43">
        <f>13</f>
        <v>13</v>
      </c>
      <c r="AW286" s="43">
        <v>1</v>
      </c>
      <c r="AX286" s="43">
        <f>61</f>
        <v>61</v>
      </c>
      <c r="AY286" s="43">
        <f>13</f>
        <v>13</v>
      </c>
      <c r="AZ286" s="43">
        <f>54</f>
        <v>54</v>
      </c>
      <c r="BA286" s="43">
        <f>13</f>
        <v>13</v>
      </c>
      <c r="BB286" s="43">
        <f>71</f>
        <v>71</v>
      </c>
      <c r="BC286" s="43">
        <f>15</f>
        <v>15</v>
      </c>
      <c r="BD286" s="49">
        <v>21</v>
      </c>
      <c r="BE286" s="43">
        <f>15</f>
        <v>15</v>
      </c>
      <c r="BF286" s="49">
        <v>39</v>
      </c>
      <c r="BG286" s="36">
        <f>4+1+2</f>
        <v>7</v>
      </c>
      <c r="BH286" s="41">
        <v>8</v>
      </c>
      <c r="BI286" s="36">
        <f>13+5</f>
        <v>18</v>
      </c>
      <c r="BJ286" s="41">
        <v>19</v>
      </c>
      <c r="BK286" s="36"/>
      <c r="BL286" s="41">
        <f>48+5</f>
        <v>53</v>
      </c>
      <c r="BM286" s="41">
        <f>10</f>
        <v>10</v>
      </c>
      <c r="BN286" s="41">
        <v>18</v>
      </c>
      <c r="BO286" s="50">
        <v>31</v>
      </c>
      <c r="BP286" s="41">
        <f>35</f>
        <v>35</v>
      </c>
    </row>
    <row r="287" spans="1:68" ht="15" x14ac:dyDescent="0.2">
      <c r="A287" s="1" t="s">
        <v>681</v>
      </c>
      <c r="B287" s="2" t="s">
        <v>170</v>
      </c>
      <c r="C287" s="2" t="s">
        <v>87</v>
      </c>
      <c r="D287" s="2" t="s">
        <v>682</v>
      </c>
      <c r="E287" s="2" t="s">
        <v>173</v>
      </c>
      <c r="F287" s="3">
        <v>4</v>
      </c>
      <c r="G287" s="3">
        <v>24</v>
      </c>
      <c r="H287" s="3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36"/>
      <c r="T287" s="36"/>
      <c r="U287" s="36"/>
      <c r="V287" s="36">
        <v>11</v>
      </c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</row>
    <row r="288" spans="1:68" ht="15" x14ac:dyDescent="0.2">
      <c r="A288" s="1" t="s">
        <v>683</v>
      </c>
      <c r="B288" s="2" t="s">
        <v>170</v>
      </c>
      <c r="C288" s="2" t="s">
        <v>87</v>
      </c>
      <c r="D288" s="2" t="s">
        <v>684</v>
      </c>
      <c r="E288" s="2" t="s">
        <v>173</v>
      </c>
      <c r="F288" s="3">
        <v>4</v>
      </c>
      <c r="G288" s="3">
        <v>50</v>
      </c>
      <c r="H288" s="3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36"/>
      <c r="T288" s="36"/>
      <c r="U288" s="36">
        <v>1</v>
      </c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</row>
    <row r="289" spans="1:68" ht="15" x14ac:dyDescent="0.2">
      <c r="A289" s="51" t="s">
        <v>685</v>
      </c>
      <c r="B289" s="52" t="s">
        <v>244</v>
      </c>
      <c r="C289" s="52" t="s">
        <v>245</v>
      </c>
      <c r="D289" s="52" t="s">
        <v>686</v>
      </c>
      <c r="E289" s="2" t="s">
        <v>173</v>
      </c>
      <c r="F289" s="3">
        <v>5.5</v>
      </c>
      <c r="G289" s="3">
        <v>5.5</v>
      </c>
      <c r="H289" s="3"/>
      <c r="I289" s="44">
        <v>162</v>
      </c>
      <c r="J289" s="44">
        <v>194</v>
      </c>
      <c r="K289" s="44">
        <v>78</v>
      </c>
      <c r="L289" s="32">
        <v>102</v>
      </c>
      <c r="M289" s="44">
        <v>77</v>
      </c>
      <c r="N289" s="44">
        <v>85</v>
      </c>
      <c r="O289" s="44">
        <v>46</v>
      </c>
      <c r="P289" s="44">
        <f>103</f>
        <v>103</v>
      </c>
      <c r="Q289" s="44">
        <f>136</f>
        <v>136</v>
      </c>
      <c r="R289" s="44">
        <f>188</f>
        <v>188</v>
      </c>
      <c r="S289" s="36">
        <v>26</v>
      </c>
      <c r="T289" s="36">
        <v>15</v>
      </c>
      <c r="U289" s="36">
        <v>16</v>
      </c>
      <c r="V289" s="36">
        <v>18</v>
      </c>
      <c r="W289" s="36">
        <v>15</v>
      </c>
      <c r="X289" s="36">
        <v>23</v>
      </c>
      <c r="Y289" s="36">
        <v>21</v>
      </c>
      <c r="Z289" s="36">
        <v>6</v>
      </c>
      <c r="AA289" s="36">
        <v>14</v>
      </c>
      <c r="AB289" s="36">
        <v>14</v>
      </c>
      <c r="AC289" s="36"/>
      <c r="AD289" s="43">
        <f>167</f>
        <v>167</v>
      </c>
      <c r="AE289" s="43">
        <f>49</f>
        <v>49</v>
      </c>
      <c r="AF289" s="36"/>
      <c r="AG289" s="43">
        <f>44</f>
        <v>44</v>
      </c>
      <c r="AH289" s="43">
        <f>171</f>
        <v>171</v>
      </c>
      <c r="AI289" s="43">
        <f>43</f>
        <v>43</v>
      </c>
      <c r="AJ289" s="43">
        <f>67</f>
        <v>67</v>
      </c>
      <c r="AK289" s="43">
        <f>44</f>
        <v>44</v>
      </c>
      <c r="AL289" s="43">
        <f>138</f>
        <v>138</v>
      </c>
      <c r="AM289" s="36"/>
      <c r="AN289" s="43">
        <f>7</f>
        <v>7</v>
      </c>
      <c r="AO289" s="43">
        <f>10</f>
        <v>10</v>
      </c>
      <c r="AP289" s="43">
        <f>8</f>
        <v>8</v>
      </c>
      <c r="AQ289" s="43">
        <f>6</f>
        <v>6</v>
      </c>
      <c r="AR289" s="43">
        <f>17</f>
        <v>17</v>
      </c>
      <c r="AS289" s="43">
        <f>38</f>
        <v>38</v>
      </c>
      <c r="AT289" s="43">
        <f>19</f>
        <v>19</v>
      </c>
      <c r="AU289" s="43">
        <f>14</f>
        <v>14</v>
      </c>
      <c r="AV289" s="43">
        <f>17</f>
        <v>17</v>
      </c>
      <c r="AW289" s="43">
        <v>14</v>
      </c>
      <c r="AX289" s="49">
        <v>103</v>
      </c>
      <c r="AY289" s="43">
        <f>43</f>
        <v>43</v>
      </c>
      <c r="AZ289" s="43">
        <f>82</f>
        <v>82</v>
      </c>
      <c r="BA289" s="49">
        <v>55</v>
      </c>
      <c r="BB289" s="49">
        <v>200</v>
      </c>
      <c r="BC289" s="49">
        <v>125</v>
      </c>
      <c r="BD289" s="49">
        <v>98</v>
      </c>
      <c r="BE289" s="43">
        <v>50</v>
      </c>
      <c r="BF289" s="43">
        <f>48</f>
        <v>48</v>
      </c>
      <c r="BG289" s="41">
        <f>25</f>
        <v>25</v>
      </c>
      <c r="BH289" s="41">
        <v>87</v>
      </c>
      <c r="BI289" s="41">
        <v>45</v>
      </c>
      <c r="BJ289" s="41">
        <v>90</v>
      </c>
      <c r="BK289" s="36"/>
      <c r="BL289" s="50">
        <v>142</v>
      </c>
      <c r="BM289" s="41">
        <f>62</f>
        <v>62</v>
      </c>
      <c r="BN289" s="41">
        <v>115</v>
      </c>
      <c r="BO289" s="41">
        <f>107</f>
        <v>107</v>
      </c>
      <c r="BP289" s="50">
        <v>114</v>
      </c>
    </row>
    <row r="290" spans="1:68" ht="15" x14ac:dyDescent="0.2">
      <c r="A290" s="51" t="s">
        <v>687</v>
      </c>
      <c r="B290" s="52" t="s">
        <v>244</v>
      </c>
      <c r="C290" s="52" t="s">
        <v>245</v>
      </c>
      <c r="D290" s="52" t="s">
        <v>688</v>
      </c>
      <c r="E290" s="2" t="s">
        <v>173</v>
      </c>
      <c r="F290" s="3">
        <v>9.5</v>
      </c>
      <c r="G290" s="3">
        <v>9.5</v>
      </c>
      <c r="H290" s="3"/>
      <c r="I290" s="44">
        <v>61</v>
      </c>
      <c r="J290" s="44">
        <v>73</v>
      </c>
      <c r="K290" s="44">
        <v>9</v>
      </c>
      <c r="L290" s="32">
        <v>52</v>
      </c>
      <c r="M290" s="44">
        <v>21</v>
      </c>
      <c r="N290" s="44">
        <v>47</v>
      </c>
      <c r="O290" s="44">
        <v>7</v>
      </c>
      <c r="P290" s="44">
        <f>32</f>
        <v>32</v>
      </c>
      <c r="Q290" s="44">
        <f>48</f>
        <v>48</v>
      </c>
      <c r="R290" s="44">
        <f>54</f>
        <v>54</v>
      </c>
      <c r="S290" s="36">
        <v>2</v>
      </c>
      <c r="T290" s="36">
        <v>7</v>
      </c>
      <c r="U290" s="36">
        <v>5</v>
      </c>
      <c r="V290" s="36">
        <v>1</v>
      </c>
      <c r="W290" s="36">
        <v>2</v>
      </c>
      <c r="X290" s="36">
        <v>13</v>
      </c>
      <c r="Y290" s="36">
        <v>1</v>
      </c>
      <c r="Z290" s="36">
        <v>10</v>
      </c>
      <c r="AA290" s="36">
        <v>4</v>
      </c>
      <c r="AB290" s="36">
        <v>2</v>
      </c>
      <c r="AC290" s="43">
        <f>100</f>
        <v>100</v>
      </c>
      <c r="AD290" s="43">
        <f>320</f>
        <v>320</v>
      </c>
      <c r="AE290" s="43">
        <f>64</f>
        <v>64</v>
      </c>
      <c r="AF290" s="43">
        <f>216</f>
        <v>216</v>
      </c>
      <c r="AG290" s="43">
        <f>40</f>
        <v>40</v>
      </c>
      <c r="AH290" s="43">
        <f>492</f>
        <v>492</v>
      </c>
      <c r="AI290" s="43">
        <f>99</f>
        <v>99</v>
      </c>
      <c r="AJ290" s="43">
        <v>257</v>
      </c>
      <c r="AK290" s="43">
        <f>361</f>
        <v>361</v>
      </c>
      <c r="AL290" s="43">
        <f>406</f>
        <v>406</v>
      </c>
      <c r="AM290" s="43">
        <f>3</f>
        <v>3</v>
      </c>
      <c r="AN290" s="43">
        <f>5</f>
        <v>5</v>
      </c>
      <c r="AO290" s="43">
        <f>2</f>
        <v>2</v>
      </c>
      <c r="AP290" s="36"/>
      <c r="AQ290" s="43">
        <f>8</f>
        <v>8</v>
      </c>
      <c r="AR290" s="43">
        <f>6</f>
        <v>6</v>
      </c>
      <c r="AS290" s="43">
        <f>5</f>
        <v>5</v>
      </c>
      <c r="AT290" s="43">
        <f>8</f>
        <v>8</v>
      </c>
      <c r="AU290" s="43">
        <f>9</f>
        <v>9</v>
      </c>
      <c r="AV290" s="43">
        <f>8</f>
        <v>8</v>
      </c>
      <c r="AW290" s="43">
        <v>7</v>
      </c>
      <c r="AX290" s="49">
        <v>109</v>
      </c>
      <c r="AY290" s="43">
        <f>55</f>
        <v>55</v>
      </c>
      <c r="AZ290" s="43">
        <f>119</f>
        <v>119</v>
      </c>
      <c r="BA290" s="49">
        <v>117</v>
      </c>
      <c r="BB290" s="49">
        <v>516</v>
      </c>
      <c r="BC290" s="49">
        <v>72</v>
      </c>
      <c r="BD290" s="49">
        <v>266</v>
      </c>
      <c r="BE290" s="43">
        <v>301</v>
      </c>
      <c r="BF290" s="43">
        <f>181</f>
        <v>181</v>
      </c>
      <c r="BG290" s="41">
        <f>7</f>
        <v>7</v>
      </c>
      <c r="BH290" s="41">
        <f>37+5</f>
        <v>42</v>
      </c>
      <c r="BI290" s="41">
        <v>13</v>
      </c>
      <c r="BJ290" s="41">
        <v>102</v>
      </c>
      <c r="BK290" s="41">
        <v>6</v>
      </c>
      <c r="BL290" s="50">
        <v>90</v>
      </c>
      <c r="BM290" s="41">
        <f>33</f>
        <v>33</v>
      </c>
      <c r="BN290" s="41">
        <v>104</v>
      </c>
      <c r="BO290" s="41">
        <f>127</f>
        <v>127</v>
      </c>
      <c r="BP290" s="50">
        <v>100</v>
      </c>
    </row>
    <row r="291" spans="1:68" ht="15" x14ac:dyDescent="0.2">
      <c r="A291" s="51" t="s">
        <v>689</v>
      </c>
      <c r="B291" s="52" t="s">
        <v>244</v>
      </c>
      <c r="C291" s="52" t="s">
        <v>245</v>
      </c>
      <c r="D291" s="52" t="s">
        <v>690</v>
      </c>
      <c r="E291" s="2" t="s">
        <v>173</v>
      </c>
      <c r="F291" s="3">
        <v>14</v>
      </c>
      <c r="G291" s="3">
        <v>14</v>
      </c>
      <c r="H291" s="3"/>
      <c r="I291" s="44">
        <v>46</v>
      </c>
      <c r="J291" s="44">
        <v>22</v>
      </c>
      <c r="K291" s="44">
        <v>9</v>
      </c>
      <c r="L291" s="32">
        <v>24</v>
      </c>
      <c r="M291" s="44">
        <v>6</v>
      </c>
      <c r="N291" s="44">
        <v>24</v>
      </c>
      <c r="O291" s="44">
        <v>2</v>
      </c>
      <c r="P291" s="44">
        <f>26</f>
        <v>26</v>
      </c>
      <c r="Q291" s="44">
        <f>11</f>
        <v>11</v>
      </c>
      <c r="R291" s="44">
        <f>19</f>
        <v>19</v>
      </c>
      <c r="S291" s="36">
        <v>5</v>
      </c>
      <c r="T291" s="36"/>
      <c r="U291" s="36">
        <v>4</v>
      </c>
      <c r="V291" s="36">
        <v>7</v>
      </c>
      <c r="W291" s="36"/>
      <c r="X291" s="36">
        <v>7</v>
      </c>
      <c r="Y291" s="36">
        <v>1</v>
      </c>
      <c r="Z291" s="36">
        <v>12</v>
      </c>
      <c r="AA291" s="36"/>
      <c r="AB291" s="36">
        <v>5</v>
      </c>
      <c r="AC291" s="36"/>
      <c r="AD291" s="43">
        <f>20</f>
        <v>20</v>
      </c>
      <c r="AE291" s="43">
        <f>10</f>
        <v>10</v>
      </c>
      <c r="AF291" s="43">
        <f>64</f>
        <v>64</v>
      </c>
      <c r="AG291" s="43">
        <f>30</f>
        <v>30</v>
      </c>
      <c r="AH291" s="43">
        <f>54</f>
        <v>54</v>
      </c>
      <c r="AI291" s="43">
        <f>9</f>
        <v>9</v>
      </c>
      <c r="AJ291" s="43">
        <f>28</f>
        <v>28</v>
      </c>
      <c r="AK291" s="43">
        <f>28</f>
        <v>28</v>
      </c>
      <c r="AL291" s="43">
        <f>51</f>
        <v>51</v>
      </c>
      <c r="AM291" s="36"/>
      <c r="AN291" s="43">
        <f>3</f>
        <v>3</v>
      </c>
      <c r="AO291" s="36"/>
      <c r="AP291" s="36"/>
      <c r="AQ291" s="36"/>
      <c r="AR291" s="43">
        <f>2</f>
        <v>2</v>
      </c>
      <c r="AS291" s="43">
        <f>1</f>
        <v>1</v>
      </c>
      <c r="AT291" s="36"/>
      <c r="AU291" s="43">
        <f>3</f>
        <v>3</v>
      </c>
      <c r="AV291" s="43">
        <f>7</f>
        <v>7</v>
      </c>
      <c r="AW291" s="36"/>
      <c r="AX291" s="49">
        <v>24</v>
      </c>
      <c r="AY291" s="43">
        <f>24</f>
        <v>24</v>
      </c>
      <c r="AZ291" s="43">
        <f>38</f>
        <v>38</v>
      </c>
      <c r="BA291" s="49">
        <v>6</v>
      </c>
      <c r="BB291" s="49">
        <v>31</v>
      </c>
      <c r="BC291" s="49">
        <v>3</v>
      </c>
      <c r="BD291" s="49">
        <v>3</v>
      </c>
      <c r="BE291" s="43">
        <f>10</f>
        <v>10</v>
      </c>
      <c r="BF291" s="43">
        <f>4</f>
        <v>4</v>
      </c>
      <c r="BG291" s="41">
        <f>2+5</f>
        <v>7</v>
      </c>
      <c r="BH291" s="41">
        <v>29</v>
      </c>
      <c r="BI291" s="36"/>
      <c r="BJ291" s="41">
        <v>26</v>
      </c>
      <c r="BK291" s="41">
        <v>6</v>
      </c>
      <c r="BL291" s="50">
        <v>55</v>
      </c>
      <c r="BM291" s="41">
        <v>7</v>
      </c>
      <c r="BN291" s="41">
        <v>38</v>
      </c>
      <c r="BO291" s="41">
        <f>32</f>
        <v>32</v>
      </c>
      <c r="BP291" s="36"/>
    </row>
    <row r="292" spans="1:68" ht="15" x14ac:dyDescent="0.2">
      <c r="A292" s="1" t="s">
        <v>691</v>
      </c>
      <c r="B292" s="2" t="s">
        <v>244</v>
      </c>
      <c r="C292" s="2" t="s">
        <v>309</v>
      </c>
      <c r="D292" s="2" t="s">
        <v>692</v>
      </c>
      <c r="E292" s="2" t="s">
        <v>92</v>
      </c>
      <c r="F292" s="3">
        <v>2</v>
      </c>
      <c r="G292" s="3">
        <v>8</v>
      </c>
      <c r="H292" s="3">
        <f t="shared" ref="H292:H312" si="0">F292</f>
        <v>2</v>
      </c>
      <c r="I292" s="44"/>
      <c r="J292" s="44"/>
      <c r="K292" s="44"/>
      <c r="L292" s="44"/>
      <c r="M292" s="44"/>
      <c r="N292" s="44"/>
      <c r="O292" s="44"/>
      <c r="P292" s="44">
        <f>6</f>
        <v>6</v>
      </c>
      <c r="Q292" s="44"/>
      <c r="R292" s="44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</row>
    <row r="293" spans="1:68" ht="15" x14ac:dyDescent="0.2">
      <c r="A293" s="1" t="s">
        <v>693</v>
      </c>
      <c r="B293" s="2" t="s">
        <v>244</v>
      </c>
      <c r="C293" s="2" t="s">
        <v>309</v>
      </c>
      <c r="D293" s="2" t="s">
        <v>694</v>
      </c>
      <c r="E293" s="2" t="s">
        <v>92</v>
      </c>
      <c r="F293" s="3">
        <v>2</v>
      </c>
      <c r="G293" s="3">
        <v>10</v>
      </c>
      <c r="H293" s="3">
        <f t="shared" si="0"/>
        <v>2</v>
      </c>
      <c r="I293" s="44"/>
      <c r="J293" s="44"/>
      <c r="K293" s="44"/>
      <c r="L293" s="44"/>
      <c r="M293" s="44"/>
      <c r="N293" s="44"/>
      <c r="O293" s="44">
        <f>6</f>
        <v>6</v>
      </c>
      <c r="P293" s="44"/>
      <c r="Q293" s="44">
        <f>12</f>
        <v>12</v>
      </c>
      <c r="R293" s="44">
        <f>17</f>
        <v>17</v>
      </c>
      <c r="S293" s="36"/>
      <c r="T293" s="36"/>
      <c r="U293" s="36"/>
      <c r="V293" s="36"/>
      <c r="W293" s="36"/>
      <c r="X293" s="36"/>
      <c r="Y293" s="36"/>
      <c r="Z293" s="36"/>
      <c r="AA293" s="36"/>
      <c r="AB293" s="36">
        <f>7</f>
        <v>7</v>
      </c>
      <c r="AC293" s="36"/>
      <c r="AD293" s="36"/>
      <c r="AE293" s="36"/>
      <c r="AF293" s="36"/>
      <c r="AG293" s="36"/>
      <c r="AH293" s="36"/>
      <c r="AI293" s="36"/>
      <c r="AJ293" s="36"/>
      <c r="AK293" s="36"/>
      <c r="AL293" s="36">
        <v>8</v>
      </c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>
        <v>12</v>
      </c>
      <c r="BH293" s="36"/>
      <c r="BI293" s="36"/>
      <c r="BJ293" s="36"/>
      <c r="BK293" s="36"/>
      <c r="BL293" s="36"/>
      <c r="BM293" s="36"/>
      <c r="BN293" s="36"/>
      <c r="BO293" s="36"/>
      <c r="BP293" s="36"/>
    </row>
    <row r="294" spans="1:68" ht="15" x14ac:dyDescent="0.2">
      <c r="A294" s="1" t="s">
        <v>695</v>
      </c>
      <c r="B294" s="2" t="s">
        <v>244</v>
      </c>
      <c r="C294" s="2" t="s">
        <v>309</v>
      </c>
      <c r="D294" s="2" t="s">
        <v>696</v>
      </c>
      <c r="E294" s="2" t="s">
        <v>92</v>
      </c>
      <c r="F294" s="3">
        <v>2</v>
      </c>
      <c r="G294" s="3">
        <v>12</v>
      </c>
      <c r="H294" s="3">
        <f t="shared" si="0"/>
        <v>2</v>
      </c>
      <c r="I294" s="44"/>
      <c r="J294" s="44">
        <v>14</v>
      </c>
      <c r="K294" s="44">
        <v>11</v>
      </c>
      <c r="L294" s="44"/>
      <c r="M294" s="44"/>
      <c r="N294" s="44"/>
      <c r="O294" s="44"/>
      <c r="P294" s="44"/>
      <c r="Q294" s="44"/>
      <c r="R294" s="44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</row>
    <row r="295" spans="1:68" ht="15" x14ac:dyDescent="0.2">
      <c r="A295" s="1" t="s">
        <v>697</v>
      </c>
      <c r="B295" s="2" t="s">
        <v>244</v>
      </c>
      <c r="C295" s="2" t="s">
        <v>309</v>
      </c>
      <c r="D295" s="2" t="s">
        <v>698</v>
      </c>
      <c r="E295" s="2" t="s">
        <v>92</v>
      </c>
      <c r="F295" s="3">
        <v>2</v>
      </c>
      <c r="G295" s="3">
        <v>20</v>
      </c>
      <c r="H295" s="3">
        <f t="shared" si="0"/>
        <v>2</v>
      </c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>
        <v>4</v>
      </c>
      <c r="BC295" s="36"/>
      <c r="BD295" s="36"/>
      <c r="BE295" s="36"/>
      <c r="BF295" s="36"/>
      <c r="BG295" s="36">
        <v>8</v>
      </c>
      <c r="BH295" s="36"/>
      <c r="BI295" s="36"/>
      <c r="BJ295" s="36"/>
      <c r="BK295" s="36"/>
      <c r="BL295" s="36"/>
      <c r="BM295" s="36"/>
      <c r="BN295" s="36"/>
      <c r="BO295" s="36"/>
      <c r="BP295" s="36"/>
    </row>
    <row r="296" spans="1:68" ht="15" x14ac:dyDescent="0.2">
      <c r="A296" s="1" t="s">
        <v>699</v>
      </c>
      <c r="B296" s="2" t="s">
        <v>244</v>
      </c>
      <c r="C296" s="2" t="s">
        <v>309</v>
      </c>
      <c r="D296" s="2" t="s">
        <v>700</v>
      </c>
      <c r="E296" s="2" t="s">
        <v>92</v>
      </c>
      <c r="F296" s="3">
        <v>3</v>
      </c>
      <c r="G296" s="3">
        <v>12</v>
      </c>
      <c r="H296" s="3">
        <f t="shared" si="0"/>
        <v>3</v>
      </c>
      <c r="I296" s="3">
        <f>9</f>
        <v>9</v>
      </c>
      <c r="J296" s="44"/>
      <c r="K296" s="44"/>
      <c r="L296" s="44"/>
      <c r="M296" s="44"/>
      <c r="N296" s="44"/>
      <c r="O296" s="44"/>
      <c r="P296" s="44"/>
      <c r="Q296" s="44"/>
      <c r="R296" s="44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</row>
    <row r="297" spans="1:68" ht="15" x14ac:dyDescent="0.2">
      <c r="A297" s="1" t="s">
        <v>701</v>
      </c>
      <c r="B297" s="2" t="s">
        <v>244</v>
      </c>
      <c r="C297" s="2" t="s">
        <v>309</v>
      </c>
      <c r="D297" s="2" t="s">
        <v>702</v>
      </c>
      <c r="E297" s="2" t="s">
        <v>92</v>
      </c>
      <c r="F297" s="3">
        <v>4</v>
      </c>
      <c r="G297" s="3">
        <v>10</v>
      </c>
      <c r="H297" s="3">
        <f t="shared" si="0"/>
        <v>4</v>
      </c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36"/>
      <c r="T297" s="36"/>
      <c r="U297" s="36"/>
      <c r="V297" s="36"/>
      <c r="W297" s="36"/>
      <c r="X297" s="36">
        <v>3</v>
      </c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43">
        <f>6</f>
        <v>6</v>
      </c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>
        <v>42</v>
      </c>
      <c r="BO297" s="36"/>
      <c r="BP297" s="36"/>
    </row>
    <row r="298" spans="1:68" ht="15" x14ac:dyDescent="0.2">
      <c r="A298" s="1" t="s">
        <v>703</v>
      </c>
      <c r="B298" s="2" t="s">
        <v>244</v>
      </c>
      <c r="C298" s="2" t="s">
        <v>309</v>
      </c>
      <c r="D298" s="2" t="s">
        <v>704</v>
      </c>
      <c r="E298" s="2" t="s">
        <v>92</v>
      </c>
      <c r="F298" s="3">
        <v>4</v>
      </c>
      <c r="G298" s="3">
        <v>24</v>
      </c>
      <c r="H298" s="3">
        <f t="shared" si="0"/>
        <v>4</v>
      </c>
      <c r="I298" s="44"/>
      <c r="J298" s="44"/>
      <c r="K298" s="44"/>
      <c r="L298" s="46"/>
      <c r="M298" s="44"/>
      <c r="N298" s="44"/>
      <c r="O298" s="44"/>
      <c r="P298" s="44"/>
      <c r="Q298" s="44"/>
      <c r="R298" s="44"/>
      <c r="S298" s="36"/>
      <c r="T298" s="36"/>
      <c r="U298" s="36"/>
      <c r="V298" s="36">
        <v>11</v>
      </c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41">
        <f>26</f>
        <v>26</v>
      </c>
      <c r="BI298" s="41">
        <v>5</v>
      </c>
      <c r="BJ298" s="36"/>
      <c r="BK298" s="36">
        <v>10</v>
      </c>
      <c r="BL298" s="36">
        <v>84</v>
      </c>
      <c r="BM298" s="36"/>
      <c r="BN298" s="36"/>
      <c r="BO298" s="36"/>
      <c r="BP298" s="36"/>
    </row>
    <row r="299" spans="1:68" ht="15" x14ac:dyDescent="0.2">
      <c r="A299" s="1" t="s">
        <v>705</v>
      </c>
      <c r="B299" s="2" t="s">
        <v>244</v>
      </c>
      <c r="C299" s="2" t="s">
        <v>309</v>
      </c>
      <c r="D299" s="2" t="s">
        <v>706</v>
      </c>
      <c r="E299" s="2" t="s">
        <v>92</v>
      </c>
      <c r="F299" s="3">
        <v>4</v>
      </c>
      <c r="G299" s="3">
        <v>36</v>
      </c>
      <c r="H299" s="3">
        <f t="shared" si="0"/>
        <v>4</v>
      </c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>
        <v>18</v>
      </c>
      <c r="BL299" s="36"/>
      <c r="BM299" s="36">
        <v>15</v>
      </c>
      <c r="BN299" s="36"/>
      <c r="BO299" s="36"/>
      <c r="BP299" s="36"/>
    </row>
    <row r="300" spans="1:68" ht="15" x14ac:dyDescent="0.2">
      <c r="A300" s="1" t="s">
        <v>707</v>
      </c>
      <c r="B300" s="2" t="s">
        <v>244</v>
      </c>
      <c r="C300" s="2" t="s">
        <v>309</v>
      </c>
      <c r="D300" s="2" t="s">
        <v>708</v>
      </c>
      <c r="E300" s="2" t="s">
        <v>92</v>
      </c>
      <c r="F300" s="3">
        <v>2</v>
      </c>
      <c r="G300" s="3">
        <v>20</v>
      </c>
      <c r="H300" s="3">
        <f t="shared" si="0"/>
        <v>2</v>
      </c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43">
        <f>20</f>
        <v>20</v>
      </c>
      <c r="BA300" s="36"/>
      <c r="BB300" s="36">
        <v>15</v>
      </c>
      <c r="BC300" s="36"/>
      <c r="BD300" s="43">
        <f>23</f>
        <v>23</v>
      </c>
      <c r="BE300" s="36"/>
      <c r="BF300" s="36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</row>
    <row r="301" spans="1:68" ht="15" x14ac:dyDescent="0.2">
      <c r="A301" s="1" t="s">
        <v>709</v>
      </c>
      <c r="B301" s="2" t="s">
        <v>244</v>
      </c>
      <c r="C301" s="2" t="s">
        <v>309</v>
      </c>
      <c r="D301" s="2" t="s">
        <v>710</v>
      </c>
      <c r="E301" s="2" t="s">
        <v>92</v>
      </c>
      <c r="F301" s="3">
        <v>3</v>
      </c>
      <c r="G301" s="3">
        <v>20</v>
      </c>
      <c r="H301" s="3">
        <f t="shared" si="0"/>
        <v>3</v>
      </c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>
        <v>15</v>
      </c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>
        <v>3</v>
      </c>
      <c r="BL301" s="36"/>
      <c r="BM301" s="36"/>
      <c r="BN301" s="36"/>
      <c r="BO301" s="36"/>
      <c r="BP301" s="36"/>
    </row>
    <row r="302" spans="1:68" ht="15" x14ac:dyDescent="0.2">
      <c r="A302" s="1" t="s">
        <v>711</v>
      </c>
      <c r="B302" s="2" t="s">
        <v>244</v>
      </c>
      <c r="C302" s="2" t="s">
        <v>309</v>
      </c>
      <c r="D302" s="2" t="s">
        <v>712</v>
      </c>
      <c r="E302" s="2" t="s">
        <v>92</v>
      </c>
      <c r="F302" s="3">
        <v>4</v>
      </c>
      <c r="G302" s="3">
        <v>12</v>
      </c>
      <c r="H302" s="3">
        <f t="shared" si="0"/>
        <v>4</v>
      </c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43">
        <f>3</f>
        <v>3</v>
      </c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43">
        <f>19</f>
        <v>19</v>
      </c>
      <c r="AQ302" s="36"/>
      <c r="AR302" s="36"/>
      <c r="AS302" s="36"/>
      <c r="AT302" s="36"/>
      <c r="AU302" s="36"/>
      <c r="AV302" s="36"/>
      <c r="AW302" s="36"/>
      <c r="AX302" s="43">
        <f>21</f>
        <v>21</v>
      </c>
      <c r="AY302" s="36"/>
      <c r="AZ302" s="36"/>
      <c r="BA302" s="43">
        <f>25</f>
        <v>25</v>
      </c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41">
        <f>26</f>
        <v>26</v>
      </c>
    </row>
    <row r="303" spans="1:68" ht="15" x14ac:dyDescent="0.2">
      <c r="A303" s="3" t="s">
        <v>713</v>
      </c>
      <c r="B303" s="3" t="s">
        <v>244</v>
      </c>
      <c r="C303" s="3" t="s">
        <v>309</v>
      </c>
      <c r="D303" s="3" t="s">
        <v>714</v>
      </c>
      <c r="E303" s="2" t="s">
        <v>92</v>
      </c>
      <c r="F303" s="3">
        <v>4</v>
      </c>
      <c r="G303" s="3">
        <v>16</v>
      </c>
      <c r="H303" s="3">
        <f t="shared" si="0"/>
        <v>4</v>
      </c>
      <c r="I303" s="44"/>
      <c r="J303" s="44"/>
      <c r="K303" s="44"/>
      <c r="L303" s="44"/>
      <c r="M303" s="44"/>
      <c r="N303" s="44"/>
      <c r="O303" s="44"/>
      <c r="P303" s="44"/>
      <c r="Q303" s="44">
        <f>17</f>
        <v>17</v>
      </c>
      <c r="R303" s="44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>
        <v>11</v>
      </c>
      <c r="BK303" s="36"/>
      <c r="BL303" s="36"/>
      <c r="BM303" s="36"/>
      <c r="BN303" s="36">
        <v>10</v>
      </c>
      <c r="BO303" s="36"/>
      <c r="BP303" s="36"/>
    </row>
    <row r="304" spans="1:68" ht="15" x14ac:dyDescent="0.2">
      <c r="A304" s="3" t="s">
        <v>715</v>
      </c>
      <c r="B304" s="3" t="s">
        <v>244</v>
      </c>
      <c r="C304" s="3" t="s">
        <v>309</v>
      </c>
      <c r="D304" s="3" t="s">
        <v>716</v>
      </c>
      <c r="E304" s="2" t="s">
        <v>92</v>
      </c>
      <c r="F304" s="3">
        <v>4</v>
      </c>
      <c r="G304" s="3">
        <v>20</v>
      </c>
      <c r="H304" s="3">
        <f t="shared" si="0"/>
        <v>4</v>
      </c>
      <c r="I304" s="44"/>
      <c r="J304" s="44"/>
      <c r="K304" s="44"/>
      <c r="L304" s="44"/>
      <c r="M304" s="44"/>
      <c r="N304" s="44"/>
      <c r="O304" s="44"/>
      <c r="P304" s="44"/>
      <c r="Q304" s="44"/>
      <c r="R304" s="44">
        <v>2</v>
      </c>
      <c r="S304" s="36">
        <v>38</v>
      </c>
      <c r="T304" s="36">
        <v>8</v>
      </c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>
        <v>9</v>
      </c>
      <c r="AF304" s="45"/>
      <c r="AG304" s="36"/>
      <c r="AH304" s="36"/>
      <c r="AI304" s="36"/>
      <c r="AJ304" s="36"/>
      <c r="AK304" s="36"/>
      <c r="AL304" s="36"/>
      <c r="AM304" s="36">
        <v>16</v>
      </c>
      <c r="AN304" s="36"/>
      <c r="AO304" s="36"/>
      <c r="AP304" s="36"/>
      <c r="AQ304" s="45"/>
      <c r="AR304" s="36"/>
      <c r="AS304" s="45"/>
      <c r="AT304" s="36"/>
      <c r="AU304" s="36"/>
      <c r="AV304" s="36"/>
      <c r="AW304" s="36"/>
      <c r="AX304" s="36"/>
      <c r="AY304" s="43">
        <f>10</f>
        <v>10</v>
      </c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</row>
    <row r="305" spans="1:68" ht="15" x14ac:dyDescent="0.2">
      <c r="A305" s="3" t="s">
        <v>717</v>
      </c>
      <c r="B305" s="3" t="s">
        <v>244</v>
      </c>
      <c r="C305" s="3" t="s">
        <v>309</v>
      </c>
      <c r="D305" s="3" t="s">
        <v>718</v>
      </c>
      <c r="E305" s="2" t="s">
        <v>92</v>
      </c>
      <c r="F305" s="3">
        <v>1</v>
      </c>
      <c r="G305" s="3">
        <v>20</v>
      </c>
      <c r="H305" s="3">
        <f t="shared" si="0"/>
        <v>1</v>
      </c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36"/>
      <c r="T305" s="36"/>
      <c r="U305" s="36"/>
      <c r="V305" s="53"/>
      <c r="W305" s="36"/>
      <c r="X305" s="36"/>
      <c r="Y305" s="36"/>
      <c r="Z305" s="36"/>
      <c r="AA305" s="36"/>
      <c r="AB305" s="36"/>
      <c r="AC305" s="36"/>
      <c r="AD305" s="36"/>
      <c r="AE305" s="36"/>
      <c r="AF305" s="45">
        <v>34</v>
      </c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45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43">
        <f>11</f>
        <v>11</v>
      </c>
      <c r="BF305" s="36"/>
      <c r="BG305" s="36"/>
      <c r="BH305" s="36"/>
      <c r="BI305" s="36"/>
      <c r="BJ305" s="36"/>
      <c r="BK305" s="36"/>
      <c r="BL305" s="36"/>
      <c r="BM305" s="36"/>
      <c r="BN305" s="36">
        <v>4</v>
      </c>
      <c r="BO305" s="36"/>
      <c r="BP305" s="36"/>
    </row>
    <row r="306" spans="1:68" ht="15" x14ac:dyDescent="0.2">
      <c r="A306" s="3" t="s">
        <v>719</v>
      </c>
      <c r="B306" s="3" t="s">
        <v>244</v>
      </c>
      <c r="C306" s="3" t="s">
        <v>309</v>
      </c>
      <c r="D306" s="3" t="s">
        <v>720</v>
      </c>
      <c r="E306" s="2" t="s">
        <v>92</v>
      </c>
      <c r="F306" s="3">
        <v>2</v>
      </c>
      <c r="G306" s="3">
        <v>16</v>
      </c>
      <c r="H306" s="3">
        <f t="shared" si="0"/>
        <v>2</v>
      </c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53"/>
      <c r="AK306" s="36">
        <v>52</v>
      </c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</row>
    <row r="307" spans="1:68" ht="15" x14ac:dyDescent="0.2">
      <c r="A307" s="3" t="s">
        <v>721</v>
      </c>
      <c r="B307" s="3" t="s">
        <v>244</v>
      </c>
      <c r="C307" s="3" t="s">
        <v>309</v>
      </c>
      <c r="D307" s="3" t="s">
        <v>722</v>
      </c>
      <c r="E307" s="2" t="s">
        <v>92</v>
      </c>
      <c r="F307" s="3">
        <v>2</v>
      </c>
      <c r="G307" s="3">
        <v>18</v>
      </c>
      <c r="H307" s="3">
        <f t="shared" si="0"/>
        <v>2</v>
      </c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43">
        <f>35</f>
        <v>35</v>
      </c>
      <c r="BD307" s="36"/>
      <c r="BE307" s="45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</row>
    <row r="308" spans="1:68" ht="15" x14ac:dyDescent="0.2">
      <c r="A308" s="3" t="s">
        <v>723</v>
      </c>
      <c r="B308" s="3" t="s">
        <v>244</v>
      </c>
      <c r="C308" s="3" t="s">
        <v>309</v>
      </c>
      <c r="D308" s="3" t="s">
        <v>724</v>
      </c>
      <c r="E308" s="2" t="s">
        <v>92</v>
      </c>
      <c r="F308" s="3">
        <v>2</v>
      </c>
      <c r="G308" s="3">
        <v>20</v>
      </c>
      <c r="H308" s="3">
        <f t="shared" si="0"/>
        <v>2</v>
      </c>
      <c r="I308" s="44">
        <v>61</v>
      </c>
      <c r="J308" s="44">
        <v>67</v>
      </c>
      <c r="K308" s="44">
        <v>13</v>
      </c>
      <c r="L308" s="32">
        <v>31</v>
      </c>
      <c r="M308" s="44">
        <f>28</f>
        <v>28</v>
      </c>
      <c r="N308" s="44">
        <v>27</v>
      </c>
      <c r="O308" s="44">
        <f>14</f>
        <v>14</v>
      </c>
      <c r="P308" s="44">
        <f>50</f>
        <v>50</v>
      </c>
      <c r="Q308" s="44">
        <f>53</f>
        <v>53</v>
      </c>
      <c r="R308" s="44"/>
      <c r="S308" s="36">
        <v>74</v>
      </c>
      <c r="T308" s="36">
        <v>25</v>
      </c>
      <c r="U308" s="36">
        <v>22</v>
      </c>
      <c r="V308" s="36">
        <v>40</v>
      </c>
      <c r="W308" s="36">
        <v>51</v>
      </c>
      <c r="X308" s="36">
        <v>22</v>
      </c>
      <c r="Y308" s="36">
        <v>23</v>
      </c>
      <c r="Z308" s="36">
        <v>51</v>
      </c>
      <c r="AA308" s="36">
        <f>28</f>
        <v>28</v>
      </c>
      <c r="AB308" s="36">
        <f>30</f>
        <v>30</v>
      </c>
      <c r="AC308" s="36"/>
      <c r="AD308" s="36">
        <v>57</v>
      </c>
      <c r="AE308" s="36">
        <v>44</v>
      </c>
      <c r="AF308" s="36"/>
      <c r="AG308" s="43">
        <f>64</f>
        <v>64</v>
      </c>
      <c r="AH308" s="43">
        <f>71</f>
        <v>71</v>
      </c>
      <c r="AI308" s="43">
        <f>51</f>
        <v>51</v>
      </c>
      <c r="AJ308" s="36">
        <v>132</v>
      </c>
      <c r="AK308" s="36"/>
      <c r="AL308" s="36">
        <v>128</v>
      </c>
      <c r="AM308" s="36"/>
      <c r="AN308" s="36"/>
      <c r="AO308" s="43">
        <f>26</f>
        <v>26</v>
      </c>
      <c r="AP308" s="36"/>
      <c r="AQ308" s="43">
        <f>23</f>
        <v>23</v>
      </c>
      <c r="AR308" s="43">
        <f>38</f>
        <v>38</v>
      </c>
      <c r="AS308" s="43">
        <f>36</f>
        <v>36</v>
      </c>
      <c r="AT308" s="43">
        <f>60</f>
        <v>60</v>
      </c>
      <c r="AU308" s="43">
        <f>33</f>
        <v>33</v>
      </c>
      <c r="AV308" s="43">
        <f>3</f>
        <v>3</v>
      </c>
      <c r="AW308" s="36"/>
      <c r="AX308" s="36"/>
      <c r="AY308" s="36"/>
      <c r="AZ308" s="36"/>
      <c r="BA308" s="36"/>
      <c r="BB308" s="36"/>
      <c r="BC308" s="36"/>
      <c r="BD308" s="36"/>
      <c r="BE308" s="45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</row>
    <row r="309" spans="1:68" ht="15" x14ac:dyDescent="0.2">
      <c r="A309" s="1" t="s">
        <v>725</v>
      </c>
      <c r="B309" s="2" t="s">
        <v>244</v>
      </c>
      <c r="C309" s="2" t="s">
        <v>309</v>
      </c>
      <c r="D309" s="2" t="s">
        <v>726</v>
      </c>
      <c r="E309" s="2" t="s">
        <v>92</v>
      </c>
      <c r="F309" s="3">
        <v>2</v>
      </c>
      <c r="G309" s="3">
        <v>30</v>
      </c>
      <c r="H309" s="3">
        <f t="shared" si="0"/>
        <v>2</v>
      </c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43">
        <f>33</f>
        <v>33</v>
      </c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</row>
    <row r="310" spans="1:68" ht="15" x14ac:dyDescent="0.2">
      <c r="A310" s="1" t="s">
        <v>727</v>
      </c>
      <c r="B310" s="2" t="s">
        <v>244</v>
      </c>
      <c r="C310" s="2" t="s">
        <v>309</v>
      </c>
      <c r="D310" s="2" t="s">
        <v>728</v>
      </c>
      <c r="E310" s="2" t="s">
        <v>92</v>
      </c>
      <c r="F310" s="3">
        <v>4</v>
      </c>
      <c r="G310" s="3">
        <v>10</v>
      </c>
      <c r="H310" s="3">
        <f t="shared" si="0"/>
        <v>4</v>
      </c>
      <c r="I310" s="44"/>
      <c r="J310" s="44"/>
      <c r="K310" s="44"/>
      <c r="L310" s="44"/>
      <c r="M310" s="44"/>
      <c r="N310" s="44"/>
      <c r="O310" s="44"/>
      <c r="P310" s="44"/>
      <c r="Q310" s="44"/>
      <c r="R310" s="44">
        <f>54</f>
        <v>54</v>
      </c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</row>
    <row r="311" spans="1:68" ht="15" x14ac:dyDescent="0.2">
      <c r="A311" s="1" t="s">
        <v>729</v>
      </c>
      <c r="B311" s="2" t="s">
        <v>244</v>
      </c>
      <c r="C311" s="2" t="s">
        <v>309</v>
      </c>
      <c r="D311" s="2" t="s">
        <v>730</v>
      </c>
      <c r="E311" s="2" t="s">
        <v>92</v>
      </c>
      <c r="F311" s="3">
        <v>4</v>
      </c>
      <c r="G311" s="3">
        <v>24</v>
      </c>
      <c r="H311" s="3">
        <f t="shared" si="0"/>
        <v>4</v>
      </c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44"/>
      <c r="T311" s="44"/>
      <c r="U311" s="44"/>
      <c r="V311" s="44"/>
      <c r="W311" s="44"/>
      <c r="X311" s="44"/>
      <c r="Y311" s="44"/>
      <c r="Z311" s="44"/>
      <c r="AA311" s="44">
        <f>4</f>
        <v>4</v>
      </c>
      <c r="AB311" s="44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</row>
    <row r="312" spans="1:68" ht="15" x14ac:dyDescent="0.2">
      <c r="A312" s="1" t="s">
        <v>731</v>
      </c>
      <c r="B312" s="2" t="s">
        <v>244</v>
      </c>
      <c r="C312" s="2" t="s">
        <v>309</v>
      </c>
      <c r="D312" s="2" t="s">
        <v>732</v>
      </c>
      <c r="E312" s="2" t="s">
        <v>92</v>
      </c>
      <c r="F312" s="3">
        <v>4</v>
      </c>
      <c r="G312" s="3">
        <v>26</v>
      </c>
      <c r="H312" s="3">
        <f t="shared" si="0"/>
        <v>4</v>
      </c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44"/>
      <c r="T312" s="44"/>
      <c r="U312" s="44">
        <v>6</v>
      </c>
      <c r="V312" s="44"/>
      <c r="W312" s="44"/>
      <c r="X312" s="44"/>
      <c r="Y312" s="44"/>
      <c r="Z312" s="44"/>
      <c r="AA312" s="44"/>
      <c r="AB312" s="44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>
        <v>9</v>
      </c>
      <c r="BN312" s="36"/>
      <c r="BO312" s="36">
        <v>1</v>
      </c>
      <c r="BP312" s="36"/>
    </row>
    <row r="313" spans="1:68" ht="14" x14ac:dyDescent="0.2">
      <c r="A313" s="51" t="s">
        <v>733</v>
      </c>
      <c r="B313" s="52" t="s">
        <v>468</v>
      </c>
      <c r="C313" s="52" t="s">
        <v>479</v>
      </c>
      <c r="D313" s="52" t="s">
        <v>734</v>
      </c>
      <c r="E313" s="52" t="s">
        <v>98</v>
      </c>
      <c r="F313" s="54">
        <v>3.67</v>
      </c>
      <c r="G313" s="55">
        <v>5.5</v>
      </c>
      <c r="H313" s="55"/>
      <c r="I313" s="36">
        <v>332</v>
      </c>
      <c r="J313" s="36">
        <v>19</v>
      </c>
      <c r="K313" s="36">
        <v>28</v>
      </c>
      <c r="L313" s="32">
        <v>14</v>
      </c>
      <c r="M313" s="36">
        <v>8</v>
      </c>
      <c r="N313" s="36">
        <v>3</v>
      </c>
      <c r="O313" s="36"/>
      <c r="P313" s="36">
        <f>73</f>
        <v>73</v>
      </c>
      <c r="Q313" s="36">
        <f>132</f>
        <v>132</v>
      </c>
      <c r="R313" s="36">
        <f>193</f>
        <v>193</v>
      </c>
      <c r="S313" s="44">
        <v>223</v>
      </c>
      <c r="T313" s="44">
        <v>604</v>
      </c>
      <c r="U313" s="44">
        <v>564</v>
      </c>
      <c r="V313" s="44">
        <v>788</v>
      </c>
      <c r="W313" s="44">
        <v>709</v>
      </c>
      <c r="X313" s="44">
        <v>903</v>
      </c>
      <c r="Y313" s="44">
        <v>815</v>
      </c>
      <c r="Z313" s="44">
        <v>1119</v>
      </c>
      <c r="AA313" s="44">
        <v>1322</v>
      </c>
      <c r="AB313" s="44">
        <v>1212</v>
      </c>
      <c r="AC313" s="36"/>
      <c r="AD313" s="43">
        <f>581</f>
        <v>581</v>
      </c>
      <c r="AE313" s="43">
        <f>298</f>
        <v>298</v>
      </c>
      <c r="AF313" s="49">
        <v>214</v>
      </c>
      <c r="AG313" s="43">
        <f>185</f>
        <v>185</v>
      </c>
      <c r="AH313" s="43">
        <f>572</f>
        <v>572</v>
      </c>
      <c r="AI313" s="43">
        <f>373</f>
        <v>373</v>
      </c>
      <c r="AJ313" s="43">
        <f>409</f>
        <v>409</v>
      </c>
      <c r="AK313" s="43">
        <f>325</f>
        <v>325</v>
      </c>
      <c r="AL313" s="36">
        <v>633</v>
      </c>
      <c r="AM313" s="56"/>
      <c r="AN313" s="56"/>
      <c r="AO313" s="43">
        <f>124</f>
        <v>124</v>
      </c>
      <c r="AP313" s="43">
        <f>104</f>
        <v>104</v>
      </c>
      <c r="AQ313" s="49">
        <v>165</v>
      </c>
      <c r="AR313" s="43">
        <f>118</f>
        <v>118</v>
      </c>
      <c r="AS313" s="49">
        <v>146</v>
      </c>
      <c r="AT313" s="43">
        <f>134</f>
        <v>134</v>
      </c>
      <c r="AU313" s="43">
        <f>187</f>
        <v>187</v>
      </c>
      <c r="AV313" s="43">
        <f>308</f>
        <v>308</v>
      </c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41">
        <f>7</f>
        <v>7</v>
      </c>
      <c r="BH313" s="36"/>
      <c r="BI313" s="36"/>
      <c r="BJ313" s="36"/>
      <c r="BK313" s="36"/>
      <c r="BL313" s="36"/>
      <c r="BM313" s="41">
        <f>23</f>
        <v>23</v>
      </c>
      <c r="BN313" s="36"/>
      <c r="BO313" s="36"/>
      <c r="BP313" s="36"/>
    </row>
    <row r="314" spans="1:68" ht="14" x14ac:dyDescent="0.2">
      <c r="A314" s="51" t="s">
        <v>735</v>
      </c>
      <c r="B314" s="52" t="s">
        <v>468</v>
      </c>
      <c r="C314" s="52" t="s">
        <v>479</v>
      </c>
      <c r="D314" s="52" t="s">
        <v>736</v>
      </c>
      <c r="E314" s="52" t="s">
        <v>98</v>
      </c>
      <c r="F314" s="54">
        <v>6.33</v>
      </c>
      <c r="G314" s="55">
        <v>9.5</v>
      </c>
      <c r="H314" s="55"/>
      <c r="I314" s="36">
        <v>112</v>
      </c>
      <c r="J314" s="36">
        <v>90</v>
      </c>
      <c r="K314" s="36">
        <v>7</v>
      </c>
      <c r="L314" s="32">
        <v>102</v>
      </c>
      <c r="M314" s="36">
        <v>30</v>
      </c>
      <c r="N314" s="36">
        <v>21</v>
      </c>
      <c r="O314" s="36">
        <f>17</f>
        <v>17</v>
      </c>
      <c r="P314" s="36">
        <f>167</f>
        <v>167</v>
      </c>
      <c r="Q314" s="36">
        <f>169</f>
        <v>169</v>
      </c>
      <c r="R314" s="36">
        <f>147</f>
        <v>147</v>
      </c>
      <c r="S314" s="44">
        <v>94</v>
      </c>
      <c r="T314" s="44">
        <v>48</v>
      </c>
      <c r="U314" s="44">
        <v>10</v>
      </c>
      <c r="V314" s="44">
        <v>49</v>
      </c>
      <c r="W314" s="44">
        <v>5</v>
      </c>
      <c r="X314" s="44">
        <v>44</v>
      </c>
      <c r="Y314" s="44">
        <v>25</v>
      </c>
      <c r="Z314" s="44">
        <v>59</v>
      </c>
      <c r="AA314" s="44">
        <v>47</v>
      </c>
      <c r="AB314" s="44">
        <v>122</v>
      </c>
      <c r="AC314" s="43">
        <f>62</f>
        <v>62</v>
      </c>
      <c r="AD314" s="43">
        <v>129</v>
      </c>
      <c r="AE314" s="43">
        <v>79</v>
      </c>
      <c r="AF314" s="49">
        <v>173</v>
      </c>
      <c r="AG314" s="43">
        <v>80</v>
      </c>
      <c r="AH314" s="43">
        <v>85</v>
      </c>
      <c r="AI314" s="43">
        <v>31</v>
      </c>
      <c r="AJ314" s="43">
        <v>209</v>
      </c>
      <c r="AK314" s="43">
        <v>86</v>
      </c>
      <c r="AL314" s="36">
        <v>171</v>
      </c>
      <c r="AM314" s="43">
        <f>117</f>
        <v>117</v>
      </c>
      <c r="AN314" s="36"/>
      <c r="AO314" s="43">
        <v>69</v>
      </c>
      <c r="AP314" s="43">
        <v>113</v>
      </c>
      <c r="AQ314" s="49">
        <v>73</v>
      </c>
      <c r="AR314" s="43">
        <v>131</v>
      </c>
      <c r="AS314" s="49">
        <v>72</v>
      </c>
      <c r="AT314" s="43">
        <v>255</v>
      </c>
      <c r="AU314" s="43">
        <v>276</v>
      </c>
      <c r="AV314" s="43">
        <v>284</v>
      </c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</row>
    <row r="315" spans="1:68" ht="14" x14ac:dyDescent="0.2">
      <c r="A315" s="51" t="s">
        <v>737</v>
      </c>
      <c r="B315" s="52" t="s">
        <v>468</v>
      </c>
      <c r="C315" s="52" t="s">
        <v>479</v>
      </c>
      <c r="D315" s="52" t="s">
        <v>738</v>
      </c>
      <c r="E315" s="52" t="s">
        <v>98</v>
      </c>
      <c r="F315" s="54">
        <v>9</v>
      </c>
      <c r="G315" s="55">
        <v>14</v>
      </c>
      <c r="H315" s="55"/>
      <c r="I315" s="36">
        <v>42</v>
      </c>
      <c r="J315" s="36">
        <v>56</v>
      </c>
      <c r="K315" s="36">
        <v>17</v>
      </c>
      <c r="L315" s="32">
        <v>36</v>
      </c>
      <c r="M315" s="36">
        <v>10</v>
      </c>
      <c r="N315" s="36">
        <v>35</v>
      </c>
      <c r="O315" s="36">
        <f>1</f>
        <v>1</v>
      </c>
      <c r="P315" s="36">
        <f>68</f>
        <v>68</v>
      </c>
      <c r="Q315" s="36">
        <f>38</f>
        <v>38</v>
      </c>
      <c r="R315" s="36">
        <f>52</f>
        <v>52</v>
      </c>
      <c r="S315" s="44">
        <v>13</v>
      </c>
      <c r="T315" s="44">
        <v>13</v>
      </c>
      <c r="U315" s="44"/>
      <c r="V315" s="32">
        <v>11</v>
      </c>
      <c r="W315" s="44"/>
      <c r="X315" s="44">
        <v>10</v>
      </c>
      <c r="Y315" s="44"/>
      <c r="Z315" s="44">
        <v>17</v>
      </c>
      <c r="AA315" s="44">
        <v>23</v>
      </c>
      <c r="AB315" s="44">
        <v>57</v>
      </c>
      <c r="AC315" s="36"/>
      <c r="AD315" s="43">
        <v>91</v>
      </c>
      <c r="AE315" s="36"/>
      <c r="AF315" s="49">
        <v>53</v>
      </c>
      <c r="AG315" s="43">
        <v>10</v>
      </c>
      <c r="AH315" s="43">
        <v>32</v>
      </c>
      <c r="AI315" s="43">
        <v>6</v>
      </c>
      <c r="AJ315" s="43">
        <v>82</v>
      </c>
      <c r="AK315" s="43">
        <v>24</v>
      </c>
      <c r="AL315" s="36">
        <v>42</v>
      </c>
      <c r="AM315" s="36"/>
      <c r="AN315" s="36"/>
      <c r="AO315" s="36"/>
      <c r="AP315" s="36"/>
      <c r="AQ315" s="36"/>
      <c r="AR315" s="43">
        <v>14</v>
      </c>
      <c r="AS315" s="49">
        <v>3</v>
      </c>
      <c r="AT315" s="43">
        <v>21</v>
      </c>
      <c r="AU315" s="43">
        <v>20</v>
      </c>
      <c r="AV315" s="43">
        <v>45</v>
      </c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41">
        <v>10</v>
      </c>
      <c r="BI315" s="36"/>
      <c r="BJ315" s="36"/>
      <c r="BK315" s="36"/>
      <c r="BL315" s="36"/>
      <c r="BM315" s="36"/>
      <c r="BN315" s="36"/>
      <c r="BO315" s="36"/>
      <c r="BP315" s="36"/>
    </row>
    <row r="316" spans="1:68" ht="14" x14ac:dyDescent="0.2">
      <c r="A316" s="51" t="s">
        <v>739</v>
      </c>
      <c r="B316" s="52" t="s">
        <v>468</v>
      </c>
      <c r="C316" s="52" t="s">
        <v>87</v>
      </c>
      <c r="D316" s="52" t="s">
        <v>740</v>
      </c>
      <c r="E316" s="52" t="s">
        <v>98</v>
      </c>
      <c r="F316" s="54">
        <v>3.67</v>
      </c>
      <c r="G316" s="55">
        <v>5.5</v>
      </c>
      <c r="H316" s="55"/>
      <c r="I316" s="36">
        <v>294</v>
      </c>
      <c r="J316" s="36">
        <v>403</v>
      </c>
      <c r="K316" s="36">
        <v>237</v>
      </c>
      <c r="L316" s="32">
        <v>267</v>
      </c>
      <c r="M316" s="36">
        <v>155</v>
      </c>
      <c r="N316" s="36">
        <f>152</f>
        <v>152</v>
      </c>
      <c r="O316" s="36">
        <f>109</f>
        <v>109</v>
      </c>
      <c r="P316" s="36">
        <f>200</f>
        <v>200</v>
      </c>
      <c r="Q316" s="36">
        <f>244</f>
        <v>244</v>
      </c>
      <c r="R316" s="36">
        <f>1</f>
        <v>1</v>
      </c>
      <c r="S316" s="44">
        <v>176</v>
      </c>
      <c r="T316" s="44">
        <v>292</v>
      </c>
      <c r="U316" s="44">
        <v>303</v>
      </c>
      <c r="V316" s="44">
        <v>203</v>
      </c>
      <c r="W316" s="44">
        <v>303</v>
      </c>
      <c r="X316" s="44">
        <v>334</v>
      </c>
      <c r="Y316" s="44">
        <v>362</v>
      </c>
      <c r="Z316" s="44">
        <v>191</v>
      </c>
      <c r="AA316" s="44">
        <v>263</v>
      </c>
      <c r="AB316" s="44">
        <v>270</v>
      </c>
      <c r="AC316" s="36"/>
      <c r="AD316" s="43">
        <f>131</f>
        <v>131</v>
      </c>
      <c r="AE316" s="43">
        <f>86</f>
        <v>86</v>
      </c>
      <c r="AF316" s="43">
        <f>98</f>
        <v>98</v>
      </c>
      <c r="AG316" s="43">
        <f>101</f>
        <v>101</v>
      </c>
      <c r="AH316" s="43">
        <f>171</f>
        <v>171</v>
      </c>
      <c r="AI316" s="36">
        <v>149</v>
      </c>
      <c r="AJ316" s="55">
        <v>138</v>
      </c>
      <c r="AK316" s="43">
        <f>91</f>
        <v>91</v>
      </c>
      <c r="AL316" s="36">
        <v>154</v>
      </c>
      <c r="AM316" s="43">
        <f>15</f>
        <v>15</v>
      </c>
      <c r="AN316" s="43">
        <f>261</f>
        <v>261</v>
      </c>
      <c r="AO316" s="43">
        <f>179</f>
        <v>179</v>
      </c>
      <c r="AP316" s="43">
        <f>125</f>
        <v>125</v>
      </c>
      <c r="AQ316" s="43">
        <f>222</f>
        <v>222</v>
      </c>
      <c r="AR316" s="43">
        <f>269</f>
        <v>269</v>
      </c>
      <c r="AS316" s="43">
        <f>179</f>
        <v>179</v>
      </c>
      <c r="AT316" s="43">
        <f>104</f>
        <v>104</v>
      </c>
      <c r="AU316" s="43">
        <f>95</f>
        <v>95</v>
      </c>
      <c r="AV316" s="43">
        <f>124</f>
        <v>124</v>
      </c>
      <c r="AW316" s="36"/>
      <c r="AX316" s="43">
        <f>63</f>
        <v>63</v>
      </c>
      <c r="AY316" s="43">
        <f>34</f>
        <v>34</v>
      </c>
      <c r="AZ316" s="43">
        <f>82</f>
        <v>82</v>
      </c>
      <c r="BA316" s="43">
        <f>104</f>
        <v>104</v>
      </c>
      <c r="BB316" s="43">
        <f>301</f>
        <v>301</v>
      </c>
      <c r="BC316" s="43">
        <f>263</f>
        <v>263</v>
      </c>
      <c r="BD316" s="43">
        <f>99</f>
        <v>99</v>
      </c>
      <c r="BE316" s="49">
        <v>46</v>
      </c>
      <c r="BF316" s="43">
        <f>94</f>
        <v>94</v>
      </c>
      <c r="BG316" s="36"/>
      <c r="BH316" s="41">
        <v>128</v>
      </c>
      <c r="BI316" s="41">
        <v>193</v>
      </c>
      <c r="BJ316" s="41">
        <f>99</f>
        <v>99</v>
      </c>
      <c r="BK316" s="41">
        <v>104</v>
      </c>
      <c r="BL316" s="41">
        <f>128</f>
        <v>128</v>
      </c>
      <c r="BM316" s="41">
        <f>336+84</f>
        <v>420</v>
      </c>
      <c r="BN316" s="41">
        <v>64</v>
      </c>
      <c r="BO316" s="41">
        <v>95</v>
      </c>
      <c r="BP316" s="41">
        <v>54</v>
      </c>
    </row>
    <row r="317" spans="1:68" ht="14" x14ac:dyDescent="0.2">
      <c r="A317" s="51" t="s">
        <v>741</v>
      </c>
      <c r="B317" s="52" t="s">
        <v>468</v>
      </c>
      <c r="C317" s="52" t="s">
        <v>87</v>
      </c>
      <c r="D317" s="52" t="s">
        <v>742</v>
      </c>
      <c r="E317" s="52" t="s">
        <v>98</v>
      </c>
      <c r="F317" s="54">
        <v>6.33</v>
      </c>
      <c r="G317" s="55">
        <v>9.5</v>
      </c>
      <c r="H317" s="55"/>
      <c r="I317" s="36">
        <v>39</v>
      </c>
      <c r="J317" s="36">
        <v>27</v>
      </c>
      <c r="K317" s="36">
        <v>19</v>
      </c>
      <c r="L317" s="32">
        <v>34</v>
      </c>
      <c r="M317" s="36">
        <v>4</v>
      </c>
      <c r="N317" s="36">
        <f>16</f>
        <v>16</v>
      </c>
      <c r="O317" s="36">
        <f>5</f>
        <v>5</v>
      </c>
      <c r="P317" s="36">
        <f>48</f>
        <v>48</v>
      </c>
      <c r="Q317" s="36">
        <f>31</f>
        <v>31</v>
      </c>
      <c r="R317" s="36">
        <f>39</f>
        <v>39</v>
      </c>
      <c r="S317" s="44">
        <v>59</v>
      </c>
      <c r="T317" s="44">
        <v>3</v>
      </c>
      <c r="U317" s="44"/>
      <c r="V317" s="44">
        <v>10</v>
      </c>
      <c r="W317" s="44">
        <v>6</v>
      </c>
      <c r="X317" s="44">
        <v>1</v>
      </c>
      <c r="Y317" s="44"/>
      <c r="Z317" s="44"/>
      <c r="AA317" s="44">
        <v>6</v>
      </c>
      <c r="AB317" s="44">
        <v>1</v>
      </c>
      <c r="AC317" s="43">
        <f>10</f>
        <v>10</v>
      </c>
      <c r="AD317" s="43">
        <f>25</f>
        <v>25</v>
      </c>
      <c r="AE317" s="43">
        <f>11</f>
        <v>11</v>
      </c>
      <c r="AF317" s="43">
        <f>17</f>
        <v>17</v>
      </c>
      <c r="AG317" s="43">
        <f>6</f>
        <v>6</v>
      </c>
      <c r="AH317" s="43">
        <f>19</f>
        <v>19</v>
      </c>
      <c r="AI317" s="36"/>
      <c r="AJ317" s="43">
        <f>13</f>
        <v>13</v>
      </c>
      <c r="AK317" s="43">
        <f>7</f>
        <v>7</v>
      </c>
      <c r="AL317" s="36">
        <v>18</v>
      </c>
      <c r="AM317" s="36"/>
      <c r="AN317" s="43">
        <f>172</f>
        <v>172</v>
      </c>
      <c r="AO317" s="43">
        <f>6</f>
        <v>6</v>
      </c>
      <c r="AP317" s="43">
        <f>26</f>
        <v>26</v>
      </c>
      <c r="AQ317" s="43">
        <f>16</f>
        <v>16</v>
      </c>
      <c r="AR317" s="43">
        <f>29</f>
        <v>29</v>
      </c>
      <c r="AS317" s="43">
        <f>14</f>
        <v>14</v>
      </c>
      <c r="AT317" s="43">
        <f>4</f>
        <v>4</v>
      </c>
      <c r="AU317" s="43">
        <f>6+12</f>
        <v>18</v>
      </c>
      <c r="AV317" s="43">
        <f>9</f>
        <v>9</v>
      </c>
      <c r="AW317" s="43">
        <f>4</f>
        <v>4</v>
      </c>
      <c r="AX317" s="43">
        <f>22</f>
        <v>22</v>
      </c>
      <c r="AY317" s="43">
        <f>7</f>
        <v>7</v>
      </c>
      <c r="AZ317" s="43">
        <f>39</f>
        <v>39</v>
      </c>
      <c r="BA317" s="43">
        <f>24</f>
        <v>24</v>
      </c>
      <c r="BB317" s="43">
        <f>19</f>
        <v>19</v>
      </c>
      <c r="BC317" s="43">
        <f>115</f>
        <v>115</v>
      </c>
      <c r="BD317" s="43">
        <f>27</f>
        <v>27</v>
      </c>
      <c r="BE317" s="49">
        <v>33</v>
      </c>
      <c r="BF317" s="43">
        <f>71</f>
        <v>71</v>
      </c>
      <c r="BG317" s="41">
        <f>6</f>
        <v>6</v>
      </c>
      <c r="BH317" s="41">
        <v>50</v>
      </c>
      <c r="BI317" s="41">
        <f>10+14</f>
        <v>24</v>
      </c>
      <c r="BJ317" s="41">
        <f>99</f>
        <v>99</v>
      </c>
      <c r="BK317" s="41">
        <v>37</v>
      </c>
      <c r="BL317" s="41">
        <f>103</f>
        <v>103</v>
      </c>
      <c r="BM317" s="41">
        <f>51</f>
        <v>51</v>
      </c>
      <c r="BN317" s="41">
        <v>140</v>
      </c>
      <c r="BO317" s="41">
        <v>132</v>
      </c>
      <c r="BP317" s="41">
        <v>102</v>
      </c>
    </row>
    <row r="318" spans="1:68" ht="14" x14ac:dyDescent="0.2">
      <c r="A318" s="51" t="s">
        <v>743</v>
      </c>
      <c r="B318" s="52" t="s">
        <v>468</v>
      </c>
      <c r="C318" s="52" t="s">
        <v>87</v>
      </c>
      <c r="D318" s="52" t="s">
        <v>744</v>
      </c>
      <c r="E318" s="52" t="s">
        <v>98</v>
      </c>
      <c r="F318" s="54">
        <v>9</v>
      </c>
      <c r="G318" s="55">
        <v>14</v>
      </c>
      <c r="H318" s="55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44"/>
      <c r="T318" s="44">
        <v>1</v>
      </c>
      <c r="U318" s="44"/>
      <c r="V318" s="44">
        <v>1</v>
      </c>
      <c r="W318" s="44"/>
      <c r="X318" s="44"/>
      <c r="Y318" s="44"/>
      <c r="Z318" s="44"/>
      <c r="AA318" s="44"/>
      <c r="AB318" s="44"/>
      <c r="AC318" s="36"/>
      <c r="AD318" s="43">
        <f>1</f>
        <v>1</v>
      </c>
      <c r="AE318" s="36"/>
      <c r="AF318" s="36"/>
      <c r="AG318" s="36"/>
      <c r="AH318" s="43">
        <f>1</f>
        <v>1</v>
      </c>
      <c r="AI318" s="36">
        <v>2</v>
      </c>
      <c r="AJ318" s="36"/>
      <c r="AK318" s="43">
        <f>7</f>
        <v>7</v>
      </c>
      <c r="AL318" s="36"/>
      <c r="AM318" s="36"/>
      <c r="AN318" s="43">
        <f>27</f>
        <v>27</v>
      </c>
      <c r="AO318" s="36"/>
      <c r="AP318" s="43">
        <f>4</f>
        <v>4</v>
      </c>
      <c r="AQ318" s="43">
        <f>2</f>
        <v>2</v>
      </c>
      <c r="AR318" s="36"/>
      <c r="AS318" s="36"/>
      <c r="AT318" s="36"/>
      <c r="AU318" s="43">
        <f>11</f>
        <v>11</v>
      </c>
      <c r="AV318" s="43">
        <f>3</f>
        <v>3</v>
      </c>
      <c r="AW318" s="36"/>
      <c r="AX318" s="43">
        <f>2</f>
        <v>2</v>
      </c>
      <c r="AY318" s="43">
        <f>3</f>
        <v>3</v>
      </c>
      <c r="AZ318" s="43">
        <f>54</f>
        <v>54</v>
      </c>
      <c r="BA318" s="43">
        <f>1</f>
        <v>1</v>
      </c>
      <c r="BB318" s="43">
        <f>5</f>
        <v>5</v>
      </c>
      <c r="BC318" s="43">
        <f>5</f>
        <v>5</v>
      </c>
      <c r="BD318" s="43">
        <f>2</f>
        <v>2</v>
      </c>
      <c r="BE318" s="49">
        <v>3</v>
      </c>
      <c r="BF318" s="43">
        <f>5</f>
        <v>5</v>
      </c>
      <c r="BG318" s="41">
        <f>15</f>
        <v>15</v>
      </c>
      <c r="BH318" s="36"/>
      <c r="BI318" s="41">
        <v>14</v>
      </c>
      <c r="BJ318" s="41">
        <v>26</v>
      </c>
      <c r="BK318" s="41">
        <v>7</v>
      </c>
      <c r="BL318" s="41">
        <v>30</v>
      </c>
      <c r="BM318" s="41">
        <f>13</f>
        <v>13</v>
      </c>
      <c r="BN318" s="41">
        <v>51</v>
      </c>
      <c r="BO318" s="41">
        <v>26</v>
      </c>
      <c r="BP318" s="41">
        <v>111</v>
      </c>
    </row>
    <row r="319" spans="1:68" ht="15" x14ac:dyDescent="0.2">
      <c r="A319" s="1" t="s">
        <v>745</v>
      </c>
      <c r="B319" s="2" t="s">
        <v>468</v>
      </c>
      <c r="C319" s="2" t="s">
        <v>746</v>
      </c>
      <c r="D319" s="2" t="s">
        <v>747</v>
      </c>
      <c r="E319" s="2" t="s">
        <v>75</v>
      </c>
      <c r="F319" s="3">
        <v>4</v>
      </c>
      <c r="G319" s="3">
        <v>4</v>
      </c>
      <c r="H319" s="3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>
        <v>20</v>
      </c>
      <c r="W319" s="36">
        <v>38</v>
      </c>
      <c r="X319" s="36">
        <v>33</v>
      </c>
      <c r="Y319" s="36">
        <v>37</v>
      </c>
      <c r="Z319" s="36">
        <v>10</v>
      </c>
      <c r="AA319" s="36">
        <v>17</v>
      </c>
      <c r="AB319" s="36">
        <f>7</f>
        <v>7</v>
      </c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</row>
    <row r="320" spans="1:68" ht="15" x14ac:dyDescent="0.2">
      <c r="A320" s="1" t="s">
        <v>748</v>
      </c>
      <c r="B320" s="2" t="s">
        <v>468</v>
      </c>
      <c r="C320" s="2" t="s">
        <v>746</v>
      </c>
      <c r="D320" s="2" t="s">
        <v>749</v>
      </c>
      <c r="E320" s="2" t="s">
        <v>75</v>
      </c>
      <c r="F320" s="3">
        <v>6</v>
      </c>
      <c r="G320" s="3">
        <v>6</v>
      </c>
      <c r="H320" s="3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>
        <v>30</v>
      </c>
      <c r="U320" s="36">
        <v>21</v>
      </c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</row>
    <row r="321" spans="1:68" ht="15" x14ac:dyDescent="0.2">
      <c r="A321" s="3" t="s">
        <v>750</v>
      </c>
      <c r="B321" s="3" t="s">
        <v>560</v>
      </c>
      <c r="C321" s="3" t="s">
        <v>751</v>
      </c>
      <c r="D321" s="3" t="s">
        <v>752</v>
      </c>
      <c r="E321" s="3" t="s">
        <v>107</v>
      </c>
      <c r="F321" s="3">
        <v>6</v>
      </c>
      <c r="G321" s="3">
        <v>8</v>
      </c>
      <c r="H321" s="3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>
        <v>7</v>
      </c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</row>
    <row r="322" spans="1:68" ht="15" x14ac:dyDescent="0.2">
      <c r="A322" s="3" t="s">
        <v>753</v>
      </c>
      <c r="B322" s="3" t="s">
        <v>560</v>
      </c>
      <c r="C322" s="3" t="s">
        <v>87</v>
      </c>
      <c r="D322" s="3" t="s">
        <v>754</v>
      </c>
      <c r="E322" s="3" t="s">
        <v>173</v>
      </c>
      <c r="F322" s="3">
        <v>2</v>
      </c>
      <c r="G322" s="3">
        <v>10</v>
      </c>
      <c r="H322" s="3"/>
      <c r="I322" s="36"/>
      <c r="J322" s="53"/>
      <c r="K322" s="36"/>
      <c r="L322" s="36"/>
      <c r="M322" s="36">
        <f>1</f>
        <v>1</v>
      </c>
      <c r="N322" s="36"/>
      <c r="O322" s="36"/>
      <c r="P322" s="36"/>
      <c r="Q322" s="36"/>
      <c r="R322" s="36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>
        <v>2</v>
      </c>
      <c r="AX322" s="36"/>
      <c r="AY322" s="36"/>
      <c r="AZ322" s="36"/>
      <c r="BA322" s="36"/>
      <c r="BB322" s="36"/>
      <c r="BC322" s="36"/>
      <c r="BD322" s="36"/>
      <c r="BE322" s="45"/>
      <c r="BF322" s="36"/>
      <c r="BG322" s="36"/>
      <c r="BH322" s="36"/>
      <c r="BI322" s="36"/>
      <c r="BJ322" s="36"/>
      <c r="BK322" s="36"/>
      <c r="BL322" s="45"/>
      <c r="BM322" s="32"/>
      <c r="BN322" s="45"/>
      <c r="BO322" s="41">
        <f>4</f>
        <v>4</v>
      </c>
      <c r="BP322" s="36"/>
    </row>
    <row r="323" spans="1:68" ht="15" x14ac:dyDescent="0.2">
      <c r="A323" s="3" t="s">
        <v>755</v>
      </c>
      <c r="B323" s="3" t="s">
        <v>560</v>
      </c>
      <c r="C323" s="3" t="s">
        <v>87</v>
      </c>
      <c r="D323" s="3" t="s">
        <v>756</v>
      </c>
      <c r="E323" s="3" t="s">
        <v>173</v>
      </c>
      <c r="F323" s="3">
        <v>3</v>
      </c>
      <c r="G323" s="3">
        <v>8</v>
      </c>
      <c r="H323" s="3"/>
      <c r="I323" s="36"/>
      <c r="J323" s="36"/>
      <c r="K323" s="36"/>
      <c r="L323" s="36"/>
      <c r="M323" s="36">
        <f>28</f>
        <v>28</v>
      </c>
      <c r="N323" s="36"/>
      <c r="O323" s="36"/>
      <c r="P323" s="36"/>
      <c r="Q323" s="36"/>
      <c r="R323" s="36"/>
      <c r="S323" s="44"/>
      <c r="T323" s="44"/>
      <c r="U323" s="44"/>
      <c r="V323" s="44"/>
      <c r="W323" s="44"/>
      <c r="X323" s="44"/>
      <c r="Y323" s="44"/>
      <c r="Z323" s="44"/>
      <c r="AA323" s="44">
        <v>18</v>
      </c>
      <c r="AB323" s="44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45"/>
      <c r="BM323" s="36"/>
      <c r="BN323" s="45"/>
      <c r="BO323" s="36"/>
      <c r="BP323" s="36"/>
    </row>
    <row r="324" spans="1:68" ht="15" x14ac:dyDescent="0.2">
      <c r="A324" s="1" t="s">
        <v>757</v>
      </c>
      <c r="B324" s="3" t="s">
        <v>560</v>
      </c>
      <c r="C324" s="3" t="s">
        <v>87</v>
      </c>
      <c r="D324" s="2" t="s">
        <v>758</v>
      </c>
      <c r="E324" s="2" t="s">
        <v>98</v>
      </c>
      <c r="F324" s="3">
        <v>4</v>
      </c>
      <c r="G324" s="3">
        <v>8</v>
      </c>
      <c r="H324" s="3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44"/>
      <c r="T324" s="44"/>
      <c r="U324" s="44"/>
      <c r="V324" s="44"/>
      <c r="W324" s="44"/>
      <c r="X324" s="44"/>
      <c r="Y324" s="44"/>
      <c r="Z324" s="44"/>
      <c r="AA324" s="44"/>
      <c r="AB324" s="44">
        <f>12</f>
        <v>12</v>
      </c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>
        <v>5</v>
      </c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41">
        <f>11</f>
        <v>11</v>
      </c>
      <c r="BK324" s="36"/>
      <c r="BL324" s="36"/>
      <c r="BM324" s="53">
        <v>115</v>
      </c>
      <c r="BN324" s="36">
        <v>6</v>
      </c>
      <c r="BO324" s="36"/>
      <c r="BP324" s="36"/>
    </row>
    <row r="325" spans="1:68" ht="15" x14ac:dyDescent="0.2">
      <c r="A325" s="1" t="s">
        <v>759</v>
      </c>
      <c r="B325" s="3" t="s">
        <v>560</v>
      </c>
      <c r="C325" s="3" t="s">
        <v>87</v>
      </c>
      <c r="D325" s="2" t="s">
        <v>760</v>
      </c>
      <c r="E325" s="2" t="s">
        <v>98</v>
      </c>
      <c r="F325" s="3">
        <v>6</v>
      </c>
      <c r="G325" s="3">
        <v>14</v>
      </c>
      <c r="H325" s="3"/>
      <c r="I325" s="36"/>
      <c r="J325" s="36">
        <v>7</v>
      </c>
      <c r="K325" s="36"/>
      <c r="L325" s="36"/>
      <c r="M325" s="36"/>
      <c r="N325" s="36"/>
      <c r="O325" s="36"/>
      <c r="P325" s="36"/>
      <c r="Q325" s="36"/>
      <c r="R325" s="36"/>
      <c r="S325" s="44"/>
      <c r="T325" s="44"/>
      <c r="U325" s="44"/>
      <c r="V325" s="44"/>
      <c r="W325" s="44"/>
      <c r="X325" s="44"/>
      <c r="Y325" s="44"/>
      <c r="Z325" s="44"/>
      <c r="AA325" s="44"/>
      <c r="AB325" s="44">
        <v>2</v>
      </c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41">
        <f>2</f>
        <v>2</v>
      </c>
      <c r="BL325" s="36"/>
      <c r="BM325" s="36"/>
      <c r="BN325" s="36"/>
      <c r="BO325" s="36"/>
      <c r="BP325" s="36"/>
    </row>
    <row r="326" spans="1:68" ht="15" x14ac:dyDescent="0.2">
      <c r="A326" s="1" t="s">
        <v>761</v>
      </c>
      <c r="B326" s="3" t="s">
        <v>560</v>
      </c>
      <c r="C326" s="3" t="s">
        <v>87</v>
      </c>
      <c r="D326" s="2" t="s">
        <v>762</v>
      </c>
      <c r="E326" s="2" t="s">
        <v>98</v>
      </c>
      <c r="F326" s="3">
        <v>8</v>
      </c>
      <c r="G326" s="3">
        <v>12</v>
      </c>
      <c r="H326" s="3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3">
        <f>1</f>
        <v>1</v>
      </c>
      <c r="AD326" s="36"/>
      <c r="AE326" s="36"/>
      <c r="AF326" s="36"/>
      <c r="AG326" s="36"/>
      <c r="AH326" s="36"/>
      <c r="AI326" s="36"/>
      <c r="AJ326" s="36"/>
      <c r="AK326" s="36"/>
      <c r="AL326" s="36"/>
      <c r="AM326" s="36">
        <v>9</v>
      </c>
      <c r="AN326" s="36"/>
      <c r="AO326" s="36"/>
      <c r="AP326" s="36"/>
      <c r="AQ326" s="36"/>
      <c r="AR326" s="36"/>
      <c r="AS326" s="36"/>
      <c r="AT326" s="36"/>
      <c r="AU326" s="36"/>
      <c r="AV326" s="36"/>
      <c r="AW326" s="36">
        <v>1</v>
      </c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</row>
    <row r="327" spans="1:68" ht="15" x14ac:dyDescent="0.2">
      <c r="A327" s="57" t="s">
        <v>763</v>
      </c>
      <c r="B327" s="3" t="s">
        <v>560</v>
      </c>
      <c r="C327" s="3" t="s">
        <v>87</v>
      </c>
      <c r="D327" s="14" t="s">
        <v>764</v>
      </c>
      <c r="E327" s="14" t="s">
        <v>75</v>
      </c>
      <c r="F327" s="3">
        <v>10</v>
      </c>
      <c r="G327" s="3">
        <v>10</v>
      </c>
      <c r="H327" s="15"/>
      <c r="I327" s="58"/>
      <c r="J327" s="58"/>
      <c r="K327" s="58"/>
      <c r="L327" s="58"/>
      <c r="M327" s="58"/>
      <c r="N327" s="58"/>
      <c r="O327" s="58">
        <f>1</f>
        <v>1</v>
      </c>
      <c r="P327" s="58">
        <f>6</f>
        <v>6</v>
      </c>
      <c r="Q327" s="58"/>
      <c r="R327" s="58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AT327" s="58"/>
      <c r="AU327" s="58"/>
      <c r="AV327" s="58"/>
      <c r="AW327" s="58"/>
      <c r="AX327" s="58"/>
      <c r="AY327" s="58"/>
      <c r="AZ327" s="58"/>
      <c r="BA327" s="58"/>
      <c r="BB327" s="58"/>
      <c r="BC327" s="58"/>
      <c r="BD327" s="58"/>
      <c r="BE327" s="58"/>
      <c r="BF327" s="58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</row>
    <row r="328" spans="1:68" ht="15" x14ac:dyDescent="0.2">
      <c r="A328" s="3" t="s">
        <v>765</v>
      </c>
      <c r="B328" s="3" t="s">
        <v>560</v>
      </c>
      <c r="C328" s="3" t="s">
        <v>87</v>
      </c>
      <c r="D328" s="2" t="s">
        <v>766</v>
      </c>
      <c r="E328" s="14" t="s">
        <v>75</v>
      </c>
      <c r="F328" s="3">
        <v>10</v>
      </c>
      <c r="G328" s="3">
        <v>16</v>
      </c>
      <c r="H328" s="3"/>
      <c r="I328" s="36"/>
      <c r="J328" s="36"/>
      <c r="K328" s="36"/>
      <c r="L328" s="36"/>
      <c r="M328" s="36">
        <f>6</f>
        <v>6</v>
      </c>
      <c r="N328" s="36"/>
      <c r="O328" s="36"/>
      <c r="P328" s="36"/>
      <c r="Q328" s="36"/>
      <c r="R328" s="36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>
        <v>4</v>
      </c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</row>
    <row r="329" spans="1:68" ht="15" x14ac:dyDescent="0.2">
      <c r="A329" s="3" t="s">
        <v>767</v>
      </c>
      <c r="B329" s="3" t="s">
        <v>560</v>
      </c>
      <c r="C329" s="3" t="s">
        <v>87</v>
      </c>
      <c r="D329" s="3" t="s">
        <v>768</v>
      </c>
      <c r="E329" s="14" t="s">
        <v>75</v>
      </c>
      <c r="F329" s="3">
        <v>12</v>
      </c>
      <c r="G329" s="3">
        <v>12</v>
      </c>
      <c r="H329" s="3"/>
      <c r="I329" s="36"/>
      <c r="J329" s="36"/>
      <c r="K329" s="36"/>
      <c r="L329" s="36">
        <f>6</f>
        <v>6</v>
      </c>
      <c r="M329" s="36"/>
      <c r="N329" s="36"/>
      <c r="O329" s="36"/>
      <c r="P329" s="36"/>
      <c r="Q329" s="36"/>
      <c r="R329" s="36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</row>
    <row r="330" spans="1:68" ht="15" x14ac:dyDescent="0.2">
      <c r="A330" s="3" t="s">
        <v>769</v>
      </c>
      <c r="B330" s="3" t="s">
        <v>560</v>
      </c>
      <c r="C330" s="3" t="s">
        <v>87</v>
      </c>
      <c r="D330" s="3" t="s">
        <v>770</v>
      </c>
      <c r="E330" s="3" t="s">
        <v>92</v>
      </c>
      <c r="F330" s="3">
        <v>2</v>
      </c>
      <c r="G330" s="3">
        <v>10</v>
      </c>
      <c r="H330" s="3">
        <v>2</v>
      </c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41">
        <f>27</f>
        <v>27</v>
      </c>
      <c r="BN330" s="36"/>
      <c r="BO330" s="36"/>
      <c r="BP330" s="36"/>
    </row>
    <row r="331" spans="1:68" ht="15" x14ac:dyDescent="0.2">
      <c r="A331" s="3" t="s">
        <v>771</v>
      </c>
      <c r="B331" s="3" t="s">
        <v>560</v>
      </c>
      <c r="C331" s="3" t="s">
        <v>772</v>
      </c>
      <c r="D331" s="3" t="s">
        <v>773</v>
      </c>
      <c r="E331" s="3" t="s">
        <v>173</v>
      </c>
      <c r="F331" s="3">
        <v>3</v>
      </c>
      <c r="G331" s="3">
        <v>26</v>
      </c>
      <c r="H331" s="3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36"/>
      <c r="AD331" s="36"/>
      <c r="AE331" s="36"/>
      <c r="AF331" s="36"/>
      <c r="AG331" s="43">
        <f>42</f>
        <v>42</v>
      </c>
      <c r="AH331" s="43">
        <f>25</f>
        <v>25</v>
      </c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</row>
    <row r="332" spans="1:68" ht="15" x14ac:dyDescent="0.2">
      <c r="A332" s="3" t="s">
        <v>774</v>
      </c>
      <c r="B332" s="3" t="s">
        <v>560</v>
      </c>
      <c r="C332" s="3" t="s">
        <v>772</v>
      </c>
      <c r="D332" s="3" t="s">
        <v>775</v>
      </c>
      <c r="E332" s="3" t="s">
        <v>173</v>
      </c>
      <c r="F332" s="3">
        <v>4</v>
      </c>
      <c r="G332" s="3">
        <v>8</v>
      </c>
      <c r="H332" s="3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>
        <v>2</v>
      </c>
      <c r="AM332" s="36"/>
      <c r="AN332" s="36"/>
      <c r="AO332" s="36"/>
      <c r="AP332" s="36"/>
      <c r="AQ332" s="43">
        <f>46</f>
        <v>46</v>
      </c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41">
        <f>31</f>
        <v>31</v>
      </c>
      <c r="BJ332" s="36"/>
      <c r="BK332" s="36"/>
      <c r="BL332" s="36"/>
      <c r="BM332" s="32"/>
      <c r="BN332" s="36"/>
      <c r="BO332" s="36"/>
      <c r="BP332" s="36"/>
    </row>
    <row r="333" spans="1:68" ht="15" x14ac:dyDescent="0.2">
      <c r="A333" s="3" t="s">
        <v>776</v>
      </c>
      <c r="B333" s="3" t="s">
        <v>560</v>
      </c>
      <c r="C333" s="3" t="s">
        <v>772</v>
      </c>
      <c r="D333" s="3" t="s">
        <v>777</v>
      </c>
      <c r="E333" s="3" t="s">
        <v>173</v>
      </c>
      <c r="F333" s="3">
        <v>4</v>
      </c>
      <c r="G333" s="3">
        <v>10</v>
      </c>
      <c r="H333" s="3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44"/>
      <c r="T333" s="44"/>
      <c r="U333" s="44"/>
      <c r="V333" s="44"/>
      <c r="W333" s="44"/>
      <c r="X333" s="44"/>
      <c r="Y333" s="44"/>
      <c r="Z333" s="44"/>
      <c r="AA333" s="44">
        <f>62</f>
        <v>62</v>
      </c>
      <c r="AB333" s="44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41">
        <f>76</f>
        <v>76</v>
      </c>
      <c r="BK333" s="36"/>
      <c r="BL333" s="36"/>
      <c r="BM333" s="36"/>
      <c r="BN333" s="36"/>
      <c r="BO333" s="36"/>
      <c r="BP333" s="36"/>
    </row>
    <row r="334" spans="1:68" ht="15" x14ac:dyDescent="0.2">
      <c r="A334" s="60" t="s">
        <v>778</v>
      </c>
      <c r="B334" s="61" t="s">
        <v>560</v>
      </c>
      <c r="C334" s="3" t="s">
        <v>772</v>
      </c>
      <c r="D334" s="61" t="s">
        <v>779</v>
      </c>
      <c r="E334" s="3" t="s">
        <v>173</v>
      </c>
      <c r="F334" s="3">
        <v>4</v>
      </c>
      <c r="G334" s="3">
        <v>12</v>
      </c>
      <c r="H334" s="62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63"/>
      <c r="T334" s="63">
        <v>4</v>
      </c>
      <c r="U334" s="63"/>
      <c r="V334" s="63">
        <v>10</v>
      </c>
      <c r="W334" s="63"/>
      <c r="X334" s="63"/>
      <c r="Y334" s="63"/>
      <c r="Z334" s="63"/>
      <c r="AA334" s="63"/>
      <c r="AB334" s="63"/>
      <c r="AC334" s="38">
        <f>107</f>
        <v>107</v>
      </c>
      <c r="AD334" s="45"/>
      <c r="AE334" s="45"/>
      <c r="AF334" s="45"/>
      <c r="AG334" s="36"/>
      <c r="AH334" s="36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38">
        <f>59+26</f>
        <v>85</v>
      </c>
      <c r="AX334" s="45"/>
      <c r="AY334" s="38">
        <f>112</f>
        <v>112</v>
      </c>
      <c r="AZ334" s="45"/>
      <c r="BA334" s="38">
        <f>89</f>
        <v>89</v>
      </c>
      <c r="BB334" s="45"/>
      <c r="BC334" s="45"/>
      <c r="BD334" s="45"/>
      <c r="BE334" s="45"/>
      <c r="BF334" s="45"/>
      <c r="BG334" s="36"/>
      <c r="BH334" s="41">
        <f>116</f>
        <v>116</v>
      </c>
      <c r="BI334" s="36"/>
      <c r="BJ334" s="36">
        <v>18</v>
      </c>
      <c r="BK334" s="36"/>
      <c r="BL334" s="36"/>
      <c r="BM334" s="41">
        <f>40</f>
        <v>40</v>
      </c>
      <c r="BN334" s="36"/>
      <c r="BO334" s="36"/>
      <c r="BP334" s="36"/>
    </row>
    <row r="335" spans="1:68" ht="15" x14ac:dyDescent="0.2">
      <c r="A335" s="1" t="s">
        <v>780</v>
      </c>
      <c r="B335" s="61" t="s">
        <v>560</v>
      </c>
      <c r="C335" s="3" t="s">
        <v>772</v>
      </c>
      <c r="D335" s="61" t="s">
        <v>781</v>
      </c>
      <c r="E335" s="3" t="s">
        <v>173</v>
      </c>
      <c r="F335" s="3">
        <v>4</v>
      </c>
      <c r="G335" s="3">
        <v>20</v>
      </c>
      <c r="H335" s="3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44"/>
      <c r="T335" s="44"/>
      <c r="U335" s="44"/>
      <c r="V335" s="44"/>
      <c r="W335" s="44"/>
      <c r="X335" s="44">
        <v>22</v>
      </c>
      <c r="Y335" s="44"/>
      <c r="Z335" s="44">
        <v>38</v>
      </c>
      <c r="AA335" s="44"/>
      <c r="AB335" s="44">
        <f>22</f>
        <v>22</v>
      </c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43">
        <f>31</f>
        <v>31</v>
      </c>
      <c r="BE335" s="36"/>
      <c r="BF335" s="36"/>
      <c r="BG335" s="41">
        <f>3</f>
        <v>3</v>
      </c>
      <c r="BH335" s="36"/>
      <c r="BI335" s="36"/>
      <c r="BJ335" s="36"/>
      <c r="BK335" s="36"/>
      <c r="BL335" s="36"/>
      <c r="BM335" s="53"/>
      <c r="BN335" s="36"/>
      <c r="BO335" s="36"/>
      <c r="BP335" s="36"/>
    </row>
    <row r="336" spans="1:68" ht="15" x14ac:dyDescent="0.2">
      <c r="A336" s="1" t="s">
        <v>782</v>
      </c>
      <c r="B336" s="61" t="s">
        <v>560</v>
      </c>
      <c r="C336" s="3" t="s">
        <v>772</v>
      </c>
      <c r="D336" s="61" t="s">
        <v>783</v>
      </c>
      <c r="E336" s="3" t="s">
        <v>173</v>
      </c>
      <c r="F336" s="3">
        <v>4</v>
      </c>
      <c r="G336" s="3">
        <v>26</v>
      </c>
      <c r="H336" s="3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36"/>
      <c r="AD336" s="43">
        <f>37</f>
        <v>37</v>
      </c>
      <c r="AE336" s="43">
        <f>84</f>
        <v>84</v>
      </c>
      <c r="AF336" s="43">
        <f>20</f>
        <v>20</v>
      </c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43">
        <f>39</f>
        <v>39</v>
      </c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</row>
    <row r="337" spans="1:68" ht="14" x14ac:dyDescent="0.2">
      <c r="A337" s="51" t="s">
        <v>784</v>
      </c>
      <c r="B337" s="64" t="s">
        <v>560</v>
      </c>
      <c r="C337" s="64" t="s">
        <v>157</v>
      </c>
      <c r="D337" s="64" t="s">
        <v>785</v>
      </c>
      <c r="E337" s="64" t="s">
        <v>75</v>
      </c>
      <c r="F337" s="3">
        <v>5.5</v>
      </c>
      <c r="G337" s="3">
        <v>5.5</v>
      </c>
      <c r="H337" s="3"/>
      <c r="I337" s="36">
        <v>142</v>
      </c>
      <c r="J337" s="36">
        <v>146</v>
      </c>
      <c r="K337" s="36">
        <v>74</v>
      </c>
      <c r="L337" s="32">
        <v>79</v>
      </c>
      <c r="M337" s="36">
        <v>38</v>
      </c>
      <c r="N337" s="36">
        <v>52</v>
      </c>
      <c r="O337" s="36">
        <f>34</f>
        <v>34</v>
      </c>
      <c r="P337" s="36">
        <f>145</f>
        <v>145</v>
      </c>
      <c r="Q337" s="36">
        <f>159</f>
        <v>159</v>
      </c>
      <c r="R337" s="36">
        <f>193</f>
        <v>193</v>
      </c>
      <c r="S337" s="44">
        <v>242</v>
      </c>
      <c r="T337" s="44">
        <v>191</v>
      </c>
      <c r="U337" s="32">
        <v>183</v>
      </c>
      <c r="V337" s="44">
        <v>200</v>
      </c>
      <c r="W337" s="44">
        <v>274</v>
      </c>
      <c r="X337" s="44">
        <v>270</v>
      </c>
      <c r="Y337" s="44">
        <v>271</v>
      </c>
      <c r="Z337" s="44">
        <v>163</v>
      </c>
      <c r="AA337" s="44">
        <v>209</v>
      </c>
      <c r="AB337" s="44">
        <v>162</v>
      </c>
      <c r="AC337" s="43">
        <v>119</v>
      </c>
      <c r="AD337" s="43">
        <f>118</f>
        <v>118</v>
      </c>
      <c r="AE337" s="43">
        <v>125</v>
      </c>
      <c r="AF337" s="43">
        <f>64</f>
        <v>64</v>
      </c>
      <c r="AG337" s="43">
        <f>123</f>
        <v>123</v>
      </c>
      <c r="AH337" s="43">
        <f>168</f>
        <v>168</v>
      </c>
      <c r="AI337" s="43">
        <f>133</f>
        <v>133</v>
      </c>
      <c r="AJ337" s="43">
        <f>106</f>
        <v>106</v>
      </c>
      <c r="AK337" s="43">
        <f>87</f>
        <v>87</v>
      </c>
      <c r="AL337" s="43">
        <v>209</v>
      </c>
      <c r="AM337" s="43">
        <f>108</f>
        <v>108</v>
      </c>
      <c r="AN337" s="43">
        <f>413</f>
        <v>413</v>
      </c>
      <c r="AO337" s="43">
        <f>271</f>
        <v>271</v>
      </c>
      <c r="AP337" s="43">
        <f>268</f>
        <v>268</v>
      </c>
      <c r="AQ337" s="43">
        <f>212</f>
        <v>212</v>
      </c>
      <c r="AR337" s="43">
        <f>260</f>
        <v>260</v>
      </c>
      <c r="AS337" s="43">
        <v>267</v>
      </c>
      <c r="AT337" s="43">
        <f>100</f>
        <v>100</v>
      </c>
      <c r="AU337" s="43">
        <f>159</f>
        <v>159</v>
      </c>
      <c r="AV337" s="43">
        <f>117</f>
        <v>117</v>
      </c>
      <c r="AW337" s="43">
        <f>72+3+8+2+69</f>
        <v>154</v>
      </c>
      <c r="AX337" s="43">
        <f>4+108</f>
        <v>112</v>
      </c>
      <c r="AY337" s="43">
        <f>102</f>
        <v>102</v>
      </c>
      <c r="AZ337" s="43">
        <f>107</f>
        <v>107</v>
      </c>
      <c r="BA337" s="43">
        <f>136</f>
        <v>136</v>
      </c>
      <c r="BB337" s="43">
        <f>204</f>
        <v>204</v>
      </c>
      <c r="BC337" s="43">
        <f>127</f>
        <v>127</v>
      </c>
      <c r="BD337" s="43">
        <f>223</f>
        <v>223</v>
      </c>
      <c r="BE337" s="49">
        <v>90</v>
      </c>
      <c r="BF337" s="43">
        <f>135</f>
        <v>135</v>
      </c>
      <c r="BG337" s="41">
        <f>32</f>
        <v>32</v>
      </c>
      <c r="BH337" s="41">
        <v>113</v>
      </c>
      <c r="BI337" s="41">
        <v>181</v>
      </c>
      <c r="BJ337" s="41">
        <v>168</v>
      </c>
      <c r="BK337" s="41">
        <f>138+14</f>
        <v>152</v>
      </c>
      <c r="BL337" s="50">
        <v>127</v>
      </c>
      <c r="BM337" s="41">
        <f>374</f>
        <v>374</v>
      </c>
      <c r="BN337" s="50">
        <v>112</v>
      </c>
      <c r="BO337" s="41">
        <f>92</f>
        <v>92</v>
      </c>
      <c r="BP337" s="41">
        <f>108</f>
        <v>108</v>
      </c>
    </row>
    <row r="338" spans="1:68" ht="14" x14ac:dyDescent="0.2">
      <c r="A338" s="65" t="s">
        <v>786</v>
      </c>
      <c r="B338" s="66" t="s">
        <v>560</v>
      </c>
      <c r="C338" s="66" t="s">
        <v>157</v>
      </c>
      <c r="D338" s="66" t="s">
        <v>787</v>
      </c>
      <c r="E338" s="64" t="s">
        <v>75</v>
      </c>
      <c r="F338" s="15">
        <v>9.5</v>
      </c>
      <c r="G338" s="15">
        <v>9.5</v>
      </c>
      <c r="H338" s="15"/>
      <c r="I338" s="58">
        <v>29</v>
      </c>
      <c r="J338" s="67">
        <v>25</v>
      </c>
      <c r="K338" s="58">
        <f>1+6</f>
        <v>7</v>
      </c>
      <c r="L338" s="67">
        <v>17</v>
      </c>
      <c r="M338" s="58">
        <v>10</v>
      </c>
      <c r="N338" s="58">
        <v>11</v>
      </c>
      <c r="O338" s="58">
        <f>7</f>
        <v>7</v>
      </c>
      <c r="P338" s="58">
        <f>36</f>
        <v>36</v>
      </c>
      <c r="Q338" s="58">
        <f>33</f>
        <v>33</v>
      </c>
      <c r="R338" s="58">
        <f>29</f>
        <v>29</v>
      </c>
      <c r="S338" s="59">
        <v>62</v>
      </c>
      <c r="T338" s="59">
        <v>14</v>
      </c>
      <c r="U338" s="67">
        <v>18</v>
      </c>
      <c r="V338" s="59">
        <v>14</v>
      </c>
      <c r="W338" s="59">
        <v>11</v>
      </c>
      <c r="X338" s="59">
        <v>25</v>
      </c>
      <c r="Y338" s="59">
        <v>14</v>
      </c>
      <c r="Z338" s="59">
        <v>7</v>
      </c>
      <c r="AA338" s="59">
        <v>20</v>
      </c>
      <c r="AB338" s="59">
        <v>20</v>
      </c>
      <c r="AC338" s="68">
        <v>112</v>
      </c>
      <c r="AD338" s="68">
        <f>38</f>
        <v>38</v>
      </c>
      <c r="AE338" s="68">
        <f>13</f>
        <v>13</v>
      </c>
      <c r="AF338" s="68">
        <f>17</f>
        <v>17</v>
      </c>
      <c r="AG338" s="68">
        <f>16</f>
        <v>16</v>
      </c>
      <c r="AH338" s="68">
        <f>8</f>
        <v>8</v>
      </c>
      <c r="AI338" s="68">
        <f>4</f>
        <v>4</v>
      </c>
      <c r="AJ338" s="68">
        <f>16</f>
        <v>16</v>
      </c>
      <c r="AK338" s="68">
        <f>2</f>
        <v>2</v>
      </c>
      <c r="AL338" s="68">
        <v>15</v>
      </c>
      <c r="AM338" s="68">
        <f>70</f>
        <v>70</v>
      </c>
      <c r="AN338" s="68">
        <f>56</f>
        <v>56</v>
      </c>
      <c r="AO338" s="68">
        <f>13</f>
        <v>13</v>
      </c>
      <c r="AP338" s="68">
        <f>16</f>
        <v>16</v>
      </c>
      <c r="AQ338" s="68">
        <f>14</f>
        <v>14</v>
      </c>
      <c r="AR338" s="68">
        <f>39</f>
        <v>39</v>
      </c>
      <c r="AS338" s="68">
        <f>24+3</f>
        <v>27</v>
      </c>
      <c r="AT338" s="68">
        <f>17</f>
        <v>17</v>
      </c>
      <c r="AU338" s="68">
        <f>20</f>
        <v>20</v>
      </c>
      <c r="AV338" s="68">
        <f>27</f>
        <v>27</v>
      </c>
      <c r="AW338" s="58"/>
      <c r="AX338" s="68">
        <f>22</f>
        <v>22</v>
      </c>
      <c r="AY338" s="68">
        <f>20</f>
        <v>20</v>
      </c>
      <c r="AZ338" s="68">
        <f>44</f>
        <v>44</v>
      </c>
      <c r="BA338" s="68">
        <f>9</f>
        <v>9</v>
      </c>
      <c r="BB338" s="68">
        <f>10+2</f>
        <v>12</v>
      </c>
      <c r="BC338" s="68">
        <f>15</f>
        <v>15</v>
      </c>
      <c r="BD338" s="68">
        <f>35</f>
        <v>35</v>
      </c>
      <c r="BE338" s="69">
        <v>19</v>
      </c>
      <c r="BF338" s="68">
        <f>26</f>
        <v>26</v>
      </c>
      <c r="BG338" s="41">
        <f>16</f>
        <v>16</v>
      </c>
      <c r="BH338" s="70">
        <v>15</v>
      </c>
      <c r="BI338" s="70">
        <v>20</v>
      </c>
      <c r="BJ338" s="70">
        <v>23</v>
      </c>
      <c r="BK338" s="70">
        <v>15</v>
      </c>
      <c r="BL338" s="71">
        <v>50</v>
      </c>
      <c r="BM338" s="70">
        <f>109</f>
        <v>109</v>
      </c>
      <c r="BN338" s="71">
        <v>37</v>
      </c>
      <c r="BO338" s="70">
        <f>61</f>
        <v>61</v>
      </c>
      <c r="BP338" s="70">
        <f>103</f>
        <v>103</v>
      </c>
    </row>
    <row r="339" spans="1:68" ht="14" x14ac:dyDescent="0.2">
      <c r="A339" s="51" t="s">
        <v>788</v>
      </c>
      <c r="B339" s="66" t="s">
        <v>560</v>
      </c>
      <c r="C339" s="66" t="s">
        <v>157</v>
      </c>
      <c r="D339" s="66" t="s">
        <v>789</v>
      </c>
      <c r="E339" s="64" t="s">
        <v>75</v>
      </c>
      <c r="F339" s="3">
        <v>14</v>
      </c>
      <c r="G339" s="3">
        <v>14</v>
      </c>
      <c r="H339" s="3"/>
      <c r="I339" s="36"/>
      <c r="J339" s="36"/>
      <c r="K339" s="36"/>
      <c r="L339" s="36"/>
      <c r="M339" s="36"/>
      <c r="N339" s="36"/>
      <c r="O339" s="36"/>
      <c r="P339" s="36">
        <f>4</f>
        <v>4</v>
      </c>
      <c r="Q339" s="36"/>
      <c r="R339" s="36">
        <f>4</f>
        <v>4</v>
      </c>
      <c r="S339" s="44">
        <v>25</v>
      </c>
      <c r="T339" s="44"/>
      <c r="U339" s="44"/>
      <c r="V339" s="44"/>
      <c r="W339" s="44"/>
      <c r="X339" s="44"/>
      <c r="Y339" s="44"/>
      <c r="Z339" s="44"/>
      <c r="AA339" s="44"/>
      <c r="AB339" s="44"/>
      <c r="AC339" s="43">
        <f>14</f>
        <v>14</v>
      </c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43">
        <f>3</f>
        <v>3</v>
      </c>
      <c r="AO339" s="36"/>
      <c r="AP339" s="36"/>
      <c r="AQ339" s="43">
        <f>8</f>
        <v>8</v>
      </c>
      <c r="AR339" s="43">
        <f>7</f>
        <v>7</v>
      </c>
      <c r="AS339" s="43">
        <f>3</f>
        <v>3</v>
      </c>
      <c r="AT339" s="36"/>
      <c r="AU339" s="36"/>
      <c r="AV339" s="36"/>
      <c r="AW339" s="36"/>
      <c r="AX339" s="36"/>
      <c r="AY339" s="43">
        <f>2</f>
        <v>2</v>
      </c>
      <c r="AZ339" s="43">
        <f>11+2</f>
        <v>13</v>
      </c>
      <c r="BA339" s="43">
        <f>5</f>
        <v>5</v>
      </c>
      <c r="BB339" s="43">
        <f>2</f>
        <v>2</v>
      </c>
      <c r="BC339" s="43">
        <f>4</f>
        <v>4</v>
      </c>
      <c r="BD339" s="43">
        <f>1</f>
        <v>1</v>
      </c>
      <c r="BE339" s="36"/>
      <c r="BF339" s="36"/>
      <c r="BG339" s="36">
        <f>7+3</f>
        <v>10</v>
      </c>
      <c r="BH339" s="41">
        <v>6</v>
      </c>
      <c r="BI339" s="41">
        <v>9</v>
      </c>
      <c r="BJ339" s="41">
        <v>16</v>
      </c>
      <c r="BK339" s="41">
        <v>10</v>
      </c>
      <c r="BL339" s="50">
        <v>31</v>
      </c>
      <c r="BM339" s="41">
        <f>6</f>
        <v>6</v>
      </c>
      <c r="BN339" s="50">
        <v>12</v>
      </c>
      <c r="BO339" s="41">
        <f>10</f>
        <v>10</v>
      </c>
      <c r="BP339" s="41">
        <f>30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100xforR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Adams</dc:creator>
  <cp:lastModifiedBy>Allison Adams</cp:lastModifiedBy>
  <dcterms:created xsi:type="dcterms:W3CDTF">2022-07-01T23:38:52Z</dcterms:created>
  <dcterms:modified xsi:type="dcterms:W3CDTF">2022-09-22T21:25:59Z</dcterms:modified>
</cp:coreProperties>
</file>