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ey\Documents\Sheffield Hallam\Year 2\Semester 2\Professional Software Projects\Assignment\3SquaredGroup2\"/>
    </mc:Choice>
  </mc:AlternateContent>
  <xr:revisionPtr revIDLastSave="0" documentId="8_{D5A66FD9-9CE7-46F3-9149-D0997648FFC6}" xr6:coauthVersionLast="47" xr6:coauthVersionMax="47" xr10:uidLastSave="{00000000-0000-0000-0000-000000000000}"/>
  <bookViews>
    <workbookView xWindow="-108" yWindow="-108" windowWidth="23256" windowHeight="12576" xr2:uid="{76A974CA-18E8-49A5-B9E1-58C200ED41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F18" i="1"/>
  <c r="D19" i="1"/>
  <c r="E19" i="1"/>
  <c r="F19" i="1"/>
  <c r="D20" i="1"/>
  <c r="D21" i="1"/>
  <c r="E21" i="1"/>
  <c r="F21" i="1"/>
  <c r="D22" i="1"/>
  <c r="F22" i="1"/>
  <c r="D23" i="1"/>
  <c r="E23" i="1"/>
  <c r="F23" i="1"/>
  <c r="D24" i="1"/>
  <c r="F24" i="1"/>
  <c r="D25" i="1"/>
  <c r="E25" i="1"/>
  <c r="F25" i="1"/>
  <c r="D26" i="1"/>
  <c r="E26" i="1"/>
  <c r="F26" i="1"/>
  <c r="D27" i="1"/>
  <c r="E27" i="1"/>
  <c r="F27" i="1"/>
  <c r="D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D34" i="1"/>
  <c r="E34" i="1"/>
  <c r="F34" i="1"/>
  <c r="D35" i="1"/>
  <c r="D36" i="1"/>
  <c r="E36" i="1"/>
  <c r="F36" i="1"/>
  <c r="D37" i="1"/>
  <c r="F37" i="1"/>
  <c r="D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F70" i="1"/>
  <c r="D71" i="1"/>
  <c r="E71" i="1"/>
  <c r="F71" i="1"/>
  <c r="D72" i="1"/>
  <c r="E72" i="1"/>
  <c r="F72" i="1"/>
  <c r="D73" i="1"/>
  <c r="E73" i="1"/>
  <c r="F73" i="1"/>
  <c r="D74" i="1"/>
  <c r="F74" i="1"/>
  <c r="D75" i="1"/>
  <c r="E75" i="1"/>
  <c r="F75" i="1"/>
  <c r="D76" i="1"/>
  <c r="F76" i="1"/>
  <c r="D77" i="1"/>
  <c r="E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D89" i="1"/>
  <c r="F89" i="1"/>
  <c r="D90" i="1"/>
  <c r="F90" i="1"/>
  <c r="D91" i="1"/>
  <c r="F91" i="1"/>
  <c r="D92" i="1"/>
  <c r="E92" i="1"/>
  <c r="F92" i="1"/>
  <c r="D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E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E124" i="1"/>
  <c r="F124" i="1"/>
  <c r="D125" i="1"/>
  <c r="E125" i="1"/>
  <c r="F125" i="1"/>
  <c r="D126" i="1"/>
  <c r="E126" i="1"/>
  <c r="F126" i="1"/>
  <c r="D127" i="1"/>
  <c r="F127" i="1"/>
  <c r="D128" i="1"/>
  <c r="F128" i="1"/>
  <c r="D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E141" i="1"/>
  <c r="F141" i="1"/>
  <c r="D142" i="1"/>
  <c r="E142" i="1"/>
  <c r="F142" i="1"/>
  <c r="D143" i="1"/>
  <c r="F143" i="1"/>
  <c r="D144" i="1"/>
  <c r="E144" i="1"/>
  <c r="F144" i="1"/>
  <c r="D145" i="1"/>
  <c r="E145" i="1"/>
  <c r="F145" i="1"/>
  <c r="D146" i="1"/>
  <c r="D147" i="1"/>
  <c r="F147" i="1"/>
  <c r="D148" i="1"/>
  <c r="D149" i="1"/>
  <c r="E149" i="1"/>
  <c r="F149" i="1"/>
  <c r="D150" i="1"/>
  <c r="E150" i="1"/>
  <c r="F150" i="1"/>
  <c r="D151" i="1"/>
  <c r="F151" i="1"/>
  <c r="D152" i="1"/>
  <c r="F152" i="1"/>
  <c r="D153" i="1"/>
  <c r="F153" i="1"/>
  <c r="D154" i="1"/>
  <c r="F154" i="1"/>
  <c r="D155" i="1"/>
  <c r="E155" i="1"/>
  <c r="F155" i="1"/>
  <c r="D156" i="1"/>
  <c r="F156" i="1"/>
  <c r="D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F167" i="1"/>
  <c r="D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F174" i="1"/>
  <c r="D175" i="1"/>
  <c r="F175" i="1"/>
  <c r="D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D189" i="1"/>
  <c r="D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F195" i="1"/>
  <c r="D196" i="1"/>
  <c r="F196" i="1"/>
  <c r="D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F232" i="1"/>
  <c r="D233" i="1"/>
  <c r="E233" i="1"/>
  <c r="F233" i="1"/>
  <c r="D234" i="1"/>
  <c r="E234" i="1"/>
  <c r="F234" i="1"/>
  <c r="D235" i="1"/>
  <c r="E235" i="1"/>
  <c r="F235" i="1"/>
  <c r="D236" i="1"/>
  <c r="F236" i="1"/>
  <c r="D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D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F268" i="1"/>
  <c r="D269" i="1"/>
  <c r="E269" i="1"/>
  <c r="F269" i="1"/>
  <c r="D270" i="1"/>
  <c r="E270" i="1"/>
  <c r="F270" i="1"/>
  <c r="D271" i="1"/>
  <c r="D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D296" i="1"/>
  <c r="D297" i="1"/>
  <c r="D298" i="1"/>
  <c r="E298" i="1"/>
  <c r="F298" i="1"/>
  <c r="D299" i="1"/>
  <c r="E299" i="1"/>
  <c r="F299" i="1"/>
  <c r="D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F306" i="1"/>
  <c r="D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D327" i="1"/>
  <c r="E327" i="1"/>
  <c r="F327" i="1"/>
  <c r="D328" i="1"/>
  <c r="D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D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F344" i="1"/>
  <c r="D345" i="1"/>
  <c r="E345" i="1"/>
  <c r="F345" i="1"/>
  <c r="D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F385" i="1"/>
  <c r="D386" i="1"/>
  <c r="E386" i="1"/>
  <c r="F386" i="1"/>
  <c r="D387" i="1"/>
  <c r="E387" i="1"/>
  <c r="F387" i="1"/>
  <c r="D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D431" i="1"/>
  <c r="E431" i="1"/>
  <c r="F431" i="1"/>
  <c r="D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F439" i="1"/>
  <c r="D440" i="1"/>
  <c r="E440" i="1"/>
  <c r="F440" i="1"/>
  <c r="D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D455" i="1"/>
  <c r="E455" i="1"/>
  <c r="F455" i="1"/>
  <c r="D456" i="1"/>
  <c r="E456" i="1"/>
  <c r="F456" i="1"/>
  <c r="D457" i="1"/>
  <c r="F457" i="1"/>
  <c r="D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F469" i="1"/>
  <c r="D470" i="1"/>
  <c r="F470" i="1"/>
  <c r="D471" i="1"/>
  <c r="E471" i="1"/>
  <c r="F471" i="1"/>
  <c r="D472" i="1"/>
  <c r="E472" i="1"/>
  <c r="F472" i="1"/>
  <c r="D473" i="1"/>
  <c r="F473" i="1"/>
  <c r="D474" i="1"/>
  <c r="F474" i="1"/>
  <c r="D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F487" i="1"/>
  <c r="D488" i="1"/>
  <c r="F488" i="1"/>
  <c r="D489" i="1"/>
  <c r="E489" i="1"/>
  <c r="F489" i="1"/>
  <c r="D490" i="1"/>
  <c r="E490" i="1"/>
  <c r="F490" i="1"/>
  <c r="D491" i="1"/>
  <c r="E491" i="1"/>
  <c r="F491" i="1"/>
  <c r="D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D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F506" i="1"/>
  <c r="D507" i="1"/>
  <c r="F507" i="1"/>
  <c r="D508" i="1"/>
  <c r="E508" i="1"/>
  <c r="F508" i="1"/>
  <c r="D509" i="1"/>
  <c r="E509" i="1"/>
  <c r="F509" i="1"/>
  <c r="D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D517" i="1"/>
  <c r="E517" i="1"/>
  <c r="F517" i="1"/>
  <c r="D518" i="1"/>
  <c r="E518" i="1"/>
  <c r="F518" i="1"/>
  <c r="D519" i="1"/>
  <c r="F519" i="1"/>
  <c r="D520" i="1"/>
  <c r="F520" i="1"/>
  <c r="D521" i="1"/>
  <c r="E521" i="1"/>
  <c r="F521" i="1"/>
  <c r="D522" i="1"/>
  <c r="F522" i="1"/>
  <c r="D523" i="1"/>
  <c r="F523" i="1"/>
  <c r="D524" i="1"/>
  <c r="F524" i="1"/>
  <c r="D525" i="1"/>
  <c r="F525" i="1"/>
  <c r="D526" i="1"/>
  <c r="F526" i="1"/>
  <c r="D527" i="1"/>
  <c r="E527" i="1"/>
  <c r="F527" i="1"/>
  <c r="D528" i="1"/>
  <c r="E528" i="1"/>
  <c r="F528" i="1"/>
  <c r="D529" i="1"/>
  <c r="E529" i="1"/>
  <c r="F529" i="1"/>
  <c r="D530" i="1"/>
  <c r="F530" i="1"/>
  <c r="D531" i="1"/>
  <c r="E531" i="1"/>
  <c r="F531" i="1"/>
  <c r="D532" i="1"/>
  <c r="E532" i="1"/>
  <c r="F532" i="1"/>
  <c r="D533" i="1"/>
  <c r="E533" i="1"/>
  <c r="F533" i="1"/>
  <c r="D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D554" i="1"/>
  <c r="E554" i="1"/>
  <c r="F554" i="1"/>
  <c r="D555" i="1"/>
  <c r="E555" i="1"/>
  <c r="F555" i="1"/>
  <c r="D556" i="1"/>
  <c r="F556" i="1"/>
  <c r="D557" i="1"/>
  <c r="E557" i="1"/>
  <c r="F557" i="1"/>
  <c r="D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F568" i="1"/>
  <c r="D569" i="1"/>
  <c r="E569" i="1"/>
  <c r="F569" i="1"/>
  <c r="D570" i="1"/>
  <c r="E570" i="1"/>
  <c r="F570" i="1"/>
  <c r="D571" i="1"/>
  <c r="E571" i="1"/>
  <c r="F571" i="1"/>
  <c r="D572" i="1"/>
  <c r="F572" i="1"/>
  <c r="D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F580" i="1"/>
  <c r="D581" i="1"/>
  <c r="F581" i="1"/>
  <c r="D582" i="1"/>
  <c r="E582" i="1"/>
  <c r="F582" i="1"/>
  <c r="D583" i="1"/>
  <c r="E583" i="1"/>
  <c r="F583" i="1"/>
  <c r="D584" i="1"/>
  <c r="F584" i="1"/>
  <c r="D585" i="1"/>
  <c r="E585" i="1"/>
  <c r="F585" i="1"/>
  <c r="D586" i="1"/>
  <c r="E586" i="1"/>
  <c r="F586" i="1"/>
  <c r="D587" i="1"/>
  <c r="E587" i="1"/>
  <c r="F587" i="1"/>
  <c r="D588" i="1"/>
  <c r="F588" i="1"/>
  <c r="D589" i="1"/>
  <c r="E589" i="1"/>
  <c r="F589" i="1"/>
  <c r="D590" i="1"/>
  <c r="E590" i="1"/>
  <c r="F590" i="1"/>
  <c r="D591" i="1"/>
  <c r="E591" i="1"/>
  <c r="F591" i="1"/>
  <c r="D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F609" i="1"/>
  <c r="D610" i="1"/>
  <c r="E610" i="1"/>
  <c r="F610" i="1"/>
  <c r="D611" i="1"/>
  <c r="E611" i="1"/>
  <c r="F611" i="1"/>
  <c r="D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F618" i="1"/>
  <c r="D619" i="1"/>
  <c r="E619" i="1"/>
  <c r="F619" i="1"/>
  <c r="D620" i="1"/>
  <c r="E620" i="1"/>
  <c r="F620" i="1"/>
  <c r="D621" i="1"/>
  <c r="F621" i="1"/>
  <c r="D622" i="1"/>
  <c r="E622" i="1"/>
  <c r="F622" i="1"/>
  <c r="D623" i="1"/>
  <c r="E623" i="1"/>
  <c r="F623" i="1"/>
  <c r="D624" i="1"/>
  <c r="E624" i="1"/>
  <c r="F624" i="1"/>
  <c r="D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F676" i="1"/>
  <c r="D677" i="1"/>
  <c r="E677" i="1"/>
  <c r="F677" i="1"/>
  <c r="D678" i="1"/>
  <c r="E678" i="1"/>
  <c r="F678" i="1"/>
  <c r="D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D716" i="1"/>
  <c r="E716" i="1"/>
  <c r="F716" i="1"/>
  <c r="D717" i="1"/>
  <c r="E717" i="1"/>
  <c r="F717" i="1"/>
  <c r="D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D732" i="1"/>
  <c r="E732" i="1"/>
  <c r="F732" i="1"/>
  <c r="D733" i="1"/>
  <c r="F733" i="1"/>
  <c r="D734" i="1"/>
  <c r="E734" i="1"/>
  <c r="F734" i="1"/>
  <c r="D735" i="1"/>
  <c r="E735" i="1"/>
  <c r="F735" i="1"/>
  <c r="D736" i="1"/>
  <c r="E736" i="1"/>
  <c r="F736" i="1"/>
  <c r="D737" i="1"/>
  <c r="F737" i="1"/>
  <c r="D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D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C756" i="1"/>
  <c r="B756" i="1"/>
  <c r="A756" i="1"/>
  <c r="C755" i="1"/>
  <c r="B755" i="1"/>
  <c r="A755" i="1"/>
  <c r="C754" i="1"/>
  <c r="A754" i="1"/>
  <c r="C753" i="1"/>
  <c r="A753" i="1"/>
  <c r="C752" i="1"/>
  <c r="A752" i="1"/>
  <c r="C751" i="1"/>
  <c r="B751" i="1"/>
  <c r="A751" i="1"/>
  <c r="C750" i="1"/>
  <c r="A750" i="1"/>
  <c r="C749" i="1"/>
  <c r="A749" i="1"/>
  <c r="C748" i="1"/>
  <c r="A748" i="1"/>
  <c r="C747" i="1"/>
  <c r="A747" i="1"/>
  <c r="C746" i="1"/>
  <c r="A746" i="1"/>
  <c r="C745" i="1"/>
  <c r="A745" i="1"/>
  <c r="C744" i="1"/>
  <c r="B744" i="1"/>
  <c r="A744" i="1"/>
  <c r="C743" i="1"/>
  <c r="A743" i="1"/>
  <c r="C742" i="1"/>
  <c r="A742" i="1"/>
  <c r="C741" i="1"/>
  <c r="A741" i="1"/>
  <c r="C740" i="1"/>
  <c r="A740" i="1"/>
  <c r="C739" i="1"/>
  <c r="B739" i="1"/>
  <c r="A739" i="1"/>
  <c r="C738" i="1"/>
  <c r="B738" i="1"/>
  <c r="A738" i="1"/>
  <c r="C737" i="1"/>
  <c r="B737" i="1"/>
  <c r="A737" i="1"/>
  <c r="C736" i="1"/>
  <c r="A736" i="1"/>
  <c r="C735" i="1"/>
  <c r="A735" i="1"/>
  <c r="C734" i="1"/>
  <c r="B734" i="1"/>
  <c r="A734" i="1"/>
  <c r="C733" i="1"/>
  <c r="A733" i="1"/>
  <c r="C732" i="1"/>
  <c r="A732" i="1"/>
  <c r="C731" i="1"/>
  <c r="A731" i="1"/>
  <c r="C730" i="1"/>
  <c r="A730" i="1"/>
  <c r="C729" i="1"/>
  <c r="A729" i="1"/>
  <c r="C728" i="1"/>
  <c r="A728" i="1"/>
  <c r="C727" i="1"/>
  <c r="B727" i="1"/>
  <c r="A727" i="1"/>
  <c r="C726" i="1"/>
  <c r="A726" i="1"/>
  <c r="C725" i="1"/>
  <c r="B725" i="1"/>
  <c r="A725" i="1"/>
  <c r="C724" i="1"/>
  <c r="A724" i="1"/>
  <c r="C723" i="1"/>
  <c r="B723" i="1"/>
  <c r="A723" i="1"/>
  <c r="C722" i="1"/>
  <c r="B722" i="1"/>
  <c r="A722" i="1"/>
  <c r="C721" i="1"/>
  <c r="B721" i="1"/>
  <c r="A721" i="1"/>
  <c r="C720" i="1"/>
  <c r="A720" i="1"/>
  <c r="C719" i="1"/>
  <c r="B719" i="1"/>
  <c r="A719" i="1"/>
  <c r="C718" i="1"/>
  <c r="A718" i="1"/>
  <c r="C717" i="1"/>
  <c r="B717" i="1"/>
  <c r="A717" i="1"/>
  <c r="C716" i="1"/>
  <c r="A716" i="1"/>
  <c r="A715" i="1"/>
  <c r="C714" i="1"/>
  <c r="B714" i="1"/>
  <c r="A714" i="1"/>
  <c r="C713" i="1"/>
  <c r="B713" i="1"/>
  <c r="A713" i="1"/>
  <c r="C712" i="1"/>
  <c r="A712" i="1"/>
  <c r="C711" i="1"/>
  <c r="B711" i="1"/>
  <c r="A711" i="1"/>
  <c r="C710" i="1"/>
  <c r="B710" i="1"/>
  <c r="A710" i="1"/>
  <c r="C709" i="1"/>
  <c r="A709" i="1"/>
  <c r="C708" i="1"/>
  <c r="A708" i="1"/>
  <c r="C707" i="1"/>
  <c r="A707" i="1"/>
  <c r="C706" i="1"/>
  <c r="A706" i="1"/>
  <c r="C705" i="1"/>
  <c r="A705" i="1"/>
  <c r="C704" i="1"/>
  <c r="A704" i="1"/>
  <c r="C703" i="1"/>
  <c r="A703" i="1"/>
  <c r="C702" i="1"/>
  <c r="A702" i="1"/>
  <c r="C701" i="1"/>
  <c r="A701" i="1"/>
  <c r="C700" i="1"/>
  <c r="A700" i="1"/>
  <c r="C699" i="1"/>
  <c r="A699" i="1"/>
  <c r="C698" i="1"/>
  <c r="A698" i="1"/>
  <c r="C697" i="1"/>
  <c r="A697" i="1"/>
  <c r="C696" i="1"/>
  <c r="A696" i="1"/>
  <c r="C695" i="1"/>
  <c r="A695" i="1"/>
  <c r="C694" i="1"/>
  <c r="A694" i="1"/>
  <c r="C693" i="1"/>
  <c r="A693" i="1"/>
  <c r="C692" i="1"/>
  <c r="A692" i="1"/>
  <c r="C691" i="1"/>
  <c r="B691" i="1"/>
  <c r="A691" i="1"/>
  <c r="C690" i="1"/>
  <c r="A690" i="1"/>
  <c r="C689" i="1"/>
  <c r="A689" i="1"/>
  <c r="C688" i="1"/>
  <c r="B688" i="1"/>
  <c r="A688" i="1"/>
  <c r="C687" i="1"/>
  <c r="A687" i="1"/>
  <c r="C686" i="1"/>
  <c r="A686" i="1"/>
  <c r="C685" i="1"/>
  <c r="A685" i="1"/>
  <c r="C684" i="1"/>
  <c r="A684" i="1"/>
  <c r="C683" i="1"/>
  <c r="A683" i="1"/>
  <c r="C682" i="1"/>
  <c r="A682" i="1"/>
  <c r="C681" i="1"/>
  <c r="A681" i="1"/>
  <c r="C680" i="1"/>
  <c r="A680" i="1"/>
  <c r="C679" i="1"/>
  <c r="B679" i="1"/>
  <c r="A679" i="1"/>
  <c r="C678" i="1"/>
  <c r="B678" i="1"/>
  <c r="A678" i="1"/>
  <c r="C677" i="1"/>
  <c r="B677" i="1"/>
  <c r="A677" i="1"/>
  <c r="C676" i="1"/>
  <c r="A676" i="1"/>
  <c r="C675" i="1"/>
  <c r="B675" i="1"/>
  <c r="A675" i="1"/>
  <c r="C674" i="1"/>
  <c r="B674" i="1"/>
  <c r="A674" i="1"/>
  <c r="C673" i="1"/>
  <c r="B673" i="1"/>
  <c r="A673" i="1"/>
  <c r="C672" i="1"/>
  <c r="A672" i="1"/>
  <c r="C671" i="1"/>
  <c r="A671" i="1"/>
  <c r="C670" i="1"/>
  <c r="B670" i="1"/>
  <c r="A670" i="1"/>
  <c r="C669" i="1"/>
  <c r="A669" i="1"/>
  <c r="C668" i="1"/>
  <c r="A668" i="1"/>
  <c r="C667" i="1"/>
  <c r="A667" i="1"/>
  <c r="C666" i="1"/>
  <c r="A666" i="1"/>
  <c r="C665" i="1"/>
  <c r="A665" i="1"/>
  <c r="C664" i="1"/>
  <c r="A664" i="1"/>
  <c r="C663" i="1"/>
  <c r="A663" i="1"/>
  <c r="C662" i="1"/>
  <c r="A662" i="1"/>
  <c r="C661" i="1"/>
  <c r="A661" i="1"/>
  <c r="C660" i="1"/>
  <c r="A660" i="1"/>
  <c r="C659" i="1"/>
  <c r="A659" i="1"/>
  <c r="C658" i="1"/>
  <c r="A658" i="1"/>
  <c r="C657" i="1"/>
  <c r="A657" i="1"/>
  <c r="C656" i="1"/>
  <c r="A656" i="1"/>
  <c r="C655" i="1"/>
  <c r="A655" i="1"/>
  <c r="C654" i="1"/>
  <c r="A654" i="1"/>
  <c r="C653" i="1"/>
  <c r="A653" i="1"/>
  <c r="C652" i="1"/>
  <c r="A652" i="1"/>
  <c r="C651" i="1"/>
  <c r="A651" i="1"/>
  <c r="C650" i="1"/>
  <c r="A650" i="1"/>
  <c r="C649" i="1"/>
  <c r="A649" i="1"/>
  <c r="C648" i="1"/>
  <c r="A648" i="1"/>
  <c r="C647" i="1"/>
  <c r="A647" i="1"/>
  <c r="C646" i="1"/>
  <c r="A646" i="1"/>
  <c r="C645" i="1"/>
  <c r="A645" i="1"/>
  <c r="C644" i="1"/>
  <c r="A644" i="1"/>
  <c r="C643" i="1"/>
  <c r="A643" i="1"/>
  <c r="C642" i="1"/>
  <c r="B642" i="1"/>
  <c r="A642" i="1"/>
  <c r="C641" i="1"/>
  <c r="A641" i="1"/>
  <c r="C640" i="1"/>
  <c r="A640" i="1"/>
  <c r="C639" i="1"/>
  <c r="B639" i="1"/>
  <c r="A639" i="1"/>
  <c r="C638" i="1"/>
  <c r="A638" i="1"/>
  <c r="C637" i="1"/>
  <c r="B637" i="1"/>
  <c r="A637" i="1"/>
  <c r="C636" i="1"/>
  <c r="B636" i="1"/>
  <c r="A636" i="1"/>
  <c r="C635" i="1"/>
  <c r="A635" i="1"/>
  <c r="C634" i="1"/>
  <c r="A634" i="1"/>
  <c r="C633" i="1"/>
  <c r="A633" i="1"/>
  <c r="A632" i="1"/>
  <c r="C631" i="1"/>
  <c r="A631" i="1"/>
  <c r="C630" i="1"/>
  <c r="A630" i="1"/>
  <c r="C629" i="1"/>
  <c r="A629" i="1"/>
  <c r="C628" i="1"/>
  <c r="A628" i="1"/>
  <c r="C627" i="1"/>
  <c r="A627" i="1"/>
  <c r="C626" i="1"/>
  <c r="A626" i="1"/>
  <c r="C625" i="1"/>
  <c r="A625" i="1"/>
  <c r="C624" i="1"/>
  <c r="A624" i="1"/>
  <c r="C623" i="1"/>
  <c r="B623" i="1"/>
  <c r="A623" i="1"/>
  <c r="C622" i="1"/>
  <c r="B622" i="1"/>
  <c r="A622" i="1"/>
  <c r="C621" i="1"/>
  <c r="A621" i="1"/>
  <c r="C620" i="1"/>
  <c r="A620" i="1"/>
  <c r="C619" i="1"/>
  <c r="B619" i="1"/>
  <c r="A619" i="1"/>
  <c r="C618" i="1"/>
  <c r="A618" i="1"/>
  <c r="C617" i="1"/>
  <c r="A617" i="1"/>
  <c r="C616" i="1"/>
  <c r="A616" i="1"/>
  <c r="C615" i="1"/>
  <c r="A615" i="1"/>
  <c r="C614" i="1"/>
  <c r="A614" i="1"/>
  <c r="C613" i="1"/>
  <c r="B613" i="1"/>
  <c r="A613" i="1"/>
  <c r="C612" i="1"/>
  <c r="A612" i="1"/>
  <c r="C611" i="1"/>
  <c r="A611" i="1"/>
  <c r="C610" i="1"/>
  <c r="B610" i="1"/>
  <c r="A610" i="1"/>
  <c r="C609" i="1"/>
  <c r="B609" i="1"/>
  <c r="A609" i="1"/>
  <c r="C608" i="1"/>
  <c r="B608" i="1"/>
  <c r="A608" i="1"/>
  <c r="C607" i="1"/>
  <c r="A607" i="1"/>
  <c r="C606" i="1"/>
  <c r="A606" i="1"/>
  <c r="C605" i="1"/>
  <c r="A605" i="1"/>
  <c r="C604" i="1"/>
  <c r="B604" i="1"/>
  <c r="A604" i="1"/>
  <c r="C603" i="1"/>
  <c r="B603" i="1"/>
  <c r="A603" i="1"/>
  <c r="C602" i="1"/>
  <c r="B602" i="1"/>
  <c r="A602" i="1"/>
  <c r="C601" i="1"/>
  <c r="A601" i="1"/>
  <c r="C600" i="1"/>
  <c r="A600" i="1"/>
  <c r="C599" i="1"/>
  <c r="B599" i="1"/>
  <c r="A599" i="1"/>
  <c r="C598" i="1"/>
  <c r="B598" i="1"/>
  <c r="A598" i="1"/>
  <c r="C597" i="1"/>
  <c r="A597" i="1"/>
  <c r="C596" i="1"/>
  <c r="A596" i="1"/>
  <c r="C595" i="1"/>
  <c r="A595" i="1"/>
  <c r="C594" i="1"/>
  <c r="B594" i="1"/>
  <c r="A594" i="1"/>
  <c r="C593" i="1"/>
  <c r="B593" i="1"/>
  <c r="A593" i="1"/>
  <c r="B592" i="1"/>
  <c r="A592" i="1"/>
  <c r="C591" i="1"/>
  <c r="A591" i="1"/>
  <c r="C590" i="1"/>
  <c r="B590" i="1"/>
  <c r="A590" i="1"/>
  <c r="C589" i="1"/>
  <c r="B589" i="1"/>
  <c r="A589" i="1"/>
  <c r="C588" i="1"/>
  <c r="A588" i="1"/>
  <c r="C587" i="1"/>
  <c r="A587" i="1"/>
  <c r="C586" i="1"/>
  <c r="A586" i="1"/>
  <c r="C585" i="1"/>
  <c r="B585" i="1"/>
  <c r="A585" i="1"/>
  <c r="C584" i="1"/>
  <c r="B584" i="1"/>
  <c r="A584" i="1"/>
  <c r="C583" i="1"/>
  <c r="B583" i="1"/>
  <c r="A583" i="1"/>
  <c r="C582" i="1"/>
  <c r="B582" i="1"/>
  <c r="A582" i="1"/>
  <c r="C581" i="1"/>
  <c r="A581" i="1"/>
  <c r="C580" i="1"/>
  <c r="A580" i="1"/>
  <c r="C579" i="1"/>
  <c r="B579" i="1"/>
  <c r="A579" i="1"/>
  <c r="C578" i="1"/>
  <c r="A578" i="1"/>
  <c r="C577" i="1"/>
  <c r="A577" i="1"/>
  <c r="C576" i="1"/>
  <c r="A576" i="1"/>
  <c r="C575" i="1"/>
  <c r="A575" i="1"/>
  <c r="C574" i="1"/>
  <c r="A574" i="1"/>
  <c r="C573" i="1"/>
  <c r="A573" i="1"/>
  <c r="C572" i="1"/>
  <c r="A572" i="1"/>
  <c r="C571" i="1"/>
  <c r="B571" i="1"/>
  <c r="A571" i="1"/>
  <c r="C570" i="1"/>
  <c r="B570" i="1"/>
  <c r="A570" i="1"/>
  <c r="C569" i="1"/>
  <c r="A569" i="1"/>
  <c r="C568" i="1"/>
  <c r="A568" i="1"/>
  <c r="C567" i="1"/>
  <c r="A567" i="1"/>
  <c r="C566" i="1"/>
  <c r="A566" i="1"/>
  <c r="C565" i="1"/>
  <c r="A565" i="1"/>
  <c r="C564" i="1"/>
  <c r="A564" i="1"/>
  <c r="C563" i="1"/>
  <c r="B563" i="1"/>
  <c r="A563" i="1"/>
  <c r="C562" i="1"/>
  <c r="A562" i="1"/>
  <c r="C561" i="1"/>
  <c r="A561" i="1"/>
  <c r="C560" i="1"/>
  <c r="A560" i="1"/>
  <c r="C559" i="1"/>
  <c r="B559" i="1"/>
  <c r="A559" i="1"/>
  <c r="A558" i="1"/>
  <c r="C557" i="1"/>
  <c r="A557" i="1"/>
  <c r="C556" i="1"/>
  <c r="B556" i="1"/>
  <c r="A556" i="1"/>
  <c r="C555" i="1"/>
  <c r="A555" i="1"/>
  <c r="C554" i="1"/>
  <c r="A554" i="1"/>
  <c r="B553" i="1"/>
  <c r="A553" i="1"/>
  <c r="C552" i="1"/>
  <c r="A552" i="1"/>
  <c r="C551" i="1"/>
  <c r="A551" i="1"/>
  <c r="C550" i="1"/>
  <c r="A550" i="1"/>
  <c r="C549" i="1"/>
  <c r="A549" i="1"/>
  <c r="C548" i="1"/>
  <c r="A548" i="1"/>
  <c r="C547" i="1"/>
  <c r="A547" i="1"/>
  <c r="C546" i="1"/>
  <c r="A546" i="1"/>
  <c r="C545" i="1"/>
  <c r="B545" i="1"/>
  <c r="A545" i="1"/>
  <c r="C544" i="1"/>
  <c r="B544" i="1"/>
  <c r="A544" i="1"/>
  <c r="C543" i="1"/>
  <c r="B543" i="1"/>
  <c r="A543" i="1"/>
  <c r="C542" i="1"/>
  <c r="B542" i="1"/>
  <c r="A542" i="1"/>
  <c r="C541" i="1"/>
  <c r="A541" i="1"/>
  <c r="C540" i="1"/>
  <c r="B540" i="1"/>
  <c r="A540" i="1"/>
  <c r="C539" i="1"/>
  <c r="A539" i="1"/>
  <c r="C538" i="1"/>
  <c r="A538" i="1"/>
  <c r="C537" i="1"/>
  <c r="B537" i="1"/>
  <c r="A537" i="1"/>
  <c r="C536" i="1"/>
  <c r="A536" i="1"/>
  <c r="C535" i="1"/>
  <c r="A535" i="1"/>
  <c r="C534" i="1"/>
  <c r="A534" i="1"/>
  <c r="C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A528" i="1"/>
  <c r="C527" i="1"/>
  <c r="B527" i="1"/>
  <c r="A527" i="1"/>
  <c r="C526" i="1"/>
  <c r="B526" i="1"/>
  <c r="A526" i="1"/>
  <c r="C525" i="1"/>
  <c r="A525" i="1"/>
  <c r="C524" i="1"/>
  <c r="A524" i="1"/>
  <c r="C523" i="1"/>
  <c r="A523" i="1"/>
  <c r="C522" i="1"/>
  <c r="A522" i="1"/>
  <c r="C521" i="1"/>
  <c r="A521" i="1"/>
  <c r="C520" i="1"/>
  <c r="A520" i="1"/>
  <c r="C519" i="1"/>
  <c r="A519" i="1"/>
  <c r="C518" i="1"/>
  <c r="B518" i="1"/>
  <c r="A518" i="1"/>
  <c r="C517" i="1"/>
  <c r="A517" i="1"/>
  <c r="C516" i="1"/>
  <c r="A516" i="1"/>
  <c r="C515" i="1"/>
  <c r="A515" i="1"/>
  <c r="C514" i="1"/>
  <c r="B514" i="1"/>
  <c r="A514" i="1"/>
  <c r="C513" i="1"/>
  <c r="B513" i="1"/>
  <c r="A513" i="1"/>
  <c r="C512" i="1"/>
  <c r="A512" i="1"/>
  <c r="C511" i="1"/>
  <c r="A511" i="1"/>
  <c r="C510" i="1"/>
  <c r="B510" i="1"/>
  <c r="A510" i="1"/>
  <c r="C509" i="1"/>
  <c r="B509" i="1"/>
  <c r="A509" i="1"/>
  <c r="C508" i="1"/>
  <c r="A508" i="1"/>
  <c r="C507" i="1"/>
  <c r="A507" i="1"/>
  <c r="C506" i="1"/>
  <c r="A506" i="1"/>
  <c r="C505" i="1"/>
  <c r="A505" i="1"/>
  <c r="C504" i="1"/>
  <c r="A504" i="1"/>
  <c r="C503" i="1"/>
  <c r="B503" i="1"/>
  <c r="A503" i="1"/>
  <c r="C502" i="1"/>
  <c r="A502" i="1"/>
  <c r="C501" i="1"/>
  <c r="B501" i="1"/>
  <c r="A501" i="1"/>
  <c r="C500" i="1"/>
  <c r="B500" i="1"/>
  <c r="A500" i="1"/>
  <c r="C499" i="1"/>
  <c r="B499" i="1"/>
  <c r="A499" i="1"/>
  <c r="C498" i="1"/>
  <c r="A498" i="1"/>
  <c r="A497" i="1"/>
  <c r="C496" i="1"/>
  <c r="B496" i="1"/>
  <c r="A496" i="1"/>
  <c r="C495" i="1"/>
  <c r="A495" i="1"/>
  <c r="C494" i="1"/>
  <c r="A494" i="1"/>
  <c r="C493" i="1"/>
  <c r="A493" i="1"/>
  <c r="C492" i="1"/>
  <c r="A492" i="1"/>
  <c r="C491" i="1"/>
  <c r="A491" i="1"/>
  <c r="C490" i="1"/>
  <c r="A490" i="1"/>
  <c r="C489" i="1"/>
  <c r="A489" i="1"/>
  <c r="C488" i="1"/>
  <c r="A488" i="1"/>
  <c r="C487" i="1"/>
  <c r="A487" i="1"/>
  <c r="C486" i="1"/>
  <c r="A486" i="1"/>
  <c r="C485" i="1"/>
  <c r="A485" i="1"/>
  <c r="C484" i="1"/>
  <c r="A484" i="1"/>
  <c r="C483" i="1"/>
  <c r="A483" i="1"/>
  <c r="C482" i="1"/>
  <c r="A482" i="1"/>
  <c r="C481" i="1"/>
  <c r="A481" i="1"/>
  <c r="C480" i="1"/>
  <c r="A480" i="1"/>
  <c r="C479" i="1"/>
  <c r="A479" i="1"/>
  <c r="C478" i="1"/>
  <c r="A478" i="1"/>
  <c r="C477" i="1"/>
  <c r="A477" i="1"/>
  <c r="C476" i="1"/>
  <c r="A476" i="1"/>
  <c r="C475" i="1"/>
  <c r="A475" i="1"/>
  <c r="C474" i="1"/>
  <c r="A474" i="1"/>
  <c r="C473" i="1"/>
  <c r="A473" i="1"/>
  <c r="C472" i="1"/>
  <c r="A472" i="1"/>
  <c r="C471" i="1"/>
  <c r="A471" i="1"/>
  <c r="C470" i="1"/>
  <c r="A470" i="1"/>
  <c r="C469" i="1"/>
  <c r="A469" i="1"/>
  <c r="C468" i="1"/>
  <c r="A468" i="1"/>
  <c r="C467" i="1"/>
  <c r="A467" i="1"/>
  <c r="C466" i="1"/>
  <c r="A466" i="1"/>
  <c r="C465" i="1"/>
  <c r="B465" i="1"/>
  <c r="A465" i="1"/>
  <c r="C464" i="1"/>
  <c r="A464" i="1"/>
  <c r="C463" i="1"/>
  <c r="A463" i="1"/>
  <c r="C462" i="1"/>
  <c r="B462" i="1"/>
  <c r="A462" i="1"/>
  <c r="C461" i="1"/>
  <c r="A461" i="1"/>
  <c r="C460" i="1"/>
  <c r="B460" i="1"/>
  <c r="A460" i="1"/>
  <c r="C459" i="1"/>
  <c r="A459" i="1"/>
  <c r="C458" i="1"/>
  <c r="A458" i="1"/>
  <c r="C457" i="1"/>
  <c r="A457" i="1"/>
  <c r="C456" i="1"/>
  <c r="A456" i="1"/>
  <c r="C455" i="1"/>
  <c r="A455" i="1"/>
  <c r="A454" i="1"/>
  <c r="C453" i="1"/>
  <c r="A453" i="1"/>
  <c r="C452" i="1"/>
  <c r="B452" i="1"/>
  <c r="A452" i="1"/>
  <c r="C451" i="1"/>
  <c r="A451" i="1"/>
  <c r="C450" i="1"/>
  <c r="A450" i="1"/>
  <c r="C449" i="1"/>
  <c r="A449" i="1"/>
  <c r="C448" i="1"/>
  <c r="A448" i="1"/>
  <c r="C447" i="1"/>
  <c r="B447" i="1"/>
  <c r="A447" i="1"/>
  <c r="C446" i="1"/>
  <c r="A446" i="1"/>
  <c r="C445" i="1"/>
  <c r="A445" i="1"/>
  <c r="C444" i="1"/>
  <c r="A444" i="1"/>
  <c r="C443" i="1"/>
  <c r="A443" i="1"/>
  <c r="C442" i="1"/>
  <c r="A442" i="1"/>
  <c r="C441" i="1"/>
  <c r="B441" i="1"/>
  <c r="A441" i="1"/>
  <c r="C440" i="1"/>
  <c r="A440" i="1"/>
  <c r="C439" i="1"/>
  <c r="B439" i="1"/>
  <c r="A439" i="1"/>
  <c r="C438" i="1"/>
  <c r="B438" i="1"/>
  <c r="A438" i="1"/>
  <c r="C437" i="1"/>
  <c r="B437" i="1"/>
  <c r="A437" i="1"/>
  <c r="C436" i="1"/>
  <c r="A436" i="1"/>
  <c r="C435" i="1"/>
  <c r="A435" i="1"/>
  <c r="C434" i="1"/>
  <c r="A434" i="1"/>
  <c r="C433" i="1"/>
  <c r="A433" i="1"/>
  <c r="A432" i="1"/>
  <c r="C431" i="1"/>
  <c r="A431" i="1"/>
  <c r="A430" i="1"/>
  <c r="C429" i="1"/>
  <c r="A429" i="1"/>
  <c r="C428" i="1"/>
  <c r="A428" i="1"/>
  <c r="C427" i="1"/>
  <c r="A427" i="1"/>
  <c r="C426" i="1"/>
  <c r="A426" i="1"/>
  <c r="C425" i="1"/>
  <c r="A425" i="1"/>
  <c r="C424" i="1"/>
  <c r="A424" i="1"/>
  <c r="C423" i="1"/>
  <c r="A423" i="1"/>
  <c r="C422" i="1"/>
  <c r="A422" i="1"/>
  <c r="C421" i="1"/>
  <c r="A421" i="1"/>
  <c r="C420" i="1"/>
  <c r="A420" i="1"/>
  <c r="C419" i="1"/>
  <c r="A419" i="1"/>
  <c r="C418" i="1"/>
  <c r="A418" i="1"/>
  <c r="A417" i="1"/>
  <c r="C416" i="1"/>
  <c r="A416" i="1"/>
  <c r="C415" i="1"/>
  <c r="A415" i="1"/>
  <c r="C414" i="1"/>
  <c r="A414" i="1"/>
  <c r="C413" i="1"/>
  <c r="B413" i="1"/>
  <c r="A413" i="1"/>
  <c r="C412" i="1"/>
  <c r="A412" i="1"/>
  <c r="C411" i="1"/>
  <c r="A411" i="1"/>
  <c r="C410" i="1"/>
  <c r="A410" i="1"/>
  <c r="C409" i="1"/>
  <c r="A409" i="1"/>
  <c r="C408" i="1"/>
  <c r="A408" i="1"/>
  <c r="C407" i="1"/>
  <c r="A407" i="1"/>
  <c r="C406" i="1"/>
  <c r="A406" i="1"/>
  <c r="C405" i="1"/>
  <c r="A405" i="1"/>
  <c r="C404" i="1"/>
  <c r="B404" i="1"/>
  <c r="A404" i="1"/>
  <c r="C403" i="1"/>
  <c r="A403" i="1"/>
  <c r="C402" i="1"/>
  <c r="A402" i="1"/>
  <c r="C401" i="1"/>
  <c r="A401" i="1"/>
  <c r="C400" i="1"/>
  <c r="B400" i="1"/>
  <c r="A400" i="1"/>
  <c r="C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A394" i="1"/>
  <c r="C393" i="1"/>
  <c r="A393" i="1"/>
  <c r="C392" i="1"/>
  <c r="A392" i="1"/>
  <c r="C391" i="1"/>
  <c r="A391" i="1"/>
  <c r="C390" i="1"/>
  <c r="B390" i="1"/>
  <c r="A390" i="1"/>
  <c r="C389" i="1"/>
  <c r="B389" i="1"/>
  <c r="A389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A383" i="1"/>
  <c r="C382" i="1"/>
  <c r="B382" i="1"/>
  <c r="A382" i="1"/>
  <c r="C381" i="1"/>
  <c r="B381" i="1"/>
  <c r="A381" i="1"/>
  <c r="C380" i="1"/>
  <c r="A380" i="1"/>
  <c r="C379" i="1"/>
  <c r="A379" i="1"/>
  <c r="C378" i="1"/>
  <c r="A378" i="1"/>
  <c r="C377" i="1"/>
  <c r="A377" i="1"/>
  <c r="C376" i="1"/>
  <c r="A376" i="1"/>
  <c r="A375" i="1"/>
  <c r="C374" i="1"/>
  <c r="B374" i="1"/>
  <c r="A374" i="1"/>
  <c r="C373" i="1"/>
  <c r="A373" i="1"/>
  <c r="C372" i="1"/>
  <c r="B372" i="1"/>
  <c r="A372" i="1"/>
  <c r="C371" i="1"/>
  <c r="B371" i="1"/>
  <c r="A371" i="1"/>
  <c r="C370" i="1"/>
  <c r="A370" i="1"/>
  <c r="C369" i="1"/>
  <c r="B369" i="1"/>
  <c r="A369" i="1"/>
  <c r="C368" i="1"/>
  <c r="B368" i="1"/>
  <c r="A368" i="1"/>
  <c r="C367" i="1"/>
  <c r="A367" i="1"/>
  <c r="C366" i="1"/>
  <c r="B366" i="1"/>
  <c r="A366" i="1"/>
  <c r="C365" i="1"/>
  <c r="A365" i="1"/>
  <c r="C364" i="1"/>
  <c r="A364" i="1"/>
  <c r="C363" i="1"/>
  <c r="A363" i="1"/>
  <c r="C362" i="1"/>
  <c r="A362" i="1"/>
  <c r="C361" i="1"/>
  <c r="A361" i="1"/>
  <c r="C360" i="1"/>
  <c r="A360" i="1"/>
  <c r="C359" i="1"/>
  <c r="A359" i="1"/>
  <c r="C358" i="1"/>
  <c r="A358" i="1"/>
  <c r="C357" i="1"/>
  <c r="A357" i="1"/>
  <c r="C356" i="1"/>
  <c r="A356" i="1"/>
  <c r="C355" i="1"/>
  <c r="B355" i="1"/>
  <c r="A355" i="1"/>
  <c r="C354" i="1"/>
  <c r="A354" i="1"/>
  <c r="C353" i="1"/>
  <c r="A353" i="1"/>
  <c r="C352" i="1"/>
  <c r="B352" i="1"/>
  <c r="A352" i="1"/>
  <c r="C351" i="1"/>
  <c r="A351" i="1"/>
  <c r="C350" i="1"/>
  <c r="A350" i="1"/>
  <c r="C349" i="1"/>
  <c r="A349" i="1"/>
  <c r="C348" i="1"/>
  <c r="A348" i="1"/>
  <c r="C347" i="1"/>
  <c r="B347" i="1"/>
  <c r="A347" i="1"/>
  <c r="C346" i="1"/>
  <c r="B346" i="1"/>
  <c r="A346" i="1"/>
  <c r="C345" i="1"/>
  <c r="A345" i="1"/>
  <c r="C344" i="1"/>
  <c r="B344" i="1"/>
  <c r="A344" i="1"/>
  <c r="C343" i="1"/>
  <c r="B343" i="1"/>
  <c r="A343" i="1"/>
  <c r="C342" i="1"/>
  <c r="A342" i="1"/>
  <c r="C341" i="1"/>
  <c r="A341" i="1"/>
  <c r="C340" i="1"/>
  <c r="B340" i="1"/>
  <c r="A340" i="1"/>
  <c r="C339" i="1"/>
  <c r="A339" i="1"/>
  <c r="C338" i="1"/>
  <c r="B338" i="1"/>
  <c r="A338" i="1"/>
  <c r="C337" i="1"/>
  <c r="A337" i="1"/>
  <c r="C336" i="1"/>
  <c r="B336" i="1"/>
  <c r="A336" i="1"/>
  <c r="C335" i="1"/>
  <c r="A335" i="1"/>
  <c r="C334" i="1"/>
  <c r="A334" i="1"/>
  <c r="C333" i="1"/>
  <c r="A333" i="1"/>
  <c r="C332" i="1"/>
  <c r="A332" i="1"/>
  <c r="C331" i="1"/>
  <c r="A331" i="1"/>
  <c r="C330" i="1"/>
  <c r="B330" i="1"/>
  <c r="A330" i="1"/>
  <c r="C329" i="1"/>
  <c r="A329" i="1"/>
  <c r="C328" i="1"/>
  <c r="B328" i="1"/>
  <c r="A328" i="1"/>
  <c r="C327" i="1"/>
  <c r="B327" i="1"/>
  <c r="A327" i="1"/>
  <c r="C326" i="1"/>
  <c r="B326" i="1"/>
  <c r="A326" i="1"/>
  <c r="C325" i="1"/>
  <c r="A325" i="1"/>
  <c r="C324" i="1"/>
  <c r="B324" i="1"/>
  <c r="A324" i="1"/>
  <c r="C323" i="1"/>
  <c r="B323" i="1"/>
  <c r="A323" i="1"/>
  <c r="C322" i="1"/>
  <c r="B322" i="1"/>
  <c r="A322" i="1"/>
  <c r="C321" i="1"/>
  <c r="A321" i="1"/>
  <c r="C320" i="1"/>
  <c r="A320" i="1"/>
  <c r="C319" i="1"/>
  <c r="A319" i="1"/>
  <c r="C318" i="1"/>
  <c r="A318" i="1"/>
  <c r="C317" i="1"/>
  <c r="B317" i="1"/>
  <c r="A317" i="1"/>
  <c r="C316" i="1"/>
  <c r="B316" i="1"/>
  <c r="A316" i="1"/>
  <c r="C315" i="1"/>
  <c r="A315" i="1"/>
  <c r="C314" i="1"/>
  <c r="A314" i="1"/>
  <c r="C313" i="1"/>
  <c r="A313" i="1"/>
  <c r="C312" i="1"/>
  <c r="A312" i="1"/>
  <c r="C311" i="1"/>
  <c r="A311" i="1"/>
  <c r="C310" i="1"/>
  <c r="A310" i="1"/>
  <c r="C309" i="1"/>
  <c r="A309" i="1"/>
  <c r="C308" i="1"/>
  <c r="A308" i="1"/>
  <c r="A307" i="1"/>
  <c r="C306" i="1"/>
  <c r="A306" i="1"/>
  <c r="C305" i="1"/>
  <c r="B305" i="1"/>
  <c r="A305" i="1"/>
  <c r="C304" i="1"/>
  <c r="A304" i="1"/>
  <c r="C303" i="1"/>
  <c r="A303" i="1"/>
  <c r="C302" i="1"/>
  <c r="A302" i="1"/>
  <c r="C301" i="1"/>
  <c r="A301" i="1"/>
  <c r="C300" i="1"/>
  <c r="A300" i="1"/>
  <c r="C299" i="1"/>
  <c r="A299" i="1"/>
  <c r="C298" i="1"/>
  <c r="A298" i="1"/>
  <c r="C297" i="1"/>
  <c r="B297" i="1"/>
  <c r="A297" i="1"/>
  <c r="A296" i="1"/>
  <c r="C295" i="1"/>
  <c r="A295" i="1"/>
  <c r="C294" i="1"/>
  <c r="B294" i="1"/>
  <c r="A294" i="1"/>
  <c r="C293" i="1"/>
  <c r="B293" i="1"/>
  <c r="A293" i="1"/>
  <c r="C292" i="1"/>
  <c r="A292" i="1"/>
  <c r="C291" i="1"/>
  <c r="A291" i="1"/>
  <c r="C290" i="1"/>
  <c r="B290" i="1"/>
  <c r="A290" i="1"/>
  <c r="C289" i="1"/>
  <c r="A289" i="1"/>
  <c r="C288" i="1"/>
  <c r="B288" i="1"/>
  <c r="A288" i="1"/>
  <c r="C287" i="1"/>
  <c r="B287" i="1"/>
  <c r="A287" i="1"/>
  <c r="C286" i="1"/>
  <c r="B286" i="1"/>
  <c r="A286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A281" i="1"/>
  <c r="C280" i="1"/>
  <c r="A280" i="1"/>
  <c r="C279" i="1"/>
  <c r="A279" i="1"/>
  <c r="C278" i="1"/>
  <c r="A278" i="1"/>
  <c r="C277" i="1"/>
  <c r="A277" i="1"/>
  <c r="C276" i="1"/>
  <c r="A276" i="1"/>
  <c r="C275" i="1"/>
  <c r="A275" i="1"/>
  <c r="C274" i="1"/>
  <c r="A274" i="1"/>
  <c r="C273" i="1"/>
  <c r="B273" i="1"/>
  <c r="A273" i="1"/>
  <c r="A272" i="1"/>
  <c r="B271" i="1"/>
  <c r="A271" i="1"/>
  <c r="C270" i="1"/>
  <c r="A270" i="1"/>
  <c r="C269" i="1"/>
  <c r="B269" i="1"/>
  <c r="A269" i="1"/>
  <c r="C268" i="1"/>
  <c r="A268" i="1"/>
  <c r="C267" i="1"/>
  <c r="B267" i="1"/>
  <c r="A267" i="1"/>
  <c r="C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A261" i="1"/>
  <c r="C260" i="1"/>
  <c r="A260" i="1"/>
  <c r="C259" i="1"/>
  <c r="A259" i="1"/>
  <c r="C258" i="1"/>
  <c r="A258" i="1"/>
  <c r="C257" i="1"/>
  <c r="A257" i="1"/>
  <c r="C256" i="1"/>
  <c r="A256" i="1"/>
  <c r="C255" i="1"/>
  <c r="A255" i="1"/>
  <c r="C254" i="1"/>
  <c r="B254" i="1"/>
  <c r="A254" i="1"/>
  <c r="C253" i="1"/>
  <c r="A253" i="1"/>
  <c r="C252" i="1"/>
  <c r="A252" i="1"/>
  <c r="C251" i="1"/>
  <c r="A251" i="1"/>
  <c r="C250" i="1"/>
  <c r="B250" i="1"/>
  <c r="A250" i="1"/>
  <c r="A249" i="1"/>
  <c r="A248" i="1"/>
  <c r="C247" i="1"/>
  <c r="A247" i="1"/>
  <c r="C246" i="1"/>
  <c r="B246" i="1"/>
  <c r="A246" i="1"/>
  <c r="C245" i="1"/>
  <c r="A245" i="1"/>
  <c r="C244" i="1"/>
  <c r="A244" i="1"/>
  <c r="C243" i="1"/>
  <c r="A243" i="1"/>
  <c r="C242" i="1"/>
  <c r="A242" i="1"/>
  <c r="C241" i="1"/>
  <c r="A241" i="1"/>
  <c r="C240" i="1"/>
  <c r="B240" i="1"/>
  <c r="A240" i="1"/>
  <c r="C239" i="1"/>
  <c r="A239" i="1"/>
  <c r="C238" i="1"/>
  <c r="A238" i="1"/>
  <c r="A237" i="1"/>
  <c r="C236" i="1"/>
  <c r="A236" i="1"/>
  <c r="C235" i="1"/>
  <c r="A235" i="1"/>
  <c r="C234" i="1"/>
  <c r="A234" i="1"/>
  <c r="C233" i="1"/>
  <c r="A233" i="1"/>
  <c r="C232" i="1"/>
  <c r="A232" i="1"/>
  <c r="C231" i="1"/>
  <c r="B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B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C193" i="1"/>
  <c r="A193" i="1"/>
  <c r="C192" i="1"/>
  <c r="A192" i="1"/>
  <c r="C191" i="1"/>
  <c r="B191" i="1"/>
  <c r="A191" i="1"/>
  <c r="A190" i="1"/>
  <c r="C189" i="1"/>
  <c r="B189" i="1"/>
  <c r="A189" i="1"/>
  <c r="A188" i="1"/>
  <c r="C187" i="1"/>
  <c r="A187" i="1"/>
  <c r="C186" i="1"/>
  <c r="A186" i="1"/>
  <c r="C185" i="1"/>
  <c r="A185" i="1"/>
  <c r="C184" i="1"/>
  <c r="A184" i="1"/>
  <c r="C183" i="1"/>
  <c r="B183" i="1"/>
  <c r="A183" i="1"/>
  <c r="C182" i="1"/>
  <c r="A182" i="1"/>
  <c r="C181" i="1"/>
  <c r="A181" i="1"/>
  <c r="C180" i="1"/>
  <c r="A180" i="1"/>
  <c r="C179" i="1"/>
  <c r="A179" i="1"/>
  <c r="C178" i="1"/>
  <c r="B178" i="1"/>
  <c r="A178" i="1"/>
  <c r="C177" i="1"/>
  <c r="B177" i="1"/>
  <c r="A177" i="1"/>
  <c r="A176" i="1"/>
  <c r="A175" i="1"/>
  <c r="C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A169" i="1"/>
  <c r="C168" i="1"/>
  <c r="A168" i="1"/>
  <c r="C167" i="1"/>
  <c r="A167" i="1"/>
  <c r="C166" i="1"/>
  <c r="B166" i="1"/>
  <c r="A166" i="1"/>
  <c r="C165" i="1"/>
  <c r="B165" i="1"/>
  <c r="A165" i="1"/>
  <c r="C164" i="1"/>
  <c r="A164" i="1"/>
  <c r="C163" i="1"/>
  <c r="A163" i="1"/>
  <c r="C162" i="1"/>
  <c r="A162" i="1"/>
  <c r="C161" i="1"/>
  <c r="A161" i="1"/>
  <c r="C160" i="1"/>
  <c r="B160" i="1"/>
  <c r="A160" i="1"/>
  <c r="C159" i="1"/>
  <c r="A159" i="1"/>
  <c r="C158" i="1"/>
  <c r="A158" i="1"/>
  <c r="C157" i="1"/>
  <c r="A157" i="1"/>
  <c r="C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A150" i="1"/>
  <c r="C149" i="1"/>
  <c r="A149" i="1"/>
  <c r="A148" i="1"/>
  <c r="C147" i="1"/>
  <c r="B147" i="1"/>
  <c r="A147" i="1"/>
  <c r="C146" i="1"/>
  <c r="B146" i="1"/>
  <c r="A146" i="1"/>
  <c r="C145" i="1"/>
  <c r="A145" i="1"/>
  <c r="C144" i="1"/>
  <c r="B144" i="1"/>
  <c r="A144" i="1"/>
  <c r="C143" i="1"/>
  <c r="B143" i="1"/>
  <c r="A143" i="1"/>
  <c r="C142" i="1"/>
  <c r="B142" i="1"/>
  <c r="A142" i="1"/>
  <c r="C141" i="1"/>
  <c r="A141" i="1"/>
  <c r="C140" i="1"/>
  <c r="A140" i="1"/>
  <c r="C139" i="1"/>
  <c r="A139" i="1"/>
  <c r="C138" i="1"/>
  <c r="A138" i="1"/>
  <c r="C137" i="1"/>
  <c r="A137" i="1"/>
  <c r="C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A128" i="1"/>
  <c r="C127" i="1"/>
  <c r="A127" i="1"/>
  <c r="C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A115" i="1"/>
  <c r="C114" i="1"/>
  <c r="A114" i="1"/>
  <c r="C113" i="1"/>
  <c r="B113" i="1"/>
  <c r="A113" i="1"/>
  <c r="C112" i="1"/>
  <c r="B112" i="1"/>
  <c r="A112" i="1"/>
  <c r="C111" i="1"/>
  <c r="B111" i="1"/>
  <c r="A111" i="1"/>
  <c r="C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A97" i="1"/>
  <c r="C96" i="1"/>
  <c r="A96" i="1"/>
  <c r="C95" i="1"/>
  <c r="A95" i="1"/>
  <c r="C94" i="1"/>
  <c r="B94" i="1"/>
  <c r="A94" i="1"/>
  <c r="C93" i="1"/>
  <c r="A93" i="1"/>
  <c r="C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A77" i="1"/>
  <c r="B76" i="1"/>
  <c r="A76" i="1"/>
  <c r="C75" i="1"/>
  <c r="B75" i="1"/>
  <c r="A75" i="1"/>
  <c r="C74" i="1"/>
  <c r="B74" i="1"/>
  <c r="A74" i="1"/>
  <c r="C73" i="1"/>
  <c r="A73" i="1"/>
  <c r="C72" i="1"/>
  <c r="B72" i="1"/>
  <c r="A72" i="1"/>
  <c r="C71" i="1"/>
  <c r="B71" i="1"/>
  <c r="A71" i="1"/>
  <c r="C70" i="1"/>
  <c r="A70" i="1"/>
  <c r="C69" i="1"/>
  <c r="A69" i="1"/>
  <c r="C68" i="1"/>
  <c r="A68" i="1"/>
  <c r="C67" i="1"/>
  <c r="A67" i="1"/>
  <c r="C66" i="1"/>
  <c r="B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B58" i="1"/>
  <c r="A58" i="1"/>
  <c r="C57" i="1"/>
  <c r="A57" i="1"/>
  <c r="C56" i="1"/>
  <c r="A56" i="1"/>
  <c r="C55" i="1"/>
  <c r="A55" i="1"/>
  <c r="C54" i="1"/>
  <c r="B54" i="1"/>
  <c r="A54" i="1"/>
  <c r="C53" i="1"/>
  <c r="B53" i="1"/>
  <c r="A53" i="1"/>
  <c r="C52" i="1"/>
  <c r="B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B44" i="1"/>
  <c r="A44" i="1"/>
  <c r="C43" i="1"/>
  <c r="A43" i="1"/>
  <c r="C42" i="1"/>
  <c r="A42" i="1"/>
  <c r="C41" i="1"/>
  <c r="B41" i="1"/>
  <c r="A41" i="1"/>
  <c r="C40" i="1"/>
  <c r="B40" i="1"/>
  <c r="A40" i="1"/>
  <c r="C39" i="1"/>
  <c r="B39" i="1"/>
  <c r="A39" i="1"/>
  <c r="C38" i="1"/>
  <c r="A38" i="1"/>
  <c r="C37" i="1"/>
  <c r="A37" i="1"/>
  <c r="C36" i="1"/>
  <c r="A36" i="1"/>
  <c r="C35" i="1"/>
  <c r="A35" i="1"/>
  <c r="C34" i="1"/>
  <c r="A34" i="1"/>
  <c r="C33" i="1"/>
  <c r="B33" i="1"/>
  <c r="A33" i="1"/>
  <c r="C32" i="1"/>
  <c r="A32" i="1"/>
  <c r="C31" i="1"/>
  <c r="A31" i="1"/>
  <c r="C30" i="1"/>
  <c r="A30" i="1"/>
  <c r="C29" i="1"/>
  <c r="B29" i="1"/>
  <c r="A29" i="1"/>
  <c r="C28" i="1"/>
  <c r="B28" i="1"/>
  <c r="A28" i="1"/>
  <c r="C27" i="1"/>
  <c r="A27" i="1"/>
  <c r="C26" i="1"/>
  <c r="B26" i="1"/>
  <c r="A26" i="1"/>
  <c r="C25" i="1"/>
  <c r="B25" i="1"/>
  <c r="A25" i="1"/>
  <c r="C24" i="1"/>
  <c r="A24" i="1"/>
  <c r="C23" i="1"/>
  <c r="B23" i="1"/>
  <c r="A23" i="1"/>
  <c r="A22" i="1"/>
  <c r="C21" i="1"/>
  <c r="B21" i="1"/>
  <c r="A21" i="1"/>
  <c r="A20" i="1"/>
  <c r="C19" i="1"/>
  <c r="A19" i="1"/>
  <c r="C18" i="1"/>
  <c r="B18" i="1"/>
  <c r="A18" i="1"/>
  <c r="C17" i="1"/>
  <c r="A17" i="1"/>
  <c r="C16" i="1"/>
  <c r="A16" i="1"/>
  <c r="C15" i="1"/>
  <c r="A15" i="1"/>
  <c r="C14" i="1"/>
  <c r="A14" i="1"/>
  <c r="C13" i="1"/>
  <c r="B13" i="1"/>
  <c r="A13" i="1"/>
  <c r="C12" i="1"/>
  <c r="A12" i="1"/>
  <c r="C11" i="1"/>
  <c r="A11" i="1"/>
  <c r="C10" i="1"/>
  <c r="A10" i="1"/>
  <c r="C9" i="1"/>
  <c r="A9" i="1"/>
  <c r="C8" i="1"/>
  <c r="B8" i="1"/>
  <c r="A8" i="1"/>
  <c r="C7" i="1"/>
  <c r="B7" i="1"/>
  <c r="A7" i="1"/>
  <c r="C6" i="1"/>
  <c r="A6" i="1"/>
  <c r="C5" i="1"/>
  <c r="A5" i="1"/>
  <c r="F4" i="1"/>
  <c r="E4" i="1"/>
  <c r="D4" i="1"/>
  <c r="C4" i="1"/>
  <c r="A4" i="1"/>
  <c r="F3" i="1"/>
  <c r="D3" i="1"/>
  <c r="C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yyyy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69AEB-DE8F-4D2E-BDF1-3F24294E6DF7}">
  <dimension ref="A1:F756"/>
  <sheetViews>
    <sheetView tabSelected="1" workbookViewId="0">
      <selection activeCell="I4" sqref="I4"/>
    </sheetView>
  </sheetViews>
  <sheetFormatPr defaultRowHeight="14.4" x14ac:dyDescent="0.3"/>
  <cols>
    <col min="1" max="1" width="28" customWidth="1"/>
    <col min="4" max="4" width="10.33203125" customWidth="1"/>
    <col min="5" max="5" width="11.44140625" customWidth="1"/>
  </cols>
  <sheetData>
    <row r="1" spans="1:6" x14ac:dyDescent="0.3">
      <c r="A1" s="1" t="str">
        <f ca="1">IFERROR(__xludf.DUMMYFUNCTION("IMPORTHTML(""http://www.railwaycodes.org.uk/crs/crsm.shtm"",""table"",1)"),"Location")</f>
        <v>Location</v>
      </c>
      <c r="B1" s="1" t="str">
        <f ca="1">IFERROR(__xludf.DUMMYFUNCTION("""COMPUTED_VALUE"""),"CRS")</f>
        <v>CRS</v>
      </c>
      <c r="C1" s="1" t="str">
        <f ca="1">IFERROR(__xludf.DUMMYFUNCTION("""COMPUTED_VALUE"""),"NLC")</f>
        <v>NLC</v>
      </c>
      <c r="D1" s="1" t="str">
        <f ca="1">IFERROR(__xludf.DUMMYFUNCTION("""COMPUTED_VALUE"""),"TIPLOC")</f>
        <v>TIPLOC</v>
      </c>
      <c r="E1" s="1" t="str">
        <f ca="1">IFERROR(__xludf.DUMMYFUNCTION("""COMPUTED_VALUE"""),"STANME")</f>
        <v>STANME</v>
      </c>
      <c r="F1" s="1" t="str">
        <f ca="1">IFERROR(__xludf.DUMMYFUNCTION("""COMPUTED_VALUE"""),"STANOX")</f>
        <v>STANOX</v>
      </c>
    </row>
    <row r="2" spans="1:6" x14ac:dyDescent="0.3">
      <c r="A2" s="1" t="str">
        <f ca="1">IFERROR(__xludf.DUMMYFUNCTION("filter(A2:F3054,D2:D3054&lt;&gt;"""")"),"Macclesfield")</f>
        <v>Macclesfield</v>
      </c>
      <c r="B2" s="1" t="str">
        <f ca="1">IFERROR(__xludf.DUMMYFUNCTION("""COMPUTED_VALUE"""),"MAC")</f>
        <v>MAC</v>
      </c>
      <c r="C2" s="1">
        <f ca="1">IFERROR(__xludf.DUMMYFUNCTION("""COMPUTED_VALUE"""),287100)</f>
        <v>287100</v>
      </c>
      <c r="D2" s="1" t="str">
        <f ca="1">IFERROR(__xludf.DUMMYFUNCTION("""COMPUTED_VALUE"""),"MACLSFD")</f>
        <v>MACLSFD</v>
      </c>
      <c r="E2" s="1" t="str">
        <f ca="1">IFERROR(__xludf.DUMMYFUNCTION("""COMPUTED_VALUE"""),"MACCLSFLD")</f>
        <v>MACCLSFLD</v>
      </c>
      <c r="F2" s="1">
        <f ca="1">IFERROR(__xludf.DUMMYFUNCTION("""COMPUTED_VALUE"""),32571)</f>
        <v>32571</v>
      </c>
    </row>
    <row r="3" spans="1:6" x14ac:dyDescent="0.3">
      <c r="A3" s="1" t="str">
        <f ca="1">IFERROR(__xludf.DUMMYFUNCTION("""COMPUTED_VALUE"""),"Macclesfield South Turnback")</f>
        <v>Macclesfield South Turnback</v>
      </c>
      <c r="B3" s="1"/>
      <c r="C3" s="1">
        <f ca="1">IFERROR(__xludf.DUMMYFUNCTION("""COMPUTED_VALUE"""),287101)</f>
        <v>287101</v>
      </c>
      <c r="D3" s="1" t="str">
        <f ca="1">IFERROR(__xludf.DUMMYFUNCTION("""COMPUTED_VALUE"""),"MACL833")</f>
        <v>MACL833</v>
      </c>
      <c r="E3" s="1"/>
      <c r="F3" s="1">
        <f ca="1">IFERROR(__xludf.DUMMYFUNCTION("""COMPUTED_VALUE"""),32572)</f>
        <v>32572</v>
      </c>
    </row>
    <row r="4" spans="1:6" x14ac:dyDescent="0.3">
      <c r="A4" s="1" t="str">
        <f ca="1">IFERROR(__xludf.DUMMYFUNCTION("""COMPUTED_VALUE"""),"Machen Run Round")</f>
        <v>Machen Run Round</v>
      </c>
      <c r="B4" s="1"/>
      <c r="C4" s="1">
        <f ca="1">IFERROR(__xludf.DUMMYFUNCTION("""COMPUTED_VALUE"""),366800)</f>
        <v>366800</v>
      </c>
      <c r="D4" s="1" t="str">
        <f ca="1">IFERROR(__xludf.DUMMYFUNCTION("""COMPUTED_VALUE"""),"MACHENR")</f>
        <v>MACHENR</v>
      </c>
      <c r="E4" s="1" t="str">
        <f ca="1">IFERROR(__xludf.DUMMYFUNCTION("""COMPUTED_VALUE"""),"MACHEN QL")</f>
        <v>MACHEN QL</v>
      </c>
      <c r="F4" s="1">
        <f ca="1">IFERROR(__xludf.DUMMYFUNCTION("""COMPUTED_VALUE"""),76512)</f>
        <v>76512</v>
      </c>
    </row>
    <row r="5" spans="1:6" x14ac:dyDescent="0.3">
      <c r="A5" s="1" t="str">
        <f ca="1">IFERROR(__xludf.DUMMYFUNCTION("""COMPUTED_VALUE"""),"Machen Quarry")</f>
        <v>Machen Quarry</v>
      </c>
      <c r="B5" s="1"/>
      <c r="C5" s="1">
        <f ca="1">IFERROR(__xludf.DUMMYFUNCTION("""COMPUTED_VALUE"""),366811)</f>
        <v>366811</v>
      </c>
      <c r="D5" s="1" t="str">
        <f ca="1">IFERROR(__xludf.DUMMYFUNCTION("""COMPUTED_VALUE"""),"MACHENQ")</f>
        <v>MACHENQ</v>
      </c>
      <c r="E5" s="1" t="str">
        <f ca="1">IFERROR(__xludf.DUMMYFUNCTION("""COMPUTED_VALUE"""),"MACHEN")</f>
        <v>MACHEN</v>
      </c>
      <c r="F5" s="1">
        <f ca="1">IFERROR(__xludf.DUMMYFUNCTION("""COMPUTED_VALUE"""),76511)</f>
        <v>76511</v>
      </c>
    </row>
    <row r="6" spans="1:6" x14ac:dyDescent="0.3">
      <c r="A6" s="1" t="str">
        <f ca="1">IFERROR(__xludf.DUMMYFUNCTION("""COMPUTED_VALUE"""),"Machen Quarry Freightliner Heavy Haul")</f>
        <v>Machen Quarry Freightliner Heavy Haul</v>
      </c>
      <c r="B6" s="1"/>
      <c r="C6" s="1">
        <f ca="1">IFERROR(__xludf.DUMMYFUNCTION("""COMPUTED_VALUE"""),366801)</f>
        <v>366801</v>
      </c>
      <c r="D6" s="1" t="str">
        <f ca="1">IFERROR(__xludf.DUMMYFUNCTION("""COMPUTED_VALUE"""),"MACHFHH")</f>
        <v>MACHFHH</v>
      </c>
      <c r="E6" s="1" t="str">
        <f ca="1">IFERROR(__xludf.DUMMYFUNCTION("""COMPUTED_VALUE"""),"MACQRYFHH")</f>
        <v>MACQRYFHH</v>
      </c>
      <c r="F6" s="1">
        <f ca="1">IFERROR(__xludf.DUMMYFUNCTION("""COMPUTED_VALUE"""),76510)</f>
        <v>76510</v>
      </c>
    </row>
    <row r="7" spans="1:6" x14ac:dyDescent="0.3">
      <c r="A7" s="1" t="str">
        <f ca="1">IFERROR(__xludf.DUMMYFUNCTION("""COMPUTED_VALUE"""),"Machynlleth")</f>
        <v>Machynlleth</v>
      </c>
      <c r="B7" s="1" t="str">
        <f ca="1">IFERROR(__xludf.DUMMYFUNCTION("""COMPUTED_VALUE"""),"MCN")</f>
        <v>MCN</v>
      </c>
      <c r="C7" s="1">
        <f ca="1">IFERROR(__xludf.DUMMYFUNCTION("""COMPUTED_VALUE"""),442200)</f>
        <v>442200</v>
      </c>
      <c r="D7" s="1" t="str">
        <f ca="1">IFERROR(__xludf.DUMMYFUNCTION("""COMPUTED_VALUE"""),"MCHYNLT")</f>
        <v>MCHYNLT</v>
      </c>
      <c r="E7" s="1" t="str">
        <f ca="1">IFERROR(__xludf.DUMMYFUNCTION("""COMPUTED_VALUE"""),"MACHYNLLH")</f>
        <v>MACHYNLLH</v>
      </c>
      <c r="F7" s="1">
        <f ca="1">IFERROR(__xludf.DUMMYFUNCTION("""COMPUTED_VALUE"""),64317)</f>
        <v>64317</v>
      </c>
    </row>
    <row r="8" spans="1:6" x14ac:dyDescent="0.3">
      <c r="A8" s="1" t="str">
        <f ca="1">IFERROR(__xludf.DUMMYFUNCTION("""COMPUTED_VALUE"""),"Machynlleth Carriage Sidings")</f>
        <v>Machynlleth Carriage Sidings</v>
      </c>
      <c r="B8" s="1" t="str">
        <f ca="1">IFERROR(__xludf.DUMMYFUNCTION("""COMPUTED_VALUE"""),"XMC")</f>
        <v>XMC</v>
      </c>
      <c r="C8" s="1">
        <f ca="1">IFERROR(__xludf.DUMMYFUNCTION("""COMPUTED_VALUE"""),442210)</f>
        <v>442210</v>
      </c>
      <c r="D8" s="1" t="str">
        <f ca="1">IFERROR(__xludf.DUMMYFUNCTION("""COMPUTED_VALUE"""),"MCHYNCS")</f>
        <v>MCHYNCS</v>
      </c>
      <c r="E8" s="1" t="str">
        <f ca="1">IFERROR(__xludf.DUMMYFUNCTION("""COMPUTED_VALUE"""),"MACHYNLMD")</f>
        <v>MACHYNLMD</v>
      </c>
      <c r="F8" s="1">
        <f ca="1">IFERROR(__xludf.DUMMYFUNCTION("""COMPUTED_VALUE"""),64318)</f>
        <v>64318</v>
      </c>
    </row>
    <row r="9" spans="1:6" x14ac:dyDescent="0.3">
      <c r="A9" s="1" t="str">
        <f ca="1">IFERROR(__xludf.DUMMYFUNCTION("""COMPUTED_VALUE"""),"Machynlleth Glandyfi")</f>
        <v>Machynlleth Glandyfi</v>
      </c>
      <c r="B9" s="1"/>
      <c r="C9" s="1">
        <f ca="1">IFERROR(__xludf.DUMMYFUNCTION("""COMPUTED_VALUE"""),442201)</f>
        <v>442201</v>
      </c>
      <c r="D9" s="1" t="str">
        <f ca="1">IFERROR(__xludf.DUMMYFUNCTION("""COMPUTED_VALUE"""),"MCHYGLA")</f>
        <v>MCHYGLA</v>
      </c>
      <c r="E9" s="1" t="str">
        <f ca="1">IFERROR(__xludf.DUMMYFUNCTION("""COMPUTED_VALUE"""),"GLANDYFI")</f>
        <v>GLANDYFI</v>
      </c>
      <c r="F9" s="1">
        <f ca="1">IFERROR(__xludf.DUMMYFUNCTION("""COMPUTED_VALUE"""),64601)</f>
        <v>64601</v>
      </c>
    </row>
    <row r="10" spans="1:6" x14ac:dyDescent="0.3">
      <c r="A10" s="1" t="str">
        <f ca="1">IFERROR(__xludf.DUMMYFUNCTION("""COMPUTED_VALUE"""),"Machynlleth Ynyslas")</f>
        <v>Machynlleth Ynyslas</v>
      </c>
      <c r="B10" s="1"/>
      <c r="C10" s="1">
        <f ca="1">IFERROR(__xludf.DUMMYFUNCTION("""COMPUTED_VALUE"""),442202)</f>
        <v>442202</v>
      </c>
      <c r="D10" s="1" t="str">
        <f ca="1">IFERROR(__xludf.DUMMYFUNCTION("""COMPUTED_VALUE"""),"MCHYYNY")</f>
        <v>MCHYYNY</v>
      </c>
      <c r="E10" s="1" t="str">
        <f ca="1">IFERROR(__xludf.DUMMYFUNCTION("""COMPUTED_VALUE"""),"YNYS LAS")</f>
        <v>YNYS LAS</v>
      </c>
      <c r="F10" s="1">
        <f ca="1">IFERROR(__xludf.DUMMYFUNCTION("""COMPUTED_VALUE"""),64602)</f>
        <v>64602</v>
      </c>
    </row>
    <row r="11" spans="1:6" x14ac:dyDescent="0.3">
      <c r="A11" s="1" t="str">
        <f ca="1">IFERROR(__xludf.DUMMYFUNCTION("""COMPUTED_VALUE"""),"Macon-Ville")</f>
        <v>Macon-Ville</v>
      </c>
      <c r="B11" s="1"/>
      <c r="C11" s="1">
        <f ca="1">IFERROR(__xludf.DUMMYFUNCTION("""COMPUTED_VALUE"""),80665)</f>
        <v>80665</v>
      </c>
      <c r="D11" s="1" t="str">
        <f ca="1">IFERROR(__xludf.DUMMYFUNCTION("""COMPUTED_VALUE"""),"MACONVL")</f>
        <v>MACONVL</v>
      </c>
      <c r="E11" s="1" t="str">
        <f ca="1">IFERROR(__xludf.DUMMYFUNCTION("""COMPUTED_VALUE"""),"MACON VIL")</f>
        <v>MACON VIL</v>
      </c>
      <c r="F11" s="1">
        <f ca="1">IFERROR(__xludf.DUMMYFUNCTION("""COMPUTED_VALUE"""),774)</f>
        <v>774</v>
      </c>
    </row>
    <row r="12" spans="1:6" x14ac:dyDescent="0.3">
      <c r="A12" s="1" t="str">
        <f ca="1">IFERROR(__xludf.DUMMYFUNCTION("""COMPUTED_VALUE"""),"Madeley Chord Line (Staffs)")</f>
        <v>Madeley Chord Line (Staffs)</v>
      </c>
      <c r="B12" s="1"/>
      <c r="C12" s="1">
        <f ca="1">IFERROR(__xludf.DUMMYFUNCTION("""COMPUTED_VALUE"""),126809)</f>
        <v>126809</v>
      </c>
      <c r="D12" s="1" t="str">
        <f ca="1">IFERROR(__xludf.DUMMYFUNCTION("""COMPUTED_VALUE"""),"MADELYC")</f>
        <v>MADELYC</v>
      </c>
      <c r="E12" s="1" t="str">
        <f ca="1">IFERROR(__xludf.DUMMYFUNCTION("""COMPUTED_VALUE"""),"MADELEY C")</f>
        <v>MADELEY C</v>
      </c>
      <c r="F12" s="1">
        <f ca="1">IFERROR(__xludf.DUMMYFUNCTION("""COMPUTED_VALUE"""),42301)</f>
        <v>42301</v>
      </c>
    </row>
    <row r="13" spans="1:6" x14ac:dyDescent="0.3">
      <c r="A13" s="1" t="str">
        <f ca="1">IFERROR(__xludf.DUMMYFUNCTION("""COMPUTED_VALUE"""),"Madeley Junction (Salop)")</f>
        <v>Madeley Junction (Salop)</v>
      </c>
      <c r="B13" s="1" t="str">
        <f ca="1">IFERROR(__xludf.DUMMYFUNCTION("""COMPUTED_VALUE"""),"XMD")</f>
        <v>XMD</v>
      </c>
      <c r="C13" s="1">
        <f ca="1">IFERROR(__xludf.DUMMYFUNCTION("""COMPUTED_VALUE"""),461902)</f>
        <v>461902</v>
      </c>
      <c r="D13" s="1" t="str">
        <f ca="1">IFERROR(__xludf.DUMMYFUNCTION("""COMPUTED_VALUE"""),"MADEJN")</f>
        <v>MADEJN</v>
      </c>
      <c r="E13" s="1" t="str">
        <f ca="1">IFERROR(__xludf.DUMMYFUNCTION("""COMPUTED_VALUE"""),"MADELEYJN")</f>
        <v>MADELEYJN</v>
      </c>
      <c r="F13" s="1">
        <f ca="1">IFERROR(__xludf.DUMMYFUNCTION("""COMPUTED_VALUE"""),64828)</f>
        <v>64828</v>
      </c>
    </row>
    <row r="14" spans="1:6" x14ac:dyDescent="0.3">
      <c r="A14" s="1" t="str">
        <f ca="1">IFERROR(__xludf.DUMMYFUNCTION("""COMPUTED_VALUE"""),"Madeley Junction Signal MJ490")</f>
        <v>Madeley Junction Signal MJ490</v>
      </c>
      <c r="B14" s="1"/>
      <c r="C14" s="1">
        <f ca="1">IFERROR(__xludf.DUMMYFUNCTION("""COMPUTED_VALUE"""),461905)</f>
        <v>461905</v>
      </c>
      <c r="D14" s="1" t="str">
        <f ca="1">IFERROR(__xludf.DUMMYFUNCTION("""COMPUTED_VALUE"""),"MADE490")</f>
        <v>MADE490</v>
      </c>
      <c r="E14" s="1" t="str">
        <f ca="1">IFERROR(__xludf.DUMMYFUNCTION("""COMPUTED_VALUE"""),"MADLYS490")</f>
        <v>MADLYS490</v>
      </c>
      <c r="F14" s="1">
        <f ca="1">IFERROR(__xludf.DUMMYFUNCTION("""COMPUTED_VALUE"""),64830)</f>
        <v>64830</v>
      </c>
    </row>
    <row r="15" spans="1:6" x14ac:dyDescent="0.3">
      <c r="A15" s="1" t="str">
        <f ca="1">IFERROR(__xludf.DUMMYFUNCTION("""COMPUTED_VALUE"""),"Madeley Junction Signal MJ491")</f>
        <v>Madeley Junction Signal MJ491</v>
      </c>
      <c r="B15" s="1"/>
      <c r="C15" s="1">
        <f ca="1">IFERROR(__xludf.DUMMYFUNCTION("""COMPUTED_VALUE"""),461907)</f>
        <v>461907</v>
      </c>
      <c r="D15" s="1" t="str">
        <f ca="1">IFERROR(__xludf.DUMMYFUNCTION("""COMPUTED_VALUE"""),"MADE491")</f>
        <v>MADE491</v>
      </c>
      <c r="E15" s="1" t="str">
        <f ca="1">IFERROR(__xludf.DUMMYFUNCTION("""COMPUTED_VALUE"""),"MADELY491")</f>
        <v>MADELY491</v>
      </c>
      <c r="F15" s="1">
        <f ca="1">IFERROR(__xludf.DUMMYFUNCTION("""COMPUTED_VALUE"""),64832)</f>
        <v>64832</v>
      </c>
    </row>
    <row r="16" spans="1:6" x14ac:dyDescent="0.3">
      <c r="A16" s="1" t="str">
        <f ca="1">IFERROR(__xludf.DUMMYFUNCTION("""COMPUTED_VALUE"""),"Madeley (Staffs)")</f>
        <v>Madeley (Staffs)</v>
      </c>
      <c r="B16" s="1"/>
      <c r="C16" s="1">
        <f ca="1">IFERROR(__xludf.DUMMYFUNCTION("""COMPUTED_VALUE"""),126808)</f>
        <v>126808</v>
      </c>
      <c r="D16" s="1" t="str">
        <f ca="1">IFERROR(__xludf.DUMMYFUNCTION("""COMPUTED_VALUE"""),"MADELEY")</f>
        <v>MADELEY</v>
      </c>
      <c r="E16" s="1" t="str">
        <f ca="1">IFERROR(__xludf.DUMMYFUNCTION("""COMPUTED_VALUE"""),"MADELEY")</f>
        <v>MADELEY</v>
      </c>
      <c r="F16" s="1">
        <f ca="1">IFERROR(__xludf.DUMMYFUNCTION("""COMPUTED_VALUE"""),42302)</f>
        <v>42302</v>
      </c>
    </row>
    <row r="17" spans="1:6" x14ac:dyDescent="0.3">
      <c r="A17" s="1" t="str">
        <f ca="1">IFERROR(__xludf.DUMMYFUNCTION("""COMPUTED_VALUE"""),"Madeley Whitmore")</f>
        <v>Madeley Whitmore</v>
      </c>
      <c r="B17" s="1"/>
      <c r="C17" s="1">
        <f ca="1">IFERROR(__xludf.DUMMYFUNCTION("""COMPUTED_VALUE"""),126813)</f>
        <v>126813</v>
      </c>
      <c r="D17" s="1" t="str">
        <f ca="1">IFERROR(__xludf.DUMMYFUNCTION("""COMPUTED_VALUE"""),"MADEWH")</f>
        <v>MADEWH</v>
      </c>
      <c r="E17" s="1" t="str">
        <f ca="1">IFERROR(__xludf.DUMMYFUNCTION("""COMPUTED_VALUE"""),"WHITMORE")</f>
        <v>WHITMORE</v>
      </c>
      <c r="F17" s="1">
        <f ca="1">IFERROR(__xludf.DUMMYFUNCTION("""COMPUTED_VALUE"""),42309)</f>
        <v>42309</v>
      </c>
    </row>
    <row r="18" spans="1:6" x14ac:dyDescent="0.3">
      <c r="A18" s="1" t="str">
        <f ca="1">IFERROR(__xludf.DUMMYFUNCTION("""COMPUTED_VALUE"""),"Maerdy (by bus)")</f>
        <v>Maerdy (by bus)</v>
      </c>
      <c r="B18" s="1" t="str">
        <f ca="1">IFERROR(__xludf.DUMMYFUNCTION("""COMPUTED_VALUE"""),"MDY")</f>
        <v>MDY</v>
      </c>
      <c r="C18" s="1">
        <f ca="1">IFERROR(__xludf.DUMMYFUNCTION("""COMPUTED_VALUE"""),29600)</f>
        <v>29600</v>
      </c>
      <c r="D18" s="1" t="str">
        <f ca="1">IFERROR(__xludf.DUMMYFUNCTION("""COMPUTED_VALUE"""),"MAERDY")</f>
        <v>MAERDY</v>
      </c>
      <c r="E18" s="1"/>
      <c r="F18" s="1" t="str">
        <f ca="1">IFERROR(__xludf.DUMMYFUNCTION("""COMPUTED_VALUE"""),"-")</f>
        <v>-</v>
      </c>
    </row>
    <row r="19" spans="1:6" x14ac:dyDescent="0.3">
      <c r="A19" s="1" t="str">
        <f ca="1">IFERROR(__xludf.DUMMYFUNCTION("""COMPUTED_VALUE"""),"Maesglas Tip")</f>
        <v>Maesglas Tip</v>
      </c>
      <c r="B19" s="1"/>
      <c r="C19" s="1" t="str">
        <f ca="1">IFERROR(__xludf.DUMMYFUNCTION("""COMPUTED_VALUE"""),"367700 367786")</f>
        <v>367700 367786</v>
      </c>
      <c r="D19" s="1" t="str">
        <f ca="1">IFERROR(__xludf.DUMMYFUNCTION("""COMPUTED_VALUE"""),"MASGLAS")</f>
        <v>MASGLAS</v>
      </c>
      <c r="E19" s="1" t="str">
        <f ca="1">IFERROR(__xludf.DUMMYFUNCTION("""COMPUTED_VALUE"""),"MAESGLAS")</f>
        <v>MAESGLAS</v>
      </c>
      <c r="F19" s="1">
        <f ca="1">IFERROR(__xludf.DUMMYFUNCTION("""COMPUTED_VALUE"""),76462)</f>
        <v>76462</v>
      </c>
    </row>
    <row r="20" spans="1:6" x14ac:dyDescent="0.3">
      <c r="A20" s="1" t="str">
        <f ca="1">IFERROR(__xludf.DUMMYFUNCTION("""COMPUTED_VALUE"""),"Maesmawr")</f>
        <v>Maesmawr</v>
      </c>
      <c r="B20" s="1"/>
      <c r="C20" s="1"/>
      <c r="D20" s="1" t="str">
        <f ca="1">IFERROR(__xludf.DUMMYFUNCTION("""COMPUTED_VALUE"""),"MAEMAWR")</f>
        <v>MAEMAWR</v>
      </c>
      <c r="E20" s="1"/>
      <c r="F20" s="1"/>
    </row>
    <row r="21" spans="1:6" x14ac:dyDescent="0.3">
      <c r="A21" s="1" t="str">
        <f ca="1">IFERROR(__xludf.DUMMYFUNCTION("""COMPUTED_VALUE"""),"Maesteg")</f>
        <v>Maesteg</v>
      </c>
      <c r="B21" s="1" t="str">
        <f ca="1">IFERROR(__xludf.DUMMYFUNCTION("""COMPUTED_VALUE"""),"MST")</f>
        <v>MST</v>
      </c>
      <c r="C21" s="1">
        <f ca="1">IFERROR(__xludf.DUMMYFUNCTION("""COMPUTED_VALUE"""),396300)</f>
        <v>396300</v>
      </c>
      <c r="D21" s="1" t="str">
        <f ca="1">IFERROR(__xludf.DUMMYFUNCTION("""COMPUTED_VALUE"""),"MAESTGW")</f>
        <v>MAESTGW</v>
      </c>
      <c r="E21" s="1" t="str">
        <f ca="1">IFERROR(__xludf.DUMMYFUNCTION("""COMPUTED_VALUE"""),"MAESTEG")</f>
        <v>MAESTEG</v>
      </c>
      <c r="F21" s="1">
        <f ca="1">IFERROR(__xludf.DUMMYFUNCTION("""COMPUTED_VALUE"""),79828)</f>
        <v>79828</v>
      </c>
    </row>
    <row r="22" spans="1:6" x14ac:dyDescent="0.3">
      <c r="A22" s="1" t="str">
        <f ca="1">IFERROR(__xludf.DUMMYFUNCTION("""COMPUTED_VALUE"""),"Maesteg Central Washery")</f>
        <v>Maesteg Central Washery</v>
      </c>
      <c r="B22" s="1"/>
      <c r="C22" s="1"/>
      <c r="D22" s="1" t="str">
        <f ca="1">IFERROR(__xludf.DUMMYFUNCTION("""COMPUTED_VALUE"""),"MAESTCW")</f>
        <v>MAESTCW</v>
      </c>
      <c r="E22" s="1"/>
      <c r="F22" s="1">
        <f ca="1">IFERROR(__xludf.DUMMYFUNCTION("""COMPUTED_VALUE"""),79826)</f>
        <v>79826</v>
      </c>
    </row>
    <row r="23" spans="1:6" x14ac:dyDescent="0.3">
      <c r="A23" s="1" t="str">
        <f ca="1">IFERROR(__xludf.DUMMYFUNCTION("""COMPUTED_VALUE"""),"Maesteg (Ewenny Road)")</f>
        <v>Maesteg (Ewenny Road)</v>
      </c>
      <c r="B23" s="1" t="str">
        <f ca="1">IFERROR(__xludf.DUMMYFUNCTION("""COMPUTED_VALUE"""),"MEW")</f>
        <v>MEW</v>
      </c>
      <c r="C23" s="1">
        <f ca="1">IFERROR(__xludf.DUMMYFUNCTION("""COMPUTED_VALUE"""),396200)</f>
        <v>396200</v>
      </c>
      <c r="D23" s="1" t="str">
        <f ca="1">IFERROR(__xludf.DUMMYFUNCTION("""COMPUTED_VALUE"""),"MAESTER")</f>
        <v>MAESTER</v>
      </c>
      <c r="E23" s="1" t="str">
        <f ca="1">IFERROR(__xludf.DUMMYFUNCTION("""COMPUTED_VALUE"""),"MAESTGERD")</f>
        <v>MAESTGERD</v>
      </c>
      <c r="F23" s="1">
        <f ca="1">IFERROR(__xludf.DUMMYFUNCTION("""COMPUTED_VALUE"""),79825)</f>
        <v>79825</v>
      </c>
    </row>
    <row r="24" spans="1:6" x14ac:dyDescent="0.3">
      <c r="A24" s="1" t="str">
        <f ca="1">IFERROR(__xludf.DUMMYFUNCTION("""COMPUTED_VALUE"""),"Maesteg Ground Frame")</f>
        <v>Maesteg Ground Frame</v>
      </c>
      <c r="B24" s="1"/>
      <c r="C24" s="1">
        <f ca="1">IFERROR(__xludf.DUMMYFUNCTION("""COMPUTED_VALUE"""),396302)</f>
        <v>396302</v>
      </c>
      <c r="D24" s="1" t="str">
        <f ca="1">IFERROR(__xludf.DUMMYFUNCTION("""COMPUTED_VALUE"""),"MAESTGF")</f>
        <v>MAESTGF</v>
      </c>
      <c r="E24" s="1"/>
      <c r="F24" s="1" t="str">
        <f ca="1">IFERROR(__xludf.DUMMYFUNCTION("""COMPUTED_VALUE"""),"79825*")</f>
        <v>79825*</v>
      </c>
    </row>
    <row r="25" spans="1:6" x14ac:dyDescent="0.3">
      <c r="A25" s="1" t="str">
        <f ca="1">IFERROR(__xludf.DUMMYFUNCTION("""COMPUTED_VALUE"""),"Maghull")</f>
        <v>Maghull</v>
      </c>
      <c r="B25" s="1" t="str">
        <f ca="1">IFERROR(__xludf.DUMMYFUNCTION("""COMPUTED_VALUE"""),"MAG")</f>
        <v>MAG</v>
      </c>
      <c r="C25" s="1">
        <f ca="1">IFERROR(__xludf.DUMMYFUNCTION("""COMPUTED_VALUE"""),215500)</f>
        <v>215500</v>
      </c>
      <c r="D25" s="1" t="str">
        <f ca="1">IFERROR(__xludf.DUMMYFUNCTION("""COMPUTED_VALUE"""),"MAGHULL")</f>
        <v>MAGHULL</v>
      </c>
      <c r="E25" s="1" t="str">
        <f ca="1">IFERROR(__xludf.DUMMYFUNCTION("""COMPUTED_VALUE"""),"MAGHULL")</f>
        <v>MAGHULL</v>
      </c>
      <c r="F25" s="1">
        <f ca="1">IFERROR(__xludf.DUMMYFUNCTION("""COMPUTED_VALUE"""),36013)</f>
        <v>36013</v>
      </c>
    </row>
    <row r="26" spans="1:6" x14ac:dyDescent="0.3">
      <c r="A26" s="1" t="str">
        <f ca="1">IFERROR(__xludf.DUMMYFUNCTION("""COMPUTED_VALUE"""),"Maghull North")</f>
        <v>Maghull North</v>
      </c>
      <c r="B26" s="1" t="str">
        <f ca="1">IFERROR(__xludf.DUMMYFUNCTION("""COMPUTED_VALUE"""),"MNS")</f>
        <v>MNS</v>
      </c>
      <c r="C26" s="1">
        <f ca="1">IFERROR(__xludf.DUMMYFUNCTION("""COMPUTED_VALUE"""),657600)</f>
        <v>657600</v>
      </c>
      <c r="D26" s="1" t="str">
        <f ca="1">IFERROR(__xludf.DUMMYFUNCTION("""COMPUTED_VALUE"""),"MAGHNTH")</f>
        <v>MAGHNTH</v>
      </c>
      <c r="E26" s="1" t="str">
        <f ca="1">IFERROR(__xludf.DUMMYFUNCTION("""COMPUTED_VALUE"""),"MAGHULNST")</f>
        <v>MAGHULNST</v>
      </c>
      <c r="F26" s="1">
        <f ca="1">IFERROR(__xludf.DUMMYFUNCTION("""COMPUTED_VALUE"""),36014)</f>
        <v>36014</v>
      </c>
    </row>
    <row r="27" spans="1:6" x14ac:dyDescent="0.3">
      <c r="A27" s="1" t="str">
        <f ca="1">IFERROR(__xludf.DUMMYFUNCTION("""COMPUTED_VALUE"""),"Magor")</f>
        <v>Magor</v>
      </c>
      <c r="B27" s="1"/>
      <c r="C27" s="1">
        <f ca="1">IFERROR(__xludf.DUMMYFUNCTION("""COMPUTED_VALUE"""),366900)</f>
        <v>366900</v>
      </c>
      <c r="D27" s="1" t="str">
        <f ca="1">IFERROR(__xludf.DUMMYFUNCTION("""COMPUTED_VALUE"""),"MAGOR")</f>
        <v>MAGOR</v>
      </c>
      <c r="E27" s="1" t="str">
        <f ca="1">IFERROR(__xludf.DUMMYFUNCTION("""COMPUTED_VALUE"""),"MAGOR")</f>
        <v>MAGOR</v>
      </c>
      <c r="F27" s="1">
        <f ca="1">IFERROR(__xludf.DUMMYFUNCTION("""COMPUTED_VALUE"""),76093)</f>
        <v>76093</v>
      </c>
    </row>
    <row r="28" spans="1:6" x14ac:dyDescent="0.3">
      <c r="A28" s="1" t="str">
        <f ca="1">IFERROR(__xludf.DUMMYFUNCTION("""COMPUTED_VALUE"""),"Maida Vale LT")</f>
        <v>Maida Vale LT</v>
      </c>
      <c r="B28" s="1" t="str">
        <f ca="1">IFERROR(__xludf.DUMMYFUNCTION("""COMPUTED_VALUE"""),"ZMV")</f>
        <v>ZMV</v>
      </c>
      <c r="C28" s="1">
        <f ca="1">IFERROR(__xludf.DUMMYFUNCTION("""COMPUTED_VALUE"""),63700)</f>
        <v>63700</v>
      </c>
      <c r="D28" s="1" t="str">
        <f ca="1">IFERROR(__xludf.DUMMYFUNCTION("""COMPUTED_VALUE"""),"MDVLLT")</f>
        <v>MDVLLT</v>
      </c>
      <c r="E28" s="1"/>
      <c r="F28" s="1" t="str">
        <f ca="1">IFERROR(__xludf.DUMMYFUNCTION("""COMPUTED_VALUE"""),"-")</f>
        <v>-</v>
      </c>
    </row>
    <row r="29" spans="1:6" x14ac:dyDescent="0.3">
      <c r="A29" s="1" t="str">
        <f ca="1">IFERROR(__xludf.DUMMYFUNCTION("""COMPUTED_VALUE"""),"Maidenhead")</f>
        <v>Maidenhead</v>
      </c>
      <c r="B29" s="1" t="str">
        <f ca="1">IFERROR(__xludf.DUMMYFUNCTION("""COMPUTED_VALUE"""),"MAI")</f>
        <v>MAI</v>
      </c>
      <c r="C29" s="1">
        <f ca="1">IFERROR(__xludf.DUMMYFUNCTION("""COMPUTED_VALUE"""),314700)</f>
        <v>314700</v>
      </c>
      <c r="D29" s="1" t="str">
        <f ca="1">IFERROR(__xludf.DUMMYFUNCTION("""COMPUTED_VALUE"""),"MDNHEAD")</f>
        <v>MDNHEAD</v>
      </c>
      <c r="E29" s="1" t="str">
        <f ca="1">IFERROR(__xludf.DUMMYFUNCTION("""COMPUTED_VALUE"""),"MAIDENHED")</f>
        <v>MAIDENHED</v>
      </c>
      <c r="F29" s="1">
        <f ca="1">IFERROR(__xludf.DUMMYFUNCTION("""COMPUTED_VALUE"""),74005)</f>
        <v>74005</v>
      </c>
    </row>
    <row r="30" spans="1:6" x14ac:dyDescent="0.3">
      <c r="A30" s="1" t="str">
        <f ca="1">IFERROR(__xludf.DUMMYFUNCTION("""COMPUTED_VALUE"""),"Maidenhead Carriage Sidings")</f>
        <v>Maidenhead Carriage Sidings</v>
      </c>
      <c r="B30" s="1"/>
      <c r="C30" s="1">
        <f ca="1">IFERROR(__xludf.DUMMYFUNCTION("""COMPUTED_VALUE"""),314702)</f>
        <v>314702</v>
      </c>
      <c r="D30" s="1" t="str">
        <f ca="1">IFERROR(__xludf.DUMMYFUNCTION("""COMPUTED_VALUE"""),"MDNHDCS")</f>
        <v>MDNHDCS</v>
      </c>
      <c r="E30" s="1" t="str">
        <f ca="1">IFERROR(__xludf.DUMMYFUNCTION("""COMPUTED_VALUE"""),"MDNHD CS")</f>
        <v>MDNHD CS</v>
      </c>
      <c r="F30" s="1" t="str">
        <f ca="1">IFERROR(__xludf.DUMMYFUNCTION("""COMPUTED_VALUE"""),"74003 74008")</f>
        <v>74003 74008</v>
      </c>
    </row>
    <row r="31" spans="1:6" x14ac:dyDescent="0.3">
      <c r="A31" s="1" t="str">
        <f ca="1">IFERROR(__xludf.DUMMYFUNCTION("""COMPUTED_VALUE"""),"Maidenhead Civil Engineer's Sidings")</f>
        <v>Maidenhead Civil Engineer's Sidings</v>
      </c>
      <c r="B31" s="1"/>
      <c r="C31" s="1">
        <f ca="1">IFERROR(__xludf.DUMMYFUNCTION("""COMPUTED_VALUE"""),314712)</f>
        <v>314712</v>
      </c>
      <c r="D31" s="1" t="str">
        <f ca="1">IFERROR(__xludf.DUMMYFUNCTION("""COMPUTED_VALUE"""),"MDNHCE")</f>
        <v>MDNHCE</v>
      </c>
      <c r="E31" s="1" t="str">
        <f ca="1">IFERROR(__xludf.DUMMYFUNCTION("""COMPUTED_VALUE"""),"MAIDENHD")</f>
        <v>MAIDENHD</v>
      </c>
      <c r="F31" s="1">
        <f ca="1">IFERROR(__xludf.DUMMYFUNCTION("""COMPUTED_VALUE"""),74007)</f>
        <v>74007</v>
      </c>
    </row>
    <row r="32" spans="1:6" x14ac:dyDescent="0.3">
      <c r="A32" s="1" t="str">
        <f ca="1">IFERROR(__xludf.DUMMYFUNCTION("""COMPUTED_VALUE"""),"Maidenhead East")</f>
        <v>Maidenhead East</v>
      </c>
      <c r="B32" s="1"/>
      <c r="C32" s="1">
        <f ca="1">IFERROR(__xludf.DUMMYFUNCTION("""COMPUTED_VALUE"""),314760)</f>
        <v>314760</v>
      </c>
      <c r="D32" s="1" t="str">
        <f ca="1">IFERROR(__xludf.DUMMYFUNCTION("""COMPUTED_VALUE"""),"MDNHDE")</f>
        <v>MDNHDE</v>
      </c>
      <c r="E32" s="1" t="str">
        <f ca="1">IFERROR(__xludf.DUMMYFUNCTION("""COMPUTED_VALUE"""),"MAIDNHEDE")</f>
        <v>MAIDNHEDE</v>
      </c>
      <c r="F32" s="1">
        <f ca="1">IFERROR(__xludf.DUMMYFUNCTION("""COMPUTED_VALUE"""),74006)</f>
        <v>74006</v>
      </c>
    </row>
    <row r="33" spans="1:6" x14ac:dyDescent="0.3">
      <c r="A33" s="1" t="str">
        <f ca="1">IFERROR(__xludf.DUMMYFUNCTION("""COMPUTED_VALUE"""),"Maidenhead For Eton Dorney")</f>
        <v>Maidenhead For Eton Dorney</v>
      </c>
      <c r="B33" s="1" t="str">
        <f ca="1">IFERROR(__xludf.DUMMYFUNCTION("""COMPUTED_VALUE"""),"MXZ")</f>
        <v>MXZ</v>
      </c>
      <c r="C33" s="1">
        <f ca="1">IFERROR(__xludf.DUMMYFUNCTION("""COMPUTED_VALUE"""),657600)</f>
        <v>657600</v>
      </c>
      <c r="D33" s="1" t="str">
        <f ca="1">IFERROR(__xludf.DUMMYFUNCTION("""COMPUTED_VALUE"""),"CATZ030")</f>
        <v>CATZ030</v>
      </c>
      <c r="E33" s="1"/>
      <c r="F33" s="1"/>
    </row>
    <row r="34" spans="1:6" x14ac:dyDescent="0.3">
      <c r="A34" s="1" t="str">
        <f ca="1">IFERROR(__xludf.DUMMYFUNCTION("""COMPUTED_VALUE"""),"Maidenhead Reversing Sidings")</f>
        <v>Maidenhead Reversing Sidings</v>
      </c>
      <c r="B34" s="1"/>
      <c r="C34" s="1">
        <f ca="1">IFERROR(__xludf.DUMMYFUNCTION("""COMPUTED_VALUE"""),314703)</f>
        <v>314703</v>
      </c>
      <c r="D34" s="1" t="str">
        <f ca="1">IFERROR(__xludf.DUMMYFUNCTION("""COMPUTED_VALUE"""),"MDNHDRS")</f>
        <v>MDNHDRS</v>
      </c>
      <c r="E34" s="1" t="str">
        <f ca="1">IFERROR(__xludf.DUMMYFUNCTION("""COMPUTED_VALUE"""),"MDNHDMIDS")</f>
        <v>MDNHDMIDS</v>
      </c>
      <c r="F34" s="1">
        <f ca="1">IFERROR(__xludf.DUMMYFUNCTION("""COMPUTED_VALUE"""),74004)</f>
        <v>74004</v>
      </c>
    </row>
    <row r="35" spans="1:6" x14ac:dyDescent="0.3">
      <c r="A35" s="1" t="str">
        <f ca="1">IFERROR(__xludf.DUMMYFUNCTION("""COMPUTED_VALUE"""),"Maidenhead Signal S171 Marlow Branch")</f>
        <v>Maidenhead Signal S171 Marlow Branch</v>
      </c>
      <c r="B35" s="1"/>
      <c r="C35" s="1">
        <f ca="1">IFERROR(__xludf.DUMMYFUNCTION("""COMPUTED_VALUE"""),314713)</f>
        <v>314713</v>
      </c>
      <c r="D35" s="1" t="str">
        <f ca="1">IFERROR(__xludf.DUMMYFUNCTION("""COMPUTED_VALUE"""),"MAIS171")</f>
        <v>MAIS171</v>
      </c>
      <c r="E35" s="1"/>
      <c r="F35" s="1"/>
    </row>
    <row r="36" spans="1:6" x14ac:dyDescent="0.3">
      <c r="A36" s="1" t="str">
        <f ca="1">IFERROR(__xludf.DUMMYFUNCTION("""COMPUTED_VALUE"""),"Maidenhead Signal S291")</f>
        <v>Maidenhead Signal S291</v>
      </c>
      <c r="B36" s="1"/>
      <c r="C36" s="1">
        <f ca="1">IFERROR(__xludf.DUMMYFUNCTION("""COMPUTED_VALUE"""),314701)</f>
        <v>314701</v>
      </c>
      <c r="D36" s="1" t="str">
        <f ca="1">IFERROR(__xludf.DUMMYFUNCTION("""COMPUTED_VALUE"""),"MDNH291")</f>
        <v>MDNH291</v>
      </c>
      <c r="E36" s="1" t="str">
        <f ca="1">IFERROR(__xludf.DUMMYFUNCTION("""COMPUTED_VALUE"""),"MAIDEN291")</f>
        <v>MAIDEN291</v>
      </c>
      <c r="F36" s="1">
        <f ca="1">IFERROR(__xludf.DUMMYFUNCTION("""COMPUTED_VALUE"""),74002)</f>
        <v>74002</v>
      </c>
    </row>
    <row r="37" spans="1:6" x14ac:dyDescent="0.3">
      <c r="A37" s="1" t="str">
        <f ca="1">IFERROR(__xludf.DUMMYFUNCTION("""COMPUTED_VALUE"""),"Maidenhead West")</f>
        <v>Maidenhead West</v>
      </c>
      <c r="B37" s="1"/>
      <c r="C37" s="1">
        <f ca="1">IFERROR(__xludf.DUMMYFUNCTION("""COMPUTED_VALUE"""),314767)</f>
        <v>314767</v>
      </c>
      <c r="D37" s="1" t="str">
        <f ca="1">IFERROR(__xludf.DUMMYFUNCTION("""COMPUTED_VALUE"""),"MDNHDW")</f>
        <v>MDNHDW</v>
      </c>
      <c r="E37" s="1"/>
      <c r="F37" s="1" t="str">
        <f ca="1">IFERROR(__xludf.DUMMYFUNCTION("""COMPUTED_VALUE"""),"74007?")</f>
        <v>74007?</v>
      </c>
    </row>
    <row r="38" spans="1:6" x14ac:dyDescent="0.3">
      <c r="A38" s="1" t="str">
        <f ca="1">IFERROR(__xludf.DUMMYFUNCTION("""COMPUTED_VALUE"""),"Maiden Lane Junction")</f>
        <v>Maiden Lane Junction</v>
      </c>
      <c r="B38" s="1"/>
      <c r="C38" s="1">
        <f ca="1">IFERROR(__xludf.DUMMYFUNCTION("""COMPUTED_VALUE"""),144003)</f>
        <v>144003</v>
      </c>
      <c r="D38" s="1" t="str">
        <f ca="1">IFERROR(__xludf.DUMMYFUNCTION("""COMPUTED_VALUE"""),"MAIDNLJ")</f>
        <v>MAIDNLJ</v>
      </c>
      <c r="E38" s="1"/>
      <c r="F38" s="1"/>
    </row>
    <row r="39" spans="1:6" x14ac:dyDescent="0.3">
      <c r="A39" s="1" t="str">
        <f ca="1">IFERROR(__xludf.DUMMYFUNCTION("""COMPUTED_VALUE"""),"Maiden Newton")</f>
        <v>Maiden Newton</v>
      </c>
      <c r="B39" s="1" t="str">
        <f ca="1">IFERROR(__xludf.DUMMYFUNCTION("""COMPUTED_VALUE"""),"MDN")</f>
        <v>MDN</v>
      </c>
      <c r="C39" s="1">
        <f ca="1">IFERROR(__xludf.DUMMYFUNCTION("""COMPUTED_VALUE"""),585300)</f>
        <v>585300</v>
      </c>
      <c r="D39" s="1" t="str">
        <f ca="1">IFERROR(__xludf.DUMMYFUNCTION("""COMPUTED_VALUE"""),"MDNNWTN")</f>
        <v>MDNNWTN</v>
      </c>
      <c r="E39" s="1" t="str">
        <f ca="1">IFERROR(__xludf.DUMMYFUNCTION("""COMPUTED_VALUE"""),"MAIDENNTN")</f>
        <v>MAIDENNTN</v>
      </c>
      <c r="F39" s="1">
        <f ca="1">IFERROR(__xludf.DUMMYFUNCTION("""COMPUTED_VALUE"""),82316)</f>
        <v>82316</v>
      </c>
    </row>
    <row r="40" spans="1:6" x14ac:dyDescent="0.3">
      <c r="A40" s="1" t="str">
        <f ca="1">IFERROR(__xludf.DUMMYFUNCTION("""COMPUTED_VALUE"""),"Maidstone Barracks")</f>
        <v>Maidstone Barracks</v>
      </c>
      <c r="B40" s="1" t="str">
        <f ca="1">IFERROR(__xludf.DUMMYFUNCTION("""COMPUTED_VALUE"""),"MDB")</f>
        <v>MDB</v>
      </c>
      <c r="C40" s="1">
        <f ca="1">IFERROR(__xludf.DUMMYFUNCTION("""COMPUTED_VALUE"""),523700)</f>
        <v>523700</v>
      </c>
      <c r="D40" s="1" t="str">
        <f ca="1">IFERROR(__xludf.DUMMYFUNCTION("""COMPUTED_VALUE"""),"MSTONEB")</f>
        <v>MSTONEB</v>
      </c>
      <c r="E40" s="1" t="str">
        <f ca="1">IFERROR(__xludf.DUMMYFUNCTION("""COMPUTED_VALUE"""),"MAIDSTNBK")</f>
        <v>MAIDSTNBK</v>
      </c>
      <c r="F40" s="1">
        <f ca="1">IFERROR(__xludf.DUMMYFUNCTION("""COMPUTED_VALUE"""),89313)</f>
        <v>89313</v>
      </c>
    </row>
    <row r="41" spans="1:6" x14ac:dyDescent="0.3">
      <c r="A41" s="1" t="str">
        <f ca="1">IFERROR(__xludf.DUMMYFUNCTION("""COMPUTED_VALUE"""),"Maidstone East")</f>
        <v>Maidstone East</v>
      </c>
      <c r="B41" s="1" t="str">
        <f ca="1">IFERROR(__xludf.DUMMYFUNCTION("""COMPUTED_VALUE"""),"MDE")</f>
        <v>MDE</v>
      </c>
      <c r="C41" s="1">
        <f ca="1">IFERROR(__xludf.DUMMYFUNCTION("""COMPUTED_VALUE"""),511500)</f>
        <v>511500</v>
      </c>
      <c r="D41" s="1" t="str">
        <f ca="1">IFERROR(__xludf.DUMMYFUNCTION("""COMPUTED_VALUE"""),"MSTONEE")</f>
        <v>MSTONEE</v>
      </c>
      <c r="E41" s="1" t="str">
        <f ca="1">IFERROR(__xludf.DUMMYFUNCTION("""COMPUTED_VALUE"""),"MAIDSTN E")</f>
        <v>MAIDSTN E</v>
      </c>
      <c r="F41" s="1">
        <f ca="1">IFERROR(__xludf.DUMMYFUNCTION("""COMPUTED_VALUE"""),89403)</f>
        <v>89403</v>
      </c>
    </row>
    <row r="42" spans="1:6" x14ac:dyDescent="0.3">
      <c r="A42" s="1" t="str">
        <f ca="1">IFERROR(__xludf.DUMMYFUNCTION("""COMPUTED_VALUE"""),"Maidstone East Signal ME9")</f>
        <v>Maidstone East Signal ME9</v>
      </c>
      <c r="B42" s="1"/>
      <c r="C42" s="1">
        <f ca="1">IFERROR(__xludf.DUMMYFUNCTION("""COMPUTED_VALUE"""),511502)</f>
        <v>511502</v>
      </c>
      <c r="D42" s="1" t="str">
        <f ca="1">IFERROR(__xludf.DUMMYFUNCTION("""COMPUTED_VALUE"""),"MSTO9")</f>
        <v>MSTO9</v>
      </c>
      <c r="E42" s="1" t="str">
        <f ca="1">IFERROR(__xludf.DUMMYFUNCTION("""COMPUTED_VALUE"""),"MAIDSTNE9")</f>
        <v>MAIDSTNE9</v>
      </c>
      <c r="F42" s="1">
        <f ca="1">IFERROR(__xludf.DUMMYFUNCTION("""COMPUTED_VALUE"""),89318)</f>
        <v>89318</v>
      </c>
    </row>
    <row r="43" spans="1:6" x14ac:dyDescent="0.3">
      <c r="A43" s="1" t="str">
        <f ca="1">IFERROR(__xludf.DUMMYFUNCTION("""COMPUTED_VALUE"""),"Maidstone East Signal ME14")</f>
        <v>Maidstone East Signal ME14</v>
      </c>
      <c r="B43" s="1"/>
      <c r="C43" s="1">
        <f ca="1">IFERROR(__xludf.DUMMYFUNCTION("""COMPUTED_VALUE"""),511501)</f>
        <v>511501</v>
      </c>
      <c r="D43" s="1" t="str">
        <f ca="1">IFERROR(__xludf.DUMMYFUNCTION("""COMPUTED_VALUE"""),"MSTO14")</f>
        <v>MSTO14</v>
      </c>
      <c r="E43" s="1"/>
      <c r="F43" s="1" t="str">
        <f ca="1">IFERROR(__xludf.DUMMYFUNCTION("""COMPUTED_VALUE"""),"-")</f>
        <v>-</v>
      </c>
    </row>
    <row r="44" spans="1:6" x14ac:dyDescent="0.3">
      <c r="A44" s="1" t="str">
        <f ca="1">IFERROR(__xludf.DUMMYFUNCTION("""COMPUTED_VALUE"""),"Maidstone West")</f>
        <v>Maidstone West</v>
      </c>
      <c r="B44" s="1" t="str">
        <f ca="1">IFERROR(__xludf.DUMMYFUNCTION("""COMPUTED_VALUE"""),"MDW")</f>
        <v>MDW</v>
      </c>
      <c r="C44" s="1">
        <f ca="1">IFERROR(__xludf.DUMMYFUNCTION("""COMPUTED_VALUE"""),522200)</f>
        <v>522200</v>
      </c>
      <c r="D44" s="1" t="str">
        <f ca="1">IFERROR(__xludf.DUMMYFUNCTION("""COMPUTED_VALUE"""),"MSTONEW")</f>
        <v>MSTONEW</v>
      </c>
      <c r="E44" s="1" t="str">
        <f ca="1">IFERROR(__xludf.DUMMYFUNCTION("""COMPUTED_VALUE"""),"MAIDSTN W")</f>
        <v>MAIDSTN W</v>
      </c>
      <c r="F44" s="1">
        <f ca="1">IFERROR(__xludf.DUMMYFUNCTION("""COMPUTED_VALUE"""),89315)</f>
        <v>89315</v>
      </c>
    </row>
    <row r="45" spans="1:6" x14ac:dyDescent="0.3">
      <c r="A45" s="1" t="str">
        <f ca="1">IFERROR(__xludf.DUMMYFUNCTION("""COMPUTED_VALUE"""),"Maidstone West Carriage Siding")</f>
        <v>Maidstone West Carriage Siding</v>
      </c>
      <c r="B45" s="1"/>
      <c r="C45" s="1">
        <f ca="1">IFERROR(__xludf.DUMMYFUNCTION("""COMPUTED_VALUE"""),522202)</f>
        <v>522202</v>
      </c>
      <c r="D45" s="1" t="str">
        <f ca="1">IFERROR(__xludf.DUMMYFUNCTION("""COMPUTED_VALUE"""),"MSTOWCS")</f>
        <v>MSTOWCS</v>
      </c>
      <c r="E45" s="1" t="str">
        <f ca="1">IFERROR(__xludf.DUMMYFUNCTION("""COMPUTED_VALUE"""),"MAIDSTWCS")</f>
        <v>MAIDSTWCS</v>
      </c>
      <c r="F45" s="1">
        <f ca="1">IFERROR(__xludf.DUMMYFUNCTION("""COMPUTED_VALUE"""),89311)</f>
        <v>89311</v>
      </c>
    </row>
    <row r="46" spans="1:6" x14ac:dyDescent="0.3">
      <c r="A46" s="1" t="str">
        <f ca="1">IFERROR(__xludf.DUMMYFUNCTION("""COMPUTED_VALUE"""),"Maidstone West Signal MS57")</f>
        <v>Maidstone West Signal MS57</v>
      </c>
      <c r="B46" s="1"/>
      <c r="C46" s="1">
        <f ca="1">IFERROR(__xludf.DUMMYFUNCTION("""COMPUTED_VALUE"""),522204)</f>
        <v>522204</v>
      </c>
      <c r="D46" s="1" t="str">
        <f ca="1">IFERROR(__xludf.DUMMYFUNCTION("""COMPUTED_VALUE"""),"MSTOW57")</f>
        <v>MSTOW57</v>
      </c>
      <c r="E46" s="1" t="str">
        <f ca="1">IFERROR(__xludf.DUMMYFUNCTION("""COMPUTED_VALUE"""),"MAIDSTN57")</f>
        <v>MAIDSTN57</v>
      </c>
      <c r="F46" s="1">
        <f ca="1">IFERROR(__xludf.DUMMYFUNCTION("""COMPUTED_VALUE"""),89316)</f>
        <v>89316</v>
      </c>
    </row>
    <row r="47" spans="1:6" x14ac:dyDescent="0.3">
      <c r="A47" s="1" t="str">
        <f ca="1">IFERROR(__xludf.DUMMYFUNCTION("""COMPUTED_VALUE"""),"Maidstone West Up Sidings")</f>
        <v>Maidstone West Up Sidings</v>
      </c>
      <c r="B47" s="1"/>
      <c r="C47" s="1">
        <f ca="1">IFERROR(__xludf.DUMMYFUNCTION("""COMPUTED_VALUE"""),522203)</f>
        <v>522203</v>
      </c>
      <c r="D47" s="1" t="str">
        <f ca="1">IFERROR(__xludf.DUMMYFUNCTION("""COMPUTED_VALUE"""),"MSTOWUS")</f>
        <v>MSTOWUS</v>
      </c>
      <c r="E47" s="1" t="str">
        <f ca="1">IFERROR(__xludf.DUMMYFUNCTION("""COMPUTED_VALUE"""),"MAIDSTWUS")</f>
        <v>MAIDSTWUS</v>
      </c>
      <c r="F47" s="1">
        <f ca="1">IFERROR(__xludf.DUMMYFUNCTION("""COMPUTED_VALUE"""),89317)</f>
        <v>89317</v>
      </c>
    </row>
    <row r="48" spans="1:6" x14ac:dyDescent="0.3">
      <c r="A48" s="1" t="str">
        <f ca="1">IFERROR(__xludf.DUMMYFUNCTION("""COMPUTED_VALUE"""),"Maindee Civil Engineer's Depot")</f>
        <v>Maindee Civil Engineer's Depot</v>
      </c>
      <c r="B48" s="1"/>
      <c r="C48" s="1">
        <f ca="1">IFERROR(__xludf.DUMMYFUNCTION("""COMPUTED_VALUE"""),367477)</f>
        <v>367477</v>
      </c>
      <c r="D48" s="1" t="str">
        <f ca="1">IFERROR(__xludf.DUMMYFUNCTION("""COMPUTED_VALUE"""),"MAINCE")</f>
        <v>MAINCE</v>
      </c>
      <c r="E48" s="1" t="str">
        <f ca="1">IFERROR(__xludf.DUMMYFUNCTION("""COMPUTED_VALUE"""),"MAINDEEBK")</f>
        <v>MAINDEEBK</v>
      </c>
      <c r="F48" s="1">
        <f ca="1">IFERROR(__xludf.DUMMYFUNCTION("""COMPUTED_VALUE"""),76125)</f>
        <v>76125</v>
      </c>
    </row>
    <row r="49" spans="1:6" x14ac:dyDescent="0.3">
      <c r="A49" s="1" t="str">
        <f ca="1">IFERROR(__xludf.DUMMYFUNCTION("""COMPUTED_VALUE"""),"Maindee East Junction")</f>
        <v>Maindee East Junction</v>
      </c>
      <c r="B49" s="1"/>
      <c r="C49" s="1">
        <f ca="1">IFERROR(__xludf.DUMMYFUNCTION("""COMPUTED_VALUE"""),367440)</f>
        <v>367440</v>
      </c>
      <c r="D49" s="1" t="str">
        <f ca="1">IFERROR(__xludf.DUMMYFUNCTION("""COMPUTED_VALUE"""),"MAINDEJ")</f>
        <v>MAINDEJ</v>
      </c>
      <c r="E49" s="1" t="str">
        <f ca="1">IFERROR(__xludf.DUMMYFUNCTION("""COMPUTED_VALUE"""),"MAINDEEEJ")</f>
        <v>MAINDEEEJ</v>
      </c>
      <c r="F49" s="1">
        <f ca="1">IFERROR(__xludf.DUMMYFUNCTION("""COMPUTED_VALUE"""),76399)</f>
        <v>76399</v>
      </c>
    </row>
    <row r="50" spans="1:6" x14ac:dyDescent="0.3">
      <c r="A50" s="1" t="str">
        <f ca="1">IFERROR(__xludf.DUMMYFUNCTION("""COMPUTED_VALUE"""),"Maindee North Junction")</f>
        <v>Maindee North Junction</v>
      </c>
      <c r="B50" s="1"/>
      <c r="C50" s="1">
        <f ca="1">IFERROR(__xludf.DUMMYFUNCTION("""COMPUTED_VALUE"""),367438)</f>
        <v>367438</v>
      </c>
      <c r="D50" s="1" t="str">
        <f ca="1">IFERROR(__xludf.DUMMYFUNCTION("""COMPUTED_VALUE"""),"MAINDNJ")</f>
        <v>MAINDNJ</v>
      </c>
      <c r="E50" s="1" t="str">
        <f ca="1">IFERROR(__xludf.DUMMYFUNCTION("""COMPUTED_VALUE"""),"MAINDEENJ")</f>
        <v>MAINDEENJ</v>
      </c>
      <c r="F50" s="1">
        <f ca="1">IFERROR(__xludf.DUMMYFUNCTION("""COMPUTED_VALUE"""),76400)</f>
        <v>76400</v>
      </c>
    </row>
    <row r="51" spans="1:6" x14ac:dyDescent="0.3">
      <c r="A51" s="1" t="str">
        <f ca="1">IFERROR(__xludf.DUMMYFUNCTION("""COMPUTED_VALUE"""),"Maindee West Junction")</f>
        <v>Maindee West Junction</v>
      </c>
      <c r="B51" s="1"/>
      <c r="C51" s="1">
        <f ca="1">IFERROR(__xludf.DUMMYFUNCTION("""COMPUTED_VALUE"""),367439)</f>
        <v>367439</v>
      </c>
      <c r="D51" s="1" t="str">
        <f ca="1">IFERROR(__xludf.DUMMYFUNCTION("""COMPUTED_VALUE"""),"MAINDWJ")</f>
        <v>MAINDWJ</v>
      </c>
      <c r="E51" s="1" t="str">
        <f ca="1">IFERROR(__xludf.DUMMYFUNCTION("""COMPUTED_VALUE"""),"MAINDEEWJ")</f>
        <v>MAINDEEWJ</v>
      </c>
      <c r="F51" s="1">
        <f ca="1">IFERROR(__xludf.DUMMYFUNCTION("""COMPUTED_VALUE"""),76398)</f>
        <v>76398</v>
      </c>
    </row>
    <row r="52" spans="1:6" x14ac:dyDescent="0.3">
      <c r="A52" s="1" t="str">
        <f ca="1">IFERROR(__xludf.DUMMYFUNCTION("""COMPUTED_VALUE"""),"Mainz Hbf")</f>
        <v>Mainz Hbf</v>
      </c>
      <c r="B52" s="1" t="str">
        <f ca="1">IFERROR(__xludf.DUMMYFUNCTION("""COMPUTED_VALUE"""),"MNZ")</f>
        <v>MNZ</v>
      </c>
      <c r="C52" s="1">
        <f ca="1">IFERROR(__xludf.DUMMYFUNCTION("""COMPUTED_VALUE"""),14700)</f>
        <v>14700</v>
      </c>
      <c r="D52" s="1" t="str">
        <f ca="1">IFERROR(__xludf.DUMMYFUNCTION("""COMPUTED_VALUE"""),"MINZHBF")</f>
        <v>MINZHBF</v>
      </c>
      <c r="E52" s="1" t="str">
        <f ca="1">IFERROR(__xludf.DUMMYFUNCTION("""COMPUTED_VALUE"""),"MAINZ HBF")</f>
        <v>MAINZ HBF</v>
      </c>
      <c r="F52" s="1">
        <f ca="1">IFERROR(__xludf.DUMMYFUNCTION("""COMPUTED_VALUE"""),44)</f>
        <v>44</v>
      </c>
    </row>
    <row r="53" spans="1:6" x14ac:dyDescent="0.3">
      <c r="A53" s="1" t="str">
        <f ca="1">IFERROR(__xludf.DUMMYFUNCTION("""COMPUTED_VALUE"""),"Malden Manor")</f>
        <v>Malden Manor</v>
      </c>
      <c r="B53" s="1" t="str">
        <f ca="1">IFERROR(__xludf.DUMMYFUNCTION("""COMPUTED_VALUE"""),"MAL")</f>
        <v>MAL</v>
      </c>
      <c r="C53" s="1">
        <f ca="1">IFERROR(__xludf.DUMMYFUNCTION("""COMPUTED_VALUE"""),559900)</f>
        <v>559900</v>
      </c>
      <c r="D53" s="1" t="str">
        <f ca="1">IFERROR(__xludf.DUMMYFUNCTION("""COMPUTED_VALUE"""),"MALDENM")</f>
        <v>MALDENM</v>
      </c>
      <c r="E53" s="1" t="str">
        <f ca="1">IFERROR(__xludf.DUMMYFUNCTION("""COMPUTED_VALUE"""),"MALDENMAN")</f>
        <v>MALDENMAN</v>
      </c>
      <c r="F53" s="1">
        <f ca="1">IFERROR(__xludf.DUMMYFUNCTION("""COMPUTED_VALUE"""),87400)</f>
        <v>87400</v>
      </c>
    </row>
    <row r="54" spans="1:6" x14ac:dyDescent="0.3">
      <c r="A54" s="1" t="str">
        <f ca="1">IFERROR(__xludf.DUMMYFUNCTION("""COMPUTED_VALUE"""),"Mallaig")</f>
        <v>Mallaig</v>
      </c>
      <c r="B54" s="1" t="str">
        <f ca="1">IFERROR(__xludf.DUMMYFUNCTION("""COMPUTED_VALUE"""),"MLG")</f>
        <v>MLG</v>
      </c>
      <c r="C54" s="1">
        <f ca="1">IFERROR(__xludf.DUMMYFUNCTION("""COMPUTED_VALUE"""),883100)</f>
        <v>883100</v>
      </c>
      <c r="D54" s="1" t="str">
        <f ca="1">IFERROR(__xludf.DUMMYFUNCTION("""COMPUTED_VALUE"""),"MLAIG")</f>
        <v>MLAIG</v>
      </c>
      <c r="E54" s="1" t="str">
        <f ca="1">IFERROR(__xludf.DUMMYFUNCTION("""COMPUTED_VALUE"""),"MALLAIG")</f>
        <v>MALLAIG</v>
      </c>
      <c r="F54" s="1">
        <f ca="1">IFERROR(__xludf.DUMMYFUNCTION("""COMPUTED_VALUE"""),6001)</f>
        <v>6001</v>
      </c>
    </row>
    <row r="55" spans="1:6" x14ac:dyDescent="0.3">
      <c r="A55" s="1" t="str">
        <f ca="1">IFERROR(__xludf.DUMMYFUNCTION("""COMPUTED_VALUE"""),"Mallaig Civil Engineer's Sidings")</f>
        <v>Mallaig Civil Engineer's Sidings</v>
      </c>
      <c r="B55" s="1"/>
      <c r="C55" s="1">
        <f ca="1">IFERROR(__xludf.DUMMYFUNCTION("""COMPUTED_VALUE"""),883161)</f>
        <v>883161</v>
      </c>
      <c r="D55" s="1" t="str">
        <f ca="1">IFERROR(__xludf.DUMMYFUNCTION("""COMPUTED_VALUE"""),"MLAIGCE")</f>
        <v>MLAIGCE</v>
      </c>
      <c r="E55" s="1" t="str">
        <f ca="1">IFERROR(__xludf.DUMMYFUNCTION("""COMPUTED_VALUE"""),"MLAIG SDG")</f>
        <v>MLAIG SDG</v>
      </c>
      <c r="F55" s="1">
        <f ca="1">IFERROR(__xludf.DUMMYFUNCTION("""COMPUTED_VALUE"""),5999)</f>
        <v>5999</v>
      </c>
    </row>
    <row r="56" spans="1:6" x14ac:dyDescent="0.3">
      <c r="A56" s="1" t="str">
        <f ca="1">IFERROR(__xludf.DUMMYFUNCTION("""COMPUTED_VALUE"""),"Mallaig Ground Frame")</f>
        <v>Mallaig Ground Frame</v>
      </c>
      <c r="B56" s="1"/>
      <c r="C56" s="1">
        <f ca="1">IFERROR(__xludf.DUMMYFUNCTION("""COMPUTED_VALUE"""),883167)</f>
        <v>883167</v>
      </c>
      <c r="D56" s="1" t="str">
        <f ca="1">IFERROR(__xludf.DUMMYFUNCTION("""COMPUTED_VALUE"""),"MLAIGGF")</f>
        <v>MLAIGGF</v>
      </c>
      <c r="E56" s="1" t="str">
        <f ca="1">IFERROR(__xludf.DUMMYFUNCTION("""COMPUTED_VALUE"""),"MALLAIGGF")</f>
        <v>MALLAIGGF</v>
      </c>
      <c r="F56" s="1">
        <f ca="1">IFERROR(__xludf.DUMMYFUNCTION("""COMPUTED_VALUE"""),5998)</f>
        <v>5998</v>
      </c>
    </row>
    <row r="57" spans="1:6" x14ac:dyDescent="0.3">
      <c r="A57" s="1" t="str">
        <f ca="1">IFERROR(__xludf.DUMMYFUNCTION("""COMPUTED_VALUE"""),"Mallerstang")</f>
        <v>Mallerstang</v>
      </c>
      <c r="B57" s="1"/>
      <c r="C57" s="1">
        <f ca="1">IFERROR(__xludf.DUMMYFUNCTION("""COMPUTED_VALUE"""),205720)</f>
        <v>205720</v>
      </c>
      <c r="D57" s="1" t="str">
        <f ca="1">IFERROR(__xludf.DUMMYFUNCTION("""COMPUTED_VALUE"""),"MALRSTG")</f>
        <v>MALRSTG</v>
      </c>
      <c r="E57" s="1" t="str">
        <f ca="1">IFERROR(__xludf.DUMMYFUNCTION("""COMPUTED_VALUE"""),"MALLERSTG")</f>
        <v>MALLERSTG</v>
      </c>
      <c r="F57" s="1">
        <f ca="1">IFERROR(__xludf.DUMMYFUNCTION("""COMPUTED_VALUE"""),9439)</f>
        <v>9439</v>
      </c>
    </row>
    <row r="58" spans="1:6" x14ac:dyDescent="0.3">
      <c r="A58" s="1" t="str">
        <f ca="1">IFERROR(__xludf.DUMMYFUNCTION("""COMPUTED_VALUE"""),"Mallow")</f>
        <v>Mallow</v>
      </c>
      <c r="B58" s="1" t="str">
        <f ca="1">IFERROR(__xludf.DUMMYFUNCTION("""COMPUTED_VALUE"""),"MAW")</f>
        <v>MAW</v>
      </c>
      <c r="C58" s="1">
        <f ca="1">IFERROR(__xludf.DUMMYFUNCTION("""COMPUTED_VALUE"""),49000)</f>
        <v>49000</v>
      </c>
      <c r="D58" s="1" t="str">
        <f ca="1">IFERROR(__xludf.DUMMYFUNCTION("""COMPUTED_VALUE"""),"MALLOW")</f>
        <v>MALLOW</v>
      </c>
      <c r="E58" s="1"/>
      <c r="F58" s="1" t="str">
        <f ca="1">IFERROR(__xludf.DUMMYFUNCTION("""COMPUTED_VALUE"""),"-")</f>
        <v>-</v>
      </c>
    </row>
    <row r="59" spans="1:6" x14ac:dyDescent="0.3">
      <c r="A59" s="1" t="str">
        <f ca="1">IFERROR(__xludf.DUMMYFUNCTION("""COMPUTED_VALUE"""),"Maltby Colliery Fastline Freight")</f>
        <v>Maltby Colliery Fastline Freight</v>
      </c>
      <c r="B59" s="1"/>
      <c r="C59" s="1">
        <f ca="1">IFERROR(__xludf.DUMMYFUNCTION("""COMPUTED_VALUE"""),644702)</f>
        <v>644702</v>
      </c>
      <c r="D59" s="1" t="str">
        <f ca="1">IFERROR(__xludf.DUMMYFUNCTION("""COMPUTED_VALUE"""),"MLTBFLF")</f>
        <v>MLTBFLF</v>
      </c>
      <c r="E59" s="1" t="str">
        <f ca="1">IFERROR(__xludf.DUMMYFUNCTION("""COMPUTED_VALUE"""),"MALTBYCFL")</f>
        <v>MALTBYCFL</v>
      </c>
      <c r="F59" s="1">
        <f ca="1">IFERROR(__xludf.DUMMYFUNCTION("""COMPUTED_VALUE"""),26406)</f>
        <v>26406</v>
      </c>
    </row>
    <row r="60" spans="1:6" x14ac:dyDescent="0.3">
      <c r="A60" s="1" t="str">
        <f ca="1">IFERROR(__xludf.DUMMYFUNCTION("""COMPUTED_VALUE"""),"Maltby Colliery Freightliner Heavy Haul")</f>
        <v>Maltby Colliery Freightliner Heavy Haul</v>
      </c>
      <c r="B60" s="1"/>
      <c r="C60" s="1">
        <f ca="1">IFERROR(__xludf.DUMMYFUNCTION("""COMPUTED_VALUE"""),644705)</f>
        <v>644705</v>
      </c>
      <c r="D60" s="1" t="str">
        <f ca="1">IFERROR(__xludf.DUMMYFUNCTION("""COMPUTED_VALUE"""),"MLTBFHH")</f>
        <v>MLTBFHH</v>
      </c>
      <c r="E60" s="1" t="str">
        <f ca="1">IFERROR(__xludf.DUMMYFUNCTION("""COMPUTED_VALUE"""),"MALTBYFLT")</f>
        <v>MALTBYFLT</v>
      </c>
      <c r="F60" s="1">
        <f ca="1">IFERROR(__xludf.DUMMYFUNCTION("""COMPUTED_VALUE"""),26404)</f>
        <v>26404</v>
      </c>
    </row>
    <row r="61" spans="1:6" x14ac:dyDescent="0.3">
      <c r="A61" s="1" t="str">
        <f ca="1">IFERROR(__xludf.DUMMYFUNCTION("""COMPUTED_VALUE"""),"Maltby Colliery GB Railfreight")</f>
        <v>Maltby Colliery GB Railfreight</v>
      </c>
      <c r="B61" s="1"/>
      <c r="C61" s="1">
        <f ca="1">IFERROR(__xludf.DUMMYFUNCTION("""COMPUTED_VALUE"""),644703)</f>
        <v>644703</v>
      </c>
      <c r="D61" s="1" t="str">
        <f ca="1">IFERROR(__xludf.DUMMYFUNCTION("""COMPUTED_VALUE"""),"MLTBCGB")</f>
        <v>MLTBCGB</v>
      </c>
      <c r="E61" s="1" t="str">
        <f ca="1">IFERROR(__xludf.DUMMYFUNCTION("""COMPUTED_VALUE"""),"MALTBY GB")</f>
        <v>MALTBY GB</v>
      </c>
      <c r="F61" s="1">
        <f ca="1">IFERROR(__xludf.DUMMYFUNCTION("""COMPUTED_VALUE"""),26408)</f>
        <v>26408</v>
      </c>
    </row>
    <row r="62" spans="1:6" x14ac:dyDescent="0.3">
      <c r="A62" s="1" t="str">
        <f ca="1">IFERROR(__xludf.DUMMYFUNCTION("""COMPUTED_VALUE"""),"Maltby Colliery GB Railfreight")</f>
        <v>Maltby Colliery GB Railfreight</v>
      </c>
      <c r="B62" s="1"/>
      <c r="C62" s="1">
        <f ca="1">IFERROR(__xludf.DUMMYFUNCTION("""COMPUTED_VALUE"""),644703)</f>
        <v>644703</v>
      </c>
      <c r="D62" s="1" t="str">
        <f ca="1">IFERROR(__xludf.DUMMYFUNCTION("""COMPUTED_VALUE"""),"MLTBCGB")</f>
        <v>MLTBCGB</v>
      </c>
      <c r="E62" s="1" t="str">
        <f ca="1">IFERROR(__xludf.DUMMYFUNCTION("""COMPUTED_VALUE"""),"MALTBYCGB")</f>
        <v>MALTBYCGB</v>
      </c>
      <c r="F62" s="1">
        <f ca="1">IFERROR(__xludf.DUMMYFUNCTION("""COMPUTED_VALUE"""),26407)</f>
        <v>26407</v>
      </c>
    </row>
    <row r="63" spans="1:6" x14ac:dyDescent="0.3">
      <c r="A63" s="1" t="str">
        <f ca="1">IFERROR(__xludf.DUMMYFUNCTION("""COMPUTED_VALUE"""),"Maltby Colliery National Coal Board/RJB Mining")</f>
        <v>Maltby Colliery National Coal Board/RJB Mining</v>
      </c>
      <c r="B63" s="1"/>
      <c r="C63" s="1">
        <f ca="1">IFERROR(__xludf.DUMMYFUNCTION("""COMPUTED_VALUE"""),644700)</f>
        <v>644700</v>
      </c>
      <c r="D63" s="1" t="str">
        <f ca="1">IFERROR(__xludf.DUMMYFUNCTION("""COMPUTED_VALUE"""),"MLTBNCB")</f>
        <v>MLTBNCB</v>
      </c>
      <c r="E63" s="1" t="str">
        <f ca="1">IFERROR(__xludf.DUMMYFUNCTION("""COMPUTED_VALUE"""),"MALTBYCOL")</f>
        <v>MALTBYCOL</v>
      </c>
      <c r="F63" s="1">
        <f ca="1">IFERROR(__xludf.DUMMYFUNCTION("""COMPUTED_VALUE"""),26402)</f>
        <v>26402</v>
      </c>
    </row>
    <row r="64" spans="1:6" x14ac:dyDescent="0.3">
      <c r="A64" s="1" t="str">
        <f ca="1">IFERROR(__xludf.DUMMYFUNCTION("""COMPUTED_VALUE"""),"Maltby Colliery Signal Box")</f>
        <v>Maltby Colliery Signal Box</v>
      </c>
      <c r="B64" s="1"/>
      <c r="C64" s="1">
        <f ca="1">IFERROR(__xludf.DUMMYFUNCTION("""COMPUTED_VALUE"""),656616)</f>
        <v>656616</v>
      </c>
      <c r="D64" s="1" t="str">
        <f ca="1">IFERROR(__xludf.DUMMYFUNCTION("""COMPUTED_VALUE"""),"MLTBCLS")</f>
        <v>MLTBCLS</v>
      </c>
      <c r="E64" s="1" t="str">
        <f ca="1">IFERROR(__xludf.DUMMYFUNCTION("""COMPUTED_VALUE"""),"MALTBY")</f>
        <v>MALTBY</v>
      </c>
      <c r="F64" s="1">
        <f ca="1">IFERROR(__xludf.DUMMYFUNCTION("""COMPUTED_VALUE"""),26401)</f>
        <v>26401</v>
      </c>
    </row>
    <row r="65" spans="1:6" x14ac:dyDescent="0.3">
      <c r="A65" s="1" t="str">
        <f ca="1">IFERROR(__xludf.DUMMYFUNCTION("""COMPUTED_VALUE"""),"Maltby Down Loop")</f>
        <v>Maltby Down Loop</v>
      </c>
      <c r="B65" s="1"/>
      <c r="C65" s="1">
        <f ca="1">IFERROR(__xludf.DUMMYFUNCTION("""COMPUTED_VALUE"""),656605)</f>
        <v>656605</v>
      </c>
      <c r="D65" s="1" t="str">
        <f ca="1">IFERROR(__xludf.DUMMYFUNCTION("""COMPUTED_VALUE"""),"MLTBLFL")</f>
        <v>MLTBLFL</v>
      </c>
      <c r="E65" s="1" t="str">
        <f ca="1">IFERROR(__xludf.DUMMYFUNCTION("""COMPUTED_VALUE"""),"MALTBYDLP")</f>
        <v>MALTBYDLP</v>
      </c>
      <c r="F65" s="1">
        <f ca="1">IFERROR(__xludf.DUMMYFUNCTION("""COMPUTED_VALUE"""),26405)</f>
        <v>26405</v>
      </c>
    </row>
    <row r="66" spans="1:6" x14ac:dyDescent="0.3">
      <c r="A66" s="1" t="str">
        <f ca="1">IFERROR(__xludf.DUMMYFUNCTION("""COMPUTED_VALUE"""),"Malton")</f>
        <v>Malton</v>
      </c>
      <c r="B66" s="1" t="str">
        <f ca="1">IFERROR(__xludf.DUMMYFUNCTION("""COMPUTED_VALUE"""),"MLT")</f>
        <v>MLT</v>
      </c>
      <c r="C66" s="1">
        <f ca="1">IFERROR(__xludf.DUMMYFUNCTION("""COMPUTED_VALUE"""),816400)</f>
        <v>816400</v>
      </c>
      <c r="D66" s="1" t="str">
        <f ca="1">IFERROR(__xludf.DUMMYFUNCTION("""COMPUTED_VALUE"""),"MALTON")</f>
        <v>MALTON</v>
      </c>
      <c r="E66" s="1" t="str">
        <f ca="1">IFERROR(__xludf.DUMMYFUNCTION("""COMPUTED_VALUE"""),"MALTON")</f>
        <v>MALTON</v>
      </c>
      <c r="F66" s="1">
        <f ca="1">IFERROR(__xludf.DUMMYFUNCTION("""COMPUTED_VALUE"""),16232)</f>
        <v>16232</v>
      </c>
    </row>
    <row r="67" spans="1:6" x14ac:dyDescent="0.3">
      <c r="A67" s="1" t="str">
        <f ca="1">IFERROR(__xludf.DUMMYFUNCTION("""COMPUTED_VALUE"""),"Malton Barton Hill")</f>
        <v>Malton Barton Hill</v>
      </c>
      <c r="B67" s="1"/>
      <c r="C67" s="1">
        <f ca="1">IFERROR(__xludf.DUMMYFUNCTION("""COMPUTED_VALUE"""),816415)</f>
        <v>816415</v>
      </c>
      <c r="D67" s="1" t="str">
        <f ca="1">IFERROR(__xludf.DUMMYFUNCTION("""COMPUTED_VALUE"""),"MALTBTH")</f>
        <v>MALTBTH</v>
      </c>
      <c r="E67" s="1" t="str">
        <f ca="1">IFERROR(__xludf.DUMMYFUNCTION("""COMPUTED_VALUE"""),"BARTONHIL")</f>
        <v>BARTONHIL</v>
      </c>
      <c r="F67" s="1">
        <f ca="1">IFERROR(__xludf.DUMMYFUNCTION("""COMPUTED_VALUE"""),16234)</f>
        <v>16234</v>
      </c>
    </row>
    <row r="68" spans="1:6" x14ac:dyDescent="0.3">
      <c r="A68" s="1" t="str">
        <f ca="1">IFERROR(__xludf.DUMMYFUNCTION("""COMPUTED_VALUE"""),"Malton Kirkham Abbey Signal Box")</f>
        <v>Malton Kirkham Abbey Signal Box</v>
      </c>
      <c r="B68" s="1"/>
      <c r="C68" s="1">
        <f ca="1">IFERROR(__xludf.DUMMYFUNCTION("""COMPUTED_VALUE"""),816480)</f>
        <v>816480</v>
      </c>
      <c r="D68" s="1" t="str">
        <f ca="1">IFERROR(__xludf.DUMMYFUNCTION("""COMPUTED_VALUE"""),"MALTKKA")</f>
        <v>MALTKKA</v>
      </c>
      <c r="E68" s="1" t="str">
        <f ca="1">IFERROR(__xludf.DUMMYFUNCTION("""COMPUTED_VALUE"""),"KIRKHMABY")</f>
        <v>KIRKHMABY</v>
      </c>
      <c r="F68" s="1">
        <f ca="1">IFERROR(__xludf.DUMMYFUNCTION("""COMPUTED_VALUE"""),16233)</f>
        <v>16233</v>
      </c>
    </row>
    <row r="69" spans="1:6" x14ac:dyDescent="0.3">
      <c r="A69" s="1" t="str">
        <f ca="1">IFERROR(__xludf.DUMMYFUNCTION("""COMPUTED_VALUE"""),"Malton Knapton")</f>
        <v>Malton Knapton</v>
      </c>
      <c r="B69" s="1"/>
      <c r="C69" s="1">
        <f ca="1">IFERROR(__xludf.DUMMYFUNCTION("""COMPUTED_VALUE"""),816405)</f>
        <v>816405</v>
      </c>
      <c r="D69" s="1" t="str">
        <f ca="1">IFERROR(__xludf.DUMMYFUNCTION("""COMPUTED_VALUE"""),"MALTKNA")</f>
        <v>MALTKNA</v>
      </c>
      <c r="E69" s="1" t="str">
        <f ca="1">IFERROR(__xludf.DUMMYFUNCTION("""COMPUTED_VALUE"""),"KNAPTON")</f>
        <v>KNAPTON</v>
      </c>
      <c r="F69" s="1">
        <f ca="1">IFERROR(__xludf.DUMMYFUNCTION("""COMPUTED_VALUE"""),16228)</f>
        <v>16228</v>
      </c>
    </row>
    <row r="70" spans="1:6" x14ac:dyDescent="0.3">
      <c r="A70" s="1" t="str">
        <f ca="1">IFERROR(__xludf.DUMMYFUNCTION("""COMPUTED_VALUE"""),"Malton Up Sidings Freightliner Heavy Haul")</f>
        <v>Malton Up Sidings Freightliner Heavy Haul</v>
      </c>
      <c r="B70" s="1"/>
      <c r="C70" s="1">
        <f ca="1">IFERROR(__xludf.DUMMYFUNCTION("""COMPUTED_VALUE"""),816401)</f>
        <v>816401</v>
      </c>
      <c r="D70" s="1" t="str">
        <f ca="1">IFERROR(__xludf.DUMMYFUNCTION("""COMPUTED_VALUE"""),"MALTUSD")</f>
        <v>MALTUSD</v>
      </c>
      <c r="E70" s="1"/>
      <c r="F70" s="1">
        <f ca="1">IFERROR(__xludf.DUMMYFUNCTION("""COMPUTED_VALUE"""),16231)</f>
        <v>16231</v>
      </c>
    </row>
    <row r="71" spans="1:6" x14ac:dyDescent="0.3">
      <c r="A71" s="1" t="str">
        <f ca="1">IFERROR(__xludf.DUMMYFUNCTION("""COMPUTED_VALUE"""),"Malvern Link")</f>
        <v>Malvern Link</v>
      </c>
      <c r="B71" s="1" t="str">
        <f ca="1">IFERROR(__xludf.DUMMYFUNCTION("""COMPUTED_VALUE"""),"MVL")</f>
        <v>MVL</v>
      </c>
      <c r="C71" s="1">
        <f ca="1">IFERROR(__xludf.DUMMYFUNCTION("""COMPUTED_VALUE"""),488400)</f>
        <v>488400</v>
      </c>
      <c r="D71" s="1" t="str">
        <f ca="1">IFERROR(__xludf.DUMMYFUNCTION("""COMPUTED_VALUE"""),"MLVRNLK")</f>
        <v>MLVRNLK</v>
      </c>
      <c r="E71" s="1" t="str">
        <f ca="1">IFERROR(__xludf.DUMMYFUNCTION("""COMPUTED_VALUE"""),"MALVNLINK")</f>
        <v>MALVNLINK</v>
      </c>
      <c r="F71" s="1">
        <f ca="1">IFERROR(__xludf.DUMMYFUNCTION("""COMPUTED_VALUE"""),67209)</f>
        <v>67209</v>
      </c>
    </row>
    <row r="72" spans="1:6" x14ac:dyDescent="0.3">
      <c r="A72" s="1" t="str">
        <f ca="1">IFERROR(__xludf.DUMMYFUNCTION("""COMPUTED_VALUE"""),"Malvern Wells")</f>
        <v>Malvern Wells</v>
      </c>
      <c r="B72" s="1" t="str">
        <f ca="1">IFERROR(__xludf.DUMMYFUNCTION("""COMPUTED_VALUE"""),"XMN")</f>
        <v>XMN</v>
      </c>
      <c r="C72" s="1">
        <f ca="1">IFERROR(__xludf.DUMMYFUNCTION("""COMPUTED_VALUE"""),488500)</f>
        <v>488500</v>
      </c>
      <c r="D72" s="1" t="str">
        <f ca="1">IFERROR(__xludf.DUMMYFUNCTION("""COMPUTED_VALUE"""),"MLVRNWL")</f>
        <v>MLVRNWL</v>
      </c>
      <c r="E72" s="1" t="str">
        <f ca="1">IFERROR(__xludf.DUMMYFUNCTION("""COMPUTED_VALUE"""),"MALVERN W")</f>
        <v>MALVERN W</v>
      </c>
      <c r="F72" s="1">
        <f ca="1">IFERROR(__xludf.DUMMYFUNCTION("""COMPUTED_VALUE"""),67215)</f>
        <v>67215</v>
      </c>
    </row>
    <row r="73" spans="1:6" x14ac:dyDescent="0.3">
      <c r="A73" s="1" t="str">
        <f ca="1">IFERROR(__xludf.DUMMYFUNCTION("""COMPUTED_VALUE"""),"Malvern Wells Loop")</f>
        <v>Malvern Wells Loop</v>
      </c>
      <c r="B73" s="1"/>
      <c r="C73" s="1">
        <f ca="1">IFERROR(__xludf.DUMMYFUNCTION("""COMPUTED_VALUE"""),488501)</f>
        <v>488501</v>
      </c>
      <c r="D73" s="1" t="str">
        <f ca="1">IFERROR(__xludf.DUMMYFUNCTION("""COMPUTED_VALUE"""),"MLVRWLP")</f>
        <v>MLVRWLP</v>
      </c>
      <c r="E73" s="1" t="str">
        <f ca="1">IFERROR(__xludf.DUMMYFUNCTION("""COMPUTED_VALUE"""),"MALVNW LP MALVNWLP")</f>
        <v>MALVNW LP MALVNWLP</v>
      </c>
      <c r="F73" s="1" t="str">
        <f ca="1">IFERROR(__xludf.DUMMYFUNCTION("""COMPUTED_VALUE"""),"67216 67213")</f>
        <v>67216 67213</v>
      </c>
    </row>
    <row r="74" spans="1:6" x14ac:dyDescent="0.3">
      <c r="A74" s="1" t="str">
        <f ca="1">IFERROR(__xludf.DUMMYFUNCTION("""COMPUTED_VALUE"""),"Manchester Abraham Moss Metrolink")</f>
        <v>Manchester Abraham Moss Metrolink</v>
      </c>
      <c r="B74" s="1" t="str">
        <f ca="1">IFERROR(__xludf.DUMMYFUNCTION("""COMPUTED_VALUE"""),"AMM")</f>
        <v>AMM</v>
      </c>
      <c r="C74" s="1">
        <f ca="1">IFERROR(__xludf.DUMMYFUNCTION("""COMPUTED_VALUE"""),677500)</f>
        <v>677500</v>
      </c>
      <c r="D74" s="1" t="str">
        <f ca="1">IFERROR(__xludf.DUMMYFUNCTION("""COMPUTED_VALUE"""),"MNCRAMM")</f>
        <v>MNCRAMM</v>
      </c>
      <c r="E74" s="1"/>
      <c r="F74" s="1" t="str">
        <f ca="1">IFERROR(__xludf.DUMMYFUNCTION("""COMPUTED_VALUE"""),"-")</f>
        <v>-</v>
      </c>
    </row>
    <row r="75" spans="1:6" x14ac:dyDescent="0.3">
      <c r="A75" s="1" t="str">
        <f ca="1">IFERROR(__xludf.DUMMYFUNCTION("""COMPUTED_VALUE"""),"Manchester Airport")</f>
        <v>Manchester Airport</v>
      </c>
      <c r="B75" s="1" t="str">
        <f ca="1">IFERROR(__xludf.DUMMYFUNCTION("""COMPUTED_VALUE"""),"MIA")</f>
        <v>MIA</v>
      </c>
      <c r="C75" s="1">
        <f ca="1">IFERROR(__xludf.DUMMYFUNCTION("""COMPUTED_VALUE"""),296100)</f>
        <v>296100</v>
      </c>
      <c r="D75" s="1" t="str">
        <f ca="1">IFERROR(__xludf.DUMMYFUNCTION("""COMPUTED_VALUE"""),"MNCRIAP")</f>
        <v>MNCRIAP</v>
      </c>
      <c r="E75" s="1" t="str">
        <f ca="1">IFERROR(__xludf.DUMMYFUNCTION("""COMPUTED_VALUE"""),"MANINTAPT")</f>
        <v>MANINTAPT</v>
      </c>
      <c r="F75" s="1">
        <f ca="1">IFERROR(__xludf.DUMMYFUNCTION("""COMPUTED_VALUE"""),32530)</f>
        <v>32530</v>
      </c>
    </row>
    <row r="76" spans="1:6" x14ac:dyDescent="0.3">
      <c r="A76" s="1" t="str">
        <f ca="1">IFERROR(__xludf.DUMMYFUNCTION("""COMPUTED_VALUE"""),"Manchester Airport Metrolink")</f>
        <v>Manchester Airport Metrolink</v>
      </c>
      <c r="B76" s="1" t="str">
        <f ca="1">IFERROR(__xludf.DUMMYFUNCTION("""COMPUTED_VALUE"""),"MNA")</f>
        <v>MNA</v>
      </c>
      <c r="C76" s="1"/>
      <c r="D76" s="1" t="str">
        <f ca="1">IFERROR(__xludf.DUMMYFUNCTION("""COMPUTED_VALUE"""),"MNCMTLK")</f>
        <v>MNCMTLK</v>
      </c>
      <c r="E76" s="1"/>
      <c r="F76" s="1" t="str">
        <f ca="1">IFERROR(__xludf.DUMMYFUNCTION("""COMPUTED_VALUE"""),"-")</f>
        <v>-</v>
      </c>
    </row>
    <row r="77" spans="1:6" x14ac:dyDescent="0.3">
      <c r="A77" s="1" t="str">
        <f ca="1">IFERROR(__xludf.DUMMYFUNCTION("""COMPUTED_VALUE"""),"Manchester Airport Tarmac Sidings")</f>
        <v>Manchester Airport Tarmac Sidings</v>
      </c>
      <c r="B77" s="1"/>
      <c r="C77" s="1">
        <f ca="1">IFERROR(__xludf.DUMMYFUNCTION("""COMPUTED_VALUE"""),296110)</f>
        <v>296110</v>
      </c>
      <c r="D77" s="1" t="str">
        <f ca="1">IFERROR(__xludf.DUMMYFUNCTION("""COMPUTED_VALUE"""),"MNCRATS")</f>
        <v>MNCRATS</v>
      </c>
      <c r="E77" s="1" t="str">
        <f ca="1">IFERROR(__xludf.DUMMYFUNCTION("""COMPUTED_VALUE"""),"MAN INTAP")</f>
        <v>MAN INTAP</v>
      </c>
      <c r="F77" s="1">
        <f ca="1">IFERROR(__xludf.DUMMYFUNCTION("""COMPUTED_VALUE"""),32523)</f>
        <v>32523</v>
      </c>
    </row>
    <row r="78" spans="1:6" x14ac:dyDescent="0.3">
      <c r="A78" s="1" t="str">
        <f ca="1">IFERROR(__xludf.DUMMYFUNCTION("""COMPUTED_VALUE"""),"Manchester Anchorage Metrolink")</f>
        <v>Manchester Anchorage Metrolink</v>
      </c>
      <c r="B78" s="1" t="str">
        <f ca="1">IFERROR(__xludf.DUMMYFUNCTION("""COMPUTED_VALUE"""),"ANH")</f>
        <v>ANH</v>
      </c>
      <c r="C78" s="1">
        <f ca="1">IFERROR(__xludf.DUMMYFUNCTION("""COMPUTED_VALUE"""),997600)</f>
        <v>997600</v>
      </c>
      <c r="D78" s="1" t="str">
        <f ca="1">IFERROR(__xludf.DUMMYFUNCTION("""COMPUTED_VALUE"""),"MNCRANC")</f>
        <v>MNCRANC</v>
      </c>
      <c r="E78" s="1"/>
      <c r="F78" s="1" t="str">
        <f ca="1">IFERROR(__xludf.DUMMYFUNCTION("""COMPUTED_VALUE"""),"-")</f>
        <v>-</v>
      </c>
    </row>
    <row r="79" spans="1:6" x14ac:dyDescent="0.3">
      <c r="A79" s="1" t="str">
        <f ca="1">IFERROR(__xludf.DUMMYFUNCTION("""COMPUTED_VALUE"""),"Manchester Ashton Moss Metrolink")</f>
        <v>Manchester Ashton Moss Metrolink</v>
      </c>
      <c r="B79" s="1" t="str">
        <f ca="1">IFERROR(__xludf.DUMMYFUNCTION("""COMPUTED_VALUE"""),"AMO")</f>
        <v>AMO</v>
      </c>
      <c r="C79" s="1">
        <f ca="1">IFERROR(__xludf.DUMMYFUNCTION("""COMPUTED_VALUE"""),732300)</f>
        <v>732300</v>
      </c>
      <c r="D79" s="1" t="str">
        <f ca="1">IFERROR(__xludf.DUMMYFUNCTION("""COMPUTED_VALUE"""),"MNCRAML")</f>
        <v>MNCRAML</v>
      </c>
      <c r="E79" s="1"/>
      <c r="F79" s="1" t="str">
        <f ca="1">IFERROR(__xludf.DUMMYFUNCTION("""COMPUTED_VALUE"""),"-")</f>
        <v>-</v>
      </c>
    </row>
    <row r="80" spans="1:6" x14ac:dyDescent="0.3">
      <c r="A80" s="1" t="str">
        <f ca="1">IFERROR(__xludf.DUMMYFUNCTION("""COMPUTED_VALUE"""),"Manchester Ashton Under Lyne Metrolink")</f>
        <v>Manchester Ashton Under Lyne Metrolink</v>
      </c>
      <c r="B80" s="1" t="str">
        <f ca="1">IFERROR(__xludf.DUMMYFUNCTION("""COMPUTED_VALUE"""),"AUL")</f>
        <v>AUL</v>
      </c>
      <c r="C80" s="1">
        <f ca="1">IFERROR(__xludf.DUMMYFUNCTION("""COMPUTED_VALUE"""),733100)</f>
        <v>733100</v>
      </c>
      <c r="D80" s="1" t="str">
        <f ca="1">IFERROR(__xludf.DUMMYFUNCTION("""COMPUTED_VALUE"""),"MNCRALM")</f>
        <v>MNCRALM</v>
      </c>
      <c r="E80" s="1"/>
      <c r="F80" s="1" t="str">
        <f ca="1">IFERROR(__xludf.DUMMYFUNCTION("""COMPUTED_VALUE"""),"-")</f>
        <v>-</v>
      </c>
    </row>
    <row r="81" spans="1:6" x14ac:dyDescent="0.3">
      <c r="A81" s="1" t="str">
        <f ca="1">IFERROR(__xludf.DUMMYFUNCTION("""COMPUTED_VALUE"""),"Manchester Ashton West Metrolink")</f>
        <v>Manchester Ashton West Metrolink</v>
      </c>
      <c r="B81" s="1" t="str">
        <f ca="1">IFERROR(__xludf.DUMMYFUNCTION("""COMPUTED_VALUE"""),"AWL")</f>
        <v>AWL</v>
      </c>
      <c r="C81" s="1">
        <f ca="1">IFERROR(__xludf.DUMMYFUNCTION("""COMPUTED_VALUE"""),732500)</f>
        <v>732500</v>
      </c>
      <c r="D81" s="1" t="str">
        <f ca="1">IFERROR(__xludf.DUMMYFUNCTION("""COMPUTED_VALUE"""),"MNCRAWM")</f>
        <v>MNCRAWM</v>
      </c>
      <c r="E81" s="1"/>
      <c r="F81" s="1" t="str">
        <f ca="1">IFERROR(__xludf.DUMMYFUNCTION("""COMPUTED_VALUE"""),"-")</f>
        <v>-</v>
      </c>
    </row>
    <row r="82" spans="1:6" x14ac:dyDescent="0.3">
      <c r="A82" s="1" t="str">
        <f ca="1">IFERROR(__xludf.DUMMYFUNCTION("""COMPUTED_VALUE"""),"Manchester Audenshaw Metrolink")</f>
        <v>Manchester Audenshaw Metrolink</v>
      </c>
      <c r="B82" s="1" t="str">
        <f ca="1">IFERROR(__xludf.DUMMYFUNCTION("""COMPUTED_VALUE"""),"ASM")</f>
        <v>ASM</v>
      </c>
      <c r="C82" s="1">
        <f ca="1">IFERROR(__xludf.DUMMYFUNCTION("""COMPUTED_VALUE"""),732200)</f>
        <v>732200</v>
      </c>
      <c r="D82" s="1" t="str">
        <f ca="1">IFERROR(__xludf.DUMMYFUNCTION("""COMPUTED_VALUE"""),"MNCRASM")</f>
        <v>MNCRASM</v>
      </c>
      <c r="E82" s="1"/>
      <c r="F82" s="1" t="str">
        <f ca="1">IFERROR(__xludf.DUMMYFUNCTION("""COMPUTED_VALUE"""),"-")</f>
        <v>-</v>
      </c>
    </row>
    <row r="83" spans="1:6" x14ac:dyDescent="0.3">
      <c r="A83" s="1" t="str">
        <f ca="1">IFERROR(__xludf.DUMMYFUNCTION("""COMPUTED_VALUE"""),"Manchester Broadway Metrolink")</f>
        <v>Manchester Broadway Metrolink</v>
      </c>
      <c r="B83" s="1" t="str">
        <f ca="1">IFERROR(__xludf.DUMMYFUNCTION("""COMPUTED_VALUE"""),"BRD")</f>
        <v>BRD</v>
      </c>
      <c r="C83" s="1">
        <f ca="1">IFERROR(__xludf.DUMMYFUNCTION("""COMPUTED_VALUE"""),994800)</f>
        <v>994800</v>
      </c>
      <c r="D83" s="1" t="str">
        <f ca="1">IFERROR(__xludf.DUMMYFUNCTION("""COMPUTED_VALUE"""),"MNCRBWY")</f>
        <v>MNCRBWY</v>
      </c>
      <c r="E83" s="1"/>
      <c r="F83" s="1" t="str">
        <f ca="1">IFERROR(__xludf.DUMMYFUNCTION("""COMPUTED_VALUE"""),"-")</f>
        <v>-</v>
      </c>
    </row>
    <row r="84" spans="1:6" x14ac:dyDescent="0.3">
      <c r="A84" s="1" t="str">
        <f ca="1">IFERROR(__xludf.DUMMYFUNCTION("""COMPUTED_VALUE"""),"Manchester Bromley Street Junction")</f>
        <v>Manchester Bromley Street Junction</v>
      </c>
      <c r="B84" s="1"/>
      <c r="C84" s="1">
        <f ca="1">IFERROR(__xludf.DUMMYFUNCTION("""COMPUTED_VALUE"""),297034)</f>
        <v>297034</v>
      </c>
      <c r="D84" s="1" t="str">
        <f ca="1">IFERROR(__xludf.DUMMYFUNCTION("""COMPUTED_VALUE"""),"MNCRBST")</f>
        <v>MNCRBST</v>
      </c>
      <c r="E84" s="1"/>
      <c r="F84" s="1" t="str">
        <f ca="1">IFERROR(__xludf.DUMMYFUNCTION("""COMPUTED_VALUE"""),"-")</f>
        <v>-</v>
      </c>
    </row>
    <row r="85" spans="1:6" x14ac:dyDescent="0.3">
      <c r="A85" s="1" t="str">
        <f ca="1">IFERROR(__xludf.DUMMYFUNCTION("""COMPUTED_VALUE"""),"Manchester Burton Road Metrolink")</f>
        <v>Manchester Burton Road Metrolink</v>
      </c>
      <c r="B85" s="1" t="str">
        <f ca="1">IFERROR(__xludf.DUMMYFUNCTION("""COMPUTED_VALUE"""),"BRZ")</f>
        <v>BRZ</v>
      </c>
      <c r="C85" s="1">
        <f ca="1">IFERROR(__xludf.DUMMYFUNCTION("""COMPUTED_VALUE"""),733300)</f>
        <v>733300</v>
      </c>
      <c r="D85" s="1" t="str">
        <f ca="1">IFERROR(__xludf.DUMMYFUNCTION("""COMPUTED_VALUE"""),"MNCRBRM")</f>
        <v>MNCRBRM</v>
      </c>
      <c r="E85" s="1"/>
      <c r="F85" s="1" t="str">
        <f ca="1">IFERROR(__xludf.DUMMYFUNCTION("""COMPUTED_VALUE"""),"-")</f>
        <v>-</v>
      </c>
    </row>
    <row r="86" spans="1:6" x14ac:dyDescent="0.3">
      <c r="A86" s="1" t="str">
        <f ca="1">IFERROR(__xludf.DUMMYFUNCTION("""COMPUTED_VALUE"""),"Manchester Cemetery Road Metrolink")</f>
        <v>Manchester Cemetery Road Metrolink</v>
      </c>
      <c r="B86" s="1" t="str">
        <f ca="1">IFERROR(__xludf.DUMMYFUNCTION("""COMPUTED_VALUE"""),"CRQ")</f>
        <v>CRQ</v>
      </c>
      <c r="C86" s="1">
        <f ca="1">IFERROR(__xludf.DUMMYFUNCTION("""COMPUTED_VALUE"""),730400)</f>
        <v>730400</v>
      </c>
      <c r="D86" s="1" t="str">
        <f ca="1">IFERROR(__xludf.DUMMYFUNCTION("""COMPUTED_VALUE"""),"MNCRCRM")</f>
        <v>MNCRCRM</v>
      </c>
      <c r="E86" s="1"/>
      <c r="F86" s="1" t="str">
        <f ca="1">IFERROR(__xludf.DUMMYFUNCTION("""COMPUTED_VALUE"""),"-")</f>
        <v>-</v>
      </c>
    </row>
    <row r="87" spans="1:6" x14ac:dyDescent="0.3">
      <c r="A87" s="1" t="str">
        <f ca="1">IFERROR(__xludf.DUMMYFUNCTION("""COMPUTED_VALUE"""),"Manchester Central Park Metrolink")</f>
        <v>Manchester Central Park Metrolink</v>
      </c>
      <c r="B87" s="1" t="str">
        <f ca="1">IFERROR(__xludf.DUMMYFUNCTION("""COMPUTED_VALUE"""),"CEM")</f>
        <v>CEM</v>
      </c>
      <c r="C87" s="1">
        <f ca="1">IFERROR(__xludf.DUMMYFUNCTION("""COMPUTED_VALUE"""),677700)</f>
        <v>677700</v>
      </c>
      <c r="D87" s="1" t="str">
        <f ca="1">IFERROR(__xludf.DUMMYFUNCTION("""COMPUTED_VALUE"""),"MNCRCEM")</f>
        <v>MNCRCEM</v>
      </c>
      <c r="E87" s="1"/>
      <c r="F87" s="1" t="str">
        <f ca="1">IFERROR(__xludf.DUMMYFUNCTION("""COMPUTED_VALUE"""),"-")</f>
        <v>-</v>
      </c>
    </row>
    <row r="88" spans="1:6" x14ac:dyDescent="0.3">
      <c r="A88" s="1" t="str">
        <f ca="1">IFERROR(__xludf.DUMMYFUNCTION("""COMPUTED_VALUE"""),"Manchester Central Zone")</f>
        <v>Manchester Central Zone</v>
      </c>
      <c r="B88" s="1" t="str">
        <f ca="1">IFERROR(__xludf.DUMMYFUNCTION("""COMPUTED_VALUE"""),"MCZ")</f>
        <v>MCZ</v>
      </c>
      <c r="C88" s="1">
        <f ca="1">IFERROR(__xludf.DUMMYFUNCTION("""COMPUTED_VALUE"""),45100)</f>
        <v>45100</v>
      </c>
      <c r="D88" s="1" t="str">
        <f ca="1">IFERROR(__xludf.DUMMYFUNCTION("""COMPUTED_VALUE"""),"CATZMCZ")</f>
        <v>CATZMCZ</v>
      </c>
      <c r="E88" s="1"/>
      <c r="F88" s="1"/>
    </row>
    <row r="89" spans="1:6" x14ac:dyDescent="0.3">
      <c r="A89" s="1" t="str">
        <f ca="1">IFERROR(__xludf.DUMMYFUNCTION("""COMPUTED_VALUE"""),"Manchester Chorlton Metrolink")</f>
        <v>Manchester Chorlton Metrolink</v>
      </c>
      <c r="B89" s="1" t="str">
        <f ca="1">IFERROR(__xludf.DUMMYFUNCTION("""COMPUTED_VALUE"""),"CNK")</f>
        <v>CNK</v>
      </c>
      <c r="C89" s="1">
        <f ca="1">IFERROR(__xludf.DUMMYFUNCTION("""COMPUTED_VALUE"""),677800)</f>
        <v>677800</v>
      </c>
      <c r="D89" s="1" t="str">
        <f ca="1">IFERROR(__xludf.DUMMYFUNCTION("""COMPUTED_VALUE"""),"MNCRCHM")</f>
        <v>MNCRCHM</v>
      </c>
      <c r="E89" s="1"/>
      <c r="F89" s="1" t="str">
        <f ca="1">IFERROR(__xludf.DUMMYFUNCTION("""COMPUTED_VALUE"""),"-")</f>
        <v>-</v>
      </c>
    </row>
    <row r="90" spans="1:6" x14ac:dyDescent="0.3">
      <c r="A90" s="1" t="str">
        <f ca="1">IFERROR(__xludf.DUMMYFUNCTION("""COMPUTED_VALUE"""),"Manchester Clayton Hall Metrolink")</f>
        <v>Manchester Clayton Hall Metrolink</v>
      </c>
      <c r="B90" s="1" t="str">
        <f ca="1">IFERROR(__xludf.DUMMYFUNCTION("""COMPUTED_VALUE"""),"CHB")</f>
        <v>CHB</v>
      </c>
      <c r="C90" s="1">
        <f ca="1">IFERROR(__xludf.DUMMYFUNCTION("""COMPUTED_VALUE"""),730200)</f>
        <v>730200</v>
      </c>
      <c r="D90" s="1" t="str">
        <f ca="1">IFERROR(__xludf.DUMMYFUNCTION("""COMPUTED_VALUE"""),"MNCRCHB")</f>
        <v>MNCRCHB</v>
      </c>
      <c r="E90" s="1"/>
      <c r="F90" s="1" t="str">
        <f ca="1">IFERROR(__xludf.DUMMYFUNCTION("""COMPUTED_VALUE"""),"-")</f>
        <v>-</v>
      </c>
    </row>
    <row r="91" spans="1:6" x14ac:dyDescent="0.3">
      <c r="A91" s="1" t="str">
        <f ca="1">IFERROR(__xludf.DUMMYFUNCTION("""COMPUTED_VALUE"""),"Manchester Cornbrook Metrolink")</f>
        <v>Manchester Cornbrook Metrolink</v>
      </c>
      <c r="B91" s="1" t="str">
        <f ca="1">IFERROR(__xludf.DUMMYFUNCTION("""COMPUTED_VALUE"""),"COZ")</f>
        <v>COZ</v>
      </c>
      <c r="C91" s="1">
        <f ca="1">IFERROR(__xludf.DUMMYFUNCTION("""COMPUTED_VALUE"""),998600)</f>
        <v>998600</v>
      </c>
      <c r="D91" s="1" t="str">
        <f ca="1">IFERROR(__xludf.DUMMYFUNCTION("""COMPUTED_VALUE"""),"MNCRCBK")</f>
        <v>MNCRCBK</v>
      </c>
      <c r="E91" s="1"/>
      <c r="F91" s="1" t="str">
        <f ca="1">IFERROR(__xludf.DUMMYFUNCTION("""COMPUTED_VALUE"""),"-")</f>
        <v>-</v>
      </c>
    </row>
    <row r="92" spans="1:6" x14ac:dyDescent="0.3">
      <c r="A92" s="1" t="str">
        <f ca="1">IFERROR(__xludf.DUMMYFUNCTION("""COMPUTED_VALUE"""),"Manchester Deal Street Junction")</f>
        <v>Manchester Deal Street Junction</v>
      </c>
      <c r="B92" s="1"/>
      <c r="C92" s="1">
        <f ca="1">IFERROR(__xludf.DUMMYFUNCTION("""COMPUTED_VALUE"""),297003)</f>
        <v>297003</v>
      </c>
      <c r="D92" s="1" t="str">
        <f ca="1">IFERROR(__xludf.DUMMYFUNCTION("""COMPUTED_VALUE"""),"MNCRDST")</f>
        <v>MNCRDST</v>
      </c>
      <c r="E92" s="1" t="str">
        <f ca="1">IFERROR(__xludf.DUMMYFUNCTION("""COMPUTED_VALUE"""),"DEAL ST J")</f>
        <v>DEAL ST J</v>
      </c>
      <c r="F92" s="1">
        <f ca="1">IFERROR(__xludf.DUMMYFUNCTION("""COMPUTED_VALUE"""),31515)</f>
        <v>31515</v>
      </c>
    </row>
    <row r="93" spans="1:6" x14ac:dyDescent="0.3">
      <c r="A93" s="1" t="str">
        <f ca="1">IFERROR(__xludf.DUMMYFUNCTION("""COMPUTED_VALUE"""),"Manchester Deal Street No 3 Sidings")</f>
        <v>Manchester Deal Street No 3 Sidings</v>
      </c>
      <c r="B93" s="1"/>
      <c r="C93" s="1">
        <f ca="1">IFERROR(__xludf.DUMMYFUNCTION("""COMPUTED_VALUE"""),297011)</f>
        <v>297011</v>
      </c>
      <c r="D93" s="1" t="str">
        <f ca="1">IFERROR(__xludf.DUMMYFUNCTION("""COMPUTED_VALUE"""),"MNCRDS3")</f>
        <v>MNCRDS3</v>
      </c>
      <c r="E93" s="1"/>
      <c r="F93" s="1" t="str">
        <f ca="1">IFERROR(__xludf.DUMMYFUNCTION("""COMPUTED_VALUE"""),"31515*")</f>
        <v>31515*</v>
      </c>
    </row>
    <row r="94" spans="1:6" x14ac:dyDescent="0.3">
      <c r="A94" s="1" t="str">
        <f ca="1">IFERROR(__xludf.DUMMYFUNCTION("""COMPUTED_VALUE"""),"Manchester Dean Lane")</f>
        <v>Manchester Dean Lane</v>
      </c>
      <c r="B94" s="1" t="str">
        <f ca="1">IFERROR(__xludf.DUMMYFUNCTION("""COMPUTED_VALUE"""),"DNN")</f>
        <v>DNN</v>
      </c>
      <c r="C94" s="1">
        <f ca="1">IFERROR(__xludf.DUMMYFUNCTION("""COMPUTED_VALUE"""),287700)</f>
        <v>287700</v>
      </c>
      <c r="D94" s="1" t="str">
        <f ca="1">IFERROR(__xludf.DUMMYFUNCTION("""COMPUTED_VALUE"""),"MNCRDLN")</f>
        <v>MNCRDLN</v>
      </c>
      <c r="E94" s="1" t="str">
        <f ca="1">IFERROR(__xludf.DUMMYFUNCTION("""COMPUTED_VALUE"""),"DEAN LANE")</f>
        <v>DEAN LANE</v>
      </c>
      <c r="F94" s="1">
        <f ca="1">IFERROR(__xludf.DUMMYFUNCTION("""COMPUTED_VALUE"""),31069)</f>
        <v>31069</v>
      </c>
    </row>
    <row r="95" spans="1:6" x14ac:dyDescent="0.3">
      <c r="A95" s="1" t="str">
        <f ca="1">IFERROR(__xludf.DUMMYFUNCTION("""COMPUTED_VALUE"""),"Manchester Dean Lane Quick Mix")</f>
        <v>Manchester Dean Lane Quick Mix</v>
      </c>
      <c r="B95" s="1"/>
      <c r="C95" s="1">
        <f ca="1">IFERROR(__xludf.DUMMYFUNCTION("""COMPUTED_VALUE"""),287711)</f>
        <v>287711</v>
      </c>
      <c r="D95" s="1" t="str">
        <f ca="1">IFERROR(__xludf.DUMMYFUNCTION("""COMPUTED_VALUE"""),"MNCRQMX")</f>
        <v>MNCRQMX</v>
      </c>
      <c r="E95" s="1" t="str">
        <f ca="1">IFERROR(__xludf.DUMMYFUNCTION("""COMPUTED_VALUE"""),"DEANLQMX")</f>
        <v>DEANLQMX</v>
      </c>
      <c r="F95" s="1">
        <f ca="1">IFERROR(__xludf.DUMMYFUNCTION("""COMPUTED_VALUE"""),31305)</f>
        <v>31305</v>
      </c>
    </row>
    <row r="96" spans="1:6" x14ac:dyDescent="0.3">
      <c r="A96" s="1" t="str">
        <f ca="1">IFERROR(__xludf.DUMMYFUNCTION("""COMPUTED_VALUE"""),"Manchester Dean Lane RT Sidings")</f>
        <v>Manchester Dean Lane RT Sidings</v>
      </c>
      <c r="B96" s="1"/>
      <c r="C96" s="1">
        <f ca="1">IFERROR(__xludf.DUMMYFUNCTION("""COMPUTED_VALUE"""),287712)</f>
        <v>287712</v>
      </c>
      <c r="D96" s="1" t="str">
        <f ca="1">IFERROR(__xludf.DUMMYFUNCTION("""COMPUTED_VALUE"""),"MNCRRTS")</f>
        <v>MNCRRTS</v>
      </c>
      <c r="E96" s="1" t="str">
        <f ca="1">IFERROR(__xludf.DUMMYFUNCTION("""COMPUTED_VALUE"""),"DEANLRTS")</f>
        <v>DEANLRTS</v>
      </c>
      <c r="F96" s="1">
        <f ca="1">IFERROR(__xludf.DUMMYFUNCTION("""COMPUTED_VALUE"""),31306)</f>
        <v>31306</v>
      </c>
    </row>
    <row r="97" spans="1:6" x14ac:dyDescent="0.3">
      <c r="A97" s="1" t="str">
        <f ca="1">IFERROR(__xludf.DUMMYFUNCTION("""COMPUTED_VALUE"""),"Manchester Dean Lane RT Sidings Freightliner Heavy Haul")</f>
        <v>Manchester Dean Lane RT Sidings Freightliner Heavy Haul</v>
      </c>
      <c r="B97" s="1"/>
      <c r="C97" s="1">
        <f ca="1">IFERROR(__xludf.DUMMYFUNCTION("""COMPUTED_VALUE"""),287713)</f>
        <v>287713</v>
      </c>
      <c r="D97" s="1" t="str">
        <f ca="1">IFERROR(__xludf.DUMMYFUNCTION("""COMPUTED_VALUE"""),"MNCRDLF")</f>
        <v>MNCRDLF</v>
      </c>
      <c r="E97" s="1" t="str">
        <f ca="1">IFERROR(__xludf.DUMMYFUNCTION("""COMPUTED_VALUE"""),"DEAN LNE")</f>
        <v>DEAN LNE</v>
      </c>
      <c r="F97" s="1">
        <f ca="1">IFERROR(__xludf.DUMMYFUNCTION("""COMPUTED_VALUE"""),31307)</f>
        <v>31307</v>
      </c>
    </row>
    <row r="98" spans="1:6" x14ac:dyDescent="0.3">
      <c r="A98" s="1" t="str">
        <f ca="1">IFERROR(__xludf.DUMMYFUNCTION("""COMPUTED_VALUE"""),"Manchester Deansgate")</f>
        <v>Manchester Deansgate</v>
      </c>
      <c r="B98" s="1" t="str">
        <f ca="1">IFERROR(__xludf.DUMMYFUNCTION("""COMPUTED_VALUE"""),"DGT")</f>
        <v>DGT</v>
      </c>
      <c r="C98" s="1">
        <f ca="1">IFERROR(__xludf.DUMMYFUNCTION("""COMPUTED_VALUE"""),296300)</f>
        <v>296300</v>
      </c>
      <c r="D98" s="1" t="str">
        <f ca="1">IFERROR(__xludf.DUMMYFUNCTION("""COMPUTED_VALUE"""),"MNCRDGT")</f>
        <v>MNCRDGT</v>
      </c>
      <c r="E98" s="1" t="str">
        <f ca="1">IFERROR(__xludf.DUMMYFUNCTION("""COMPUTED_VALUE"""),"DEANSGATE")</f>
        <v>DEANSGATE</v>
      </c>
      <c r="F98" s="1">
        <f ca="1">IFERROR(__xludf.DUMMYFUNCTION("""COMPUTED_VALUE"""),33088)</f>
        <v>33088</v>
      </c>
    </row>
    <row r="99" spans="1:6" x14ac:dyDescent="0.3">
      <c r="A99" s="1" t="str">
        <f ca="1">IFERROR(__xludf.DUMMYFUNCTION("""COMPUTED_VALUE"""),"Manchester Didsbury Village Metrolink")</f>
        <v>Manchester Didsbury Village Metrolink</v>
      </c>
      <c r="B99" s="1" t="str">
        <f ca="1">IFERROR(__xludf.DUMMYFUNCTION("""COMPUTED_VALUE"""),"DVM")</f>
        <v>DVM</v>
      </c>
      <c r="C99" s="1">
        <f ca="1">IFERROR(__xludf.DUMMYFUNCTION("""COMPUTED_VALUE"""),733500)</f>
        <v>733500</v>
      </c>
      <c r="D99" s="1" t="str">
        <f ca="1">IFERROR(__xludf.DUMMYFUNCTION("""COMPUTED_VALUE"""),"MNCRDVM")</f>
        <v>MNCRDVM</v>
      </c>
      <c r="E99" s="1"/>
      <c r="F99" s="1" t="str">
        <f ca="1">IFERROR(__xludf.DUMMYFUNCTION("""COMPUTED_VALUE"""),"-")</f>
        <v>-</v>
      </c>
    </row>
    <row r="100" spans="1:6" x14ac:dyDescent="0.3">
      <c r="A100" s="1" t="str">
        <f ca="1">IFERROR(__xludf.DUMMYFUNCTION("""COMPUTED_VALUE"""),"Manchester Droylsden Metrolink")</f>
        <v>Manchester Droylsden Metrolink</v>
      </c>
      <c r="B100" s="1" t="str">
        <f ca="1">IFERROR(__xludf.DUMMYFUNCTION("""COMPUTED_VALUE"""),"DML")</f>
        <v>DML</v>
      </c>
      <c r="C100" s="1">
        <f ca="1">IFERROR(__xludf.DUMMYFUNCTION("""COMPUTED_VALUE"""),638900)</f>
        <v>638900</v>
      </c>
      <c r="D100" s="1" t="str">
        <f ca="1">IFERROR(__xludf.DUMMYFUNCTION("""COMPUTED_VALUE"""),"MNCRDML")</f>
        <v>MNCRDML</v>
      </c>
      <c r="E100" s="1"/>
      <c r="F100" s="1" t="str">
        <f ca="1">IFERROR(__xludf.DUMMYFUNCTION("""COMPUTED_VALUE"""),"-")</f>
        <v>-</v>
      </c>
    </row>
    <row r="101" spans="1:6" x14ac:dyDescent="0.3">
      <c r="A101" s="1" t="str">
        <f ca="1">IFERROR(__xludf.DUMMYFUNCTION("""COMPUTED_VALUE"""),"Manchester East Didsbury Metrolink")</f>
        <v>Manchester East Didsbury Metrolink</v>
      </c>
      <c r="B101" s="1" t="str">
        <f ca="1">IFERROR(__xludf.DUMMYFUNCTION("""COMPUTED_VALUE"""),"EDM")</f>
        <v>EDM</v>
      </c>
      <c r="C101" s="1">
        <f ca="1">IFERROR(__xludf.DUMMYFUNCTION("""COMPUTED_VALUE"""),733600)</f>
        <v>733600</v>
      </c>
      <c r="D101" s="1" t="str">
        <f ca="1">IFERROR(__xludf.DUMMYFUNCTION("""COMPUTED_VALUE"""),"MNCREDM")</f>
        <v>MNCREDM</v>
      </c>
      <c r="E101" s="1"/>
      <c r="F101" s="1" t="str">
        <f ca="1">IFERROR(__xludf.DUMMYFUNCTION("""COMPUTED_VALUE"""),"-")</f>
        <v>-</v>
      </c>
    </row>
    <row r="102" spans="1:6" x14ac:dyDescent="0.3">
      <c r="A102" s="1" t="str">
        <f ca="1">IFERROR(__xludf.DUMMYFUNCTION("""COMPUTED_VALUE"""),"Manchester Eccles Metrolink")</f>
        <v>Manchester Eccles Metrolink</v>
      </c>
      <c r="B102" s="1" t="str">
        <f ca="1">IFERROR(__xludf.DUMMYFUNCTION("""COMPUTED_VALUE"""),"ECM")</f>
        <v>ECM</v>
      </c>
      <c r="C102" s="1">
        <f ca="1">IFERROR(__xludf.DUMMYFUNCTION("""COMPUTED_VALUE"""),975800)</f>
        <v>975800</v>
      </c>
      <c r="D102" s="1" t="str">
        <f ca="1">IFERROR(__xludf.DUMMYFUNCTION("""COMPUTED_VALUE"""),"MNCRECC")</f>
        <v>MNCRECC</v>
      </c>
      <c r="E102" s="1"/>
      <c r="F102" s="1" t="str">
        <f ca="1">IFERROR(__xludf.DUMMYFUNCTION("""COMPUTED_VALUE"""),"-")</f>
        <v>-</v>
      </c>
    </row>
    <row r="103" spans="1:6" x14ac:dyDescent="0.3">
      <c r="A103" s="1" t="str">
        <f ca="1">IFERROR(__xludf.DUMMYFUNCTION("""COMPUTED_VALUE"""),"Manchester Edge Lane Metrolink")</f>
        <v>Manchester Edge Lane Metrolink</v>
      </c>
      <c r="B103" s="1" t="str">
        <f ca="1">IFERROR(__xludf.DUMMYFUNCTION("""COMPUTED_VALUE"""),"ELM")</f>
        <v>ELM</v>
      </c>
      <c r="C103" s="1">
        <f ca="1">IFERROR(__xludf.DUMMYFUNCTION("""COMPUTED_VALUE"""),730300)</f>
        <v>730300</v>
      </c>
      <c r="D103" s="1" t="str">
        <f ca="1">IFERROR(__xludf.DUMMYFUNCTION("""COMPUTED_VALUE"""),"MNCRELM")</f>
        <v>MNCRELM</v>
      </c>
      <c r="E103" s="1"/>
      <c r="F103" s="1" t="str">
        <f ca="1">IFERROR(__xludf.DUMMYFUNCTION("""COMPUTED_VALUE"""),"-")</f>
        <v>-</v>
      </c>
    </row>
    <row r="104" spans="1:6" x14ac:dyDescent="0.3">
      <c r="A104" s="1" t="str">
        <f ca="1">IFERROR(__xludf.DUMMYFUNCTION("""COMPUTED_VALUE"""),"Manchester Exchange Quay Metrolink")</f>
        <v>Manchester Exchange Quay Metrolink</v>
      </c>
      <c r="B104" s="1" t="str">
        <f ca="1">IFERROR(__xludf.DUMMYFUNCTION("""COMPUTED_VALUE"""),"EXQ")</f>
        <v>EXQ</v>
      </c>
      <c r="C104" s="1">
        <f ca="1">IFERROR(__xludf.DUMMYFUNCTION("""COMPUTED_VALUE"""),998000)</f>
        <v>998000</v>
      </c>
      <c r="D104" s="1" t="str">
        <f ca="1">IFERROR(__xludf.DUMMYFUNCTION("""COMPUTED_VALUE"""),"MNCREQY")</f>
        <v>MNCREQY</v>
      </c>
      <c r="E104" s="1"/>
      <c r="F104" s="1" t="str">
        <f ca="1">IFERROR(__xludf.DUMMYFUNCTION("""COMPUTED_VALUE"""),"-")</f>
        <v>-</v>
      </c>
    </row>
    <row r="105" spans="1:6" x14ac:dyDescent="0.3">
      <c r="A105" s="1" t="str">
        <f ca="1">IFERROR(__xludf.DUMMYFUNCTION("""COMPUTED_VALUE"""),"Manchester Etihad Campus Metrolink")</f>
        <v>Manchester Etihad Campus Metrolink</v>
      </c>
      <c r="B105" s="1" t="str">
        <f ca="1">IFERROR(__xludf.DUMMYFUNCTION("""COMPUTED_VALUE"""),"EHC")</f>
        <v>EHC</v>
      </c>
      <c r="C105" s="1">
        <f ca="1">IFERROR(__xludf.DUMMYFUNCTION("""COMPUTED_VALUE"""),729800)</f>
        <v>729800</v>
      </c>
      <c r="D105" s="1" t="str">
        <f ca="1">IFERROR(__xludf.DUMMYFUNCTION("""COMPUTED_VALUE"""),"MNCRECM")</f>
        <v>MNCRECM</v>
      </c>
      <c r="E105" s="1"/>
      <c r="F105" s="1" t="str">
        <f ca="1">IFERROR(__xludf.DUMMYFUNCTION("""COMPUTED_VALUE"""),"-")</f>
        <v>-</v>
      </c>
    </row>
    <row r="106" spans="1:6" x14ac:dyDescent="0.3">
      <c r="A106" s="1" t="str">
        <f ca="1">IFERROR(__xludf.DUMMYFUNCTION("""COMPUTED_VALUE"""),"Manchester Firswood Metrolink")</f>
        <v>Manchester Firswood Metrolink</v>
      </c>
      <c r="B106" s="1" t="str">
        <f ca="1">IFERROR(__xludf.DUMMYFUNCTION("""COMPUTED_VALUE"""),"FWN")</f>
        <v>FWN</v>
      </c>
      <c r="C106" s="1">
        <f ca="1">IFERROR(__xludf.DUMMYFUNCTION("""COMPUTED_VALUE"""),677900)</f>
        <v>677900</v>
      </c>
      <c r="D106" s="1" t="str">
        <f ca="1">IFERROR(__xludf.DUMMYFUNCTION("""COMPUTED_VALUE"""),"MNCRFWM MNCRRFW")</f>
        <v>MNCRFWM MNCRRFW</v>
      </c>
      <c r="E106" s="1"/>
      <c r="F106" s="1" t="str">
        <f ca="1">IFERROR(__xludf.DUMMYFUNCTION("""COMPUTED_VALUE"""),"-")</f>
        <v>-</v>
      </c>
    </row>
    <row r="107" spans="1:6" x14ac:dyDescent="0.3">
      <c r="A107" s="1" t="str">
        <f ca="1">IFERROR(__xludf.DUMMYFUNCTION("""COMPUTED_VALUE"""),"Manchester Freehold Metrolink")</f>
        <v>Manchester Freehold Metrolink</v>
      </c>
      <c r="B107" s="1" t="str">
        <f ca="1">IFERROR(__xludf.DUMMYFUNCTION("""COMPUTED_VALUE"""),"FHM")</f>
        <v>FHM</v>
      </c>
      <c r="C107" s="1">
        <f ca="1">IFERROR(__xludf.DUMMYFUNCTION("""COMPUTED_VALUE"""),727900)</f>
        <v>727900</v>
      </c>
      <c r="D107" s="1" t="str">
        <f ca="1">IFERROR(__xludf.DUMMYFUNCTION("""COMPUTED_VALUE"""),"MNCRFHM")</f>
        <v>MNCRFHM</v>
      </c>
      <c r="E107" s="1"/>
      <c r="F107" s="1" t="str">
        <f ca="1">IFERROR(__xludf.DUMMYFUNCTION("""COMPUTED_VALUE"""),"-")</f>
        <v>-</v>
      </c>
    </row>
    <row r="108" spans="1:6" x14ac:dyDescent="0.3">
      <c r="A108" s="1" t="str">
        <f ca="1">IFERROR(__xludf.DUMMYFUNCTION("""COMPUTED_VALUE"""),"Manchester Harbour City Metrolink")</f>
        <v>Manchester Harbour City Metrolink</v>
      </c>
      <c r="B108" s="1" t="str">
        <f ca="1">IFERROR(__xludf.DUMMYFUNCTION("""COMPUTED_VALUE"""),"HBC")</f>
        <v>HBC</v>
      </c>
      <c r="C108" s="1">
        <f ca="1">IFERROR(__xludf.DUMMYFUNCTION("""COMPUTED_VALUE"""),994900)</f>
        <v>994900</v>
      </c>
      <c r="D108" s="1" t="str">
        <f ca="1">IFERROR(__xludf.DUMMYFUNCTION("""COMPUTED_VALUE"""),"MNCRHBC")</f>
        <v>MNCRHBC</v>
      </c>
      <c r="E108" s="1"/>
      <c r="F108" s="1" t="str">
        <f ca="1">IFERROR(__xludf.DUMMYFUNCTION("""COMPUTED_VALUE"""),"-")</f>
        <v>-</v>
      </c>
    </row>
    <row r="109" spans="1:6" x14ac:dyDescent="0.3">
      <c r="A109" s="1" t="str">
        <f ca="1">IFERROR(__xludf.DUMMYFUNCTION("""COMPUTED_VALUE"""),"Manchester Holt Town Metrolink")</f>
        <v>Manchester Holt Town Metrolink</v>
      </c>
      <c r="B109" s="1" t="str">
        <f ca="1">IFERROR(__xludf.DUMMYFUNCTION("""COMPUTED_VALUE"""),"HTM")</f>
        <v>HTM</v>
      </c>
      <c r="C109" s="1">
        <f ca="1">IFERROR(__xludf.DUMMYFUNCTION("""COMPUTED_VALUE"""),729600)</f>
        <v>729600</v>
      </c>
      <c r="D109" s="1" t="str">
        <f ca="1">IFERROR(__xludf.DUMMYFUNCTION("""COMPUTED_VALUE"""),"MNCRHTM")</f>
        <v>MNCRHTM</v>
      </c>
      <c r="E109" s="1"/>
      <c r="F109" s="1" t="str">
        <f ca="1">IFERROR(__xludf.DUMMYFUNCTION("""COMPUTED_VALUE"""),"-")</f>
        <v>-</v>
      </c>
    </row>
    <row r="110" spans="1:6" x14ac:dyDescent="0.3">
      <c r="A110" s="1" t="str">
        <f ca="1">IFERROR(__xludf.DUMMYFUNCTION("""COMPUTED_VALUE"""),"Manchester Irwell Bridge Junction")</f>
        <v>Manchester Irwell Bridge Junction</v>
      </c>
      <c r="B110" s="1"/>
      <c r="C110" s="1">
        <f ca="1">IFERROR(__xludf.DUMMYFUNCTION("""COMPUTED_VALUE"""),297033)</f>
        <v>297033</v>
      </c>
      <c r="D110" s="1" t="str">
        <f ca="1">IFERROR(__xludf.DUMMYFUNCTION("""COMPUTED_VALUE"""),"MNCRIWB")</f>
        <v>MNCRIWB</v>
      </c>
      <c r="E110" s="1"/>
      <c r="F110" s="1" t="str">
        <f ca="1">IFERROR(__xludf.DUMMYFUNCTION("""COMPUTED_VALUE"""),"-")</f>
        <v>-</v>
      </c>
    </row>
    <row r="111" spans="1:6" x14ac:dyDescent="0.3">
      <c r="A111" s="1" t="str">
        <f ca="1">IFERROR(__xludf.DUMMYFUNCTION("""COMPUTED_VALUE"""),"Manchester Kingsway Business Park Metrolink")</f>
        <v>Manchester Kingsway Business Park Metrolink</v>
      </c>
      <c r="B111" s="1" t="str">
        <f ca="1">IFERROR(__xludf.DUMMYFUNCTION("""COMPUTED_VALUE"""),"KBM")</f>
        <v>KBM</v>
      </c>
      <c r="C111" s="1">
        <f ca="1">IFERROR(__xludf.DUMMYFUNCTION("""COMPUTED_VALUE"""),728300)</f>
        <v>728300</v>
      </c>
      <c r="D111" s="1" t="str">
        <f ca="1">IFERROR(__xludf.DUMMYFUNCTION("""COMPUTED_VALUE"""),"MNCRKBM")</f>
        <v>MNCRKBM</v>
      </c>
      <c r="E111" s="1"/>
      <c r="F111" s="1" t="str">
        <f ca="1">IFERROR(__xludf.DUMMYFUNCTION("""COMPUTED_VALUE"""),"-")</f>
        <v>-</v>
      </c>
    </row>
    <row r="112" spans="1:6" x14ac:dyDescent="0.3">
      <c r="A112" s="1" t="str">
        <f ca="1">IFERROR(__xludf.DUMMYFUNCTION("""COMPUTED_VALUE"""),"Manchester Ladywell Metrolink")</f>
        <v>Manchester Ladywell Metrolink</v>
      </c>
      <c r="B112" s="1" t="str">
        <f ca="1">IFERROR(__xludf.DUMMYFUNCTION("""COMPUTED_VALUE"""),"LDW")</f>
        <v>LDW</v>
      </c>
      <c r="C112" s="1">
        <f ca="1">IFERROR(__xludf.DUMMYFUNCTION("""COMPUTED_VALUE"""),984800)</f>
        <v>984800</v>
      </c>
      <c r="D112" s="1" t="str">
        <f ca="1">IFERROR(__xludf.DUMMYFUNCTION("""COMPUTED_VALUE"""),"MNCRLDW")</f>
        <v>MNCRLDW</v>
      </c>
      <c r="E112" s="1"/>
      <c r="F112" s="1" t="str">
        <f ca="1">IFERROR(__xludf.DUMMYFUNCTION("""COMPUTED_VALUE"""),"-")</f>
        <v>-</v>
      </c>
    </row>
    <row r="113" spans="1:6" x14ac:dyDescent="0.3">
      <c r="A113" s="1" t="str">
        <f ca="1">IFERROR(__xludf.DUMMYFUNCTION("""COMPUTED_VALUE"""),"Manchester Langworthy Metrolink")</f>
        <v>Manchester Langworthy Metrolink</v>
      </c>
      <c r="B113" s="1" t="str">
        <f ca="1">IFERROR(__xludf.DUMMYFUNCTION("""COMPUTED_VALUE"""),"LWY")</f>
        <v>LWY</v>
      </c>
      <c r="C113" s="1">
        <f ca="1">IFERROR(__xludf.DUMMYFUNCTION("""COMPUTED_VALUE"""),993700)</f>
        <v>993700</v>
      </c>
      <c r="D113" s="1" t="str">
        <f ca="1">IFERROR(__xludf.DUMMYFUNCTION("""COMPUTED_VALUE"""),"MNCRLWY")</f>
        <v>MNCRLWY</v>
      </c>
      <c r="E113" s="1"/>
      <c r="F113" s="1" t="str">
        <f ca="1">IFERROR(__xludf.DUMMYFUNCTION("""COMPUTED_VALUE"""),"-")</f>
        <v>-</v>
      </c>
    </row>
    <row r="114" spans="1:6" x14ac:dyDescent="0.3">
      <c r="A114" s="1" t="str">
        <f ca="1">IFERROR(__xludf.DUMMYFUNCTION("""COMPUTED_VALUE"""),"Manchester Liverpool Road")</f>
        <v>Manchester Liverpool Road</v>
      </c>
      <c r="B114" s="1"/>
      <c r="C114" s="1">
        <f ca="1">IFERROR(__xludf.DUMMYFUNCTION("""COMPUTED_VALUE"""),291200)</f>
        <v>291200</v>
      </c>
      <c r="D114" s="1" t="str">
        <f ca="1">IFERROR(__xludf.DUMMYFUNCTION("""COMPUTED_VALUE"""),"MNCRLIR")</f>
        <v>MNCRLIR</v>
      </c>
      <c r="E114" s="1" t="str">
        <f ca="1">IFERROR(__xludf.DUMMYFUNCTION("""COMPUTED_VALUE"""),"LPOOL RD")</f>
        <v>LPOOL RD</v>
      </c>
      <c r="F114" s="1">
        <f ca="1">IFERROR(__xludf.DUMMYFUNCTION("""COMPUTED_VALUE"""),31711)</f>
        <v>31711</v>
      </c>
    </row>
    <row r="115" spans="1:6" x14ac:dyDescent="0.3">
      <c r="A115" s="1" t="str">
        <f ca="1">IFERROR(__xludf.DUMMYFUNCTION("""COMPUTED_VALUE"""),"Manchester London Road")</f>
        <v>Manchester London Road</v>
      </c>
      <c r="B115" s="1"/>
      <c r="C115" s="1" t="str">
        <f ca="1">IFERROR(__xludf.DUMMYFUNCTION("""COMPUTED_VALUE"""),"286500✖Older designation when station open 296801✖Newer designation once 
station closed")</f>
        <v>286500✖Older designation when station open 296801✖Newer designation once 
station closed</v>
      </c>
      <c r="D115" s="1" t="str">
        <f ca="1">IFERROR(__xludf.DUMMYFUNCTION("""COMPUTED_VALUE"""),"MNCRLRD")</f>
        <v>MNCRLRD</v>
      </c>
      <c r="E115" s="1"/>
      <c r="F115" s="1" t="str">
        <f ca="1">IFERROR(__xludf.DUMMYFUNCTION("""COMPUTED_VALUE"""),"32002*")</f>
        <v>32002*</v>
      </c>
    </row>
    <row r="116" spans="1:6" x14ac:dyDescent="0.3">
      <c r="A116" s="1" t="str">
        <f ca="1">IFERROR(__xludf.DUMMYFUNCTION("""COMPUTED_VALUE"""),"Manchester Media City Metrolink")</f>
        <v>Manchester Media City Metrolink</v>
      </c>
      <c r="B116" s="1" t="str">
        <f ca="1">IFERROR(__xludf.DUMMYFUNCTION("""COMPUTED_VALUE"""),"MCT")</f>
        <v>MCT</v>
      </c>
      <c r="C116" s="1">
        <f ca="1">IFERROR(__xludf.DUMMYFUNCTION("""COMPUTED_VALUE"""),678000)</f>
        <v>678000</v>
      </c>
      <c r="D116" s="1" t="str">
        <f ca="1">IFERROR(__xludf.DUMMYFUNCTION("""COMPUTED_VALUE"""),"MNCRMCM MNCRMCT")</f>
        <v>MNCRMCM MNCRMCT</v>
      </c>
      <c r="E116" s="1"/>
      <c r="F116" s="1" t="str">
        <f ca="1">IFERROR(__xludf.DUMMYFUNCTION("""COMPUTED_VALUE"""),"-")</f>
        <v>-</v>
      </c>
    </row>
    <row r="117" spans="1:6" x14ac:dyDescent="0.3">
      <c r="A117" s="1" t="str">
        <f ca="1">IFERROR(__xludf.DUMMYFUNCTION("""COMPUTED_VALUE"""),"Manchester Monsall Metrolink")</f>
        <v>Manchester Monsall Metrolink</v>
      </c>
      <c r="B117" s="1" t="str">
        <f ca="1">IFERROR(__xludf.DUMMYFUNCTION("""COMPUTED_VALUE"""),"MSM")</f>
        <v>MSM</v>
      </c>
      <c r="C117" s="1">
        <f ca="1">IFERROR(__xludf.DUMMYFUNCTION("""COMPUTED_VALUE"""),678300)</f>
        <v>678300</v>
      </c>
      <c r="D117" s="1" t="str">
        <f ca="1">IFERROR(__xludf.DUMMYFUNCTION("""COMPUTED_VALUE"""),"MNCRMSM")</f>
        <v>MNCRMSM</v>
      </c>
      <c r="E117" s="1"/>
      <c r="F117" s="1" t="str">
        <f ca="1">IFERROR(__xludf.DUMMYFUNCTION("""COMPUTED_VALUE"""),"-")</f>
        <v>-</v>
      </c>
    </row>
    <row r="118" spans="1:6" x14ac:dyDescent="0.3">
      <c r="A118" s="1" t="str">
        <f ca="1">IFERROR(__xludf.DUMMYFUNCTION("""COMPUTED_VALUE"""),"Manchester New Islington Metrolink")</f>
        <v>Manchester New Islington Metrolink</v>
      </c>
      <c r="B118" s="1" t="str">
        <f ca="1">IFERROR(__xludf.DUMMYFUNCTION("""COMPUTED_VALUE"""),"NIM")</f>
        <v>NIM</v>
      </c>
      <c r="C118" s="1">
        <f ca="1">IFERROR(__xludf.DUMMYFUNCTION("""COMPUTED_VALUE"""),729400)</f>
        <v>729400</v>
      </c>
      <c r="D118" s="1" t="str">
        <f ca="1">IFERROR(__xludf.DUMMYFUNCTION("""COMPUTED_VALUE"""),"MNCRNIM")</f>
        <v>MNCRNIM</v>
      </c>
      <c r="E118" s="1"/>
      <c r="F118" s="1" t="str">
        <f ca="1">IFERROR(__xludf.DUMMYFUNCTION("""COMPUTED_VALUE"""),"-")</f>
        <v>-</v>
      </c>
    </row>
    <row r="119" spans="1:6" x14ac:dyDescent="0.3">
      <c r="A119" s="1" t="str">
        <f ca="1">IFERROR(__xludf.DUMMYFUNCTION("""COMPUTED_VALUE"""),"Manchester Newbold Metrolink")</f>
        <v>Manchester Newbold Metrolink</v>
      </c>
      <c r="B119" s="1" t="str">
        <f ca="1">IFERROR(__xludf.DUMMYFUNCTION("""COMPUTED_VALUE"""),"NBM")</f>
        <v>NBM</v>
      </c>
      <c r="C119" s="1">
        <f ca="1">IFERROR(__xludf.DUMMYFUNCTION("""COMPUTED_VALUE"""),728400)</f>
        <v>728400</v>
      </c>
      <c r="D119" s="1" t="str">
        <f ca="1">IFERROR(__xludf.DUMMYFUNCTION("""COMPUTED_VALUE"""),"MNCRNBM")</f>
        <v>MNCRNBM</v>
      </c>
      <c r="E119" s="1"/>
      <c r="F119" s="1" t="str">
        <f ca="1">IFERROR(__xludf.DUMMYFUNCTION("""COMPUTED_VALUE"""),"-")</f>
        <v>-</v>
      </c>
    </row>
    <row r="120" spans="1:6" x14ac:dyDescent="0.3">
      <c r="A120" s="1" t="str">
        <f ca="1">IFERROR(__xludf.DUMMYFUNCTION("""COMPUTED_VALUE"""),"Manchester Newton Heath And Moston Metrolink")</f>
        <v>Manchester Newton Heath And Moston Metrolink</v>
      </c>
      <c r="B120" s="1" t="str">
        <f ca="1">IFERROR(__xludf.DUMMYFUNCTION("""COMPUTED_VALUE"""),"NMM")</f>
        <v>NMM</v>
      </c>
      <c r="C120" s="1">
        <f ca="1">IFERROR(__xludf.DUMMYFUNCTION("""COMPUTED_VALUE"""),678400)</f>
        <v>678400</v>
      </c>
      <c r="D120" s="1" t="str">
        <f ca="1">IFERROR(__xludf.DUMMYFUNCTION("""COMPUTED_VALUE"""),"MNCRNMM")</f>
        <v>MNCRNMM</v>
      </c>
      <c r="E120" s="1"/>
      <c r="F120" s="1" t="str">
        <f ca="1">IFERROR(__xludf.DUMMYFUNCTION("""COMPUTED_VALUE"""),"-")</f>
        <v>-</v>
      </c>
    </row>
    <row r="121" spans="1:6" x14ac:dyDescent="0.3">
      <c r="A121" s="1" t="str">
        <f ca="1">IFERROR(__xludf.DUMMYFUNCTION("""COMPUTED_VALUE"""),"Manchester Oldham Central Metrolink")</f>
        <v>Manchester Oldham Central Metrolink</v>
      </c>
      <c r="B121" s="1" t="str">
        <f ca="1">IFERROR(__xludf.DUMMYFUNCTION("""COMPUTED_VALUE"""),"OCM")</f>
        <v>OCM</v>
      </c>
      <c r="C121" s="1">
        <f ca="1">IFERROR(__xludf.DUMMYFUNCTION("""COMPUTED_VALUE"""),728200)</f>
        <v>728200</v>
      </c>
      <c r="D121" s="1" t="str">
        <f ca="1">IFERROR(__xludf.DUMMYFUNCTION("""COMPUTED_VALUE"""),"MNCROCM")</f>
        <v>MNCROCM</v>
      </c>
      <c r="E121" s="1"/>
      <c r="F121" s="1" t="str">
        <f ca="1">IFERROR(__xludf.DUMMYFUNCTION("""COMPUTED_VALUE"""),"-")</f>
        <v>-</v>
      </c>
    </row>
    <row r="122" spans="1:6" x14ac:dyDescent="0.3">
      <c r="A122" s="1" t="str">
        <f ca="1">IFERROR(__xludf.DUMMYFUNCTION("""COMPUTED_VALUE"""),"Manchester Oldham King Street Metrolink")</f>
        <v>Manchester Oldham King Street Metrolink</v>
      </c>
      <c r="B122" s="1" t="str">
        <f ca="1">IFERROR(__xludf.DUMMYFUNCTION("""COMPUTED_VALUE"""),"OKS")</f>
        <v>OKS</v>
      </c>
      <c r="C122" s="1">
        <f ca="1">IFERROR(__xludf.DUMMYFUNCTION("""COMPUTED_VALUE"""),728100)</f>
        <v>728100</v>
      </c>
      <c r="D122" s="1" t="str">
        <f ca="1">IFERROR(__xludf.DUMMYFUNCTION("""COMPUTED_VALUE"""),"MNCROSM")</f>
        <v>MNCROSM</v>
      </c>
      <c r="E122" s="1"/>
      <c r="F122" s="1" t="str">
        <f ca="1">IFERROR(__xludf.DUMMYFUNCTION("""COMPUTED_VALUE"""),"-")</f>
        <v>-</v>
      </c>
    </row>
    <row r="123" spans="1:6" x14ac:dyDescent="0.3">
      <c r="A123" s="1" t="str">
        <f ca="1">IFERROR(__xludf.DUMMYFUNCTION("""COMPUTED_VALUE"""),"Manchester Olympic Games")</f>
        <v>Manchester Olympic Games</v>
      </c>
      <c r="B123" s="1" t="str">
        <f ca="1">IFERROR(__xludf.DUMMYFUNCTION("""COMPUTED_VALUE"""),"MYM")</f>
        <v>MYM</v>
      </c>
      <c r="C123" s="1">
        <f ca="1">IFERROR(__xludf.DUMMYFUNCTION("""COMPUTED_VALUE"""),47600)</f>
        <v>47600</v>
      </c>
      <c r="D123" s="1" t="str">
        <f ca="1">IFERROR(__xludf.DUMMYFUNCTION("""COMPUTED_VALUE"""),"MNCROLM")</f>
        <v>MNCROLM</v>
      </c>
      <c r="E123" s="1"/>
      <c r="F123" s="1" t="str">
        <f ca="1">IFERROR(__xludf.DUMMYFUNCTION("""COMPUTED_VALUE"""),"-")</f>
        <v>-</v>
      </c>
    </row>
    <row r="124" spans="1:6" x14ac:dyDescent="0.3">
      <c r="A124" s="1" t="str">
        <f ca="1">IFERROR(__xludf.DUMMYFUNCTION("""COMPUTED_VALUE"""),"Manchester Oxford Road")</f>
        <v>Manchester Oxford Road</v>
      </c>
      <c r="B124" s="1" t="str">
        <f ca="1">IFERROR(__xludf.DUMMYFUNCTION("""COMPUTED_VALUE"""),"MCO")</f>
        <v>MCO</v>
      </c>
      <c r="C124" s="1">
        <f ca="1">IFERROR(__xludf.DUMMYFUNCTION("""COMPUTED_VALUE"""),296600)</f>
        <v>296600</v>
      </c>
      <c r="D124" s="1" t="str">
        <f ca="1">IFERROR(__xludf.DUMMYFUNCTION("""COMPUTED_VALUE"""),"MNCROXR")</f>
        <v>MNCROXR</v>
      </c>
      <c r="E124" s="1" t="str">
        <f ca="1">IFERROR(__xludf.DUMMYFUNCTION("""COMPUTED_VALUE"""),"MANCROXRD")</f>
        <v>MANCROXRD</v>
      </c>
      <c r="F124" s="1">
        <f ca="1">IFERROR(__xludf.DUMMYFUNCTION("""COMPUTED_VALUE"""),33087)</f>
        <v>33087</v>
      </c>
    </row>
    <row r="125" spans="1:6" x14ac:dyDescent="0.3">
      <c r="A125" s="1" t="str">
        <f ca="1">IFERROR(__xludf.DUMMYFUNCTION("""COMPUTED_VALUE"""),"Manchester Piccadilly")</f>
        <v>Manchester Piccadilly</v>
      </c>
      <c r="B125" s="1" t="str">
        <f ca="1">IFERROR(__xludf.DUMMYFUNCTION("""COMPUTED_VALUE"""),"MAN")</f>
        <v>MAN</v>
      </c>
      <c r="C125" s="1">
        <f ca="1">IFERROR(__xludf.DUMMYFUNCTION("""COMPUTED_VALUE"""),296800)</f>
        <v>296800</v>
      </c>
      <c r="D125" s="1" t="str">
        <f ca="1">IFERROR(__xludf.DUMMYFUNCTION("""COMPUTED_VALUE"""),"MNCRPIC")</f>
        <v>MNCRPIC</v>
      </c>
      <c r="E125" s="1" t="str">
        <f ca="1">IFERROR(__xludf.DUMMYFUNCTION("""COMPUTED_VALUE"""),"MANCR PIC")</f>
        <v>MANCR PIC</v>
      </c>
      <c r="F125" s="1">
        <f ca="1">IFERROR(__xludf.DUMMYFUNCTION("""COMPUTED_VALUE"""),32000)</f>
        <v>32000</v>
      </c>
    </row>
    <row r="126" spans="1:6" x14ac:dyDescent="0.3">
      <c r="A126" s="1" t="str">
        <f ca="1">IFERROR(__xludf.DUMMYFUNCTION("""COMPUTED_VALUE"""),"Manchester Piccadilly Ballast Sidings")</f>
        <v>Manchester Piccadilly Ballast Sidings</v>
      </c>
      <c r="B126" s="1"/>
      <c r="C126" s="1">
        <f ca="1">IFERROR(__xludf.DUMMYFUNCTION("""COMPUTED_VALUE"""),296808)</f>
        <v>296808</v>
      </c>
      <c r="D126" s="1" t="str">
        <f ca="1">IFERROR(__xludf.DUMMYFUNCTION("""COMPUTED_VALUE"""),"MNCRPIB")</f>
        <v>MNCRPIB</v>
      </c>
      <c r="E126" s="1" t="str">
        <f ca="1">IFERROR(__xludf.DUMMYFUNCTION("""COMPUTED_VALUE"""),"MANCRPICC")</f>
        <v>MANCRPICC</v>
      </c>
      <c r="F126" s="1">
        <f ca="1">IFERROR(__xludf.DUMMYFUNCTION("""COMPUTED_VALUE"""),32001)</f>
        <v>32001</v>
      </c>
    </row>
    <row r="127" spans="1:6" x14ac:dyDescent="0.3">
      <c r="A127" s="1" t="str">
        <f ca="1">IFERROR(__xludf.DUMMYFUNCTION("""COMPUTED_VALUE"""),"Manchester Piccadilly Engine Sidings")</f>
        <v>Manchester Piccadilly Engine Sidings</v>
      </c>
      <c r="B127" s="1"/>
      <c r="C127" s="1">
        <f ca="1">IFERROR(__xludf.DUMMYFUNCTION("""COMPUTED_VALUE"""),296807)</f>
        <v>296807</v>
      </c>
      <c r="D127" s="1" t="str">
        <f ca="1">IFERROR(__xludf.DUMMYFUNCTION("""COMPUTED_VALUE"""),"MNCRPES")</f>
        <v>MNCRPES</v>
      </c>
      <c r="E127" s="1"/>
      <c r="F127" s="1" t="str">
        <f ca="1">IFERROR(__xludf.DUMMYFUNCTION("""COMPUTED_VALUE"""),"-")</f>
        <v>-</v>
      </c>
    </row>
    <row r="128" spans="1:6" x14ac:dyDescent="0.3">
      <c r="A128" s="1" t="str">
        <f ca="1">IFERROR(__xludf.DUMMYFUNCTION("""COMPUTED_VALUE"""),"Manchester Piccadilly Engine Sidings Virgin Trains")</f>
        <v>Manchester Piccadilly Engine Sidings Virgin Trains</v>
      </c>
      <c r="B128" s="1"/>
      <c r="C128" s="1">
        <f ca="1">IFERROR(__xludf.DUMMYFUNCTION("""COMPUTED_VALUE"""),296806)</f>
        <v>296806</v>
      </c>
      <c r="D128" s="1" t="str">
        <f ca="1">IFERROR(__xludf.DUMMYFUNCTION("""COMPUTED_VALUE"""),"MNCR999")</f>
        <v>MNCR999</v>
      </c>
      <c r="E128" s="1"/>
      <c r="F128" s="1" t="str">
        <f ca="1">IFERROR(__xludf.DUMMYFUNCTION("""COMPUTED_VALUE"""),"-")</f>
        <v>-</v>
      </c>
    </row>
    <row r="129" spans="1:6" x14ac:dyDescent="0.3">
      <c r="A129" s="1" t="str">
        <f ca="1">IFERROR(__xludf.DUMMYFUNCTION("""COMPUTED_VALUE"""),"Manchester Piccadilly For Old Trafford")</f>
        <v>Manchester Piccadilly For Old Trafford</v>
      </c>
      <c r="B129" s="1" t="str">
        <f ca="1">IFERROR(__xludf.DUMMYFUNCTION("""COMPUTED_VALUE"""),"MZX")</f>
        <v>MZX</v>
      </c>
      <c r="C129" s="1">
        <f ca="1">IFERROR(__xludf.DUMMYFUNCTION("""COMPUTED_VALUE"""),657800)</f>
        <v>657800</v>
      </c>
      <c r="D129" s="1" t="str">
        <f ca="1">IFERROR(__xludf.DUMMYFUNCTION("""COMPUTED_VALUE"""),"CATZ032")</f>
        <v>CATZ032</v>
      </c>
      <c r="E129" s="1"/>
      <c r="F129" s="1"/>
    </row>
    <row r="130" spans="1:6" x14ac:dyDescent="0.3">
      <c r="A130" s="1" t="str">
        <f ca="1">IFERROR(__xludf.DUMMYFUNCTION("""COMPUTED_VALUE"""),"Manchester Pomona Metrolink")</f>
        <v>Manchester Pomona Metrolink</v>
      </c>
      <c r="B130" s="1" t="str">
        <f ca="1">IFERROR(__xludf.DUMMYFUNCTION("""COMPUTED_VALUE"""),"PMO")</f>
        <v>PMO</v>
      </c>
      <c r="C130" s="1">
        <f ca="1">IFERROR(__xludf.DUMMYFUNCTION("""COMPUTED_VALUE"""),998400)</f>
        <v>998400</v>
      </c>
      <c r="D130" s="1" t="str">
        <f ca="1">IFERROR(__xludf.DUMMYFUNCTION("""COMPUTED_VALUE"""),"MNCRPOM")</f>
        <v>MNCRPOM</v>
      </c>
      <c r="E130" s="1"/>
      <c r="F130" s="1" t="str">
        <f ca="1">IFERROR(__xludf.DUMMYFUNCTION("""COMPUTED_VALUE"""),"-")</f>
        <v>-</v>
      </c>
    </row>
    <row r="131" spans="1:6" x14ac:dyDescent="0.3">
      <c r="A131" s="1" t="str">
        <f ca="1">IFERROR(__xludf.DUMMYFUNCTION("""COMPUTED_VALUE"""),"Manchester Rochdale Station Metrolink")</f>
        <v>Manchester Rochdale Station Metrolink</v>
      </c>
      <c r="B131" s="1" t="str">
        <f ca="1">IFERROR(__xludf.DUMMYFUNCTION("""COMPUTED_VALUE"""),"XRM")</f>
        <v>XRM</v>
      </c>
      <c r="C131" s="1">
        <f ca="1">IFERROR(__xludf.DUMMYFUNCTION("""COMPUTED_VALUE"""),292404)</f>
        <v>292404</v>
      </c>
      <c r="D131" s="1" t="str">
        <f ca="1">IFERROR(__xludf.DUMMYFUNCTION("""COMPUTED_VALUE"""),"MNCRRSM")</f>
        <v>MNCRRSM</v>
      </c>
      <c r="E131" s="1"/>
      <c r="F131" s="1" t="str">
        <f ca="1">IFERROR(__xludf.DUMMYFUNCTION("""COMPUTED_VALUE"""),"-")</f>
        <v>-</v>
      </c>
    </row>
    <row r="132" spans="1:6" x14ac:dyDescent="0.3">
      <c r="A132" s="1" t="str">
        <f ca="1">IFERROR(__xludf.DUMMYFUNCTION("""COMPUTED_VALUE"""),"Manchester Rochdale Town Centre Metrolink")</f>
        <v>Manchester Rochdale Town Centre Metrolink</v>
      </c>
      <c r="B132" s="1" t="str">
        <f ca="1">IFERROR(__xludf.DUMMYFUNCTION("""COMPUTED_VALUE"""),"RTC")</f>
        <v>RTC</v>
      </c>
      <c r="C132" s="1">
        <f ca="1">IFERROR(__xludf.DUMMYFUNCTION("""COMPUTED_VALUE"""),729300)</f>
        <v>729300</v>
      </c>
      <c r="D132" s="1" t="str">
        <f ca="1">IFERROR(__xludf.DUMMYFUNCTION("""COMPUTED_VALUE"""),"MNCRRCM")</f>
        <v>MNCRRCM</v>
      </c>
      <c r="E132" s="1"/>
      <c r="F132" s="1" t="str">
        <f ca="1">IFERROR(__xludf.DUMMYFUNCTION("""COMPUTED_VALUE"""),"-")</f>
        <v>-</v>
      </c>
    </row>
    <row r="133" spans="1:6" x14ac:dyDescent="0.3">
      <c r="A133" s="1" t="str">
        <f ca="1">IFERROR(__xludf.DUMMYFUNCTION("""COMPUTED_VALUE"""),"Manchester St Werburghs Road Metrolink")</f>
        <v>Manchester St Werburghs Road Metrolink</v>
      </c>
      <c r="B133" s="1" t="str">
        <f ca="1">IFERROR(__xludf.DUMMYFUNCTION("""COMPUTED_VALUE"""),"SWJ")</f>
        <v>SWJ</v>
      </c>
      <c r="C133" s="1">
        <f ca="1">IFERROR(__xludf.DUMMYFUNCTION("""COMPUTED_VALUE"""),678500)</f>
        <v>678500</v>
      </c>
      <c r="D133" s="1" t="str">
        <f ca="1">IFERROR(__xludf.DUMMYFUNCTION("""COMPUTED_VALUE"""),"MNCRSWM")</f>
        <v>MNCRSWM</v>
      </c>
      <c r="E133" s="1"/>
      <c r="F133" s="1" t="str">
        <f ca="1">IFERROR(__xludf.DUMMYFUNCTION("""COMPUTED_VALUE"""),"-")</f>
        <v>-</v>
      </c>
    </row>
    <row r="134" spans="1:6" x14ac:dyDescent="0.3">
      <c r="A134" s="1" t="str">
        <f ca="1">IFERROR(__xludf.DUMMYFUNCTION("""COMPUTED_VALUE"""),"Manchester Salford Quays Metrolink")</f>
        <v>Manchester Salford Quays Metrolink</v>
      </c>
      <c r="B134" s="1" t="str">
        <f ca="1">IFERROR(__xludf.DUMMYFUNCTION("""COMPUTED_VALUE"""),"SAQ")</f>
        <v>SAQ</v>
      </c>
      <c r="C134" s="1">
        <f ca="1">IFERROR(__xludf.DUMMYFUNCTION("""COMPUTED_VALUE"""),997700)</f>
        <v>997700</v>
      </c>
      <c r="D134" s="1" t="str">
        <f ca="1">IFERROR(__xludf.DUMMYFUNCTION("""COMPUTED_VALUE"""),"MNCRSQY")</f>
        <v>MNCRSQY</v>
      </c>
      <c r="E134" s="1"/>
      <c r="F134" s="1" t="str">
        <f ca="1">IFERROR(__xludf.DUMMYFUNCTION("""COMPUTED_VALUE"""),"-")</f>
        <v>-</v>
      </c>
    </row>
    <row r="135" spans="1:6" x14ac:dyDescent="0.3">
      <c r="A135" s="1" t="str">
        <f ca="1">IFERROR(__xludf.DUMMYFUNCTION("""COMPUTED_VALUE"""),"Manchester South Chadderton Metrolink")</f>
        <v>Manchester South Chadderton Metrolink</v>
      </c>
      <c r="B135" s="1" t="str">
        <f ca="1">IFERROR(__xludf.DUMMYFUNCTION("""COMPUTED_VALUE"""),"SCM")</f>
        <v>SCM</v>
      </c>
      <c r="C135" s="1">
        <f ca="1">IFERROR(__xludf.DUMMYFUNCTION("""COMPUTED_VALUE"""),727800)</f>
        <v>727800</v>
      </c>
      <c r="D135" s="1" t="str">
        <f ca="1">IFERROR(__xludf.DUMMYFUNCTION("""COMPUTED_VALUE"""),"MNCRSCM")</f>
        <v>MNCRSCM</v>
      </c>
      <c r="E135" s="1"/>
      <c r="F135" s="1" t="str">
        <f ca="1">IFERROR(__xludf.DUMMYFUNCTION("""COMPUTED_VALUE"""),"-")</f>
        <v>-</v>
      </c>
    </row>
    <row r="136" spans="1:6" x14ac:dyDescent="0.3">
      <c r="A136" s="1" t="str">
        <f ca="1">IFERROR(__xludf.DUMMYFUNCTION("""COMPUTED_VALUE"""),"Manchester South Signalling Centre Signal MS385")</f>
        <v>Manchester South Signalling Centre Signal MS385</v>
      </c>
      <c r="B136" s="1"/>
      <c r="C136" s="1">
        <f ca="1">IFERROR(__xludf.DUMMYFUNCTION("""COMPUTED_VALUE"""),277112)</f>
        <v>277112</v>
      </c>
      <c r="D136" s="1" t="str">
        <f ca="1">IFERROR(__xludf.DUMMYFUNCTION("""COMPUTED_VALUE"""),"MSSC385")</f>
        <v>MSSC385</v>
      </c>
      <c r="E136" s="1"/>
      <c r="F136" s="1" t="str">
        <f ca="1">IFERROR(__xludf.DUMMYFUNCTION("""COMPUTED_VALUE"""),"-")</f>
        <v>-</v>
      </c>
    </row>
    <row r="137" spans="1:6" x14ac:dyDescent="0.3">
      <c r="A137" s="1" t="str">
        <f ca="1">IFERROR(__xludf.DUMMYFUNCTION("""COMPUTED_VALUE"""),"Manchester South Signalling Centre Signal MS423")</f>
        <v>Manchester South Signalling Centre Signal MS423</v>
      </c>
      <c r="B137" s="1"/>
      <c r="C137" s="1">
        <f ca="1">IFERROR(__xludf.DUMMYFUNCTION("""COMPUTED_VALUE"""),277113)</f>
        <v>277113</v>
      </c>
      <c r="D137" s="1" t="str">
        <f ca="1">IFERROR(__xludf.DUMMYFUNCTION("""COMPUTED_VALUE"""),"MSSC423")</f>
        <v>MSSC423</v>
      </c>
      <c r="E137" s="1"/>
      <c r="F137" s="1" t="str">
        <f ca="1">IFERROR(__xludf.DUMMYFUNCTION("""COMPUTED_VALUE"""),"-")</f>
        <v>-</v>
      </c>
    </row>
    <row r="138" spans="1:6" x14ac:dyDescent="0.3">
      <c r="A138" s="1" t="str">
        <f ca="1">IFERROR(__xludf.DUMMYFUNCTION("""COMPUTED_VALUE"""),"Manchester South Signalling Centre Signal MS604/606")</f>
        <v>Manchester South Signalling Centre Signal MS604/606</v>
      </c>
      <c r="B138" s="1"/>
      <c r="C138" s="1">
        <f ca="1">IFERROR(__xludf.DUMMYFUNCTION("""COMPUTED_VALUE"""),277114)</f>
        <v>277114</v>
      </c>
      <c r="D138" s="1" t="str">
        <f ca="1">IFERROR(__xludf.DUMMYFUNCTION("""COMPUTED_VALUE"""),"MSSC604")</f>
        <v>MSSC604</v>
      </c>
      <c r="E138" s="1"/>
      <c r="F138" s="1" t="str">
        <f ca="1">IFERROR(__xludf.DUMMYFUNCTION("""COMPUTED_VALUE"""),"-")</f>
        <v>-</v>
      </c>
    </row>
    <row r="139" spans="1:6" x14ac:dyDescent="0.3">
      <c r="A139" s="1" t="str">
        <f ca="1">IFERROR(__xludf.DUMMYFUNCTION("""COMPUTED_VALUE"""),"Manchester South Signalling Centre Signal MS1739")</f>
        <v>Manchester South Signalling Centre Signal MS1739</v>
      </c>
      <c r="B139" s="1"/>
      <c r="C139" s="1">
        <f ca="1">IFERROR(__xludf.DUMMYFUNCTION("""COMPUTED_VALUE"""),277115)</f>
        <v>277115</v>
      </c>
      <c r="D139" s="1" t="str">
        <f ca="1">IFERROR(__xludf.DUMMYFUNCTION("""COMPUTED_VALUE"""),"MSSC739")</f>
        <v>MSSC739</v>
      </c>
      <c r="E139" s="1"/>
      <c r="F139" s="1" t="str">
        <f ca="1">IFERROR(__xludf.DUMMYFUNCTION("""COMPUTED_VALUE"""),"-")</f>
        <v>-</v>
      </c>
    </row>
    <row r="140" spans="1:6" x14ac:dyDescent="0.3">
      <c r="A140" s="1" t="str">
        <f ca="1">IFERROR(__xludf.DUMMYFUNCTION("""COMPUTED_VALUE"""),"Manchester South Signalling Centre Signal MS1750/52")</f>
        <v>Manchester South Signalling Centre Signal MS1750/52</v>
      </c>
      <c r="B140" s="1"/>
      <c r="C140" s="1">
        <f ca="1">IFERROR(__xludf.DUMMYFUNCTION("""COMPUTED_VALUE"""),277111)</f>
        <v>277111</v>
      </c>
      <c r="D140" s="1" t="str">
        <f ca="1">IFERROR(__xludf.DUMMYFUNCTION("""COMPUTED_VALUE"""),"MSSC750")</f>
        <v>MSSC750</v>
      </c>
      <c r="E140" s="1"/>
      <c r="F140" s="1" t="str">
        <f ca="1">IFERROR(__xludf.DUMMYFUNCTION("""COMPUTED_VALUE"""),"-")</f>
        <v>-</v>
      </c>
    </row>
    <row r="141" spans="1:6" x14ac:dyDescent="0.3">
      <c r="A141" s="1" t="str">
        <f ca="1">IFERROR(__xludf.DUMMYFUNCTION("""COMPUTED_VALUE"""),"Manchester Trafford Park Cerestar")</f>
        <v>Manchester Trafford Park Cerestar</v>
      </c>
      <c r="B141" s="1"/>
      <c r="C141" s="1">
        <f ca="1">IFERROR(__xludf.DUMMYFUNCTION("""COMPUTED_VALUE"""),296916)</f>
        <v>296916</v>
      </c>
      <c r="D141" s="1" t="str">
        <f ca="1">IFERROR(__xludf.DUMMYFUNCTION("""COMPUTED_VALUE"""),"MCRTPCS")</f>
        <v>MCRTPCS</v>
      </c>
      <c r="E141" s="1" t="str">
        <f ca="1">IFERROR(__xludf.DUMMYFUNCTION("""COMPUTED_VALUE"""),"BDGWATRJN")</f>
        <v>BDGWATRJN</v>
      </c>
      <c r="F141" s="1">
        <f ca="1">IFERROR(__xludf.DUMMYFUNCTION("""COMPUTED_VALUE"""),33049)</f>
        <v>33049</v>
      </c>
    </row>
    <row r="142" spans="1:6" x14ac:dyDescent="0.3">
      <c r="A142" s="1" t="str">
        <f ca="1">IFERROR(__xludf.DUMMYFUNCTION("""COMPUTED_VALUE"""),"Manchester United Football Ground")</f>
        <v>Manchester United Football Ground</v>
      </c>
      <c r="B142" s="1" t="str">
        <f ca="1">IFERROR(__xludf.DUMMYFUNCTION("""COMPUTED_VALUE"""),"MUF")</f>
        <v>MUF</v>
      </c>
      <c r="C142" s="1">
        <f ca="1">IFERROR(__xludf.DUMMYFUNCTION("""COMPUTED_VALUE"""),299600)</f>
        <v>299600</v>
      </c>
      <c r="D142" s="1" t="str">
        <f ca="1">IFERROR(__xludf.DUMMYFUNCTION("""COMPUTED_VALUE"""),"MNCRUFG")</f>
        <v>MNCRUFG</v>
      </c>
      <c r="E142" s="1" t="str">
        <f ca="1">IFERROR(__xludf.DUMMYFUNCTION("""COMPUTED_VALUE"""),"MANUTDFGD")</f>
        <v>MANUTDFGD</v>
      </c>
      <c r="F142" s="1">
        <f ca="1">IFERROR(__xludf.DUMMYFUNCTION("""COMPUTED_VALUE"""),33092)</f>
        <v>33092</v>
      </c>
    </row>
    <row r="143" spans="1:6" x14ac:dyDescent="0.3">
      <c r="A143" s="1" t="str">
        <f ca="1">IFERROR(__xludf.DUMMYFUNCTION("""COMPUTED_VALUE"""),"Manchester Velopark Metrolink")</f>
        <v>Manchester Velopark Metrolink</v>
      </c>
      <c r="B143" s="1" t="str">
        <f ca="1">IFERROR(__xludf.DUMMYFUNCTION("""COMPUTED_VALUE"""),"VPM")</f>
        <v>VPM</v>
      </c>
      <c r="C143" s="1">
        <f ca="1">IFERROR(__xludf.DUMMYFUNCTION("""COMPUTED_VALUE"""),730100)</f>
        <v>730100</v>
      </c>
      <c r="D143" s="1" t="str">
        <f ca="1">IFERROR(__xludf.DUMMYFUNCTION("""COMPUTED_VALUE"""),"MNCRVPM")</f>
        <v>MNCRVPM</v>
      </c>
      <c r="E143" s="1"/>
      <c r="F143" s="1" t="str">
        <f ca="1">IFERROR(__xludf.DUMMYFUNCTION("""COMPUTED_VALUE"""),"-")</f>
        <v>-</v>
      </c>
    </row>
    <row r="144" spans="1:6" x14ac:dyDescent="0.3">
      <c r="A144" s="1" t="str">
        <f ca="1">IFERROR(__xludf.DUMMYFUNCTION("""COMPUTED_VALUE"""),"Manchester Victoria")</f>
        <v>Manchester Victoria</v>
      </c>
      <c r="B144" s="1" t="str">
        <f ca="1">IFERROR(__xludf.DUMMYFUNCTION("""COMPUTED_VALUE"""),"MCV")</f>
        <v>MCV</v>
      </c>
      <c r="C144" s="1">
        <f ca="1">IFERROR(__xludf.DUMMYFUNCTION("""COMPUTED_VALUE"""),297000)</f>
        <v>297000</v>
      </c>
      <c r="D144" s="1" t="str">
        <f ca="1">IFERROR(__xludf.DUMMYFUNCTION("""COMPUTED_VALUE"""),"MNCRVIC")</f>
        <v>MNCRVIC</v>
      </c>
      <c r="E144" s="1" t="str">
        <f ca="1">IFERROR(__xludf.DUMMYFUNCTION("""COMPUTED_VALUE"""),"MANCR VIC")</f>
        <v>MANCR VIC</v>
      </c>
      <c r="F144" s="1">
        <f ca="1">IFERROR(__xludf.DUMMYFUNCTION("""COMPUTED_VALUE"""),31510)</f>
        <v>31510</v>
      </c>
    </row>
    <row r="145" spans="1:6" x14ac:dyDescent="0.3">
      <c r="A145" s="1" t="str">
        <f ca="1">IFERROR(__xludf.DUMMYFUNCTION("""COMPUTED_VALUE"""),"Manchester Victoria East Junction")</f>
        <v>Manchester Victoria East Junction</v>
      </c>
      <c r="B145" s="1"/>
      <c r="C145" s="1">
        <f ca="1">IFERROR(__xludf.DUMMYFUNCTION("""COMPUTED_VALUE"""),297030)</f>
        <v>297030</v>
      </c>
      <c r="D145" s="1" t="str">
        <f ca="1">IFERROR(__xludf.DUMMYFUNCTION("""COMPUTED_VALUE"""),"MNCRVEJ")</f>
        <v>MNCRVEJ</v>
      </c>
      <c r="E145" s="1" t="str">
        <f ca="1">IFERROR(__xludf.DUMMYFUNCTION("""COMPUTED_VALUE"""),"MANVIC EJ")</f>
        <v>MANVIC EJ</v>
      </c>
      <c r="F145" s="1">
        <f ca="1">IFERROR(__xludf.DUMMYFUNCTION("""COMPUTED_VALUE"""),31508)</f>
        <v>31508</v>
      </c>
    </row>
    <row r="146" spans="1:6" x14ac:dyDescent="0.3">
      <c r="A146" s="1" t="str">
        <f ca="1">IFERROR(__xludf.DUMMYFUNCTION("""COMPUTED_VALUE"""),"Manchester Victoria For Old Trafford")</f>
        <v>Manchester Victoria For Old Trafford</v>
      </c>
      <c r="B146" s="1" t="str">
        <f ca="1">IFERROR(__xludf.DUMMYFUNCTION("""COMPUTED_VALUE"""),"MCX")</f>
        <v>MCX</v>
      </c>
      <c r="C146" s="1">
        <f ca="1">IFERROR(__xludf.DUMMYFUNCTION("""COMPUTED_VALUE"""),657900)</f>
        <v>657900</v>
      </c>
      <c r="D146" s="1" t="str">
        <f ca="1">IFERROR(__xludf.DUMMYFUNCTION("""COMPUTED_VALUE"""),"CATZ033")</f>
        <v>CATZ033</v>
      </c>
      <c r="E146" s="1"/>
      <c r="F146" s="1"/>
    </row>
    <row r="147" spans="1:6" x14ac:dyDescent="0.3">
      <c r="A147" s="1" t="str">
        <f ca="1">IFERROR(__xludf.DUMMYFUNCTION("""COMPUTED_VALUE"""),"Manchester Victoria Holding Sidings")</f>
        <v>Manchester Victoria Holding Sidings</v>
      </c>
      <c r="B147" s="1" t="str">
        <f ca="1">IFERROR(__xludf.DUMMYFUNCTION("""COMPUTED_VALUE"""),"XVS")</f>
        <v>XVS</v>
      </c>
      <c r="C147" s="1">
        <f ca="1">IFERROR(__xludf.DUMMYFUNCTION("""COMPUTED_VALUE"""),297005)</f>
        <v>297005</v>
      </c>
      <c r="D147" s="1" t="str">
        <f ca="1">IFERROR(__xludf.DUMMYFUNCTION("""COMPUTED_VALUE"""),"MNCRVHS")</f>
        <v>MNCRVHS</v>
      </c>
      <c r="E147" s="1"/>
      <c r="F147" s="1" t="str">
        <f ca="1">IFERROR(__xludf.DUMMYFUNCTION("""COMPUTED_VALUE"""),"31510*")</f>
        <v>31510*</v>
      </c>
    </row>
    <row r="148" spans="1:6" x14ac:dyDescent="0.3">
      <c r="A148" s="1" t="str">
        <f ca="1">IFERROR(__xludf.DUMMYFUNCTION("""COMPUTED_VALUE"""),"Manchester Victoria No 1 Siding")</f>
        <v>Manchester Victoria No 1 Siding</v>
      </c>
      <c r="B148" s="1"/>
      <c r="C148" s="1"/>
      <c r="D148" s="1" t="str">
        <f ca="1">IFERROR(__xludf.DUMMYFUNCTION("""COMPUTED_VALUE"""),"MNCRV4S")</f>
        <v>MNCRV4S</v>
      </c>
      <c r="E148" s="1"/>
      <c r="F148" s="1"/>
    </row>
    <row r="149" spans="1:6" x14ac:dyDescent="0.3">
      <c r="A149" s="1" t="str">
        <f ca="1">IFERROR(__xludf.DUMMYFUNCTION("""COMPUTED_VALUE"""),"Manchester Victoria Reversing Siding")</f>
        <v>Manchester Victoria Reversing Siding</v>
      </c>
      <c r="B149" s="1"/>
      <c r="C149" s="1">
        <f ca="1">IFERROR(__xludf.DUMMYFUNCTION("""COMPUTED_VALUE"""),297042)</f>
        <v>297042</v>
      </c>
      <c r="D149" s="1" t="str">
        <f ca="1">IFERROR(__xludf.DUMMYFUNCTION("""COMPUTED_VALUE"""),"MNCRVRS")</f>
        <v>MNCRVRS</v>
      </c>
      <c r="E149" s="1" t="str">
        <f ca="1">IFERROR(__xludf.DUMMYFUNCTION("""COMPUTED_VALUE"""),"MANVIC RS")</f>
        <v>MANVIC RS</v>
      </c>
      <c r="F149" s="1">
        <f ca="1">IFERROR(__xludf.DUMMYFUNCTION("""COMPUTED_VALUE"""),31513)</f>
        <v>31513</v>
      </c>
    </row>
    <row r="150" spans="1:6" x14ac:dyDescent="0.3">
      <c r="A150" s="1" t="str">
        <f ca="1">IFERROR(__xludf.DUMMYFUNCTION("""COMPUTED_VALUE"""),"Manchester Victoria West Junction")</f>
        <v>Manchester Victoria West Junction</v>
      </c>
      <c r="B150" s="1"/>
      <c r="C150" s="1">
        <f ca="1">IFERROR(__xludf.DUMMYFUNCTION("""COMPUTED_VALUE"""),297040)</f>
        <v>297040</v>
      </c>
      <c r="D150" s="1" t="str">
        <f ca="1">IFERROR(__xludf.DUMMYFUNCTION("""COMPUTED_VALUE"""),"MNCRVWJ")</f>
        <v>MNCRVWJ</v>
      </c>
      <c r="E150" s="1" t="str">
        <f ca="1">IFERROR(__xludf.DUMMYFUNCTION("""COMPUTED_VALUE"""),"MANVIC WJ")</f>
        <v>MANVIC WJ</v>
      </c>
      <c r="F150" s="1">
        <f ca="1">IFERROR(__xludf.DUMMYFUNCTION("""COMPUTED_VALUE"""),31512)</f>
        <v>31512</v>
      </c>
    </row>
    <row r="151" spans="1:6" x14ac:dyDescent="0.3">
      <c r="A151" s="1" t="str">
        <f ca="1">IFERROR(__xludf.DUMMYFUNCTION("""COMPUTED_VALUE"""),"Manchester Weaste Metrolink")</f>
        <v>Manchester Weaste Metrolink</v>
      </c>
      <c r="B151" s="1" t="str">
        <f ca="1">IFERROR(__xludf.DUMMYFUNCTION("""COMPUTED_VALUE"""),"WMT")</f>
        <v>WMT</v>
      </c>
      <c r="C151" s="1">
        <f ca="1">IFERROR(__xludf.DUMMYFUNCTION("""COMPUTED_VALUE"""),993500)</f>
        <v>993500</v>
      </c>
      <c r="D151" s="1" t="str">
        <f ca="1">IFERROR(__xludf.DUMMYFUNCTION("""COMPUTED_VALUE"""),"MNCRWST")</f>
        <v>MNCRWST</v>
      </c>
      <c r="E151" s="1"/>
      <c r="F151" s="1" t="str">
        <f ca="1">IFERROR(__xludf.DUMMYFUNCTION("""COMPUTED_VALUE"""),"-")</f>
        <v>-</v>
      </c>
    </row>
    <row r="152" spans="1:6" x14ac:dyDescent="0.3">
      <c r="A152" s="1" t="str">
        <f ca="1">IFERROR(__xludf.DUMMYFUNCTION("""COMPUTED_VALUE"""),"Manchester West Didsbury Metrolink")</f>
        <v>Manchester West Didsbury Metrolink</v>
      </c>
      <c r="B152" s="1" t="str">
        <f ca="1">IFERROR(__xludf.DUMMYFUNCTION("""COMPUTED_VALUE"""),"WDI")</f>
        <v>WDI</v>
      </c>
      <c r="C152" s="1">
        <f ca="1">IFERROR(__xludf.DUMMYFUNCTION("""COMPUTED_VALUE"""),733400)</f>
        <v>733400</v>
      </c>
      <c r="D152" s="1" t="str">
        <f ca="1">IFERROR(__xludf.DUMMYFUNCTION("""COMPUTED_VALUE"""),"MNCRWDM MNCRWDI")</f>
        <v>MNCRWDM MNCRWDI</v>
      </c>
      <c r="E152" s="1"/>
      <c r="F152" s="1" t="str">
        <f ca="1">IFERROR(__xludf.DUMMYFUNCTION("""COMPUTED_VALUE"""),"-")</f>
        <v>-</v>
      </c>
    </row>
    <row r="153" spans="1:6" x14ac:dyDescent="0.3">
      <c r="A153" s="1" t="str">
        <f ca="1">IFERROR(__xludf.DUMMYFUNCTION("""COMPUTED_VALUE"""),"Manchester Westwood Metrolink")</f>
        <v>Manchester Westwood Metrolink</v>
      </c>
      <c r="B153" s="1" t="str">
        <f ca="1">IFERROR(__xludf.DUMMYFUNCTION("""COMPUTED_VALUE"""),"WWM")</f>
        <v>WWM</v>
      </c>
      <c r="C153" s="1">
        <f ca="1">IFERROR(__xludf.DUMMYFUNCTION("""COMPUTED_VALUE"""),728000)</f>
        <v>728000</v>
      </c>
      <c r="D153" s="1" t="str">
        <f ca="1">IFERROR(__xludf.DUMMYFUNCTION("""COMPUTED_VALUE"""),"MNCRWWM")</f>
        <v>MNCRWWM</v>
      </c>
      <c r="E153" s="1"/>
      <c r="F153" s="1" t="str">
        <f ca="1">IFERROR(__xludf.DUMMYFUNCTION("""COMPUTED_VALUE"""),"-")</f>
        <v>-</v>
      </c>
    </row>
    <row r="154" spans="1:6" x14ac:dyDescent="0.3">
      <c r="A154" s="1" t="str">
        <f ca="1">IFERROR(__xludf.DUMMYFUNCTION("""COMPUTED_VALUE"""),"Manchester Withington Metrolink")</f>
        <v>Manchester Withington Metrolink</v>
      </c>
      <c r="B154" s="1" t="str">
        <f ca="1">IFERROR(__xludf.DUMMYFUNCTION("""COMPUTED_VALUE"""),"WMM")</f>
        <v>WMM</v>
      </c>
      <c r="C154" s="1">
        <f ca="1">IFERROR(__xludf.DUMMYFUNCTION("""COMPUTED_VALUE"""),733200)</f>
        <v>733200</v>
      </c>
      <c r="D154" s="1" t="str">
        <f ca="1">IFERROR(__xludf.DUMMYFUNCTION("""COMPUTED_VALUE"""),"MNCRWML")</f>
        <v>MNCRWML</v>
      </c>
      <c r="E154" s="1"/>
      <c r="F154" s="1" t="str">
        <f ca="1">IFERROR(__xludf.DUMMYFUNCTION("""COMPUTED_VALUE"""),"-")</f>
        <v>-</v>
      </c>
    </row>
    <row r="155" spans="1:6" x14ac:dyDescent="0.3">
      <c r="A155" s="1" t="str">
        <f ca="1">IFERROR(__xludf.DUMMYFUNCTION("""COMPUTED_VALUE"""),"Manea")</f>
        <v>Manea</v>
      </c>
      <c r="B155" s="1" t="str">
        <f ca="1">IFERROR(__xludf.DUMMYFUNCTION("""COMPUTED_VALUE"""),"MNE")</f>
        <v>MNE</v>
      </c>
      <c r="C155" s="1">
        <f ca="1">IFERROR(__xludf.DUMMYFUNCTION("""COMPUTED_VALUE"""),716500)</f>
        <v>716500</v>
      </c>
      <c r="D155" s="1" t="str">
        <f ca="1">IFERROR(__xludf.DUMMYFUNCTION("""COMPUTED_VALUE"""),"MANEA")</f>
        <v>MANEA</v>
      </c>
      <c r="E155" s="1" t="str">
        <f ca="1">IFERROR(__xludf.DUMMYFUNCTION("""COMPUTED_VALUE"""),"MANEA")</f>
        <v>MANEA</v>
      </c>
      <c r="F155" s="1">
        <f ca="1">IFERROR(__xludf.DUMMYFUNCTION("""COMPUTED_VALUE"""),46215)</f>
        <v>46215</v>
      </c>
    </row>
    <row r="156" spans="1:6" x14ac:dyDescent="0.3">
      <c r="A156" s="1" t="str">
        <f ca="1">IFERROR(__xludf.DUMMYFUNCTION("""COMPUTED_VALUE"""),"Manea Signal CA924")</f>
        <v>Manea Signal CA924</v>
      </c>
      <c r="B156" s="1"/>
      <c r="C156" s="1">
        <f ca="1">IFERROR(__xludf.DUMMYFUNCTION("""COMPUTED_VALUE"""),716505)</f>
        <v>716505</v>
      </c>
      <c r="D156" s="1" t="str">
        <f ca="1">IFERROR(__xludf.DUMMYFUNCTION("""COMPUTED_VALUE"""),"MANE924")</f>
        <v>MANE924</v>
      </c>
      <c r="E156" s="1"/>
      <c r="F156" s="1">
        <f ca="1">IFERROR(__xludf.DUMMYFUNCTION("""COMPUTED_VALUE"""),46196)</f>
        <v>46196</v>
      </c>
    </row>
    <row r="157" spans="1:6" x14ac:dyDescent="0.3">
      <c r="A157" s="1" t="str">
        <f ca="1">IFERROR(__xludf.DUMMYFUNCTION("""COMPUTED_VALUE"""),"Manea Signal M43")</f>
        <v>Manea Signal M43</v>
      </c>
      <c r="B157" s="1"/>
      <c r="C157" s="1">
        <f ca="1">IFERROR(__xludf.DUMMYFUNCTION("""COMPUTED_VALUE"""),716504)</f>
        <v>716504</v>
      </c>
      <c r="D157" s="1" t="str">
        <f ca="1">IFERROR(__xludf.DUMMYFUNCTION("""COMPUTED_VALUE"""),"MANE43")</f>
        <v>MANE43</v>
      </c>
      <c r="E157" s="1"/>
      <c r="F157" s="1">
        <f ca="1">IFERROR(__xludf.DUMMYFUNCTION("""COMPUTED_VALUE"""),46219)</f>
        <v>46219</v>
      </c>
    </row>
    <row r="158" spans="1:6" x14ac:dyDescent="0.3">
      <c r="A158" s="1" t="str">
        <f ca="1">IFERROR(__xludf.DUMMYFUNCTION("""COMPUTED_VALUE"""),"Mannheim Handelshafen")</f>
        <v>Mannheim Handelshafen</v>
      </c>
      <c r="B158" s="1"/>
      <c r="C158" s="1">
        <f ca="1">IFERROR(__xludf.DUMMYFUNCTION("""COMPUTED_VALUE"""),81607)</f>
        <v>81607</v>
      </c>
      <c r="D158" s="1" t="str">
        <f ca="1">IFERROR(__xludf.DUMMYFUNCTION("""COMPUTED_VALUE"""),"MANHHAN")</f>
        <v>MANHHAN</v>
      </c>
      <c r="E158" s="1" t="str">
        <f ca="1">IFERROR(__xludf.DUMMYFUNCTION("""COMPUTED_VALUE"""),"MANNHEIMH")</f>
        <v>MANNHEIMH</v>
      </c>
      <c r="F158" s="1">
        <f ca="1">IFERROR(__xludf.DUMMYFUNCTION("""COMPUTED_VALUE"""),54)</f>
        <v>54</v>
      </c>
    </row>
    <row r="159" spans="1:6" x14ac:dyDescent="0.3">
      <c r="A159" s="1" t="str">
        <f ca="1">IFERROR(__xludf.DUMMYFUNCTION("""COMPUTED_VALUE"""),"Mannheim Rangierbahnhof")</f>
        <v>Mannheim Rangierbahnhof</v>
      </c>
      <c r="B159" s="1"/>
      <c r="C159" s="1">
        <f ca="1">IFERROR(__xludf.DUMMYFUNCTION("""COMPUTED_VALUE"""),81608)</f>
        <v>81608</v>
      </c>
      <c r="D159" s="1" t="str">
        <f ca="1">IFERROR(__xludf.DUMMYFUNCTION("""COMPUTED_VALUE"""),"MANHRAN")</f>
        <v>MANHRAN</v>
      </c>
      <c r="E159" s="1" t="str">
        <f ca="1">IFERROR(__xludf.DUMMYFUNCTION("""COMPUTED_VALUE"""),"MANNHEIMR")</f>
        <v>MANNHEIMR</v>
      </c>
      <c r="F159" s="1">
        <f ca="1">IFERROR(__xludf.DUMMYFUNCTION("""COMPUTED_VALUE"""),55)</f>
        <v>55</v>
      </c>
    </row>
    <row r="160" spans="1:6" x14ac:dyDescent="0.3">
      <c r="A160" s="1" t="str">
        <f ca="1">IFERROR(__xludf.DUMMYFUNCTION("""COMPUTED_VALUE"""),"Manningtree")</f>
        <v>Manningtree</v>
      </c>
      <c r="B160" s="1" t="str">
        <f ca="1">IFERROR(__xludf.DUMMYFUNCTION("""COMPUTED_VALUE"""),"MNG")</f>
        <v>MNG</v>
      </c>
      <c r="C160" s="1">
        <f ca="1">IFERROR(__xludf.DUMMYFUNCTION("""COMPUTED_VALUE"""),685600)</f>
        <v>685600</v>
      </c>
      <c r="D160" s="1" t="str">
        <f ca="1">IFERROR(__xludf.DUMMYFUNCTION("""COMPUTED_VALUE"""),"MANNGTR")</f>
        <v>MANNGTR</v>
      </c>
      <c r="E160" s="1" t="str">
        <f ca="1">IFERROR(__xludf.DUMMYFUNCTION("""COMPUTED_VALUE"""),"MANINGTRE")</f>
        <v>MANINGTRE</v>
      </c>
      <c r="F160" s="1">
        <f ca="1">IFERROR(__xludf.DUMMYFUNCTION("""COMPUTED_VALUE"""),49302)</f>
        <v>49302</v>
      </c>
    </row>
    <row r="161" spans="1:6" x14ac:dyDescent="0.3">
      <c r="A161" s="1" t="str">
        <f ca="1">IFERROR(__xludf.DUMMYFUNCTION("""COMPUTED_VALUE"""),"Manningtree Down Siding")</f>
        <v>Manningtree Down Siding</v>
      </c>
      <c r="B161" s="1"/>
      <c r="C161" s="1">
        <f ca="1">IFERROR(__xludf.DUMMYFUNCTION("""COMPUTED_VALUE"""),685601)</f>
        <v>685601</v>
      </c>
      <c r="D161" s="1" t="str">
        <f ca="1">IFERROR(__xludf.DUMMYFUNCTION("""COMPUTED_VALUE"""),"MANNGDS")</f>
        <v>MANNGDS</v>
      </c>
      <c r="E161" s="1" t="str">
        <f ca="1">IFERROR(__xludf.DUMMYFUNCTION("""COMPUTED_VALUE"""),"MANTRE DS")</f>
        <v>MANTRE DS</v>
      </c>
      <c r="F161" s="1">
        <f ca="1">IFERROR(__xludf.DUMMYFUNCTION("""COMPUTED_VALUE"""),49303)</f>
        <v>49303</v>
      </c>
    </row>
    <row r="162" spans="1:6" x14ac:dyDescent="0.3">
      <c r="A162" s="1" t="str">
        <f ca="1">IFERROR(__xludf.DUMMYFUNCTION("""COMPUTED_VALUE"""),"Manningtree East Junction")</f>
        <v>Manningtree East Junction</v>
      </c>
      <c r="B162" s="1"/>
      <c r="C162" s="1">
        <f ca="1">IFERROR(__xludf.DUMMYFUNCTION("""COMPUTED_VALUE"""),685610)</f>
        <v>685610</v>
      </c>
      <c r="D162" s="1" t="str">
        <f ca="1">IFERROR(__xludf.DUMMYFUNCTION("""COMPUTED_VALUE"""),"MANNTEJ")</f>
        <v>MANNTEJ</v>
      </c>
      <c r="E162" s="1" t="str">
        <f ca="1">IFERROR(__xludf.DUMMYFUNCTION("""COMPUTED_VALUE"""),"MANTRE EJ")</f>
        <v>MANTRE EJ</v>
      </c>
      <c r="F162" s="1">
        <f ca="1">IFERROR(__xludf.DUMMYFUNCTION("""COMPUTED_VALUE"""),49304)</f>
        <v>49304</v>
      </c>
    </row>
    <row r="163" spans="1:6" x14ac:dyDescent="0.3">
      <c r="A163" s="1" t="str">
        <f ca="1">IFERROR(__xludf.DUMMYFUNCTION("""COMPUTED_VALUE"""),"Manningtree North Junction")</f>
        <v>Manningtree North Junction</v>
      </c>
      <c r="B163" s="1"/>
      <c r="C163" s="1">
        <f ca="1">IFERROR(__xludf.DUMMYFUNCTION("""COMPUTED_VALUE"""),685614)</f>
        <v>685614</v>
      </c>
      <c r="D163" s="1" t="str">
        <f ca="1">IFERROR(__xludf.DUMMYFUNCTION("""COMPUTED_VALUE"""),"MANNTNJ")</f>
        <v>MANNTNJ</v>
      </c>
      <c r="E163" s="1" t="str">
        <f ca="1">IFERROR(__xludf.DUMMYFUNCTION("""COMPUTED_VALUE"""),"MANTREENJ")</f>
        <v>MANTREENJ</v>
      </c>
      <c r="F163" s="1">
        <f ca="1">IFERROR(__xludf.DUMMYFUNCTION("""COMPUTED_VALUE"""),49301)</f>
        <v>49301</v>
      </c>
    </row>
    <row r="164" spans="1:6" x14ac:dyDescent="0.3">
      <c r="A164" s="1" t="str">
        <f ca="1">IFERROR(__xludf.DUMMYFUNCTION("""COMPUTED_VALUE"""),"Mann Island Junction")</f>
        <v>Mann Island Junction</v>
      </c>
      <c r="B164" s="1"/>
      <c r="C164" s="1">
        <f ca="1">IFERROR(__xludf.DUMMYFUNCTION("""COMPUTED_VALUE"""),221905)</f>
        <v>221905</v>
      </c>
      <c r="D164" s="1" t="str">
        <f ca="1">IFERROR(__xludf.DUMMYFUNCTION("""COMPUTED_VALUE"""),"MANIJN")</f>
        <v>MANIJN</v>
      </c>
      <c r="E164" s="1" t="str">
        <f ca="1">IFERROR(__xludf.DUMMYFUNCTION("""COMPUTED_VALUE"""),"MANNISLDJ")</f>
        <v>MANNISLDJ</v>
      </c>
      <c r="F164" s="1">
        <f ca="1">IFERROR(__xludf.DUMMYFUNCTION("""COMPUTED_VALUE"""),38186)</f>
        <v>38186</v>
      </c>
    </row>
    <row r="165" spans="1:6" x14ac:dyDescent="0.3">
      <c r="A165" s="1" t="str">
        <f ca="1">IFERROR(__xludf.DUMMYFUNCTION("""COMPUTED_VALUE"""),"Manorbier")</f>
        <v>Manorbier</v>
      </c>
      <c r="B165" s="1" t="str">
        <f ca="1">IFERROR(__xludf.DUMMYFUNCTION("""COMPUTED_VALUE"""),"MRB")</f>
        <v>MRB</v>
      </c>
      <c r="C165" s="1">
        <f ca="1">IFERROR(__xludf.DUMMYFUNCTION("""COMPUTED_VALUE"""),409400)</f>
        <v>409400</v>
      </c>
      <c r="D165" s="1" t="str">
        <f ca="1">IFERROR(__xludf.DUMMYFUNCTION("""COMPUTED_VALUE"""),"MNORBER")</f>
        <v>MNORBER</v>
      </c>
      <c r="E165" s="1" t="str">
        <f ca="1">IFERROR(__xludf.DUMMYFUNCTION("""COMPUTED_VALUE"""),"MANORBIER")</f>
        <v>MANORBIER</v>
      </c>
      <c r="F165" s="1">
        <f ca="1">IFERROR(__xludf.DUMMYFUNCTION("""COMPUTED_VALUE"""),80207)</f>
        <v>80207</v>
      </c>
    </row>
    <row r="166" spans="1:6" x14ac:dyDescent="0.3">
      <c r="A166" s="1" t="str">
        <f ca="1">IFERROR(__xludf.DUMMYFUNCTION("""COMPUTED_VALUE"""),"Manor Park")</f>
        <v>Manor Park</v>
      </c>
      <c r="B166" s="1" t="str">
        <f ca="1">IFERROR(__xludf.DUMMYFUNCTION("""COMPUTED_VALUE"""),"MNP")</f>
        <v>MNP</v>
      </c>
      <c r="C166" s="1">
        <f ca="1">IFERROR(__xludf.DUMMYFUNCTION("""COMPUTED_VALUE"""),688300)</f>
        <v>688300</v>
      </c>
      <c r="D166" s="1" t="str">
        <f ca="1">IFERROR(__xludf.DUMMYFUNCTION("""COMPUTED_VALUE"""),"MANRPK")</f>
        <v>MANRPK</v>
      </c>
      <c r="E166" s="1" t="str">
        <f ca="1">IFERROR(__xludf.DUMMYFUNCTION("""COMPUTED_VALUE"""),"MANORPARK")</f>
        <v>MANORPARK</v>
      </c>
      <c r="F166" s="1">
        <f ca="1">IFERROR(__xludf.DUMMYFUNCTION("""COMPUTED_VALUE"""),50431)</f>
        <v>50431</v>
      </c>
    </row>
    <row r="167" spans="1:6" x14ac:dyDescent="0.3">
      <c r="A167" s="1" t="str">
        <f ca="1">IFERROR(__xludf.DUMMYFUNCTION("""COMPUTED_VALUE"""),"Manor Park Junction")</f>
        <v>Manor Park Junction</v>
      </c>
      <c r="B167" s="1"/>
      <c r="C167" s="1">
        <f ca="1">IFERROR(__xludf.DUMMYFUNCTION("""COMPUTED_VALUE"""),688301)</f>
        <v>688301</v>
      </c>
      <c r="D167" s="1" t="str">
        <f ca="1">IFERROR(__xludf.DUMMYFUNCTION("""COMPUTED_VALUE"""),"MANRPKJ")</f>
        <v>MANRPKJ</v>
      </c>
      <c r="E167" s="1"/>
      <c r="F167" s="1" t="str">
        <f ca="1">IFERROR(__xludf.DUMMYFUNCTION("""COMPUTED_VALUE"""),"50431*")</f>
        <v>50431*</v>
      </c>
    </row>
    <row r="168" spans="1:6" x14ac:dyDescent="0.3">
      <c r="A168" s="1" t="str">
        <f ca="1">IFERROR(__xludf.DUMMYFUNCTION("""COMPUTED_VALUE"""),"Manor Park Signal L350/L5083")</f>
        <v>Manor Park Signal L350/L5083</v>
      </c>
      <c r="B168" s="1"/>
      <c r="C168" s="1">
        <f ca="1">IFERROR(__xludf.DUMMYFUNCTION("""COMPUTED_VALUE"""),688303)</f>
        <v>688303</v>
      </c>
      <c r="D168" s="1" t="str">
        <f ca="1">IFERROR(__xludf.DUMMYFUNCTION("""COMPUTED_VALUE"""),"MANR350")</f>
        <v>MANR350</v>
      </c>
      <c r="E168" s="1"/>
      <c r="F168" s="1" t="str">
        <f ca="1">IFERROR(__xludf.DUMMYFUNCTION("""COMPUTED_VALUE"""),"50431*")</f>
        <v>50431*</v>
      </c>
    </row>
    <row r="169" spans="1:6" x14ac:dyDescent="0.3">
      <c r="A169" s="1" t="str">
        <f ca="1">IFERROR(__xludf.DUMMYFUNCTION("""COMPUTED_VALUE"""),"Manor Powis")</f>
        <v>Manor Powis</v>
      </c>
      <c r="B169" s="1"/>
      <c r="C169" s="1">
        <f ca="1">IFERROR(__xludf.DUMMYFUNCTION("""COMPUTED_VALUE"""),910960)</f>
        <v>910960</v>
      </c>
      <c r="D169" s="1" t="str">
        <f ca="1">IFERROR(__xludf.DUMMYFUNCTION("""COMPUTED_VALUE"""),"MNRPWIS")</f>
        <v>MNRPWIS</v>
      </c>
      <c r="E169" s="1" t="str">
        <f ca="1">IFERROR(__xludf.DUMMYFUNCTION("""COMPUTED_VALUE"""),"MANOR POW")</f>
        <v>MANOR POW</v>
      </c>
      <c r="F169" s="1">
        <f ca="1">IFERROR(__xludf.DUMMYFUNCTION("""COMPUTED_VALUE"""),3381)</f>
        <v>3381</v>
      </c>
    </row>
    <row r="170" spans="1:6" x14ac:dyDescent="0.3">
      <c r="A170" s="1" t="str">
        <f ca="1">IFERROR(__xludf.DUMMYFUNCTION("""COMPUTED_VALUE"""),"Manor Road")</f>
        <v>Manor Road</v>
      </c>
      <c r="B170" s="1" t="str">
        <f ca="1">IFERROR(__xludf.DUMMYFUNCTION("""COMPUTED_VALUE"""),"MNR")</f>
        <v>MNR</v>
      </c>
      <c r="C170" s="1">
        <f ca="1">IFERROR(__xludf.DUMMYFUNCTION("""COMPUTED_VALUE"""),225300)</f>
        <v>225300</v>
      </c>
      <c r="D170" s="1" t="str">
        <f ca="1">IFERROR(__xludf.DUMMYFUNCTION("""COMPUTED_VALUE"""),"MNRD")</f>
        <v>MNRD</v>
      </c>
      <c r="E170" s="1" t="str">
        <f ca="1">IFERROR(__xludf.DUMMYFUNCTION("""COMPUTED_VALUE"""),"MANOR RD")</f>
        <v>MANOR RD</v>
      </c>
      <c r="F170" s="1">
        <f ca="1">IFERROR(__xludf.DUMMYFUNCTION("""COMPUTED_VALUE"""),38005)</f>
        <v>38005</v>
      </c>
    </row>
    <row r="171" spans="1:6" x14ac:dyDescent="0.3">
      <c r="A171" s="1" t="str">
        <f ca="1">IFERROR(__xludf.DUMMYFUNCTION("""COMPUTED_VALUE"""),"Manors")</f>
        <v>Manors</v>
      </c>
      <c r="B171" s="1" t="str">
        <f ca="1">IFERROR(__xludf.DUMMYFUNCTION("""COMPUTED_VALUE"""),"MAS")</f>
        <v>MAS</v>
      </c>
      <c r="C171" s="1">
        <f ca="1">IFERROR(__xludf.DUMMYFUNCTION("""COMPUTED_VALUE"""),760300)</f>
        <v>760300</v>
      </c>
      <c r="D171" s="1" t="str">
        <f ca="1">IFERROR(__xludf.DUMMYFUNCTION("""COMPUTED_VALUE"""),"MANORS")</f>
        <v>MANORS</v>
      </c>
      <c r="E171" s="1" t="str">
        <f ca="1">IFERROR(__xludf.DUMMYFUNCTION("""COMPUTED_VALUE"""),"MANORS")</f>
        <v>MANORS</v>
      </c>
      <c r="F171" s="1">
        <f ca="1">IFERROR(__xludf.DUMMYFUNCTION("""COMPUTED_VALUE"""),12719)</f>
        <v>12719</v>
      </c>
    </row>
    <row r="172" spans="1:6" x14ac:dyDescent="0.3">
      <c r="A172" s="1" t="str">
        <f ca="1">IFERROR(__xludf.DUMMYFUNCTION("""COMPUTED_VALUE"""),"Manors (Nexus)")</f>
        <v>Manors (Nexus)</v>
      </c>
      <c r="B172" s="1" t="str">
        <f ca="1">IFERROR(__xludf.DUMMYFUNCTION("""COMPUTED_VALUE"""),"MRM")</f>
        <v>MRM</v>
      </c>
      <c r="C172" s="1">
        <f ca="1">IFERROR(__xludf.DUMMYFUNCTION("""COMPUTED_VALUE"""),914800)</f>
        <v>914800</v>
      </c>
      <c r="D172" s="1" t="str">
        <f ca="1">IFERROR(__xludf.DUMMYFUNCTION("""COMPUTED_VALUE"""),"MANOMET")</f>
        <v>MANOMET</v>
      </c>
      <c r="E172" s="1" t="str">
        <f ca="1">IFERROR(__xludf.DUMMYFUNCTION("""COMPUTED_VALUE"""),"MANOMET")</f>
        <v>MANOMET</v>
      </c>
      <c r="F172" s="1">
        <f ca="1">IFERROR(__xludf.DUMMYFUNCTION("""COMPUTED_VALUE"""),12721)</f>
        <v>12721</v>
      </c>
    </row>
    <row r="173" spans="1:6" x14ac:dyDescent="0.3">
      <c r="A173" s="1" t="str">
        <f ca="1">IFERROR(__xludf.DUMMYFUNCTION("""COMPUTED_VALUE"""),"Mansfield")</f>
        <v>Mansfield</v>
      </c>
      <c r="B173" s="1" t="str">
        <f ca="1">IFERROR(__xludf.DUMMYFUNCTION("""COMPUTED_VALUE"""),"MFT")</f>
        <v>MFT</v>
      </c>
      <c r="C173" s="1">
        <f ca="1">IFERROR(__xludf.DUMMYFUNCTION("""COMPUTED_VALUE"""),172700)</f>
        <v>172700</v>
      </c>
      <c r="D173" s="1" t="str">
        <f ca="1">IFERROR(__xludf.DUMMYFUNCTION("""COMPUTED_VALUE"""),"MFLDTWN")</f>
        <v>MFLDTWN</v>
      </c>
      <c r="E173" s="1" t="str">
        <f ca="1">IFERROR(__xludf.DUMMYFUNCTION("""COMPUTED_VALUE"""),"MANSFIELD")</f>
        <v>MANSFIELD</v>
      </c>
      <c r="F173" s="1">
        <f ca="1">IFERROR(__xludf.DUMMYFUNCTION("""COMPUTED_VALUE"""),56225)</f>
        <v>56225</v>
      </c>
    </row>
    <row r="174" spans="1:6" x14ac:dyDescent="0.3">
      <c r="A174" s="1" t="str">
        <f ca="1">IFERROR(__xludf.DUMMYFUNCTION("""COMPUTED_VALUE"""),"Mansfield Bus Station")</f>
        <v>Mansfield Bus Station</v>
      </c>
      <c r="B174" s="1"/>
      <c r="C174" s="1">
        <f ca="1">IFERROR(__xludf.DUMMYFUNCTION("""COMPUTED_VALUE"""),172701)</f>
        <v>172701</v>
      </c>
      <c r="D174" s="1" t="str">
        <f ca="1">IFERROR(__xludf.DUMMYFUNCTION("""COMPUTED_VALUE"""),"MFLDBS")</f>
        <v>MFLDBS</v>
      </c>
      <c r="E174" s="1"/>
      <c r="F174" s="1" t="str">
        <f ca="1">IFERROR(__xludf.DUMMYFUNCTION("""COMPUTED_VALUE"""),"-")</f>
        <v>-</v>
      </c>
    </row>
    <row r="175" spans="1:6" x14ac:dyDescent="0.3">
      <c r="A175" s="1" t="str">
        <f ca="1">IFERROR(__xludf.DUMMYFUNCTION("""COMPUTED_VALUE"""),"Mansfield East Midlands Designer Outlet Centre")</f>
        <v>Mansfield East Midlands Designer Outlet Centre</v>
      </c>
      <c r="B175" s="1"/>
      <c r="C175" s="1"/>
      <c r="D175" s="1" t="str">
        <f ca="1">IFERROR(__xludf.DUMMYFUNCTION("""COMPUTED_VALUE"""),"MFLDDOU")</f>
        <v>MFLDDOU</v>
      </c>
      <c r="E175" s="1"/>
      <c r="F175" s="1" t="str">
        <f ca="1">IFERROR(__xludf.DUMMYFUNCTION("""COMPUTED_VALUE"""),"-")</f>
        <v>-</v>
      </c>
    </row>
    <row r="176" spans="1:6" x14ac:dyDescent="0.3">
      <c r="A176" s="1" t="str">
        <f ca="1">IFERROR(__xludf.DUMMYFUNCTION("""COMPUTED_VALUE"""),"Mansfield SS")</f>
        <v>Mansfield SS</v>
      </c>
      <c r="B176" s="1"/>
      <c r="C176" s="1"/>
      <c r="D176" s="1" t="str">
        <f ca="1">IFERROR(__xludf.DUMMYFUNCTION("""COMPUTED_VALUE"""),"MNSFLCS")</f>
        <v>MNSFLCS</v>
      </c>
      <c r="E176" s="1"/>
      <c r="F176" s="1"/>
    </row>
    <row r="177" spans="1:6" x14ac:dyDescent="0.3">
      <c r="A177" s="1" t="str">
        <f ca="1">IFERROR(__xludf.DUMMYFUNCTION("""COMPUTED_VALUE"""),"Mansfield Woodhouse")</f>
        <v>Mansfield Woodhouse</v>
      </c>
      <c r="B177" s="1" t="str">
        <f ca="1">IFERROR(__xludf.DUMMYFUNCTION("""COMPUTED_VALUE"""),"MSW")</f>
        <v>MSW</v>
      </c>
      <c r="C177" s="1">
        <f ca="1">IFERROR(__xludf.DUMMYFUNCTION("""COMPUTED_VALUE"""),172800)</f>
        <v>172800</v>
      </c>
      <c r="D177" s="1" t="str">
        <f ca="1">IFERROR(__xludf.DUMMYFUNCTION("""COMPUTED_VALUE"""),"MFLDWSE")</f>
        <v>MFLDWSE</v>
      </c>
      <c r="E177" s="1" t="str">
        <f ca="1">IFERROR(__xludf.DUMMYFUNCTION("""COMPUTED_VALUE"""),"MANSFDWDH")</f>
        <v>MANSFDWDH</v>
      </c>
      <c r="F177" s="1">
        <f ca="1">IFERROR(__xludf.DUMMYFUNCTION("""COMPUTED_VALUE"""),56221)</f>
        <v>56221</v>
      </c>
    </row>
    <row r="178" spans="1:6" x14ac:dyDescent="0.3">
      <c r="A178" s="1" t="str">
        <f ca="1">IFERROR(__xludf.DUMMYFUNCTION("""COMPUTED_VALUE"""),"Mansion House LT")</f>
        <v>Mansion House LT</v>
      </c>
      <c r="B178" s="1" t="str">
        <f ca="1">IFERROR(__xludf.DUMMYFUNCTION("""COMPUTED_VALUE"""),"ZMH")</f>
        <v>ZMH</v>
      </c>
      <c r="C178" s="1">
        <f ca="1">IFERROR(__xludf.DUMMYFUNCTION("""COMPUTED_VALUE"""),63900)</f>
        <v>63900</v>
      </c>
      <c r="D178" s="1" t="str">
        <f ca="1">IFERROR(__xludf.DUMMYFUNCTION("""COMPUTED_VALUE"""),"MANSNHS")</f>
        <v>MANSNHS</v>
      </c>
      <c r="E178" s="1" t="str">
        <f ca="1">IFERROR(__xludf.DUMMYFUNCTION("""COMPUTED_VALUE"""),"MANSIONHS")</f>
        <v>MANSIONHS</v>
      </c>
      <c r="F178" s="1">
        <f ca="1">IFERROR(__xludf.DUMMYFUNCTION("""COMPUTED_VALUE"""),87186)</f>
        <v>87186</v>
      </c>
    </row>
    <row r="179" spans="1:6" x14ac:dyDescent="0.3">
      <c r="A179" s="1" t="str">
        <f ca="1">IFERROR(__xludf.DUMMYFUNCTION("""COMPUTED_VALUE"""),"Mantle Lane Signal Box")</f>
        <v>Mantle Lane Signal Box</v>
      </c>
      <c r="B179" s="1"/>
      <c r="C179" s="1">
        <f ca="1">IFERROR(__xludf.DUMMYFUNCTION("""COMPUTED_VALUE"""),183363)</f>
        <v>183363</v>
      </c>
      <c r="D179" s="1" t="str">
        <f ca="1">IFERROR(__xludf.DUMMYFUNCTION("""COMPUTED_VALUE"""),"MNTLSB")</f>
        <v>MNTLSB</v>
      </c>
      <c r="E179" s="1" t="str">
        <f ca="1">IFERROR(__xludf.DUMMYFUNCTION("""COMPUTED_VALUE"""),"MNTLELNSB")</f>
        <v>MNTLELNSB</v>
      </c>
      <c r="F179" s="1">
        <f ca="1">IFERROR(__xludf.DUMMYFUNCTION("""COMPUTED_VALUE"""),58041)</f>
        <v>58041</v>
      </c>
    </row>
    <row r="180" spans="1:6" x14ac:dyDescent="0.3">
      <c r="A180" s="1" t="str">
        <f ca="1">IFERROR(__xludf.DUMMYFUNCTION("""COMPUTED_VALUE"""),"Mantle Lane Terminal Complex")</f>
        <v>Mantle Lane Terminal Complex</v>
      </c>
      <c r="B180" s="1"/>
      <c r="C180" s="1">
        <f ca="1">IFERROR(__xludf.DUMMYFUNCTION("""COMPUTED_VALUE"""),183361)</f>
        <v>183361</v>
      </c>
      <c r="D180" s="1" t="str">
        <f ca="1">IFERROR(__xludf.DUMMYFUNCTION("""COMPUTED_VALUE"""),"MNTLLAS")</f>
        <v>MNTLLAS</v>
      </c>
      <c r="E180" s="1" t="str">
        <f ca="1">IFERROR(__xludf.DUMMYFUNCTION("""COMPUTED_VALUE"""),"MANTLE LN")</f>
        <v>MANTLE LN</v>
      </c>
      <c r="F180" s="1">
        <f ca="1">IFERROR(__xludf.DUMMYFUNCTION("""COMPUTED_VALUE"""),58040)</f>
        <v>58040</v>
      </c>
    </row>
    <row r="181" spans="1:6" x14ac:dyDescent="0.3">
      <c r="A181" s="1" t="str">
        <f ca="1">IFERROR(__xludf.DUMMYFUNCTION("""COMPUTED_VALUE"""),"Mantle Lane Terminal Complex GB Railfreight")</f>
        <v>Mantle Lane Terminal Complex GB Railfreight</v>
      </c>
      <c r="B181" s="1"/>
      <c r="C181" s="1">
        <f ca="1">IFERROR(__xludf.DUMMYFUNCTION("""COMPUTED_VALUE"""),183364)</f>
        <v>183364</v>
      </c>
      <c r="D181" s="1" t="str">
        <f ca="1">IFERROR(__xludf.DUMMYFUNCTION("""COMPUTED_VALUE"""),"MNTLGBR")</f>
        <v>MNTLGBR</v>
      </c>
      <c r="E181" s="1" t="str">
        <f ca="1">IFERROR(__xludf.DUMMYFUNCTION("""COMPUTED_VALUE"""),"MNTLELNGB")</f>
        <v>MNTLELNGB</v>
      </c>
      <c r="F181" s="1">
        <f ca="1">IFERROR(__xludf.DUMMYFUNCTION("""COMPUTED_VALUE"""),58042)</f>
        <v>58042</v>
      </c>
    </row>
    <row r="182" spans="1:6" x14ac:dyDescent="0.3">
      <c r="A182" s="1" t="str">
        <f ca="1">IFERROR(__xludf.DUMMYFUNCTION("""COMPUTED_VALUE"""),"Manton Colliery Junction")</f>
        <v>Manton Colliery Junction</v>
      </c>
      <c r="B182" s="1"/>
      <c r="C182" s="1">
        <f ca="1">IFERROR(__xludf.DUMMYFUNCTION("""COMPUTED_VALUE"""),658201)</f>
        <v>658201</v>
      </c>
      <c r="D182" s="1" t="str">
        <f ca="1">IFERROR(__xludf.DUMMYFUNCTION("""COMPUTED_VALUE"""),"MNTWCJN")</f>
        <v>MNTWCJN</v>
      </c>
      <c r="E182" s="1" t="str">
        <f ca="1">IFERROR(__xludf.DUMMYFUNCTION("""COMPUTED_VALUE"""),"MANTONSDG")</f>
        <v>MANTONSDG</v>
      </c>
      <c r="F182" s="1">
        <f ca="1">IFERROR(__xludf.DUMMYFUNCTION("""COMPUTED_VALUE"""),26214)</f>
        <v>26214</v>
      </c>
    </row>
    <row r="183" spans="1:6" x14ac:dyDescent="0.3">
      <c r="A183" s="1" t="str">
        <f ca="1">IFERROR(__xludf.DUMMYFUNCTION("""COMPUTED_VALUE"""),"Manton Junction")</f>
        <v>Manton Junction</v>
      </c>
      <c r="B183" s="1" t="str">
        <f ca="1">IFERROR(__xludf.DUMMYFUNCTION("""COMPUTED_VALUE"""),"XMJ")</f>
        <v>XMJ</v>
      </c>
      <c r="C183" s="1">
        <f ca="1">IFERROR(__xludf.DUMMYFUNCTION("""COMPUTED_VALUE"""),190404)</f>
        <v>190404</v>
      </c>
      <c r="D183" s="1" t="str">
        <f ca="1">IFERROR(__xludf.DUMMYFUNCTION("""COMPUTED_VALUE"""),"MANTONJ")</f>
        <v>MANTONJ</v>
      </c>
      <c r="E183" s="1" t="str">
        <f ca="1">IFERROR(__xludf.DUMMYFUNCTION("""COMPUTED_VALUE"""),"MANTON JN")</f>
        <v>MANTON JN</v>
      </c>
      <c r="F183" s="1">
        <f ca="1">IFERROR(__xludf.DUMMYFUNCTION("""COMPUTED_VALUE"""),59139)</f>
        <v>59139</v>
      </c>
    </row>
    <row r="184" spans="1:6" x14ac:dyDescent="0.3">
      <c r="A184" s="1" t="str">
        <f ca="1">IFERROR(__xludf.DUMMYFUNCTION("""COMPUTED_VALUE"""),"Manton Junction Area Civil Engineer's Sidings")</f>
        <v>Manton Junction Area Civil Engineer's Sidings</v>
      </c>
      <c r="B184" s="1"/>
      <c r="C184" s="1">
        <f ca="1">IFERROR(__xludf.DUMMYFUNCTION("""COMPUTED_VALUE"""),190409)</f>
        <v>190409</v>
      </c>
      <c r="D184" s="1" t="str">
        <f ca="1">IFERROR(__xludf.DUMMYFUNCTION("""COMPUTED_VALUE"""),"MANTSDG")</f>
        <v>MANTSDG</v>
      </c>
      <c r="E184" s="1" t="str">
        <f ca="1">IFERROR(__xludf.DUMMYFUNCTION("""COMPUTED_VALUE"""),"MANTNJACE")</f>
        <v>MANTNJACE</v>
      </c>
      <c r="F184" s="1">
        <f ca="1">IFERROR(__xludf.DUMMYFUNCTION("""COMPUTED_VALUE"""),59142)</f>
        <v>59142</v>
      </c>
    </row>
    <row r="185" spans="1:6" x14ac:dyDescent="0.3">
      <c r="A185" s="1" t="str">
        <f ca="1">IFERROR(__xludf.DUMMYFUNCTION("""COMPUTED_VALUE"""),"Manton Junction Signal MJ6")</f>
        <v>Manton Junction Signal MJ6</v>
      </c>
      <c r="B185" s="1"/>
      <c r="C185" s="1">
        <f ca="1">IFERROR(__xludf.DUMMYFUNCTION("""COMPUTED_VALUE"""),190410)</f>
        <v>190410</v>
      </c>
      <c r="D185" s="1" t="str">
        <f ca="1">IFERROR(__xludf.DUMMYFUNCTION("""COMPUTED_VALUE"""),"MANTMJ6")</f>
        <v>MANTMJ6</v>
      </c>
      <c r="E185" s="1" t="str">
        <f ca="1">IFERROR(__xludf.DUMMYFUNCTION("""COMPUTED_VALUE"""),"MANTONMJ6")</f>
        <v>MANTONMJ6</v>
      </c>
      <c r="F185" s="1">
        <f ca="1">IFERROR(__xludf.DUMMYFUNCTION("""COMPUTED_VALUE"""),59143)</f>
        <v>59143</v>
      </c>
    </row>
    <row r="186" spans="1:6" x14ac:dyDescent="0.3">
      <c r="A186" s="1" t="str">
        <f ca="1">IFERROR(__xludf.DUMMYFUNCTION("""COMPUTED_VALUE"""),"Manton Junction Signal MJ7")</f>
        <v>Manton Junction Signal MJ7</v>
      </c>
      <c r="B186" s="1"/>
      <c r="C186" s="1">
        <f ca="1">IFERROR(__xludf.DUMMYFUNCTION("""COMPUTED_VALUE"""),190408)</f>
        <v>190408</v>
      </c>
      <c r="D186" s="1" t="str">
        <f ca="1">IFERROR(__xludf.DUMMYFUNCTION("""COMPUTED_VALUE"""),"MANTMJ7")</f>
        <v>MANTMJ7</v>
      </c>
      <c r="E186" s="1" t="str">
        <f ca="1">IFERROR(__xludf.DUMMYFUNCTION("""COMPUTED_VALUE"""),"MANTONJN7")</f>
        <v>MANTONJN7</v>
      </c>
      <c r="F186" s="1">
        <f ca="1">IFERROR(__xludf.DUMMYFUNCTION("""COMPUTED_VALUE"""),59140)</f>
        <v>59140</v>
      </c>
    </row>
    <row r="187" spans="1:6" x14ac:dyDescent="0.3">
      <c r="A187" s="1" t="str">
        <f ca="1">IFERROR(__xludf.DUMMYFUNCTION("""COMPUTED_VALUE"""),"Manton Luffenham")</f>
        <v>Manton Luffenham</v>
      </c>
      <c r="B187" s="1"/>
      <c r="C187" s="1">
        <f ca="1">IFERROR(__xludf.DUMMYFUNCTION("""COMPUTED_VALUE"""),190407)</f>
        <v>190407</v>
      </c>
      <c r="D187" s="1" t="str">
        <f ca="1">IFERROR(__xludf.DUMMYFUNCTION("""COMPUTED_VALUE"""),"MANTLFF")</f>
        <v>MANTLFF</v>
      </c>
      <c r="E187" s="1" t="str">
        <f ca="1">IFERROR(__xludf.DUMMYFUNCTION("""COMPUTED_VALUE"""),"LUFFENHAM")</f>
        <v>LUFFENHAM</v>
      </c>
      <c r="F187" s="1">
        <f ca="1">IFERROR(__xludf.DUMMYFUNCTION("""COMPUTED_VALUE"""),59141)</f>
        <v>59141</v>
      </c>
    </row>
    <row r="188" spans="1:6" x14ac:dyDescent="0.3">
      <c r="A188" s="1" t="str">
        <f ca="1">IFERROR(__xludf.DUMMYFUNCTION("""COMPUTED_VALUE"""),"Manton Wood RJB Mining")</f>
        <v>Manton Wood RJB Mining</v>
      </c>
      <c r="B188" s="1"/>
      <c r="C188" s="1"/>
      <c r="D188" s="1" t="str">
        <f ca="1">IFERROR(__xludf.DUMMYFUNCTION("""COMPUTED_VALUE"""),"MNTWRJB")</f>
        <v>MNTWRJB</v>
      </c>
      <c r="E188" s="1"/>
      <c r="F188" s="1"/>
    </row>
    <row r="189" spans="1:6" x14ac:dyDescent="0.3">
      <c r="A189" s="1" t="str">
        <f ca="1">IFERROR(__xludf.DUMMYFUNCTION("""COMPUTED_VALUE"""),"Manulla Junction")</f>
        <v>Manulla Junction</v>
      </c>
      <c r="B189" s="1" t="str">
        <f ca="1">IFERROR(__xludf.DUMMYFUNCTION("""COMPUTED_VALUE"""),"MAJ")</f>
        <v>MAJ</v>
      </c>
      <c r="C189" s="1">
        <f ca="1">IFERROR(__xludf.DUMMYFUNCTION("""COMPUTED_VALUE"""),162000)</f>
        <v>162000</v>
      </c>
      <c r="D189" s="1" t="str">
        <f ca="1">IFERROR(__xludf.DUMMYFUNCTION("""COMPUTED_VALUE"""),"CATZMAJ")</f>
        <v>CATZMAJ</v>
      </c>
      <c r="E189" s="1"/>
      <c r="F189" s="1"/>
    </row>
    <row r="190" spans="1:6" x14ac:dyDescent="0.3">
      <c r="A190" s="1" t="str">
        <f ca="1">IFERROR(__xludf.DUMMYFUNCTION("""COMPUTED_VALUE"""),"Manvers Main Colliery")</f>
        <v>Manvers Main Colliery</v>
      </c>
      <c r="B190" s="1"/>
      <c r="C190" s="1"/>
      <c r="D190" s="1" t="str">
        <f ca="1">IFERROR(__xludf.DUMMYFUNCTION("""COMPUTED_VALUE"""),"MNVRSMN")</f>
        <v>MNVRSMN</v>
      </c>
      <c r="E190" s="1"/>
      <c r="F190" s="1">
        <f ca="1">IFERROR(__xludf.DUMMYFUNCTION("""COMPUTED_VALUE"""),24103)</f>
        <v>24103</v>
      </c>
    </row>
    <row r="191" spans="1:6" x14ac:dyDescent="0.3">
      <c r="A191" s="1" t="str">
        <f ca="1">IFERROR(__xludf.DUMMYFUNCTION("""COMPUTED_VALUE"""),"March")</f>
        <v>March</v>
      </c>
      <c r="B191" s="1" t="str">
        <f ca="1">IFERROR(__xludf.DUMMYFUNCTION("""COMPUTED_VALUE"""),"MCH")</f>
        <v>MCH</v>
      </c>
      <c r="C191" s="1">
        <f ca="1">IFERROR(__xludf.DUMMYFUNCTION("""COMPUTED_VALUE"""),716600)</f>
        <v>716600</v>
      </c>
      <c r="D191" s="1" t="str">
        <f ca="1">IFERROR(__xludf.DUMMYFUNCTION("""COMPUTED_VALUE"""),"MRCH")</f>
        <v>MRCH</v>
      </c>
      <c r="E191" s="1" t="str">
        <f ca="1">IFERROR(__xludf.DUMMYFUNCTION("""COMPUTED_VALUE"""),"MARCH")</f>
        <v>MARCH</v>
      </c>
      <c r="F191" s="1">
        <f ca="1">IFERROR(__xludf.DUMMYFUNCTION("""COMPUTED_VALUE"""),46206)</f>
        <v>46206</v>
      </c>
    </row>
    <row r="192" spans="1:6" x14ac:dyDescent="0.3">
      <c r="A192" s="1" t="str">
        <f ca="1">IFERROR(__xludf.DUMMYFUNCTION("""COMPUTED_VALUE"""),"March Down Refuge Siding")</f>
        <v>March Down Refuge Siding</v>
      </c>
      <c r="B192" s="1"/>
      <c r="C192" s="1">
        <f ca="1">IFERROR(__xludf.DUMMYFUNCTION("""COMPUTED_VALUE"""),716622)</f>
        <v>716622</v>
      </c>
      <c r="D192" s="1" t="str">
        <f ca="1">IFERROR(__xludf.DUMMYFUNCTION("""COMPUTED_VALUE"""),"MARCHDS")</f>
        <v>MARCHDS</v>
      </c>
      <c r="E192" s="1" t="str">
        <f ca="1">IFERROR(__xludf.DUMMYFUNCTION("""COMPUTED_VALUE"""),"MARCH DYD")</f>
        <v>MARCH DYD</v>
      </c>
      <c r="F192" s="1">
        <f ca="1">IFERROR(__xludf.DUMMYFUNCTION("""COMPUTED_VALUE"""),46212)</f>
        <v>46212</v>
      </c>
    </row>
    <row r="193" spans="1:6" x14ac:dyDescent="0.3">
      <c r="A193" s="1" t="str">
        <f ca="1">IFERROR(__xludf.DUMMYFUNCTION("""COMPUTED_VALUE"""),"March Down Refuge Siding GB Railfreight")</f>
        <v>March Down Refuge Siding GB Railfreight</v>
      </c>
      <c r="B193" s="1"/>
      <c r="C193" s="1">
        <f ca="1">IFERROR(__xludf.DUMMYFUNCTION("""COMPUTED_VALUE"""),716623)</f>
        <v>716623</v>
      </c>
      <c r="D193" s="1" t="str">
        <f ca="1">IFERROR(__xludf.DUMMYFUNCTION("""COMPUTED_VALUE"""),"MRCHDRG")</f>
        <v>MRCHDRG</v>
      </c>
      <c r="E193" s="1" t="str">
        <f ca="1">IFERROR(__xludf.DUMMYFUNCTION("""COMPUTED_VALUE"""),"MARCHDNYD")</f>
        <v>MARCHDNYD</v>
      </c>
      <c r="F193" s="1">
        <f ca="1">IFERROR(__xludf.DUMMYFUNCTION("""COMPUTED_VALUE"""),46204)</f>
        <v>46204</v>
      </c>
    </row>
    <row r="194" spans="1:6" x14ac:dyDescent="0.3">
      <c r="A194" s="1" t="str">
        <f ca="1">IFERROR(__xludf.DUMMYFUNCTION("""COMPUTED_VALUE"""),"March East Junction")</f>
        <v>March East Junction</v>
      </c>
      <c r="B194" s="1"/>
      <c r="C194" s="1">
        <f ca="1">IFERROR(__xludf.DUMMYFUNCTION("""COMPUTED_VALUE"""),716635)</f>
        <v>716635</v>
      </c>
      <c r="D194" s="1" t="str">
        <f ca="1">IFERROR(__xludf.DUMMYFUNCTION("""COMPUTED_VALUE"""),"MRCHEJN")</f>
        <v>MRCHEJN</v>
      </c>
      <c r="E194" s="1" t="str">
        <f ca="1">IFERROR(__xludf.DUMMYFUNCTION("""COMPUTED_VALUE"""),"MARCH EJN")</f>
        <v>MARCH EJN</v>
      </c>
      <c r="F194" s="1">
        <f ca="1">IFERROR(__xludf.DUMMYFUNCTION("""COMPUTED_VALUE"""),46211)</f>
        <v>46211</v>
      </c>
    </row>
    <row r="195" spans="1:6" x14ac:dyDescent="0.3">
      <c r="A195" s="1" t="str">
        <f ca="1">IFERROR(__xludf.DUMMYFUNCTION("""COMPUTED_VALUE"""),"March South")</f>
        <v>March South</v>
      </c>
      <c r="B195" s="1"/>
      <c r="C195" s="1">
        <f ca="1">IFERROR(__xludf.DUMMYFUNCTION("""COMPUTED_VALUE"""),716601)</f>
        <v>716601</v>
      </c>
      <c r="D195" s="1" t="str">
        <f ca="1">IFERROR(__xludf.DUMMYFUNCTION("""COMPUTED_VALUE"""),"MRCHSTH")</f>
        <v>MRCHSTH</v>
      </c>
      <c r="E195" s="1"/>
      <c r="F195" s="1">
        <f ca="1">IFERROR(__xludf.DUMMYFUNCTION("""COMPUTED_VALUE"""),46216)</f>
        <v>46216</v>
      </c>
    </row>
    <row r="196" spans="1:6" x14ac:dyDescent="0.3">
      <c r="A196" s="1" t="str">
        <f ca="1">IFERROR(__xludf.DUMMYFUNCTION("""COMPUTED_VALUE"""),"March South Signal MS933")</f>
        <v>March South Signal MS933</v>
      </c>
      <c r="B196" s="1"/>
      <c r="C196" s="1">
        <f ca="1">IFERROR(__xludf.DUMMYFUNCTION("""COMPUTED_VALUE"""),716605)</f>
        <v>716605</v>
      </c>
      <c r="D196" s="1" t="str">
        <f ca="1">IFERROR(__xludf.DUMMYFUNCTION("""COMPUTED_VALUE"""),"MRCH933")</f>
        <v>MRCH933</v>
      </c>
      <c r="E196" s="1"/>
      <c r="F196" s="1">
        <f ca="1">IFERROR(__xludf.DUMMYFUNCTION("""COMPUTED_VALUE"""),46199)</f>
        <v>46199</v>
      </c>
    </row>
    <row r="197" spans="1:6" x14ac:dyDescent="0.3">
      <c r="A197" s="1" t="str">
        <f ca="1">IFERROR(__xludf.DUMMYFUNCTION("""COMPUTED_VALUE"""),"March South Signal MS934")</f>
        <v>March South Signal MS934</v>
      </c>
      <c r="B197" s="1"/>
      <c r="C197" s="1">
        <f ca="1">IFERROR(__xludf.DUMMYFUNCTION("""COMPUTED_VALUE"""),716606)</f>
        <v>716606</v>
      </c>
      <c r="D197" s="1" t="str">
        <f ca="1">IFERROR(__xludf.DUMMYFUNCTION("""COMPUTED_VALUE"""),"MRCH934")</f>
        <v>MRCH934</v>
      </c>
      <c r="E197" s="1"/>
      <c r="F197" s="1">
        <f ca="1">IFERROR(__xludf.DUMMYFUNCTION("""COMPUTED_VALUE"""),46197)</f>
        <v>46197</v>
      </c>
    </row>
    <row r="198" spans="1:6" x14ac:dyDescent="0.3">
      <c r="A198" s="1" t="str">
        <f ca="1">IFERROR(__xludf.DUMMYFUNCTION("""COMPUTED_VALUE"""),"March Traction Maintenance Depot")</f>
        <v>March Traction Maintenance Depot</v>
      </c>
      <c r="B198" s="1"/>
      <c r="C198" s="1" t="str">
        <f ca="1">IFERROR(__xludf.DUMMYFUNCTION("""COMPUTED_VALUE"""),"716662 126260 716621")</f>
        <v>716662 126260 716621</v>
      </c>
      <c r="D198" s="1" t="str">
        <f ca="1">IFERROR(__xludf.DUMMYFUNCTION("""COMPUTED_VALUE"""),"MARCHTD")</f>
        <v>MARCHTD</v>
      </c>
      <c r="E198" s="1" t="str">
        <f ca="1">IFERROR(__xludf.DUMMYFUNCTION("""COMPUTED_VALUE"""),"WHTEMR RP")</f>
        <v>WHTEMR RP</v>
      </c>
      <c r="F198" s="1">
        <f ca="1">IFERROR(__xludf.DUMMYFUNCTION("""COMPUTED_VALUE"""),46203)</f>
        <v>46203</v>
      </c>
    </row>
    <row r="199" spans="1:6" x14ac:dyDescent="0.3">
      <c r="A199" s="1" t="str">
        <f ca="1">IFERROR(__xludf.DUMMYFUNCTION("""COMPUTED_VALUE"""),"March Up Refuge Siding")</f>
        <v>March Up Refuge Siding</v>
      </c>
      <c r="B199" s="1"/>
      <c r="C199" s="1">
        <f ca="1">IFERROR(__xludf.DUMMYFUNCTION("""COMPUTED_VALUE"""),716633)</f>
        <v>716633</v>
      </c>
      <c r="D199" s="1" t="str">
        <f ca="1">IFERROR(__xludf.DUMMYFUNCTION("""COMPUTED_VALUE"""),"MARCHUS")</f>
        <v>MARCHUS</v>
      </c>
      <c r="E199" s="1" t="str">
        <f ca="1">IFERROR(__xludf.DUMMYFUNCTION("""COMPUTED_VALUE"""),"MARCH UYD")</f>
        <v>MARCH UYD</v>
      </c>
      <c r="F199" s="1">
        <f ca="1">IFERROR(__xludf.DUMMYFUNCTION("""COMPUTED_VALUE"""),46209)</f>
        <v>46209</v>
      </c>
    </row>
    <row r="200" spans="1:6" x14ac:dyDescent="0.3">
      <c r="A200" s="1" t="str">
        <f ca="1">IFERROR(__xludf.DUMMYFUNCTION("""COMPUTED_VALUE"""),"March Up Yard Civil Engineer's Sidings")</f>
        <v>March Up Yard Civil Engineer's Sidings</v>
      </c>
      <c r="B200" s="1"/>
      <c r="C200" s="1">
        <f ca="1">IFERROR(__xludf.DUMMYFUNCTION("""COMPUTED_VALUE"""),716660)</f>
        <v>716660</v>
      </c>
      <c r="D200" s="1" t="str">
        <f ca="1">IFERROR(__xludf.DUMMYFUNCTION("""COMPUTED_VALUE"""),"MARCUCE")</f>
        <v>MARCUCE</v>
      </c>
      <c r="E200" s="1" t="str">
        <f ca="1">IFERROR(__xludf.DUMMYFUNCTION("""COMPUTED_VALUE"""),"MARCH CE")</f>
        <v>MARCH CE</v>
      </c>
      <c r="F200" s="1">
        <f ca="1">IFERROR(__xludf.DUMMYFUNCTION("""COMPUTED_VALUE"""),46208)</f>
        <v>46208</v>
      </c>
    </row>
    <row r="201" spans="1:6" x14ac:dyDescent="0.3">
      <c r="A201" s="1" t="str">
        <f ca="1">IFERROR(__xludf.DUMMYFUNCTION("""COMPUTED_VALUE"""),"March Up Yard GB Railfreight")</f>
        <v>March Up Yard GB Railfreight</v>
      </c>
      <c r="B201" s="1"/>
      <c r="C201" s="1">
        <f ca="1">IFERROR(__xludf.DUMMYFUNCTION("""COMPUTED_VALUE"""),716604)</f>
        <v>716604</v>
      </c>
      <c r="D201" s="1" t="str">
        <f ca="1">IFERROR(__xludf.DUMMYFUNCTION("""COMPUTED_VALUE"""),"MARCHUG")</f>
        <v>MARCHUG</v>
      </c>
      <c r="E201" s="1" t="str">
        <f ca="1">IFERROR(__xludf.DUMMYFUNCTION("""COMPUTED_VALUE"""),"MARCH GBF")</f>
        <v>MARCH GBF</v>
      </c>
      <c r="F201" s="1">
        <f ca="1">IFERROR(__xludf.DUMMYFUNCTION("""COMPUTED_VALUE"""),46213)</f>
        <v>46213</v>
      </c>
    </row>
    <row r="202" spans="1:6" x14ac:dyDescent="0.3">
      <c r="A202" s="1" t="str">
        <f ca="1">IFERROR(__xludf.DUMMYFUNCTION("""COMPUTED_VALUE"""),"March West Junction")</f>
        <v>March West Junction</v>
      </c>
      <c r="B202" s="1"/>
      <c r="C202" s="1">
        <f ca="1">IFERROR(__xludf.DUMMYFUNCTION("""COMPUTED_VALUE"""),716618)</f>
        <v>716618</v>
      </c>
      <c r="D202" s="1" t="str">
        <f ca="1">IFERROR(__xludf.DUMMYFUNCTION("""COMPUTED_VALUE"""),"MRCHWJN")</f>
        <v>MRCHWJN</v>
      </c>
      <c r="E202" s="1" t="str">
        <f ca="1">IFERROR(__xludf.DUMMYFUNCTION("""COMPUTED_VALUE"""),"MARCH WJN")</f>
        <v>MARCH WJN</v>
      </c>
      <c r="F202" s="1">
        <f ca="1">IFERROR(__xludf.DUMMYFUNCTION("""COMPUTED_VALUE"""),46205)</f>
        <v>46205</v>
      </c>
    </row>
    <row r="203" spans="1:6" x14ac:dyDescent="0.3">
      <c r="A203" s="1" t="str">
        <f ca="1">IFERROR(__xludf.DUMMYFUNCTION("""COMPUTED_VALUE"""),"Marchwood")</f>
        <v>Marchwood</v>
      </c>
      <c r="B203" s="1"/>
      <c r="C203" s="1" t="str">
        <f ca="1">IFERROR(__xludf.DUMMYFUNCTION("""COMPUTED_VALUE"""),"590713 270565 590700")</f>
        <v>590713 270565 590700</v>
      </c>
      <c r="D203" s="1" t="str">
        <f ca="1">IFERROR(__xludf.DUMMYFUNCTION("""COMPUTED_VALUE"""),"MCHWOOD")</f>
        <v>MCHWOOD</v>
      </c>
      <c r="E203" s="1" t="str">
        <f ca="1">IFERROR(__xludf.DUMMYFUNCTION("""COMPUTED_VALUE"""),"MARCHWOOD")</f>
        <v>MARCHWOOD</v>
      </c>
      <c r="F203" s="1">
        <f ca="1">IFERROR(__xludf.DUMMYFUNCTION("""COMPUTED_VALUE"""),86722)</f>
        <v>86722</v>
      </c>
    </row>
    <row r="204" spans="1:6" x14ac:dyDescent="0.3">
      <c r="A204" s="1" t="str">
        <f ca="1">IFERROR(__xludf.DUMMYFUNCTION("""COMPUTED_VALUE"""),"Marchwood Freightliner Terminal")</f>
        <v>Marchwood Freightliner Terminal</v>
      </c>
      <c r="B204" s="1"/>
      <c r="C204" s="1">
        <f ca="1">IFERROR(__xludf.DUMMYFUNCTION("""COMPUTED_VALUE"""),590711)</f>
        <v>590711</v>
      </c>
      <c r="D204" s="1" t="str">
        <f ca="1">IFERROR(__xludf.DUMMYFUNCTION("""COMPUTED_VALUE"""),"MCHWFLT")</f>
        <v>MCHWFLT</v>
      </c>
      <c r="E204" s="1" t="str">
        <f ca="1">IFERROR(__xludf.DUMMYFUNCTION("""COMPUTED_VALUE"""),"MARCHWDFL")</f>
        <v>MARCHWDFL</v>
      </c>
      <c r="F204" s="1">
        <f ca="1">IFERROR(__xludf.DUMMYFUNCTION("""COMPUTED_VALUE"""),86723)</f>
        <v>86723</v>
      </c>
    </row>
    <row r="205" spans="1:6" x14ac:dyDescent="0.3">
      <c r="A205" s="1" t="str">
        <f ca="1">IFERROR(__xludf.DUMMYFUNCTION("""COMPUTED_VALUE"""),"Marchwood MOD")</f>
        <v>Marchwood MOD</v>
      </c>
      <c r="B205" s="1"/>
      <c r="C205" s="1">
        <f ca="1">IFERROR(__xludf.DUMMYFUNCTION("""COMPUTED_VALUE"""),590712)</f>
        <v>590712</v>
      </c>
      <c r="D205" s="1" t="str">
        <f ca="1">IFERROR(__xludf.DUMMYFUNCTION("""COMPUTED_VALUE"""),"MCHWMOD")</f>
        <v>MCHWMOD</v>
      </c>
      <c r="E205" s="1" t="str">
        <f ca="1">IFERROR(__xludf.DUMMYFUNCTION("""COMPUTED_VALUE"""),"MARCHWD")</f>
        <v>MARCHWD</v>
      </c>
      <c r="F205" s="1">
        <f ca="1">IFERROR(__xludf.DUMMYFUNCTION("""COMPUTED_VALUE"""),86721)</f>
        <v>86721</v>
      </c>
    </row>
    <row r="206" spans="1:6" x14ac:dyDescent="0.3">
      <c r="A206" s="1" t="str">
        <f ca="1">IFERROR(__xludf.DUMMYFUNCTION("""COMPUTED_VALUE"""),"Marchwood MOD GB Railfreight")</f>
        <v>Marchwood MOD GB Railfreight</v>
      </c>
      <c r="B206" s="1"/>
      <c r="C206" s="1">
        <f ca="1">IFERROR(__xludf.DUMMYFUNCTION("""COMPUTED_VALUE"""),590701)</f>
        <v>590701</v>
      </c>
      <c r="D206" s="1" t="str">
        <f ca="1">IFERROR(__xludf.DUMMYFUNCTION("""COMPUTED_VALUE"""),"MCHWGBF")</f>
        <v>MCHWGBF</v>
      </c>
      <c r="E206" s="1" t="str">
        <f ca="1">IFERROR(__xludf.DUMMYFUNCTION("""COMPUTED_VALUE"""),"MARCMODGB")</f>
        <v>MARCMODGB</v>
      </c>
      <c r="F206" s="1">
        <f ca="1">IFERROR(__xludf.DUMMYFUNCTION("""COMPUTED_VALUE"""),86725)</f>
        <v>86725</v>
      </c>
    </row>
    <row r="207" spans="1:6" x14ac:dyDescent="0.3">
      <c r="A207" s="1" t="str">
        <f ca="1">IFERROR(__xludf.DUMMYFUNCTION("""COMPUTED_VALUE"""),"Marchwood SMC RP")</f>
        <v>Marchwood SMC RP</v>
      </c>
      <c r="B207" s="1"/>
      <c r="C207" s="1">
        <f ca="1">IFERROR(__xludf.DUMMYFUNCTION("""COMPUTED_VALUE"""),590714)</f>
        <v>590714</v>
      </c>
      <c r="D207" s="1" t="str">
        <f ca="1">IFERROR(__xludf.DUMMYFUNCTION("""COMPUTED_VALUE"""),"MCHWSMC")</f>
        <v>MCHWSMC</v>
      </c>
      <c r="E207" s="1" t="str">
        <f ca="1">IFERROR(__xludf.DUMMYFUNCTION("""COMPUTED_VALUE"""),"SMCMRCHWR")</f>
        <v>SMCMRCHWR</v>
      </c>
      <c r="F207" s="1">
        <f ca="1">IFERROR(__xludf.DUMMYFUNCTION("""COMPUTED_VALUE"""),86724)</f>
        <v>86724</v>
      </c>
    </row>
    <row r="208" spans="1:6" x14ac:dyDescent="0.3">
      <c r="A208" s="1" t="str">
        <f ca="1">IFERROR(__xludf.DUMMYFUNCTION("""COMPUTED_VALUE"""),"Marden (Kent)")</f>
        <v>Marden (Kent)</v>
      </c>
      <c r="B208" s="1" t="str">
        <f ca="1">IFERROR(__xludf.DUMMYFUNCTION("""COMPUTED_VALUE"""),"MRN")</f>
        <v>MRN</v>
      </c>
      <c r="C208" s="1">
        <f ca="1">IFERROR(__xludf.DUMMYFUNCTION("""COMPUTED_VALUE"""),522300)</f>
        <v>522300</v>
      </c>
      <c r="D208" s="1" t="str">
        <f ca="1">IFERROR(__xludf.DUMMYFUNCTION("""COMPUTED_VALUE"""),"MARDEN")</f>
        <v>MARDEN</v>
      </c>
      <c r="E208" s="1" t="str">
        <f ca="1">IFERROR(__xludf.DUMMYFUNCTION("""COMPUTED_VALUE"""),"MARDEN")</f>
        <v>MARDEN</v>
      </c>
      <c r="F208" s="1">
        <f ca="1">IFERROR(__xludf.DUMMYFUNCTION("""COMPUTED_VALUE"""),89328)</f>
        <v>89328</v>
      </c>
    </row>
    <row r="209" spans="1:6" x14ac:dyDescent="0.3">
      <c r="A209" s="1" t="str">
        <f ca="1">IFERROR(__xludf.DUMMYFUNCTION("""COMPUTED_VALUE"""),"Margam Abbey South Sidings")</f>
        <v>Margam Abbey South Sidings</v>
      </c>
      <c r="B209" s="1"/>
      <c r="C209" s="1">
        <f ca="1">IFERROR(__xludf.DUMMYFUNCTION("""COMPUTED_VALUE"""),418011)</f>
        <v>418011</v>
      </c>
      <c r="D209" s="1" t="str">
        <f ca="1">IFERROR(__xludf.DUMMYFUNCTION("""COMPUTED_VALUE"""),"MRGMASS")</f>
        <v>MRGMASS</v>
      </c>
      <c r="E209" s="1"/>
      <c r="F209" s="1" t="str">
        <f ca="1">IFERROR(__xludf.DUMMYFUNCTION("""COMPUTED_VALUE"""),"-")</f>
        <v>-</v>
      </c>
    </row>
    <row r="210" spans="1:6" x14ac:dyDescent="0.3">
      <c r="A210" s="1" t="str">
        <f ca="1">IFERROR(__xludf.DUMMYFUNCTION("""COMPUTED_VALUE"""),"Margam Abbey West Junction")</f>
        <v>Margam Abbey West Junction</v>
      </c>
      <c r="B210" s="1"/>
      <c r="C210" s="1">
        <f ca="1">IFERROR(__xludf.DUMMYFUNCTION("""COMPUTED_VALUE"""),418002)</f>
        <v>418002</v>
      </c>
      <c r="D210" s="1" t="str">
        <f ca="1">IFERROR(__xludf.DUMMYFUNCTION("""COMPUTED_VALUE"""),"MRGMAWJ")</f>
        <v>MRGMAWJ</v>
      </c>
      <c r="E210" s="1" t="str">
        <f ca="1">IFERROR(__xludf.DUMMYFUNCTION("""COMPUTED_VALUE"""),"MARGAMAWJ")</f>
        <v>MARGAMAWJ</v>
      </c>
      <c r="F210" s="1">
        <f ca="1">IFERROR(__xludf.DUMMYFUNCTION("""COMPUTED_VALUE"""),79776)</f>
        <v>79776</v>
      </c>
    </row>
    <row r="211" spans="1:6" x14ac:dyDescent="0.3">
      <c r="A211" s="1" t="str">
        <f ca="1">IFERROR(__xludf.DUMMYFUNCTION("""COMPUTED_VALUE"""),"Margam Abbey Works East")</f>
        <v>Margam Abbey Works East</v>
      </c>
      <c r="B211" s="1"/>
      <c r="C211" s="1">
        <f ca="1">IFERROR(__xludf.DUMMYFUNCTION("""COMPUTED_VALUE"""),418057)</f>
        <v>418057</v>
      </c>
      <c r="D211" s="1" t="str">
        <f ca="1">IFERROR(__xludf.DUMMYFUNCTION("""COMPUTED_VALUE"""),"MRGMAWE")</f>
        <v>MRGMAWE</v>
      </c>
      <c r="E211" s="1" t="str">
        <f ca="1">IFERROR(__xludf.DUMMYFUNCTION("""COMPUTED_VALUE"""),"MARGMAWEJ")</f>
        <v>MARGMAWEJ</v>
      </c>
      <c r="F211" s="1">
        <f ca="1">IFERROR(__xludf.DUMMYFUNCTION("""COMPUTED_VALUE"""),79781)</f>
        <v>79781</v>
      </c>
    </row>
    <row r="212" spans="1:6" x14ac:dyDescent="0.3">
      <c r="A212" s="1" t="str">
        <f ca="1">IFERROR(__xludf.DUMMYFUNCTION("""COMPUTED_VALUE"""),"Margam Aberaiden South")</f>
        <v>Margam Aberaiden South</v>
      </c>
      <c r="B212" s="1"/>
      <c r="C212" s="1">
        <f ca="1">IFERROR(__xludf.DUMMYFUNCTION("""COMPUTED_VALUE"""),419925)</f>
        <v>419925</v>
      </c>
      <c r="D212" s="1" t="str">
        <f ca="1">IFERROR(__xludf.DUMMYFUNCTION("""COMPUTED_VALUE"""),"MLPTABS")</f>
        <v>MLPTABS</v>
      </c>
      <c r="E212" s="1" t="str">
        <f ca="1">IFERROR(__xludf.DUMMYFUNCTION("""COMPUTED_VALUE"""),"ABERBADEN")</f>
        <v>ABERBADEN</v>
      </c>
      <c r="F212" s="1">
        <f ca="1">IFERROR(__xludf.DUMMYFUNCTION("""COMPUTED_VALUE"""),79760)</f>
        <v>79760</v>
      </c>
    </row>
    <row r="213" spans="1:6" x14ac:dyDescent="0.3">
      <c r="A213" s="1" t="str">
        <f ca="1">IFERROR(__xludf.DUMMYFUNCTION("""COMPUTED_VALUE"""),"Margam Civil Engineer's Sidings")</f>
        <v>Margam Civil Engineer's Sidings</v>
      </c>
      <c r="B213" s="1"/>
      <c r="C213" s="1">
        <f ca="1">IFERROR(__xludf.DUMMYFUNCTION("""COMPUTED_VALUE"""),418062)</f>
        <v>418062</v>
      </c>
      <c r="D213" s="1" t="str">
        <f ca="1">IFERROR(__xludf.DUMMYFUNCTION("""COMPUTED_VALUE"""),"MRGMCE MRGMACE")</f>
        <v>MRGMCE MRGMACE</v>
      </c>
      <c r="E213" s="1" t="str">
        <f ca="1">IFERROR(__xludf.DUMMYFUNCTION("""COMPUTED_VALUE"""),"MARGAMENG")</f>
        <v>MARGAMENG</v>
      </c>
      <c r="F213" s="1">
        <f ca="1">IFERROR(__xludf.DUMMYFUNCTION("""COMPUTED_VALUE"""),79782)</f>
        <v>79782</v>
      </c>
    </row>
    <row r="214" spans="1:6" x14ac:dyDescent="0.3">
      <c r="A214" s="1" t="str">
        <f ca="1">IFERROR(__xludf.DUMMYFUNCTION("""COMPUTED_VALUE"""),"Margam East")</f>
        <v>Margam East</v>
      </c>
      <c r="B214" s="1"/>
      <c r="C214" s="1">
        <f ca="1">IFERROR(__xludf.DUMMYFUNCTION("""COMPUTED_VALUE"""),418359)</f>
        <v>418359</v>
      </c>
      <c r="D214" s="1" t="str">
        <f ca="1">IFERROR(__xludf.DUMMYFUNCTION("""COMPUTED_VALUE"""),"MRGME")</f>
        <v>MRGME</v>
      </c>
      <c r="E214" s="1" t="str">
        <f ca="1">IFERROR(__xludf.DUMMYFUNCTION("""COMPUTED_VALUE"""),"MARGMEAST")</f>
        <v>MARGMEAST</v>
      </c>
      <c r="F214" s="1">
        <f ca="1">IFERROR(__xludf.DUMMYFUNCTION("""COMPUTED_VALUE"""),79767)</f>
        <v>79767</v>
      </c>
    </row>
    <row r="215" spans="1:6" x14ac:dyDescent="0.3">
      <c r="A215" s="1" t="str">
        <f ca="1">IFERROR(__xludf.DUMMYFUNCTION("""COMPUTED_VALUE"""),"Margam East Junction")</f>
        <v>Margam East Junction</v>
      </c>
      <c r="B215" s="1"/>
      <c r="C215" s="1">
        <f ca="1">IFERROR(__xludf.DUMMYFUNCTION("""COMPUTED_VALUE"""),418003)</f>
        <v>418003</v>
      </c>
      <c r="D215" s="1" t="str">
        <f ca="1">IFERROR(__xludf.DUMMYFUNCTION("""COMPUTED_VALUE"""),"MRGMEJ")</f>
        <v>MRGMEJ</v>
      </c>
      <c r="E215" s="1" t="str">
        <f ca="1">IFERROR(__xludf.DUMMYFUNCTION("""COMPUTED_VALUE"""),"MARGAM EJ")</f>
        <v>MARGAM EJ</v>
      </c>
      <c r="F215" s="1">
        <f ca="1">IFERROR(__xludf.DUMMYFUNCTION("""COMPUTED_VALUE"""),79768)</f>
        <v>79768</v>
      </c>
    </row>
    <row r="216" spans="1:6" x14ac:dyDescent="0.3">
      <c r="A216" s="1" t="str">
        <f ca="1">IFERROR(__xludf.DUMMYFUNCTION("""COMPUTED_VALUE"""),"Margam High Output Train Depot")</f>
        <v>Margam High Output Train Depot</v>
      </c>
      <c r="B216" s="1"/>
      <c r="C216" s="1">
        <f ca="1">IFERROR(__xludf.DUMMYFUNCTION("""COMPUTED_VALUE"""),418020)</f>
        <v>418020</v>
      </c>
      <c r="D216" s="1" t="str">
        <f ca="1">IFERROR(__xludf.DUMMYFUNCTION("""COMPUTED_VALUE"""),"MRGMHOD")</f>
        <v>MRGMHOD</v>
      </c>
      <c r="E216" s="1" t="str">
        <f ca="1">IFERROR(__xludf.DUMMYFUNCTION("""COMPUTED_VALUE"""),"MRGMMID")</f>
        <v>MRGMMID</v>
      </c>
      <c r="F216" s="1">
        <f ca="1">IFERROR(__xludf.DUMMYFUNCTION("""COMPUTED_VALUE"""),79773)</f>
        <v>79773</v>
      </c>
    </row>
    <row r="217" spans="1:6" x14ac:dyDescent="0.3">
      <c r="A217" s="1" t="str">
        <f ca="1">IFERROR(__xludf.DUMMYFUNCTION("""COMPUTED_VALUE"""),"Margam Hot Road Repair Point")</f>
        <v>Margam Hot Road Repair Point</v>
      </c>
      <c r="B217" s="1"/>
      <c r="C217" s="1">
        <f ca="1">IFERROR(__xludf.DUMMYFUNCTION("""COMPUTED_VALUE"""),418021)</f>
        <v>418021</v>
      </c>
      <c r="D217" s="1" t="str">
        <f ca="1">IFERROR(__xludf.DUMMYFUNCTION("""COMPUTED_VALUE"""),"MRGMHOR")</f>
        <v>MRGMHOR</v>
      </c>
      <c r="E217" s="1" t="str">
        <f ca="1">IFERROR(__xludf.DUMMYFUNCTION("""COMPUTED_VALUE"""),"MARGESRP")</f>
        <v>MARGESRP</v>
      </c>
      <c r="F217" s="1">
        <f ca="1">IFERROR(__xludf.DUMMYFUNCTION("""COMPUTED_VALUE"""),79774)</f>
        <v>79774</v>
      </c>
    </row>
    <row r="218" spans="1:6" x14ac:dyDescent="0.3">
      <c r="A218" s="1" t="str">
        <f ca="1">IFERROR(__xludf.DUMMYFUNCTION("""COMPUTED_VALUE"""),"Margam Knuckle Yard Colas")</f>
        <v>Margam Knuckle Yard Colas</v>
      </c>
      <c r="B218" s="1"/>
      <c r="C218" s="1">
        <f ca="1">IFERROR(__xludf.DUMMYFUNCTION("""COMPUTED_VALUE"""),418004)</f>
        <v>418004</v>
      </c>
      <c r="D218" s="1" t="str">
        <f ca="1">IFERROR(__xludf.DUMMYFUNCTION("""COMPUTED_VALUE"""),"MRGKYRG")</f>
        <v>MRGKYRG</v>
      </c>
      <c r="E218" s="1" t="str">
        <f ca="1">IFERROR(__xludf.DUMMYFUNCTION("""COMPUTED_VALUE"""),"MARGMKYCR")</f>
        <v>MARGMKYCR</v>
      </c>
      <c r="F218" s="1">
        <f ca="1">IFERROR(__xludf.DUMMYFUNCTION("""COMPUTED_VALUE"""),79764)</f>
        <v>79764</v>
      </c>
    </row>
    <row r="219" spans="1:6" x14ac:dyDescent="0.3">
      <c r="A219" s="1" t="str">
        <f ca="1">IFERROR(__xludf.DUMMYFUNCTION("""COMPUTED_VALUE"""),"Margam Loco Inspection Point")</f>
        <v>Margam Loco Inspection Point</v>
      </c>
      <c r="B219" s="1"/>
      <c r="C219" s="1">
        <f ca="1">IFERROR(__xludf.DUMMYFUNCTION("""COMPUTED_VALUE"""),418362)</f>
        <v>418362</v>
      </c>
      <c r="D219" s="1" t="str">
        <f ca="1">IFERROR(__xludf.DUMMYFUNCTION("""COMPUTED_VALUE"""),"MRGMTMD")</f>
        <v>MRGMTMD</v>
      </c>
      <c r="E219" s="1" t="str">
        <f ca="1">IFERROR(__xludf.DUMMYFUNCTION("""COMPUTED_VALUE"""),"MARGAMLIP")</f>
        <v>MARGAMLIP</v>
      </c>
      <c r="F219" s="1">
        <f ca="1">IFERROR(__xludf.DUMMYFUNCTION("""COMPUTED_VALUE"""),79771)</f>
        <v>79771</v>
      </c>
    </row>
    <row r="220" spans="1:6" x14ac:dyDescent="0.3">
      <c r="A220" s="1" t="str">
        <f ca="1">IFERROR(__xludf.DUMMYFUNCTION("""COMPUTED_VALUE"""),"Margam Middle Junction")</f>
        <v>Margam Middle Junction</v>
      </c>
      <c r="B220" s="1"/>
      <c r="C220" s="1">
        <f ca="1">IFERROR(__xludf.DUMMYFUNCTION("""COMPUTED_VALUE"""),418001)</f>
        <v>418001</v>
      </c>
      <c r="D220" s="1" t="str">
        <f ca="1">IFERROR(__xludf.DUMMYFUNCTION("""COMPUTED_VALUE"""),"MRGMMID")</f>
        <v>MRGMMID</v>
      </c>
      <c r="E220" s="1" t="str">
        <f ca="1">IFERROR(__xludf.DUMMYFUNCTION("""COMPUTED_VALUE"""),"MRGMMID")</f>
        <v>MRGMMID</v>
      </c>
      <c r="F220" s="1">
        <f ca="1">IFERROR(__xludf.DUMMYFUNCTION("""COMPUTED_VALUE"""),79773)</f>
        <v>79773</v>
      </c>
    </row>
    <row r="221" spans="1:6" x14ac:dyDescent="0.3">
      <c r="A221" s="1" t="str">
        <f ca="1">IFERROR(__xludf.DUMMYFUNCTION("""COMPUTED_VALUE"""),"Margam Moors")</f>
        <v>Margam Moors</v>
      </c>
      <c r="B221" s="1"/>
      <c r="C221" s="1">
        <f ca="1">IFERROR(__xludf.DUMMYFUNCTION("""COMPUTED_VALUE"""),418059)</f>
        <v>418059</v>
      </c>
      <c r="D221" s="1" t="str">
        <f ca="1">IFERROR(__xludf.DUMMYFUNCTION("""COMPUTED_VALUE"""),"MRGMM")</f>
        <v>MRGMM</v>
      </c>
      <c r="E221" s="1" t="str">
        <f ca="1">IFERROR(__xludf.DUMMYFUNCTION("""COMPUTED_VALUE"""),"MARGMMRYD")</f>
        <v>MARGMMRYD</v>
      </c>
      <c r="F221" s="1">
        <f ca="1">IFERROR(__xludf.DUMMYFUNCTION("""COMPUTED_VALUE"""),79770)</f>
        <v>79770</v>
      </c>
    </row>
    <row r="222" spans="1:6" x14ac:dyDescent="0.3">
      <c r="A222" s="1" t="str">
        <f ca="1">IFERROR(__xludf.DUMMYFUNCTION("""COMPUTED_VALUE"""),"Margam Moors Junction")</f>
        <v>Margam Moors Junction</v>
      </c>
      <c r="B222" s="1"/>
      <c r="C222" s="1">
        <f ca="1">IFERROR(__xludf.DUMMYFUNCTION("""COMPUTED_VALUE"""),418056)</f>
        <v>418056</v>
      </c>
      <c r="D222" s="1" t="str">
        <f ca="1">IFERROR(__xludf.DUMMYFUNCTION("""COMPUTED_VALUE"""),"MRGMMJN")</f>
        <v>MRGMMJN</v>
      </c>
      <c r="E222" s="1" t="str">
        <f ca="1">IFERROR(__xludf.DUMMYFUNCTION("""COMPUTED_VALUE"""),"MARGAMMJN")</f>
        <v>MARGAMMJN</v>
      </c>
      <c r="F222" s="1">
        <f ca="1">IFERROR(__xludf.DUMMYFUNCTION("""COMPUTED_VALUE"""),79783)</f>
        <v>79783</v>
      </c>
    </row>
    <row r="223" spans="1:6" x14ac:dyDescent="0.3">
      <c r="A223" s="1" t="str">
        <f ca="1">IFERROR(__xludf.DUMMYFUNCTION("""COMPUTED_VALUE"""),"Margam Parc Slip Celtic Energy")</f>
        <v>Margam Parc Slip Celtic Energy</v>
      </c>
      <c r="B223" s="1"/>
      <c r="C223" s="1">
        <f ca="1">IFERROR(__xludf.DUMMYFUNCTION("""COMPUTED_VALUE"""),419900)</f>
        <v>419900</v>
      </c>
      <c r="D223" s="1" t="str">
        <f ca="1">IFERROR(__xludf.DUMMYFUNCTION("""COMPUTED_VALUE"""),"MLPT")</f>
        <v>MLPT</v>
      </c>
      <c r="E223" s="1" t="str">
        <f ca="1">IFERROR(__xludf.DUMMYFUNCTION("""COMPUTED_VALUE"""),"PARCSLIP")</f>
        <v>PARCSLIP</v>
      </c>
      <c r="F223" s="1">
        <f ca="1">IFERROR(__xludf.DUMMYFUNCTION("""COMPUTED_VALUE"""),79761)</f>
        <v>79761</v>
      </c>
    </row>
    <row r="224" spans="1:6" x14ac:dyDescent="0.3">
      <c r="A224" s="1" t="str">
        <f ca="1">IFERROR(__xludf.DUMMYFUNCTION("""COMPUTED_VALUE"""),"Margam Parc Slip Washery")</f>
        <v>Margam Parc Slip Washery</v>
      </c>
      <c r="B224" s="1"/>
      <c r="C224" s="1">
        <f ca="1">IFERROR(__xludf.DUMMYFUNCTION("""COMPUTED_VALUE"""),419901)</f>
        <v>419901</v>
      </c>
      <c r="D224" s="1" t="str">
        <f ca="1">IFERROR(__xludf.DUMMYFUNCTION("""COMPUTED_VALUE"""),"MLPTW")</f>
        <v>MLPTW</v>
      </c>
      <c r="E224" s="1" t="str">
        <f ca="1">IFERROR(__xludf.DUMMYFUNCTION("""COMPUTED_VALUE"""),"PARCSLPAV")</f>
        <v>PARCSLPAV</v>
      </c>
      <c r="F224" s="1">
        <f ca="1">IFERROR(__xludf.DUMMYFUNCTION("""COMPUTED_VALUE"""),79762)</f>
        <v>79762</v>
      </c>
    </row>
    <row r="225" spans="1:6" x14ac:dyDescent="0.3">
      <c r="A225" s="1" t="str">
        <f ca="1">IFERROR(__xludf.DUMMYFUNCTION("""COMPUTED_VALUE"""),"Margam Signal PT127")</f>
        <v>Margam Signal PT127</v>
      </c>
      <c r="B225" s="1"/>
      <c r="C225" s="1">
        <f ca="1">IFERROR(__xludf.DUMMYFUNCTION("""COMPUTED_VALUE"""),418356)</f>
        <v>418356</v>
      </c>
      <c r="D225" s="1" t="str">
        <f ca="1">IFERROR(__xludf.DUMMYFUNCTION("""COMPUTED_VALUE"""),"MGMS127")</f>
        <v>MGMS127</v>
      </c>
      <c r="E225" s="1" t="str">
        <f ca="1">IFERROR(__xludf.DUMMYFUNCTION("""COMPUTED_VALUE"""),"MARGAM EJ")</f>
        <v>MARGAM EJ</v>
      </c>
      <c r="F225" s="1">
        <f ca="1">IFERROR(__xludf.DUMMYFUNCTION("""COMPUTED_VALUE"""),79768)</f>
        <v>79768</v>
      </c>
    </row>
    <row r="226" spans="1:6" x14ac:dyDescent="0.3">
      <c r="A226" s="1" t="str">
        <f ca="1">IFERROR(__xludf.DUMMYFUNCTION("""COMPUTED_VALUE"""),"Margam Signal PT333")</f>
        <v>Margam Signal PT333</v>
      </c>
      <c r="B226" s="1"/>
      <c r="C226" s="1" t="str">
        <f ca="1">IFERROR(__xludf.DUMMYFUNCTION("""COMPUTED_VALUE"""),"418055 418064")</f>
        <v>418055 418064</v>
      </c>
      <c r="D226" s="1" t="str">
        <f ca="1">IFERROR(__xludf.DUMMYFUNCTION("""COMPUTED_VALUE"""),"MRGMT33")</f>
        <v>MRGMT33</v>
      </c>
      <c r="E226" s="1" t="str">
        <f ca="1">IFERROR(__xludf.DUMMYFUNCTION("""COMPUTED_VALUE"""),"MRGMPT333")</f>
        <v>MRGMPT333</v>
      </c>
      <c r="F226" s="1">
        <f ca="1">IFERROR(__xludf.DUMMYFUNCTION("""COMPUTED_VALUE"""),79779)</f>
        <v>79779</v>
      </c>
    </row>
    <row r="227" spans="1:6" x14ac:dyDescent="0.3">
      <c r="A227" s="1" t="str">
        <f ca="1">IFERROR(__xludf.DUMMYFUNCTION("""COMPUTED_VALUE"""),"Margam Terminal Complex")</f>
        <v>Margam Terminal Complex</v>
      </c>
      <c r="B227" s="1"/>
      <c r="C227" s="1">
        <f ca="1">IFERROR(__xludf.DUMMYFUNCTION("""COMPUTED_VALUE"""),418000)</f>
        <v>418000</v>
      </c>
      <c r="D227" s="1" t="str">
        <f ca="1">IFERROR(__xludf.DUMMYFUNCTION("""COMPUTED_VALUE"""),"MRGMTC")</f>
        <v>MRGMTC</v>
      </c>
      <c r="E227" s="1" t="str">
        <f ca="1">IFERROR(__xludf.DUMMYFUNCTION("""COMPUTED_VALUE"""),"MARGAM TC")</f>
        <v>MARGAM TC</v>
      </c>
      <c r="F227" s="1">
        <f ca="1">IFERROR(__xludf.DUMMYFUNCTION("""COMPUTED_VALUE"""),79780)</f>
        <v>79780</v>
      </c>
    </row>
    <row r="228" spans="1:6" x14ac:dyDescent="0.3">
      <c r="A228" s="1" t="str">
        <f ca="1">IFERROR(__xludf.DUMMYFUNCTION("""COMPUTED_VALUE"""),"Margam Terminal Complex GB Railfreight")</f>
        <v>Margam Terminal Complex GB Railfreight</v>
      </c>
      <c r="B228" s="1"/>
      <c r="C228" s="1">
        <f ca="1">IFERROR(__xludf.DUMMYFUNCTION("""COMPUTED_VALUE"""),418006)</f>
        <v>418006</v>
      </c>
      <c r="D228" s="1" t="str">
        <f ca="1">IFERROR(__xludf.DUMMYFUNCTION("""COMPUTED_VALUE"""),"MRGMTCG")</f>
        <v>MRGMTCG</v>
      </c>
      <c r="E228" s="1" t="str">
        <f ca="1">IFERROR(__xludf.DUMMYFUNCTION("""COMPUTED_VALUE"""),"MRGMTCGBR")</f>
        <v>MRGMTCGBR</v>
      </c>
      <c r="F228" s="1">
        <f ca="1">IFERROR(__xludf.DUMMYFUNCTION("""COMPUTED_VALUE"""),79766)</f>
        <v>79766</v>
      </c>
    </row>
    <row r="229" spans="1:6" x14ac:dyDescent="0.3">
      <c r="A229" s="1" t="str">
        <f ca="1">IFERROR(__xludf.DUMMYFUNCTION("""COMPUTED_VALUE"""),"Margam Wagon Repair Depot")</f>
        <v>Margam Wagon Repair Depot</v>
      </c>
      <c r="B229" s="1"/>
      <c r="C229" s="1">
        <f ca="1">IFERROR(__xludf.DUMMYFUNCTION("""COMPUTED_VALUE"""),418380)</f>
        <v>418380</v>
      </c>
      <c r="D229" s="1" t="str">
        <f ca="1">IFERROR(__xludf.DUMMYFUNCTION("""COMPUTED_VALUE"""),"MRGMWRD")</f>
        <v>MRGMWRD</v>
      </c>
      <c r="E229" s="1" t="str">
        <f ca="1">IFERROR(__xludf.DUMMYFUNCTION("""COMPUTED_VALUE"""),"MARGAM")</f>
        <v>MARGAM</v>
      </c>
      <c r="F229" s="1">
        <f ca="1">IFERROR(__xludf.DUMMYFUNCTION("""COMPUTED_VALUE"""),79772)</f>
        <v>79772</v>
      </c>
    </row>
    <row r="230" spans="1:6" x14ac:dyDescent="0.3">
      <c r="A230" s="1" t="str">
        <f ca="1">IFERROR(__xludf.DUMMYFUNCTION("""COMPUTED_VALUE"""),"Margam Yard Junction")</f>
        <v>Margam Yard Junction</v>
      </c>
      <c r="B230" s="1"/>
      <c r="C230" s="1">
        <f ca="1">IFERROR(__xludf.DUMMYFUNCTION("""COMPUTED_VALUE"""),418063)</f>
        <v>418063</v>
      </c>
      <c r="D230" s="1" t="str">
        <f ca="1">IFERROR(__xludf.DUMMYFUNCTION("""COMPUTED_VALUE"""),"MRGMYJN")</f>
        <v>MRGMYJN</v>
      </c>
      <c r="E230" s="1" t="str">
        <f ca="1">IFERROR(__xludf.DUMMYFUNCTION("""COMPUTED_VALUE"""),"MARGMYD J")</f>
        <v>MARGMYD J</v>
      </c>
      <c r="F230" s="1">
        <f ca="1">IFERROR(__xludf.DUMMYFUNCTION("""COMPUTED_VALUE"""),79769)</f>
        <v>79769</v>
      </c>
    </row>
    <row r="231" spans="1:6" x14ac:dyDescent="0.3">
      <c r="A231" s="1" t="str">
        <f ca="1">IFERROR(__xludf.DUMMYFUNCTION("""COMPUTED_VALUE"""),"Margate")</f>
        <v>Margate</v>
      </c>
      <c r="B231" s="1" t="str">
        <f ca="1">IFERROR(__xludf.DUMMYFUNCTION("""COMPUTED_VALUE"""),"MAR")</f>
        <v>MAR</v>
      </c>
      <c r="C231" s="1">
        <f ca="1">IFERROR(__xludf.DUMMYFUNCTION("""COMPUTED_VALUE"""),501800)</f>
        <v>501800</v>
      </c>
      <c r="D231" s="1" t="str">
        <f ca="1">IFERROR(__xludf.DUMMYFUNCTION("""COMPUTED_VALUE"""),"MARGATE")</f>
        <v>MARGATE</v>
      </c>
      <c r="E231" s="1" t="str">
        <f ca="1">IFERROR(__xludf.DUMMYFUNCTION("""COMPUTED_VALUE"""),"MARGATE")</f>
        <v>MARGATE</v>
      </c>
      <c r="F231" s="1">
        <f ca="1">IFERROR(__xludf.DUMMYFUNCTION("""COMPUTED_VALUE"""),89475)</f>
        <v>89475</v>
      </c>
    </row>
    <row r="232" spans="1:6" x14ac:dyDescent="0.3">
      <c r="A232" s="1" t="str">
        <f ca="1">IFERROR(__xludf.DUMMYFUNCTION("""COMPUTED_VALUE"""),"Margate Carriage Holding Sidings")</f>
        <v>Margate Carriage Holding Sidings</v>
      </c>
      <c r="B232" s="1"/>
      <c r="C232" s="1">
        <f ca="1">IFERROR(__xludf.DUMMYFUNCTION("""COMPUTED_VALUE"""),501869)</f>
        <v>501869</v>
      </c>
      <c r="D232" s="1" t="str">
        <f ca="1">IFERROR(__xludf.DUMMYFUNCTION("""COMPUTED_VALUE"""),"MARGCHS")</f>
        <v>MARGCHS</v>
      </c>
      <c r="E232" s="1"/>
      <c r="F232" s="1" t="str">
        <f ca="1">IFERROR(__xludf.DUMMYFUNCTION("""COMPUTED_VALUE"""),"89475*")</f>
        <v>89475*</v>
      </c>
    </row>
    <row r="233" spans="1:6" x14ac:dyDescent="0.3">
      <c r="A233" s="1" t="str">
        <f ca="1">IFERROR(__xludf.DUMMYFUNCTION("""COMPUTED_VALUE"""),"Margate Signal EK5105")</f>
        <v>Margate Signal EK5105</v>
      </c>
      <c r="B233" s="1"/>
      <c r="C233" s="1">
        <f ca="1">IFERROR(__xludf.DUMMYFUNCTION("""COMPUTED_VALUE"""),501802)</f>
        <v>501802</v>
      </c>
      <c r="D233" s="2">
        <f ca="1">IFERROR(__xludf.DUMMYFUNCTION("""COMPUTED_VALUE"""),1170663)</f>
        <v>1170663</v>
      </c>
      <c r="E233" s="1" t="str">
        <f ca="1">IFERROR(__xludf.DUMMYFUNCTION("""COMPUTED_VALUE"""),"MARGT5105")</f>
        <v>MARGT5105</v>
      </c>
      <c r="F233" s="1">
        <f ca="1">IFERROR(__xludf.DUMMYFUNCTION("""COMPUTED_VALUE"""),89485)</f>
        <v>89485</v>
      </c>
    </row>
    <row r="234" spans="1:6" x14ac:dyDescent="0.3">
      <c r="A234" s="1" t="str">
        <f ca="1">IFERROR(__xludf.DUMMYFUNCTION("""COMPUTED_VALUE"""),"Margate Signal EK5124")</f>
        <v>Margate Signal EK5124</v>
      </c>
      <c r="B234" s="1"/>
      <c r="C234" s="1">
        <f ca="1">IFERROR(__xludf.DUMMYFUNCTION("""COMPUTED_VALUE"""),501803)</f>
        <v>501803</v>
      </c>
      <c r="D234" s="2">
        <f ca="1">IFERROR(__xludf.DUMMYFUNCTION("""COMPUTED_VALUE"""),1177603)</f>
        <v>1177603</v>
      </c>
      <c r="E234" s="1" t="str">
        <f ca="1">IFERROR(__xludf.DUMMYFUNCTION("""COMPUTED_VALUE"""),"MARGT5124")</f>
        <v>MARGT5124</v>
      </c>
      <c r="F234" s="1">
        <f ca="1">IFERROR(__xludf.DUMMYFUNCTION("""COMPUTED_VALUE"""),89487)</f>
        <v>89487</v>
      </c>
    </row>
    <row r="235" spans="1:6" x14ac:dyDescent="0.3">
      <c r="A235" s="1" t="str">
        <f ca="1">IFERROR(__xludf.DUMMYFUNCTION("""COMPUTED_VALUE"""),"Margate Signal GE20")</f>
        <v>Margate Signal GE20</v>
      </c>
      <c r="B235" s="1"/>
      <c r="C235" s="1">
        <f ca="1">IFERROR(__xludf.DUMMYFUNCTION("""COMPUTED_VALUE"""),501801)</f>
        <v>501801</v>
      </c>
      <c r="D235" s="1" t="str">
        <f ca="1">IFERROR(__xludf.DUMMYFUNCTION("""COMPUTED_VALUE"""),"MARG20")</f>
        <v>MARG20</v>
      </c>
      <c r="E235" s="1" t="str">
        <f ca="1">IFERROR(__xludf.DUMMYFUNCTION("""COMPUTED_VALUE"""),"MARGATE20")</f>
        <v>MARGATE20</v>
      </c>
      <c r="F235" s="1">
        <f ca="1">IFERROR(__xludf.DUMMYFUNCTION("""COMPUTED_VALUE"""),89484)</f>
        <v>89484</v>
      </c>
    </row>
    <row r="236" spans="1:6" x14ac:dyDescent="0.3">
      <c r="A236" s="1" t="str">
        <f ca="1">IFERROR(__xludf.DUMMYFUNCTION("""COMPUTED_VALUE"""),"Marholm Junction")</f>
        <v>Marholm Junction</v>
      </c>
      <c r="B236" s="1"/>
      <c r="C236" s="1">
        <f ca="1">IFERROR(__xludf.DUMMYFUNCTION("""COMPUTED_VALUE"""),613356)</f>
        <v>613356</v>
      </c>
      <c r="D236" s="1" t="str">
        <f ca="1">IFERROR(__xludf.DUMMYFUNCTION("""COMPUTED_VALUE"""),"MRHLMJN")</f>
        <v>MRHLMJN</v>
      </c>
      <c r="E236" s="1"/>
      <c r="F236" s="1">
        <f ca="1">IFERROR(__xludf.DUMMYFUNCTION("""COMPUTED_VALUE"""),45126)</f>
        <v>45126</v>
      </c>
    </row>
    <row r="237" spans="1:6" x14ac:dyDescent="0.3">
      <c r="A237" s="1" t="str">
        <f ca="1">IFERROR(__xludf.DUMMYFUNCTION("""COMPUTED_VALUE"""),"Marine Colliery")</f>
        <v>Marine Colliery</v>
      </c>
      <c r="B237" s="1"/>
      <c r="C237" s="1"/>
      <c r="D237" s="1" t="str">
        <f ca="1">IFERROR(__xludf.DUMMYFUNCTION("""COMPUTED_VALUE"""),"MARINCL")</f>
        <v>MARINCL</v>
      </c>
      <c r="E237" s="1"/>
      <c r="F237" s="1"/>
    </row>
    <row r="238" spans="1:6" x14ac:dyDescent="0.3">
      <c r="A238" s="1" t="str">
        <f ca="1">IFERROR(__xludf.DUMMYFUNCTION("""COMPUTED_VALUE"""),"Maritime East Junction")</f>
        <v>Maritime East Junction</v>
      </c>
      <c r="B238" s="1"/>
      <c r="C238" s="1">
        <f ca="1">IFERROR(__xludf.DUMMYFUNCTION("""COMPUTED_VALUE"""),591205)</f>
        <v>591205</v>
      </c>
      <c r="D238" s="1" t="str">
        <f ca="1">IFERROR(__xludf.DUMMYFUNCTION("""COMPUTED_VALUE"""),"MRTMEJN")</f>
        <v>MRTMEJN</v>
      </c>
      <c r="E238" s="1" t="str">
        <f ca="1">IFERROR(__xludf.DUMMYFUNCTION("""COMPUTED_VALUE"""),"MARITMEJN")</f>
        <v>MARITMEJN</v>
      </c>
      <c r="F238" s="1">
        <f ca="1">IFERROR(__xludf.DUMMYFUNCTION("""COMPUTED_VALUE"""),86706)</f>
        <v>86706</v>
      </c>
    </row>
    <row r="239" spans="1:6" x14ac:dyDescent="0.3">
      <c r="A239" s="1" t="str">
        <f ca="1">IFERROR(__xludf.DUMMYFUNCTION("""COMPUTED_VALUE"""),"Maritime West Junction")</f>
        <v>Maritime West Junction</v>
      </c>
      <c r="B239" s="1"/>
      <c r="C239" s="1">
        <f ca="1">IFERROR(__xludf.DUMMYFUNCTION("""COMPUTED_VALUE"""),591206)</f>
        <v>591206</v>
      </c>
      <c r="D239" s="1" t="str">
        <f ca="1">IFERROR(__xludf.DUMMYFUNCTION("""COMPUTED_VALUE"""),"MRTMWJN")</f>
        <v>MRTMWJN</v>
      </c>
      <c r="E239" s="1" t="str">
        <f ca="1">IFERROR(__xludf.DUMMYFUNCTION("""COMPUTED_VALUE"""),"MARITMWJN")</f>
        <v>MARITMWJN</v>
      </c>
      <c r="F239" s="1">
        <f ca="1">IFERROR(__xludf.DUMMYFUNCTION("""COMPUTED_VALUE"""),86707)</f>
        <v>86707</v>
      </c>
    </row>
    <row r="240" spans="1:6" x14ac:dyDescent="0.3">
      <c r="A240" s="1" t="str">
        <f ca="1">IFERROR(__xludf.DUMMYFUNCTION("""COMPUTED_VALUE"""),"Market Harborough")</f>
        <v>Market Harborough</v>
      </c>
      <c r="B240" s="1" t="str">
        <f ca="1">IFERROR(__xludf.DUMMYFUNCTION("""COMPUTED_VALUE"""),"MHR")</f>
        <v>MHR</v>
      </c>
      <c r="C240" s="1">
        <f ca="1">IFERROR(__xludf.DUMMYFUNCTION("""COMPUTED_VALUE"""),190900)</f>
        <v>190900</v>
      </c>
      <c r="D240" s="1" t="str">
        <f ca="1">IFERROR(__xludf.DUMMYFUNCTION("""COMPUTED_VALUE"""),"MRKTHRB")</f>
        <v>MRKTHRB</v>
      </c>
      <c r="E240" s="1" t="str">
        <f ca="1">IFERROR(__xludf.DUMMYFUNCTION("""COMPUTED_VALUE"""),"MARKETHBR")</f>
        <v>MARKETHBR</v>
      </c>
      <c r="F240" s="1">
        <f ca="1">IFERROR(__xludf.DUMMYFUNCTION("""COMPUTED_VALUE"""),59401)</f>
        <v>59401</v>
      </c>
    </row>
    <row r="241" spans="1:6" x14ac:dyDescent="0.3">
      <c r="A241" s="1" t="str">
        <f ca="1">IFERROR(__xludf.DUMMYFUNCTION("""COMPUTED_VALUE"""),"Market Harborough Braybrook")</f>
        <v>Market Harborough Braybrook</v>
      </c>
      <c r="B241" s="1"/>
      <c r="C241" s="1">
        <f ca="1">IFERROR(__xludf.DUMMYFUNCTION("""COMPUTED_VALUE"""),190903)</f>
        <v>190903</v>
      </c>
      <c r="D241" s="1" t="str">
        <f ca="1">IFERROR(__xludf.DUMMYFUNCTION("""COMPUTED_VALUE"""),"MRKTBRY")</f>
        <v>MRKTBRY</v>
      </c>
      <c r="E241" s="1" t="str">
        <f ca="1">IFERROR(__xludf.DUMMYFUNCTION("""COMPUTED_VALUE"""),"BRAYBROOK")</f>
        <v>BRAYBROOK</v>
      </c>
      <c r="F241" s="1">
        <f ca="1">IFERROR(__xludf.DUMMYFUNCTION("""COMPUTED_VALUE"""),59411)</f>
        <v>59411</v>
      </c>
    </row>
    <row r="242" spans="1:6" x14ac:dyDescent="0.3">
      <c r="A242" s="1" t="str">
        <f ca="1">IFERROR(__xludf.DUMMYFUNCTION("""COMPUTED_VALUE"""),"Market Harborough Chief Civil Engineer's Sidings")</f>
        <v>Market Harborough Chief Civil Engineer's Sidings</v>
      </c>
      <c r="B242" s="1"/>
      <c r="C242" s="1">
        <f ca="1">IFERROR(__xludf.DUMMYFUNCTION("""COMPUTED_VALUE"""),190904)</f>
        <v>190904</v>
      </c>
      <c r="D242" s="1" t="str">
        <f ca="1">IFERROR(__xludf.DUMMYFUNCTION("""COMPUTED_VALUE"""),"MRKSDG")</f>
        <v>MRKSDG</v>
      </c>
      <c r="E242" s="1" t="str">
        <f ca="1">IFERROR(__xludf.DUMMYFUNCTION("""COMPUTED_VALUE"""),"MKTHRBCCE")</f>
        <v>MKTHRBCCE</v>
      </c>
      <c r="F242" s="1">
        <f ca="1">IFERROR(__xludf.DUMMYFUNCTION("""COMPUTED_VALUE"""),59402)</f>
        <v>59402</v>
      </c>
    </row>
    <row r="243" spans="1:6" x14ac:dyDescent="0.3">
      <c r="A243" s="1" t="str">
        <f ca="1">IFERROR(__xludf.DUMMYFUNCTION("""COMPUTED_VALUE"""),"Market Harborough East Langton")</f>
        <v>Market Harborough East Langton</v>
      </c>
      <c r="B243" s="1"/>
      <c r="C243" s="1">
        <f ca="1">IFERROR(__xludf.DUMMYFUNCTION("""COMPUTED_VALUE"""),194805)</f>
        <v>194805</v>
      </c>
      <c r="D243" s="1" t="str">
        <f ca="1">IFERROR(__xludf.DUMMYFUNCTION("""COMPUTED_VALUE"""),"MRKTELN")</f>
        <v>MRKTELN</v>
      </c>
      <c r="E243" s="1" t="str">
        <f ca="1">IFERROR(__xludf.DUMMYFUNCTION("""COMPUTED_VALUE"""),"E LANGTON")</f>
        <v>E LANGTON</v>
      </c>
      <c r="F243" s="1">
        <f ca="1">IFERROR(__xludf.DUMMYFUNCTION("""COMPUTED_VALUE"""),59344)</f>
        <v>59344</v>
      </c>
    </row>
    <row r="244" spans="1:6" x14ac:dyDescent="0.3">
      <c r="A244" s="1" t="str">
        <f ca="1">IFERROR(__xludf.DUMMYFUNCTION("""COMPUTED_VALUE"""),"Market Harborough Great Glen")</f>
        <v>Market Harborough Great Glen</v>
      </c>
      <c r="B244" s="1"/>
      <c r="C244" s="1">
        <f ca="1">IFERROR(__xludf.DUMMYFUNCTION("""COMPUTED_VALUE"""),194804)</f>
        <v>194804</v>
      </c>
      <c r="D244" s="1" t="str">
        <f ca="1">IFERROR(__xludf.DUMMYFUNCTION("""COMPUTED_VALUE"""),"MRKTGG")</f>
        <v>MRKTGG</v>
      </c>
      <c r="E244" s="1" t="str">
        <f ca="1">IFERROR(__xludf.DUMMYFUNCTION("""COMPUTED_VALUE"""),"GT GLEN")</f>
        <v>GT GLEN</v>
      </c>
      <c r="F244" s="1">
        <f ca="1">IFERROR(__xludf.DUMMYFUNCTION("""COMPUTED_VALUE"""),59336)</f>
        <v>59336</v>
      </c>
    </row>
    <row r="245" spans="1:6" x14ac:dyDescent="0.3">
      <c r="A245" s="1" t="str">
        <f ca="1">IFERROR(__xludf.DUMMYFUNCTION("""COMPUTED_VALUE"""),"Market Harborough Junction")</f>
        <v>Market Harborough Junction</v>
      </c>
      <c r="B245" s="1"/>
      <c r="C245" s="1">
        <f ca="1">IFERROR(__xludf.DUMMYFUNCTION("""COMPUTED_VALUE"""),190905)</f>
        <v>190905</v>
      </c>
      <c r="D245" s="1" t="str">
        <f ca="1">IFERROR(__xludf.DUMMYFUNCTION("""COMPUTED_VALUE"""),"MRKTHRJ")</f>
        <v>MRKTHRJ</v>
      </c>
      <c r="E245" s="1" t="str">
        <f ca="1">IFERROR(__xludf.DUMMYFUNCTION("""COMPUTED_VALUE"""),"MKTHRB JN")</f>
        <v>MKTHRB JN</v>
      </c>
      <c r="F245" s="1">
        <f ca="1">IFERROR(__xludf.DUMMYFUNCTION("""COMPUTED_VALUE"""),59403)</f>
        <v>59403</v>
      </c>
    </row>
    <row r="246" spans="1:6" x14ac:dyDescent="0.3">
      <c r="A246" s="1" t="str">
        <f ca="1">IFERROR(__xludf.DUMMYFUNCTION("""COMPUTED_VALUE"""),"Market Rasen")</f>
        <v>Market Rasen</v>
      </c>
      <c r="B246" s="1" t="str">
        <f ca="1">IFERROR(__xludf.DUMMYFUNCTION("""COMPUTED_VALUE"""),"MKR")</f>
        <v>MKR</v>
      </c>
      <c r="C246" s="1">
        <f ca="1">IFERROR(__xludf.DUMMYFUNCTION("""COMPUTED_VALUE"""),631800)</f>
        <v>631800</v>
      </c>
      <c r="D246" s="1" t="str">
        <f ca="1">IFERROR(__xludf.DUMMYFUNCTION("""COMPUTED_VALUE"""),"MKTR")</f>
        <v>MKTR</v>
      </c>
      <c r="E246" s="1" t="str">
        <f ca="1">IFERROR(__xludf.DUMMYFUNCTION("""COMPUTED_VALUE"""),"MKT RASEN")</f>
        <v>MKT RASEN</v>
      </c>
      <c r="F246" s="1">
        <f ca="1">IFERROR(__xludf.DUMMYFUNCTION("""COMPUTED_VALUE"""),44043)</f>
        <v>44043</v>
      </c>
    </row>
    <row r="247" spans="1:6" x14ac:dyDescent="0.3">
      <c r="A247" s="1" t="str">
        <f ca="1">IFERROR(__xludf.DUMMYFUNCTION("""COMPUTED_VALUE"""),"Market Rasen Claxby &amp; Usselby")</f>
        <v>Market Rasen Claxby &amp; Usselby</v>
      </c>
      <c r="B247" s="1"/>
      <c r="C247" s="1">
        <f ca="1">IFERROR(__xludf.DUMMYFUNCTION("""COMPUTED_VALUE"""),631805)</f>
        <v>631805</v>
      </c>
      <c r="D247" s="1" t="str">
        <f ca="1">IFERROR(__xludf.DUMMYFUNCTION("""COMPUTED_VALUE"""),"MKTRCLU")</f>
        <v>MKTRCLU</v>
      </c>
      <c r="E247" s="1" t="str">
        <f ca="1">IFERROR(__xludf.DUMMYFUNCTION("""COMPUTED_VALUE"""),"CLAXBY&amp;US")</f>
        <v>CLAXBY&amp;US</v>
      </c>
      <c r="F247" s="1">
        <f ca="1">IFERROR(__xludf.DUMMYFUNCTION("""COMPUTED_VALUE"""),44042)</f>
        <v>44042</v>
      </c>
    </row>
    <row r="248" spans="1:6" x14ac:dyDescent="0.3">
      <c r="A248" s="1" t="str">
        <f ca="1">IFERROR(__xludf.DUMMYFUNCTION("""COMPUTED_VALUE"""),"Markham Exchange Sidings")</f>
        <v>Markham Exchange Sidings</v>
      </c>
      <c r="B248" s="1"/>
      <c r="C248" s="1"/>
      <c r="D248" s="1" t="str">
        <f ca="1">IFERROR(__xludf.DUMMYFUNCTION("""COMPUTED_VALUE"""),"MKHMEXS")</f>
        <v>MKHMEXS</v>
      </c>
      <c r="E248" s="1"/>
      <c r="F248" s="1"/>
    </row>
    <row r="249" spans="1:6" x14ac:dyDescent="0.3">
      <c r="A249" s="1" t="str">
        <f ca="1">IFERROR(__xludf.DUMMYFUNCTION("""COMPUTED_VALUE"""),"Markham Main Coal Inv")</f>
        <v>Markham Main Coal Inv</v>
      </c>
      <c r="B249" s="1"/>
      <c r="C249" s="1"/>
      <c r="D249" s="1" t="str">
        <f ca="1">IFERROR(__xludf.DUMMYFUNCTION("""COMPUTED_VALUE"""),"MKHMMBC")</f>
        <v>MKHMMBC</v>
      </c>
      <c r="E249" s="1"/>
      <c r="F249" s="1"/>
    </row>
    <row r="250" spans="1:6" x14ac:dyDescent="0.3">
      <c r="A250" s="1" t="str">
        <f ca="1">IFERROR(__xludf.DUMMYFUNCTION("""COMPUTED_VALUE"""),"Markinch")</f>
        <v>Markinch</v>
      </c>
      <c r="B250" s="1" t="str">
        <f ca="1">IFERROR(__xludf.DUMMYFUNCTION("""COMPUTED_VALUE"""),"MNC")</f>
        <v>MNC</v>
      </c>
      <c r="C250" s="1">
        <f ca="1">IFERROR(__xludf.DUMMYFUNCTION("""COMPUTED_VALUE"""),916000)</f>
        <v>916000</v>
      </c>
      <c r="D250" s="1" t="str">
        <f ca="1">IFERROR(__xludf.DUMMYFUNCTION("""COMPUTED_VALUE"""),"MKIN")</f>
        <v>MKIN</v>
      </c>
      <c r="E250" s="1" t="str">
        <f ca="1">IFERROR(__xludf.DUMMYFUNCTION("""COMPUTED_VALUE"""),"MARKINCH")</f>
        <v>MARKINCH</v>
      </c>
      <c r="F250" s="1">
        <f ca="1">IFERROR(__xludf.DUMMYFUNCTION("""COMPUTED_VALUE"""),3226)</f>
        <v>3226</v>
      </c>
    </row>
    <row r="251" spans="1:6" x14ac:dyDescent="0.3">
      <c r="A251" s="1" t="str">
        <f ca="1">IFERROR(__xludf.DUMMYFUNCTION("""COMPUTED_VALUE"""),"Markinch Branch Line Sidings")</f>
        <v>Markinch Branch Line Sidings</v>
      </c>
      <c r="B251" s="1"/>
      <c r="C251" s="1">
        <f ca="1">IFERROR(__xludf.DUMMYFUNCTION("""COMPUTED_VALUE"""),916065)</f>
        <v>916065</v>
      </c>
      <c r="D251" s="1" t="str">
        <f ca="1">IFERROR(__xludf.DUMMYFUNCTION("""COMPUTED_VALUE"""),"MKINBLS")</f>
        <v>MKINBLS</v>
      </c>
      <c r="E251" s="1" t="str">
        <f ca="1">IFERROR(__xludf.DUMMYFUNCTION("""COMPUTED_VALUE"""),"MRKINCHMH")</f>
        <v>MRKINCHMH</v>
      </c>
      <c r="F251" s="1">
        <f ca="1">IFERROR(__xludf.DUMMYFUNCTION("""COMPUTED_VALUE"""),3223)</f>
        <v>3223</v>
      </c>
    </row>
    <row r="252" spans="1:6" x14ac:dyDescent="0.3">
      <c r="A252" s="1" t="str">
        <f ca="1">IFERROR(__xludf.DUMMYFUNCTION("""COMPUTED_VALUE"""),"Markinch Down Line Sidings")</f>
        <v>Markinch Down Line Sidings</v>
      </c>
      <c r="B252" s="1"/>
      <c r="C252" s="1">
        <f ca="1">IFERROR(__xludf.DUMMYFUNCTION("""COMPUTED_VALUE"""),916067)</f>
        <v>916067</v>
      </c>
      <c r="D252" s="1" t="str">
        <f ca="1">IFERROR(__xludf.DUMMYFUNCTION("""COMPUTED_VALUE"""),"MKINDLS")</f>
        <v>MKINDLS</v>
      </c>
      <c r="E252" s="1" t="str">
        <f ca="1">IFERROR(__xludf.DUMMYFUNCTION("""COMPUTED_VALUE"""),"MARKNH DS")</f>
        <v>MARKNH DS</v>
      </c>
      <c r="F252" s="1">
        <f ca="1">IFERROR(__xludf.DUMMYFUNCTION("""COMPUTED_VALUE"""),3227)</f>
        <v>3227</v>
      </c>
    </row>
    <row r="253" spans="1:6" x14ac:dyDescent="0.3">
      <c r="A253" s="1" t="str">
        <f ca="1">IFERROR(__xludf.DUMMYFUNCTION("""COMPUTED_VALUE"""),"Markinch Signal ER878")</f>
        <v>Markinch Signal ER878</v>
      </c>
      <c r="B253" s="1"/>
      <c r="C253" s="1">
        <f ca="1">IFERROR(__xludf.DUMMYFUNCTION("""COMPUTED_VALUE"""),916001)</f>
        <v>916001</v>
      </c>
      <c r="D253" s="1" t="str">
        <f ca="1">IFERROR(__xludf.DUMMYFUNCTION("""COMPUTED_VALUE"""),"MKIN878")</f>
        <v>MKIN878</v>
      </c>
      <c r="E253" s="1" t="str">
        <f ca="1">IFERROR(__xludf.DUMMYFUNCTION("""COMPUTED_VALUE"""),"MARKNH878")</f>
        <v>MARKNH878</v>
      </c>
      <c r="F253" s="1">
        <f ca="1">IFERROR(__xludf.DUMMYFUNCTION("""COMPUTED_VALUE"""),3228)</f>
        <v>3228</v>
      </c>
    </row>
    <row r="254" spans="1:6" x14ac:dyDescent="0.3">
      <c r="A254" s="1" t="str">
        <f ca="1">IFERROR(__xludf.DUMMYFUNCTION("""COMPUTED_VALUE"""),"Marks Tey")</f>
        <v>Marks Tey</v>
      </c>
      <c r="B254" s="1" t="str">
        <f ca="1">IFERROR(__xludf.DUMMYFUNCTION("""COMPUTED_VALUE"""),"MKT")</f>
        <v>MKT</v>
      </c>
      <c r="C254" s="1">
        <f ca="1">IFERROR(__xludf.DUMMYFUNCTION("""COMPUTED_VALUE"""),686300)</f>
        <v>686300</v>
      </c>
      <c r="D254" s="1" t="str">
        <f ca="1">IFERROR(__xludf.DUMMYFUNCTION("""COMPUTED_VALUE"""),"MRKSTEY")</f>
        <v>MRKSTEY</v>
      </c>
      <c r="E254" s="1" t="str">
        <f ca="1">IFERROR(__xludf.DUMMYFUNCTION("""COMPUTED_VALUE"""),"MARKS TEY")</f>
        <v>MARKS TEY</v>
      </c>
      <c r="F254" s="1">
        <f ca="1">IFERROR(__xludf.DUMMYFUNCTION("""COMPUTED_VALUE"""),50105)</f>
        <v>50105</v>
      </c>
    </row>
    <row r="255" spans="1:6" x14ac:dyDescent="0.3">
      <c r="A255" s="1" t="str">
        <f ca="1">IFERROR(__xludf.DUMMYFUNCTION("""COMPUTED_VALUE"""),"Marks Tey Down Loop")</f>
        <v>Marks Tey Down Loop</v>
      </c>
      <c r="B255" s="1"/>
      <c r="C255" s="1">
        <f ca="1">IFERROR(__xludf.DUMMYFUNCTION("""COMPUTED_VALUE"""),686312)</f>
        <v>686312</v>
      </c>
      <c r="D255" s="1" t="str">
        <f ca="1">IFERROR(__xludf.DUMMYFUNCTION("""COMPUTED_VALUE"""),"MRKSTDL")</f>
        <v>MRKSTDL</v>
      </c>
      <c r="E255" s="1"/>
      <c r="F255" s="1" t="str">
        <f ca="1">IFERROR(__xludf.DUMMYFUNCTION("""COMPUTED_VALUE"""),"-")</f>
        <v>-</v>
      </c>
    </row>
    <row r="256" spans="1:6" x14ac:dyDescent="0.3">
      <c r="A256" s="1" t="str">
        <f ca="1">IFERROR(__xludf.DUMMYFUNCTION("""COMPUTED_VALUE"""),"Marks Tey Freightliner Heavy Haul")</f>
        <v>Marks Tey Freightliner Heavy Haul</v>
      </c>
      <c r="B256" s="1"/>
      <c r="C256" s="1">
        <f ca="1">IFERROR(__xludf.DUMMYFUNCTION("""COMPUTED_VALUE"""),686302)</f>
        <v>686302</v>
      </c>
      <c r="D256" s="1" t="str">
        <f ca="1">IFERROR(__xludf.DUMMYFUNCTION("""COMPUTED_VALUE"""),"MRKSFHH")</f>
        <v>MRKSFHH</v>
      </c>
      <c r="E256" s="1" t="str">
        <f ca="1">IFERROR(__xludf.DUMMYFUNCTION("""COMPUTED_VALUE"""),"MARKSTYFL")</f>
        <v>MARKSTYFL</v>
      </c>
      <c r="F256" s="1">
        <f ca="1">IFERROR(__xludf.DUMMYFUNCTION("""COMPUTED_VALUE"""),50100)</f>
        <v>50100</v>
      </c>
    </row>
    <row r="257" spans="1:6" x14ac:dyDescent="0.3">
      <c r="A257" s="1" t="str">
        <f ca="1">IFERROR(__xludf.DUMMYFUNCTION("""COMPUTED_VALUE"""),"Marks Tey GB Railfreight")</f>
        <v>Marks Tey GB Railfreight</v>
      </c>
      <c r="B257" s="1"/>
      <c r="C257" s="1">
        <f ca="1">IFERROR(__xludf.DUMMYFUNCTION("""COMPUTED_VALUE"""),686309)</f>
        <v>686309</v>
      </c>
      <c r="D257" s="1" t="str">
        <f ca="1">IFERROR(__xludf.DUMMYFUNCTION("""COMPUTED_VALUE"""),"MRKSTGB")</f>
        <v>MRKSTGB</v>
      </c>
      <c r="E257" s="1" t="str">
        <f ca="1">IFERROR(__xludf.DUMMYFUNCTION("""COMPUTED_VALUE"""),"MARKSTYGB")</f>
        <v>MARKSTYGB</v>
      </c>
      <c r="F257" s="1">
        <f ca="1">IFERROR(__xludf.DUMMYFUNCTION("""COMPUTED_VALUE"""),50099)</f>
        <v>50099</v>
      </c>
    </row>
    <row r="258" spans="1:6" x14ac:dyDescent="0.3">
      <c r="A258" s="1" t="str">
        <f ca="1">IFERROR(__xludf.DUMMYFUNCTION("""COMPUTED_VALUE"""),"Marks Tey Signal L872")</f>
        <v>Marks Tey Signal L872</v>
      </c>
      <c r="B258" s="1"/>
      <c r="C258" s="1">
        <f ca="1">IFERROR(__xludf.DUMMYFUNCTION("""COMPUTED_VALUE"""),686301)</f>
        <v>686301</v>
      </c>
      <c r="D258" s="1" t="str">
        <f ca="1">IFERROR(__xludf.DUMMYFUNCTION("""COMPUTED_VALUE"""),"MRKS872")</f>
        <v>MRKS872</v>
      </c>
      <c r="E258" s="1" t="str">
        <f ca="1">IFERROR(__xludf.DUMMYFUNCTION("""COMPUTED_VALUE"""),"MKSTEY872")</f>
        <v>MKSTEY872</v>
      </c>
      <c r="F258" s="1">
        <f ca="1">IFERROR(__xludf.DUMMYFUNCTION("""COMPUTED_VALUE"""),50104)</f>
        <v>50104</v>
      </c>
    </row>
    <row r="259" spans="1:6" x14ac:dyDescent="0.3">
      <c r="A259" s="1" t="str">
        <f ca="1">IFERROR(__xludf.DUMMYFUNCTION("""COMPUTED_VALUE"""),"Marks Tey Signalling &amp; Telecommunications Engineer's Siding")</f>
        <v>Marks Tey Signalling &amp; Telecommunications Engineer's Siding</v>
      </c>
      <c r="B259" s="1"/>
      <c r="C259" s="1">
        <f ca="1">IFERROR(__xludf.DUMMYFUNCTION("""COMPUTED_VALUE"""),686315)</f>
        <v>686315</v>
      </c>
      <c r="D259" s="1" t="str">
        <f ca="1">IFERROR(__xludf.DUMMYFUNCTION("""COMPUTED_VALUE"""),"MRKSSAT")</f>
        <v>MRKSSAT</v>
      </c>
      <c r="E259" s="1" t="str">
        <f ca="1">IFERROR(__xludf.DUMMYFUNCTION("""COMPUTED_VALUE"""),"MKSTEYS&amp;T")</f>
        <v>MKSTEYS&amp;T</v>
      </c>
      <c r="F259" s="1">
        <f ca="1">IFERROR(__xludf.DUMMYFUNCTION("""COMPUTED_VALUE"""),50106)</f>
        <v>50106</v>
      </c>
    </row>
    <row r="260" spans="1:6" x14ac:dyDescent="0.3">
      <c r="A260" s="1" t="str">
        <f ca="1">IFERROR(__xludf.DUMMYFUNCTION("""COMPUTED_VALUE"""),"Marks Tey Tarmac")</f>
        <v>Marks Tey Tarmac</v>
      </c>
      <c r="B260" s="1"/>
      <c r="C260" s="1">
        <f ca="1">IFERROR(__xludf.DUMMYFUNCTION("""COMPUTED_VALUE"""),686311)</f>
        <v>686311</v>
      </c>
      <c r="D260" s="1" t="str">
        <f ca="1">IFERROR(__xludf.DUMMYFUNCTION("""COMPUTED_VALUE"""),"MRKSTAR")</f>
        <v>MRKSTAR</v>
      </c>
      <c r="E260" s="1" t="str">
        <f ca="1">IFERROR(__xludf.DUMMYFUNCTION("""COMPUTED_VALUE"""),"MARKSTEY")</f>
        <v>MARKSTEY</v>
      </c>
      <c r="F260" s="1">
        <f ca="1">IFERROR(__xludf.DUMMYFUNCTION("""COMPUTED_VALUE"""),50102)</f>
        <v>50102</v>
      </c>
    </row>
    <row r="261" spans="1:6" x14ac:dyDescent="0.3">
      <c r="A261" s="1" t="str">
        <f ca="1">IFERROR(__xludf.DUMMYFUNCTION("""COMPUTED_VALUE"""),"Marks Tey Up Loop")</f>
        <v>Marks Tey Up Loop</v>
      </c>
      <c r="B261" s="1"/>
      <c r="C261" s="1">
        <f ca="1">IFERROR(__xludf.DUMMYFUNCTION("""COMPUTED_VALUE"""),686314)</f>
        <v>686314</v>
      </c>
      <c r="D261" s="1" t="str">
        <f ca="1">IFERROR(__xludf.DUMMYFUNCTION("""COMPUTED_VALUE"""),"MRKSTUL")</f>
        <v>MRKSTUL</v>
      </c>
      <c r="E261" s="1" t="str">
        <f ca="1">IFERROR(__xludf.DUMMYFUNCTION("""COMPUTED_VALUE"""),"M TEY ULP")</f>
        <v>M TEY ULP</v>
      </c>
      <c r="F261" s="1">
        <f ca="1">IFERROR(__xludf.DUMMYFUNCTION("""COMPUTED_VALUE"""),50103)</f>
        <v>50103</v>
      </c>
    </row>
    <row r="262" spans="1:6" x14ac:dyDescent="0.3">
      <c r="A262" s="1" t="str">
        <f ca="1">IFERROR(__xludf.DUMMYFUNCTION("""COMPUTED_VALUE"""),"Marlborough High Street (by bus)")</f>
        <v>Marlborough High Street (by bus)</v>
      </c>
      <c r="B262" s="1" t="str">
        <f ca="1">IFERROR(__xludf.DUMMYFUNCTION("""COMPUTED_VALUE"""),"XBH")</f>
        <v>XBH</v>
      </c>
      <c r="C262" s="1" t="str">
        <f ca="1">IFERROR(__xludf.DUMMYFUNCTION("""COMPUTED_VALUE"""),"333361 333376")</f>
        <v>333361 333376</v>
      </c>
      <c r="D262" s="1" t="str">
        <f ca="1">IFERROR(__xludf.DUMMYFUNCTION("""COMPUTED_VALUE"""),"MRLBHST MARBORO")</f>
        <v>MRLBHST MARBORO</v>
      </c>
      <c r="E262" s="1"/>
      <c r="F262" s="1" t="str">
        <f ca="1">IFERROR(__xludf.DUMMYFUNCTION("""COMPUTED_VALUE"""),"-")</f>
        <v>-</v>
      </c>
    </row>
    <row r="263" spans="1:6" x14ac:dyDescent="0.3">
      <c r="A263" s="1" t="str">
        <f ca="1">IFERROR(__xludf.DUMMYFUNCTION("""COMPUTED_VALUE"""),"Marlow")</f>
        <v>Marlow</v>
      </c>
      <c r="B263" s="1" t="str">
        <f ca="1">IFERROR(__xludf.DUMMYFUNCTION("""COMPUTED_VALUE"""),"MLW")</f>
        <v>MLW</v>
      </c>
      <c r="C263" s="1">
        <f ca="1">IFERROR(__xludf.DUMMYFUNCTION("""COMPUTED_VALUE"""),302100)</f>
        <v>302100</v>
      </c>
      <c r="D263" s="1" t="str">
        <f ca="1">IFERROR(__xludf.DUMMYFUNCTION("""COMPUTED_VALUE"""),"MARLOW")</f>
        <v>MARLOW</v>
      </c>
      <c r="E263" s="1" t="str">
        <f ca="1">IFERROR(__xludf.DUMMYFUNCTION("""COMPUTED_VALUE"""),"MARLOW")</f>
        <v>MARLOW</v>
      </c>
      <c r="F263" s="1">
        <f ca="1">IFERROR(__xludf.DUMMYFUNCTION("""COMPUTED_VALUE"""),74016)</f>
        <v>74016</v>
      </c>
    </row>
    <row r="264" spans="1:6" x14ac:dyDescent="0.3">
      <c r="A264" s="1" t="str">
        <f ca="1">IFERROR(__xludf.DUMMYFUNCTION("""COMPUTED_VALUE"""),"Marne-La-Vallee")</f>
        <v>Marne-La-Vallee</v>
      </c>
      <c r="B264" s="1" t="str">
        <f ca="1">IFERROR(__xludf.DUMMYFUNCTION("""COMPUTED_VALUE"""),"MCK")</f>
        <v>MCK</v>
      </c>
      <c r="C264" s="1">
        <f ca="1">IFERROR(__xludf.DUMMYFUNCTION("""COMPUTED_VALUE"""),156400)</f>
        <v>156400</v>
      </c>
      <c r="D264" s="1" t="str">
        <f ca="1">IFERROR(__xludf.DUMMYFUNCTION("""COMPUTED_VALUE"""),"MARNELV")</f>
        <v>MARNELV</v>
      </c>
      <c r="E264" s="1" t="str">
        <f ca="1">IFERROR(__xludf.DUMMYFUNCTION("""COMPUTED_VALUE"""),"MARNE VAL")</f>
        <v>MARNE VAL</v>
      </c>
      <c r="F264" s="1">
        <f ca="1">IFERROR(__xludf.DUMMYFUNCTION("""COMPUTED_VALUE"""),799)</f>
        <v>799</v>
      </c>
    </row>
    <row r="265" spans="1:6" x14ac:dyDescent="0.3">
      <c r="A265" s="1" t="str">
        <f ca="1">IFERROR(__xludf.DUMMYFUNCTION("""COMPUTED_VALUE"""),"Marple")</f>
        <v>Marple</v>
      </c>
      <c r="B265" s="1" t="str">
        <f ca="1">IFERROR(__xludf.DUMMYFUNCTION("""COMPUTED_VALUE"""),"MPL")</f>
        <v>MPL</v>
      </c>
      <c r="C265" s="1">
        <f ca="1">IFERROR(__xludf.DUMMYFUNCTION("""COMPUTED_VALUE"""),283000)</f>
        <v>283000</v>
      </c>
      <c r="D265" s="1" t="str">
        <f ca="1">IFERROR(__xludf.DUMMYFUNCTION("""COMPUTED_VALUE"""),"MARPLE")</f>
        <v>MARPLE</v>
      </c>
      <c r="E265" s="1" t="str">
        <f ca="1">IFERROR(__xludf.DUMMYFUNCTION("""COMPUTED_VALUE"""),"MARPLE")</f>
        <v>MARPLE</v>
      </c>
      <c r="F265" s="1">
        <f ca="1">IFERROR(__xludf.DUMMYFUNCTION("""COMPUTED_VALUE"""),32553)</f>
        <v>32553</v>
      </c>
    </row>
    <row r="266" spans="1:6" x14ac:dyDescent="0.3">
      <c r="A266" s="1" t="str">
        <f ca="1">IFERROR(__xludf.DUMMYFUNCTION("""COMPUTED_VALUE"""),"Marple Wharf Junction")</f>
        <v>Marple Wharf Junction</v>
      </c>
      <c r="B266" s="1"/>
      <c r="C266" s="1">
        <f ca="1">IFERROR(__xludf.DUMMYFUNCTION("""COMPUTED_VALUE"""),283001)</f>
        <v>283001</v>
      </c>
      <c r="D266" s="1" t="str">
        <f ca="1">IFERROR(__xludf.DUMMYFUNCTION("""COMPUTED_VALUE"""),"MARPLWJ")</f>
        <v>MARPLWJ</v>
      </c>
      <c r="E266" s="1" t="str">
        <f ca="1">IFERROR(__xludf.DUMMYFUNCTION("""COMPUTED_VALUE"""),"MARPLWHFJ")</f>
        <v>MARPLWHFJ</v>
      </c>
      <c r="F266" s="1">
        <f ca="1">IFERROR(__xludf.DUMMYFUNCTION("""COMPUTED_VALUE"""),32551)</f>
        <v>32551</v>
      </c>
    </row>
    <row r="267" spans="1:6" x14ac:dyDescent="0.3">
      <c r="A267" s="1" t="str">
        <f ca="1">IFERROR(__xludf.DUMMYFUNCTION("""COMPUTED_VALUE"""),"Marsden (Yorks)")</f>
        <v>Marsden (Yorks)</v>
      </c>
      <c r="B267" s="1" t="str">
        <f ca="1">IFERROR(__xludf.DUMMYFUNCTION("""COMPUTED_VALUE"""),"MSN")</f>
        <v>MSN</v>
      </c>
      <c r="C267" s="1">
        <f ca="1">IFERROR(__xludf.DUMMYFUNCTION("""COMPUTED_VALUE"""),844500)</f>
        <v>844500</v>
      </c>
      <c r="D267" s="1" t="str">
        <f ca="1">IFERROR(__xludf.DUMMYFUNCTION("""COMPUTED_VALUE"""),"MRSN")</f>
        <v>MRSN</v>
      </c>
      <c r="E267" s="1" t="str">
        <f ca="1">IFERROR(__xludf.DUMMYFUNCTION("""COMPUTED_VALUE"""),"MARSDEN")</f>
        <v>MARSDEN</v>
      </c>
      <c r="F267" s="1">
        <f ca="1">IFERROR(__xludf.DUMMYFUNCTION("""COMPUTED_VALUE"""),18479)</f>
        <v>18479</v>
      </c>
    </row>
    <row r="268" spans="1:6" x14ac:dyDescent="0.3">
      <c r="A268" s="1" t="str">
        <f ca="1">IFERROR(__xludf.DUMMYFUNCTION("""COMPUTED_VALUE"""),"Marsden Slaithwaite Town Centre*see also Slaithwaite Marsden Town Centre*")</f>
        <v>Marsden Slaithwaite Town Centre*see also Slaithwaite Marsden Town Centre*</v>
      </c>
      <c r="B268" s="1"/>
      <c r="C268" s="1">
        <f ca="1">IFERROR(__xludf.DUMMYFUNCTION("""COMPUTED_VALUE"""),854900)</f>
        <v>854900</v>
      </c>
      <c r="D268" s="1" t="str">
        <f ca="1">IFERROR(__xludf.DUMMYFUNCTION("""COMPUTED_VALUE"""),"MRSNTC")</f>
        <v>MRSNTC</v>
      </c>
      <c r="E268" s="1"/>
      <c r="F268" s="1" t="str">
        <f ca="1">IFERROR(__xludf.DUMMYFUNCTION("""COMPUTED_VALUE"""),"-")</f>
        <v>-</v>
      </c>
    </row>
    <row r="269" spans="1:6" x14ac:dyDescent="0.3">
      <c r="A269" s="1" t="str">
        <f ca="1">IFERROR(__xludf.DUMMYFUNCTION("""COMPUTED_VALUE"""),"Marseille St Charles")</f>
        <v>Marseille St Charles</v>
      </c>
      <c r="B269" s="1" t="str">
        <f ca="1">IFERROR(__xludf.DUMMYFUNCTION("""COMPUTED_VALUE"""),"MSC")</f>
        <v>MSC</v>
      </c>
      <c r="C269" s="1">
        <f ca="1">IFERROR(__xludf.DUMMYFUNCTION("""COMPUTED_VALUE"""),696000)</f>
        <v>696000</v>
      </c>
      <c r="D269" s="1" t="str">
        <f ca="1">IFERROR(__xludf.DUMMYFUNCTION("""COMPUTED_VALUE"""),"MRSLSTC")</f>
        <v>MRSLSTC</v>
      </c>
      <c r="E269" s="1" t="str">
        <f ca="1">IFERROR(__xludf.DUMMYFUNCTION("""COMPUTED_VALUE"""),"MARSEILLE")</f>
        <v>MARSEILLE</v>
      </c>
      <c r="F269" s="1">
        <f ca="1">IFERROR(__xludf.DUMMYFUNCTION("""COMPUTED_VALUE"""),710)</f>
        <v>710</v>
      </c>
    </row>
    <row r="270" spans="1:6" x14ac:dyDescent="0.3">
      <c r="A270" s="1" t="str">
        <f ca="1">IFERROR(__xludf.DUMMYFUNCTION("""COMPUTED_VALUE"""),"Marshall Meadows Zone Boundary")</f>
        <v>Marshall Meadows Zone Boundary</v>
      </c>
      <c r="B270" s="1"/>
      <c r="C270" s="1">
        <f ca="1">IFERROR(__xludf.DUMMYFUNCTION("""COMPUTED_VALUE"""),779120)</f>
        <v>779120</v>
      </c>
      <c r="D270" s="1" t="str">
        <f ca="1">IFERROR(__xludf.DUMMYFUNCTION("""COMPUTED_VALUE"""),"MSLMWZB")</f>
        <v>MSLMWZB</v>
      </c>
      <c r="E270" s="1" t="str">
        <f ca="1">IFERROR(__xludf.DUMMYFUNCTION("""COMPUTED_VALUE"""),"MARSHLMZB")</f>
        <v>MARSHLMZB</v>
      </c>
      <c r="F270" s="1">
        <f ca="1">IFERROR(__xludf.DUMMYFUNCTION("""COMPUTED_VALUE"""),4846)</f>
        <v>4846</v>
      </c>
    </row>
    <row r="271" spans="1:6" x14ac:dyDescent="0.3">
      <c r="A271" s="1" t="str">
        <f ca="1">IFERROR(__xludf.DUMMYFUNCTION("""COMPUTED_VALUE"""),"Marshalls Cross")</f>
        <v>Marshalls Cross</v>
      </c>
      <c r="B271" s="1" t="str">
        <f ca="1">IFERROR(__xludf.DUMMYFUNCTION("""COMPUTED_VALUE"""),"MRC")</f>
        <v>MRC</v>
      </c>
      <c r="C271" s="1"/>
      <c r="D271" s="1" t="str">
        <f ca="1">IFERROR(__xludf.DUMMYFUNCTION("""COMPUTED_VALUE"""),"MSHX")</f>
        <v>MSHX</v>
      </c>
      <c r="E271" s="1"/>
      <c r="F271" s="1"/>
    </row>
    <row r="272" spans="1:6" x14ac:dyDescent="0.3">
      <c r="A272" s="1" t="str">
        <f ca="1">IFERROR(__xludf.DUMMYFUNCTION("""COMPUTED_VALUE"""),"Marsh Barton")</f>
        <v>Marsh Barton</v>
      </c>
      <c r="B272" s="1"/>
      <c r="C272" s="1"/>
      <c r="D272" s="1" t="str">
        <f ca="1">IFERROR(__xludf.DUMMYFUNCTION("""COMPUTED_VALUE"""),"MARSHBN")</f>
        <v>MARSHBN</v>
      </c>
      <c r="E272" s="1"/>
      <c r="F272" s="1"/>
    </row>
    <row r="273" spans="1:6" x14ac:dyDescent="0.3">
      <c r="A273" s="1" t="str">
        <f ca="1">IFERROR(__xludf.DUMMYFUNCTION("""COMPUTED_VALUE"""),"Marsh Barton [station]")</f>
        <v>Marsh Barton [station]</v>
      </c>
      <c r="B273" s="1" t="str">
        <f ca="1">IFERROR(__xludf.DUMMYFUNCTION("""COMPUTED_VALUE"""),"MBT")</f>
        <v>MBT</v>
      </c>
      <c r="C273" s="1">
        <f ca="1">IFERROR(__xludf.DUMMYFUNCTION("""COMPUTED_VALUE"""),777900)</f>
        <v>777900</v>
      </c>
      <c r="D273" s="1" t="str">
        <f ca="1">IFERROR(__xludf.DUMMYFUNCTION("""COMPUTED_VALUE"""),"MSBTN")</f>
        <v>MSBTN</v>
      </c>
      <c r="E273" s="1" t="str">
        <f ca="1">IFERROR(__xludf.DUMMYFUNCTION("""COMPUTED_VALUE"""),"MARSHBRTN")</f>
        <v>MARSHBRTN</v>
      </c>
      <c r="F273" s="1">
        <f ca="1">IFERROR(__xludf.DUMMYFUNCTION("""COMPUTED_VALUE"""),83518)</f>
        <v>83518</v>
      </c>
    </row>
    <row r="274" spans="1:6" x14ac:dyDescent="0.3">
      <c r="A274" s="1" t="str">
        <f ca="1">IFERROR(__xludf.DUMMYFUNCTION("""COMPUTED_VALUE"""),"Marsh Brook Level Crossing")</f>
        <v>Marsh Brook Level Crossing</v>
      </c>
      <c r="B274" s="1"/>
      <c r="C274" s="1">
        <f ca="1">IFERROR(__xludf.DUMMYFUNCTION("""COMPUTED_VALUE"""),436512)</f>
        <v>436512</v>
      </c>
      <c r="D274" s="1" t="str">
        <f ca="1">IFERROR(__xludf.DUMMYFUNCTION("""COMPUTED_VALUE"""),"MSHBRKX")</f>
        <v>MSHBRKX</v>
      </c>
      <c r="E274" s="1" t="str">
        <f ca="1">IFERROR(__xludf.DUMMYFUNCTION("""COMPUTED_VALUE"""),"MARSHBKLC")</f>
        <v>MARSHBKLC</v>
      </c>
      <c r="F274" s="1">
        <f ca="1">IFERROR(__xludf.DUMMYFUNCTION("""COMPUTED_VALUE"""),76382)</f>
        <v>76382</v>
      </c>
    </row>
    <row r="275" spans="1:6" x14ac:dyDescent="0.3">
      <c r="A275" s="1" t="str">
        <f ca="1">IFERROR(__xludf.DUMMYFUNCTION("""COMPUTED_VALUE"""),"Marshfield")</f>
        <v>Marshfield</v>
      </c>
      <c r="B275" s="1"/>
      <c r="C275" s="1">
        <f ca="1">IFERROR(__xludf.DUMMYFUNCTION("""COMPUTED_VALUE"""),367711)</f>
        <v>367711</v>
      </c>
      <c r="D275" s="1" t="str">
        <f ca="1">IFERROR(__xludf.DUMMYFUNCTION("""COMPUTED_VALUE"""),"MSHFILD")</f>
        <v>MSHFILD</v>
      </c>
      <c r="E275" s="1" t="str">
        <f ca="1">IFERROR(__xludf.DUMMYFUNCTION("""COMPUTED_VALUE"""),"MARSHFLD")</f>
        <v>MARSHFLD</v>
      </c>
      <c r="F275" s="1">
        <f ca="1">IFERROR(__xludf.DUMMYFUNCTION("""COMPUTED_VALUE"""),77086)</f>
        <v>77086</v>
      </c>
    </row>
    <row r="276" spans="1:6" x14ac:dyDescent="0.3">
      <c r="A276" s="1" t="str">
        <f ca="1">IFERROR(__xludf.DUMMYFUNCTION("""COMPUTED_VALUE"""),"Marsh Junction On Track Plant Maintenance Depot")</f>
        <v>Marsh Junction On Track Plant Maintenance Depot</v>
      </c>
      <c r="B276" s="1"/>
      <c r="C276" s="1">
        <f ca="1">IFERROR(__xludf.DUMMYFUNCTION("""COMPUTED_VALUE"""),322162)</f>
        <v>322162</v>
      </c>
      <c r="D276" s="1" t="str">
        <f ca="1">IFERROR(__xludf.DUMMYFUNCTION("""COMPUTED_VALUE"""),"MARSOTD")</f>
        <v>MARSOTD</v>
      </c>
      <c r="E276" s="1" t="str">
        <f ca="1">IFERROR(__xludf.DUMMYFUNCTION("""COMPUTED_VALUE"""),"MARSH JN")</f>
        <v>MARSH JN</v>
      </c>
      <c r="F276" s="1">
        <f ca="1">IFERROR(__xludf.DUMMYFUNCTION("""COMPUTED_VALUE"""),81526)</f>
        <v>81526</v>
      </c>
    </row>
    <row r="277" spans="1:6" x14ac:dyDescent="0.3">
      <c r="A277" s="1" t="str">
        <f ca="1">IFERROR(__xludf.DUMMYFUNCTION("""COMPUTED_VALUE"""),"Marsh Junction Sidings")</f>
        <v>Marsh Junction Sidings</v>
      </c>
      <c r="B277" s="1"/>
      <c r="C277" s="1">
        <f ca="1">IFERROR(__xludf.DUMMYFUNCTION("""COMPUTED_VALUE"""),322111)</f>
        <v>322111</v>
      </c>
      <c r="D277" s="1" t="str">
        <f ca="1">IFERROR(__xludf.DUMMYFUNCTION("""COMPUTED_VALUE"""),"MARSHJS")</f>
        <v>MARSHJS</v>
      </c>
      <c r="E277" s="1" t="str">
        <f ca="1">IFERROR(__xludf.DUMMYFUNCTION("""COMPUTED_VALUE"""),"MARSH JN")</f>
        <v>MARSH JN</v>
      </c>
      <c r="F277" s="1">
        <f ca="1">IFERROR(__xludf.DUMMYFUNCTION("""COMPUTED_VALUE"""),81526)</f>
        <v>81526</v>
      </c>
    </row>
    <row r="278" spans="1:6" x14ac:dyDescent="0.3">
      <c r="A278" s="1" t="str">
        <f ca="1">IFERROR(__xludf.DUMMYFUNCTION("""COMPUTED_VALUE"""),"Marsh Lane Junction")</f>
        <v>Marsh Lane Junction</v>
      </c>
      <c r="B278" s="1"/>
      <c r="C278" s="1">
        <f ca="1">IFERROR(__xludf.DUMMYFUNCTION("""COMPUTED_VALUE"""),223902)</f>
        <v>223902</v>
      </c>
      <c r="D278" s="1" t="str">
        <f ca="1">IFERROR(__xludf.DUMMYFUNCTION("""COMPUTED_VALUE"""),"MRSHLAJ")</f>
        <v>MRSHLAJ</v>
      </c>
      <c r="E278" s="1"/>
      <c r="F278" s="1" t="str">
        <f ca="1">IFERROR(__xludf.DUMMYFUNCTION("""COMPUTED_VALUE"""),"36072*")</f>
        <v>36072*</v>
      </c>
    </row>
    <row r="279" spans="1:6" x14ac:dyDescent="0.3">
      <c r="A279" s="1" t="str">
        <f ca="1">IFERROR(__xludf.DUMMYFUNCTION("""COMPUTED_VALUE"""),"Marsh Lane Junction [Leeds]")</f>
        <v>Marsh Lane Junction [Leeds]</v>
      </c>
      <c r="B279" s="1"/>
      <c r="C279" s="1">
        <f ca="1">IFERROR(__xludf.DUMMYFUNCTION("""COMPUTED_VALUE"""),847600)</f>
        <v>847600</v>
      </c>
      <c r="D279" s="1" t="str">
        <f ca="1">IFERROR(__xludf.DUMMYFUNCTION("""COMPUTED_VALUE"""),"MRLNJN")</f>
        <v>MRLNJN</v>
      </c>
      <c r="E279" s="1" t="str">
        <f ca="1">IFERROR(__xludf.DUMMYFUNCTION("""COMPUTED_VALUE"""),"MARSHLANE")</f>
        <v>MARSHLANE</v>
      </c>
      <c r="F279" s="1">
        <f ca="1">IFERROR(__xludf.DUMMYFUNCTION("""COMPUTED_VALUE"""),17129)</f>
        <v>17129</v>
      </c>
    </row>
    <row r="280" spans="1:6" x14ac:dyDescent="0.3">
      <c r="A280" s="1" t="str">
        <f ca="1">IFERROR(__xludf.DUMMYFUNCTION("""COMPUTED_VALUE"""),"Marsh Lane Tilcon")</f>
        <v>Marsh Lane Tilcon</v>
      </c>
      <c r="B280" s="1"/>
      <c r="C280" s="1">
        <f ca="1">IFERROR(__xludf.DUMMYFUNCTION("""COMPUTED_VALUE"""),847613)</f>
        <v>847613</v>
      </c>
      <c r="D280" s="1" t="str">
        <f ca="1">IFERROR(__xludf.DUMMYFUNCTION("""COMPUTED_VALUE"""),"MRLNTIL")</f>
        <v>MRLNTIL</v>
      </c>
      <c r="E280" s="1" t="str">
        <f ca="1">IFERROR(__xludf.DUMMYFUNCTION("""COMPUTED_VALUE"""),"MRLNTIL")</f>
        <v>MRLNTIL</v>
      </c>
      <c r="F280" s="1">
        <f ca="1">IFERROR(__xludf.DUMMYFUNCTION("""COMPUTED_VALUE"""),17128)</f>
        <v>17128</v>
      </c>
    </row>
    <row r="281" spans="1:6" x14ac:dyDescent="0.3">
      <c r="A281" s="1" t="str">
        <f ca="1">IFERROR(__xludf.DUMMYFUNCTION("""COMPUTED_VALUE"""),"Marsh Mills ECC")</f>
        <v>Marsh Mills ECC</v>
      </c>
      <c r="B281" s="1"/>
      <c r="C281" s="1">
        <f ca="1">IFERROR(__xludf.DUMMYFUNCTION("""COMPUTED_VALUE"""),357515)</f>
        <v>357515</v>
      </c>
      <c r="D281" s="1" t="str">
        <f ca="1">IFERROR(__xludf.DUMMYFUNCTION("""COMPUTED_VALUE"""),"MSHMLEC")</f>
        <v>MSHMLEC</v>
      </c>
      <c r="E281" s="1" t="str">
        <f ca="1">IFERROR(__xludf.DUMMYFUNCTION("""COMPUTED_VALUE"""),"MARSHMILL")</f>
        <v>MARSHMILL</v>
      </c>
      <c r="F281" s="1">
        <f ca="1">IFERROR(__xludf.DUMMYFUNCTION("""COMPUTED_VALUE"""),84084)</f>
        <v>84084</v>
      </c>
    </row>
    <row r="282" spans="1:6" x14ac:dyDescent="0.3">
      <c r="A282" s="1" t="str">
        <f ca="1">IFERROR(__xludf.DUMMYFUNCTION("""COMPUTED_VALUE"""),"Marske")</f>
        <v>Marske</v>
      </c>
      <c r="B282" s="1" t="str">
        <f ca="1">IFERROR(__xludf.DUMMYFUNCTION("""COMPUTED_VALUE"""),"MSK")</f>
        <v>MSK</v>
      </c>
      <c r="C282" s="1">
        <f ca="1">IFERROR(__xludf.DUMMYFUNCTION("""COMPUTED_VALUE"""),792800)</f>
        <v>792800</v>
      </c>
      <c r="D282" s="1" t="str">
        <f ca="1">IFERROR(__xludf.DUMMYFUNCTION("""COMPUTED_VALUE"""),"MRSK")</f>
        <v>MRSK</v>
      </c>
      <c r="E282" s="1" t="str">
        <f ca="1">IFERROR(__xludf.DUMMYFUNCTION("""COMPUTED_VALUE"""),"MARSKE")</f>
        <v>MARSKE</v>
      </c>
      <c r="F282" s="1">
        <f ca="1">IFERROR(__xludf.DUMMYFUNCTION("""COMPUTED_VALUE"""),15668)</f>
        <v>15668</v>
      </c>
    </row>
    <row r="283" spans="1:6" x14ac:dyDescent="0.3">
      <c r="A283" s="1" t="str">
        <f ca="1">IFERROR(__xludf.DUMMYFUNCTION("""COMPUTED_VALUE"""),"Marston Green")</f>
        <v>Marston Green</v>
      </c>
      <c r="B283" s="1" t="str">
        <f ca="1">IFERROR(__xludf.DUMMYFUNCTION("""COMPUTED_VALUE"""),"MGN")</f>
        <v>MGN</v>
      </c>
      <c r="C283" s="1">
        <f ca="1">IFERROR(__xludf.DUMMYFUNCTION("""COMPUTED_VALUE"""),103400)</f>
        <v>103400</v>
      </c>
      <c r="D283" s="1" t="str">
        <f ca="1">IFERROR(__xludf.DUMMYFUNCTION("""COMPUTED_VALUE"""),"MRSTNGR")</f>
        <v>MRSTNGR</v>
      </c>
      <c r="E283" s="1" t="str">
        <f ca="1">IFERROR(__xludf.DUMMYFUNCTION("""COMPUTED_VALUE"""),"MARSTONGN")</f>
        <v>MARSTONGN</v>
      </c>
      <c r="F283" s="1">
        <f ca="1">IFERROR(__xludf.DUMMYFUNCTION("""COMPUTED_VALUE"""),69217)</f>
        <v>69217</v>
      </c>
    </row>
    <row r="284" spans="1:6" x14ac:dyDescent="0.3">
      <c r="A284" s="1" t="str">
        <f ca="1">IFERROR(__xludf.DUMMYFUNCTION("""COMPUTED_VALUE"""),"Martin Mill")</f>
        <v>Martin Mill</v>
      </c>
      <c r="B284" s="1" t="str">
        <f ca="1">IFERROR(__xludf.DUMMYFUNCTION("""COMPUTED_VALUE"""),"MTM")</f>
        <v>MTM</v>
      </c>
      <c r="C284" s="1">
        <f ca="1">IFERROR(__xludf.DUMMYFUNCTION("""COMPUTED_VALUE"""),504000)</f>
        <v>504000</v>
      </c>
      <c r="D284" s="1" t="str">
        <f ca="1">IFERROR(__xludf.DUMMYFUNCTION("""COMPUTED_VALUE"""),"MMIL")</f>
        <v>MMIL</v>
      </c>
      <c r="E284" s="1" t="str">
        <f ca="1">IFERROR(__xludf.DUMMYFUNCTION("""COMPUTED_VALUE"""),"MARTNMILL")</f>
        <v>MARTNMILL</v>
      </c>
      <c r="F284" s="1">
        <f ca="1">IFERROR(__xludf.DUMMYFUNCTION("""COMPUTED_VALUE"""),89469)</f>
        <v>89469</v>
      </c>
    </row>
    <row r="285" spans="1:6" x14ac:dyDescent="0.3">
      <c r="A285" s="1" t="str">
        <f ca="1">IFERROR(__xludf.DUMMYFUNCTION("""COMPUTED_VALUE"""),"Martinscroft Metrolink")</f>
        <v>Martinscroft Metrolink</v>
      </c>
      <c r="B285" s="1" t="str">
        <f ca="1">IFERROR(__xludf.DUMMYFUNCTION("""COMPUTED_VALUE"""),"MCF")</f>
        <v>MCF</v>
      </c>
      <c r="C285" s="1"/>
      <c r="D285" s="1" t="str">
        <f ca="1">IFERROR(__xludf.DUMMYFUNCTION("""COMPUTED_VALUE"""),"MCFMTLK")</f>
        <v>MCFMTLK</v>
      </c>
      <c r="E285" s="1"/>
      <c r="F285" s="1" t="str">
        <f ca="1">IFERROR(__xludf.DUMMYFUNCTION("""COMPUTED_VALUE"""),"-")</f>
        <v>-</v>
      </c>
    </row>
    <row r="286" spans="1:6" x14ac:dyDescent="0.3">
      <c r="A286" s="1" t="str">
        <f ca="1">IFERROR(__xludf.DUMMYFUNCTION("""COMPUTED_VALUE"""),"Martins Heron")</f>
        <v>Martins Heron</v>
      </c>
      <c r="B286" s="1" t="str">
        <f ca="1">IFERROR(__xludf.DUMMYFUNCTION("""COMPUTED_VALUE"""),"MAO")</f>
        <v>MAO</v>
      </c>
      <c r="C286" s="1">
        <f ca="1">IFERROR(__xludf.DUMMYFUNCTION("""COMPUTED_VALUE"""),569200)</f>
        <v>569200</v>
      </c>
      <c r="D286" s="1" t="str">
        <f ca="1">IFERROR(__xludf.DUMMYFUNCTION("""COMPUTED_VALUE"""),"MHERON")</f>
        <v>MHERON</v>
      </c>
      <c r="E286" s="1" t="str">
        <f ca="1">IFERROR(__xludf.DUMMYFUNCTION("""COMPUTED_VALUE"""),"MARTINHRN")</f>
        <v>MARTINHRN</v>
      </c>
      <c r="F286" s="1">
        <f ca="1">IFERROR(__xludf.DUMMYFUNCTION("""COMPUTED_VALUE"""),87100)</f>
        <v>87100</v>
      </c>
    </row>
    <row r="287" spans="1:6" x14ac:dyDescent="0.3">
      <c r="A287" s="1" t="str">
        <f ca="1">IFERROR(__xludf.DUMMYFUNCTION("""COMPUTED_VALUE"""),"Marton")</f>
        <v>Marton</v>
      </c>
      <c r="B287" s="1" t="str">
        <f ca="1">IFERROR(__xludf.DUMMYFUNCTION("""COMPUTED_VALUE"""),"MTO")</f>
        <v>MTO</v>
      </c>
      <c r="C287" s="1">
        <f ca="1">IFERROR(__xludf.DUMMYFUNCTION("""COMPUTED_VALUE"""),794700)</f>
        <v>794700</v>
      </c>
      <c r="D287" s="1" t="str">
        <f ca="1">IFERROR(__xludf.DUMMYFUNCTION("""COMPUTED_VALUE"""),"MARTON")</f>
        <v>MARTON</v>
      </c>
      <c r="E287" s="1" t="str">
        <f ca="1">IFERROR(__xludf.DUMMYFUNCTION("""COMPUTED_VALUE"""),"MARTON")</f>
        <v>MARTON</v>
      </c>
      <c r="F287" s="1">
        <f ca="1">IFERROR(__xludf.DUMMYFUNCTION("""COMPUTED_VALUE"""),15502)</f>
        <v>15502</v>
      </c>
    </row>
    <row r="288" spans="1:6" x14ac:dyDescent="0.3">
      <c r="A288" s="1" t="str">
        <f ca="1">IFERROR(__xludf.DUMMYFUNCTION("""COMPUTED_VALUE"""),"Maryhill")</f>
        <v>Maryhill</v>
      </c>
      <c r="B288" s="1" t="str">
        <f ca="1">IFERROR(__xludf.DUMMYFUNCTION("""COMPUTED_VALUE"""),"MYH")</f>
        <v>MYH</v>
      </c>
      <c r="C288" s="1">
        <f ca="1">IFERROR(__xludf.DUMMYFUNCTION("""COMPUTED_VALUE"""),995700)</f>
        <v>995700</v>
      </c>
      <c r="D288" s="1" t="str">
        <f ca="1">IFERROR(__xludf.DUMMYFUNCTION("""COMPUTED_VALUE"""),"MRYHILL")</f>
        <v>MRYHILL</v>
      </c>
      <c r="E288" s="1" t="str">
        <f ca="1">IFERROR(__xludf.DUMMYFUNCTION("""COMPUTED_VALUE"""),"MARYHILL")</f>
        <v>MARYHILL</v>
      </c>
      <c r="F288" s="1">
        <f ca="1">IFERROR(__xludf.DUMMYFUNCTION("""COMPUTED_VALUE"""),6233)</f>
        <v>6233</v>
      </c>
    </row>
    <row r="289" spans="1:6" x14ac:dyDescent="0.3">
      <c r="A289" s="1" t="str">
        <f ca="1">IFERROR(__xludf.DUMMYFUNCTION("""COMPUTED_VALUE"""),"Maryhill Park Junction")</f>
        <v>Maryhill Park Junction</v>
      </c>
      <c r="B289" s="1"/>
      <c r="C289" s="1">
        <f ca="1">IFERROR(__xludf.DUMMYFUNCTION("""COMPUTED_VALUE"""),997400)</f>
        <v>997400</v>
      </c>
      <c r="D289" s="1" t="str">
        <f ca="1">IFERROR(__xludf.DUMMYFUNCTION("""COMPUTED_VALUE"""),"MRYHPKJ")</f>
        <v>MRYHPKJ</v>
      </c>
      <c r="E289" s="1" t="str">
        <f ca="1">IFERROR(__xludf.DUMMYFUNCTION("""COMPUTED_VALUE"""),"MARYHLPKJ")</f>
        <v>MARYHLPKJ</v>
      </c>
      <c r="F289" s="1">
        <f ca="1">IFERROR(__xludf.DUMMYFUNCTION("""COMPUTED_VALUE"""),6234)</f>
        <v>6234</v>
      </c>
    </row>
    <row r="290" spans="1:6" x14ac:dyDescent="0.3">
      <c r="A290" s="1" t="str">
        <f ca="1">IFERROR(__xludf.DUMMYFUNCTION("""COMPUTED_VALUE"""),"Maryland")</f>
        <v>Maryland</v>
      </c>
      <c r="B290" s="1" t="str">
        <f ca="1">IFERROR(__xludf.DUMMYFUNCTION("""COMPUTED_VALUE"""),"MYL")</f>
        <v>MYL</v>
      </c>
      <c r="C290" s="1">
        <f ca="1">IFERROR(__xludf.DUMMYFUNCTION("""COMPUTED_VALUE"""),697000)</f>
        <v>697000</v>
      </c>
      <c r="D290" s="1" t="str">
        <f ca="1">IFERROR(__xludf.DUMMYFUNCTION("""COMPUTED_VALUE"""),"MRYLAND")</f>
        <v>MRYLAND</v>
      </c>
      <c r="E290" s="1" t="str">
        <f ca="1">IFERROR(__xludf.DUMMYFUNCTION("""COMPUTED_VALUE"""),"MARYLAND")</f>
        <v>MARYLAND</v>
      </c>
      <c r="F290" s="1">
        <f ca="1">IFERROR(__xludf.DUMMYFUNCTION("""COMPUTED_VALUE"""),50438)</f>
        <v>50438</v>
      </c>
    </row>
    <row r="291" spans="1:6" x14ac:dyDescent="0.3">
      <c r="A291" s="1" t="str">
        <f ca="1">IFERROR(__xludf.DUMMYFUNCTION("""COMPUTED_VALUE"""),"Maryland East Junction")</f>
        <v>Maryland East Junction</v>
      </c>
      <c r="B291" s="1"/>
      <c r="C291" s="1">
        <f ca="1">IFERROR(__xludf.DUMMYFUNCTION("""COMPUTED_VALUE"""),697001)</f>
        <v>697001</v>
      </c>
      <c r="D291" s="1" t="str">
        <f ca="1">IFERROR(__xludf.DUMMYFUNCTION("""COMPUTED_VALUE"""),"MRYLEJN")</f>
        <v>MRYLEJN</v>
      </c>
      <c r="E291" s="1" t="str">
        <f ca="1">IFERROR(__xludf.DUMMYFUNCTION("""COMPUTED_VALUE"""),"MARYLNDEJ")</f>
        <v>MARYLNDEJ</v>
      </c>
      <c r="F291" s="1">
        <f ca="1">IFERROR(__xludf.DUMMYFUNCTION("""COMPUTED_VALUE"""),50436)</f>
        <v>50436</v>
      </c>
    </row>
    <row r="292" spans="1:6" x14ac:dyDescent="0.3">
      <c r="A292" s="1" t="str">
        <f ca="1">IFERROR(__xludf.DUMMYFUNCTION("""COMPUTED_VALUE"""),"Maryland West Junction")</f>
        <v>Maryland West Junction</v>
      </c>
      <c r="B292" s="1"/>
      <c r="C292" s="1">
        <f ca="1">IFERROR(__xludf.DUMMYFUNCTION("""COMPUTED_VALUE"""),697002)</f>
        <v>697002</v>
      </c>
      <c r="D292" s="1" t="str">
        <f ca="1">IFERROR(__xludf.DUMMYFUNCTION("""COMPUTED_VALUE"""),"MRYLWJN")</f>
        <v>MRYLWJN</v>
      </c>
      <c r="E292" s="1" t="str">
        <f ca="1">IFERROR(__xludf.DUMMYFUNCTION("""COMPUTED_VALUE"""),"MARYLNDWJ")</f>
        <v>MARYLNDWJ</v>
      </c>
      <c r="F292" s="1">
        <f ca="1">IFERROR(__xludf.DUMMYFUNCTION("""COMPUTED_VALUE"""),50437)</f>
        <v>50437</v>
      </c>
    </row>
    <row r="293" spans="1:6" x14ac:dyDescent="0.3">
      <c r="A293" s="1" t="str">
        <f ca="1">IFERROR(__xludf.DUMMYFUNCTION("""COMPUTED_VALUE"""),"Marylebone")</f>
        <v>Marylebone</v>
      </c>
      <c r="B293" s="1" t="str">
        <f ca="1">IFERROR(__xludf.DUMMYFUNCTION("""COMPUTED_VALUE"""),"MYB")</f>
        <v>MYB</v>
      </c>
      <c r="C293" s="1">
        <f ca="1">IFERROR(__xludf.DUMMYFUNCTION("""COMPUTED_VALUE"""),147500)</f>
        <v>147500</v>
      </c>
      <c r="D293" s="1" t="str">
        <f ca="1">IFERROR(__xludf.DUMMYFUNCTION("""COMPUTED_VALUE"""),"MARYLBN")</f>
        <v>MARYLBN</v>
      </c>
      <c r="E293" s="1" t="str">
        <f ca="1">IFERROR(__xludf.DUMMYFUNCTION("""COMPUTED_VALUE"""),"MARYLBONE")</f>
        <v>MARYLBONE</v>
      </c>
      <c r="F293" s="1">
        <f ca="1">IFERROR(__xludf.DUMMYFUNCTION("""COMPUTED_VALUE"""),63021)</f>
        <v>63021</v>
      </c>
    </row>
    <row r="294" spans="1:6" x14ac:dyDescent="0.3">
      <c r="A294" s="1" t="str">
        <f ca="1">IFERROR(__xludf.DUMMYFUNCTION("""COMPUTED_VALUE"""),"Marylebone Diesel Multiple Unit Depot")</f>
        <v>Marylebone Diesel Multiple Unit Depot</v>
      </c>
      <c r="B294" s="1" t="str">
        <f ca="1">IFERROR(__xludf.DUMMYFUNCTION("""COMPUTED_VALUE"""),"XME")</f>
        <v>XME</v>
      </c>
      <c r="C294" s="1">
        <f ca="1">IFERROR(__xludf.DUMMYFUNCTION("""COMPUTED_VALUE"""),147429)</f>
        <v>147429</v>
      </c>
      <c r="D294" s="1" t="str">
        <f ca="1">IFERROR(__xludf.DUMMYFUNCTION("""COMPUTED_VALUE"""),"MARYDMU")</f>
        <v>MARYDMU</v>
      </c>
      <c r="E294" s="1" t="str">
        <f ca="1">IFERROR(__xludf.DUMMYFUNCTION("""COMPUTED_VALUE"""),"MARYLBONE")</f>
        <v>MARYLBONE</v>
      </c>
      <c r="F294" s="1">
        <f ca="1">IFERROR(__xludf.DUMMYFUNCTION("""COMPUTED_VALUE"""),63021)</f>
        <v>63021</v>
      </c>
    </row>
    <row r="295" spans="1:6" x14ac:dyDescent="0.3">
      <c r="A295" s="1" t="str">
        <f ca="1">IFERROR(__xludf.DUMMYFUNCTION("""COMPUTED_VALUE"""),"Marylebone Down Main")</f>
        <v>Marylebone Down Main</v>
      </c>
      <c r="B295" s="1"/>
      <c r="C295" s="1">
        <f ca="1">IFERROR(__xludf.DUMMYFUNCTION("""COMPUTED_VALUE"""),147501)</f>
        <v>147501</v>
      </c>
      <c r="D295" s="1" t="str">
        <f ca="1">IFERROR(__xludf.DUMMYFUNCTION("""COMPUTED_VALUE"""),"MARYDM")</f>
        <v>MARYDM</v>
      </c>
      <c r="E295" s="1"/>
      <c r="F295" s="1"/>
    </row>
    <row r="296" spans="1:6" x14ac:dyDescent="0.3">
      <c r="A296" s="1" t="str">
        <f ca="1">IFERROR(__xludf.DUMMYFUNCTION("""COMPUTED_VALUE"""),"Marylebone Down Siding")</f>
        <v>Marylebone Down Siding</v>
      </c>
      <c r="B296" s="1"/>
      <c r="C296" s="1"/>
      <c r="D296" s="1" t="str">
        <f ca="1">IFERROR(__xludf.DUMMYFUNCTION("""COMPUTED_VALUE"""),"MARYDNS")</f>
        <v>MARYDNS</v>
      </c>
      <c r="E296" s="1"/>
      <c r="F296" s="1"/>
    </row>
    <row r="297" spans="1:6" x14ac:dyDescent="0.3">
      <c r="A297" s="1" t="str">
        <f ca="1">IFERROR(__xludf.DUMMYFUNCTION("""COMPUTED_VALUE"""),"Marylebone For The Games")</f>
        <v>Marylebone For The Games</v>
      </c>
      <c r="B297" s="1" t="str">
        <f ca="1">IFERROR(__xludf.DUMMYFUNCTION("""COMPUTED_VALUE"""),"MYX")</f>
        <v>MYX</v>
      </c>
      <c r="C297" s="1">
        <f ca="1">IFERROR(__xludf.DUMMYFUNCTION("""COMPUTED_VALUE"""),659100)</f>
        <v>659100</v>
      </c>
      <c r="D297" s="1" t="str">
        <f ca="1">IFERROR(__xludf.DUMMYFUNCTION("""COMPUTED_VALUE"""),"CATZ043")</f>
        <v>CATZ043</v>
      </c>
      <c r="E297" s="1"/>
      <c r="F297" s="1"/>
    </row>
    <row r="298" spans="1:6" x14ac:dyDescent="0.3">
      <c r="A298" s="1" t="str">
        <f ca="1">IFERROR(__xludf.DUMMYFUNCTION("""COMPUTED_VALUE"""),"Marylebone Sidings 1-5")</f>
        <v>Marylebone Sidings 1-5</v>
      </c>
      <c r="B298" s="1"/>
      <c r="C298" s="1">
        <f ca="1">IFERROR(__xludf.DUMMYFUNCTION("""COMPUTED_VALUE"""),147503)</f>
        <v>147503</v>
      </c>
      <c r="D298" s="1" t="str">
        <f ca="1">IFERROR(__xludf.DUMMYFUNCTION("""COMPUTED_VALUE"""),"MARYSDS")</f>
        <v>MARYSDS</v>
      </c>
      <c r="E298" s="1" t="str">
        <f ca="1">IFERROR(__xludf.DUMMYFUNCTION("""COMPUTED_VALUE"""),"MARYLBNSG")</f>
        <v>MARYLBNSG</v>
      </c>
      <c r="F298" s="1">
        <f ca="1">IFERROR(__xludf.DUMMYFUNCTION("""COMPUTED_VALUE"""),63023)</f>
        <v>63023</v>
      </c>
    </row>
    <row r="299" spans="1:6" x14ac:dyDescent="0.3">
      <c r="A299" s="1" t="str">
        <f ca="1">IFERROR(__xludf.DUMMYFUNCTION("""COMPUTED_VALUE"""),"Marylebone Signal ME10")</f>
        <v>Marylebone Signal ME10</v>
      </c>
      <c r="B299" s="1"/>
      <c r="C299" s="1">
        <f ca="1">IFERROR(__xludf.DUMMYFUNCTION("""COMPUTED_VALUE"""),147508)</f>
        <v>147508</v>
      </c>
      <c r="D299" s="1" t="str">
        <f ca="1">IFERROR(__xludf.DUMMYFUNCTION("""COMPUTED_VALUE"""),"MARY10")</f>
        <v>MARY10</v>
      </c>
      <c r="E299" s="1" t="str">
        <f ca="1">IFERROR(__xludf.DUMMYFUNCTION("""COMPUTED_VALUE"""),"MARYLBS10")</f>
        <v>MARYLBS10</v>
      </c>
      <c r="F299" s="1">
        <f ca="1">IFERROR(__xludf.DUMMYFUNCTION("""COMPUTED_VALUE"""),63027)</f>
        <v>63027</v>
      </c>
    </row>
    <row r="300" spans="1:6" x14ac:dyDescent="0.3">
      <c r="A300" s="1" t="str">
        <f ca="1">IFERROR(__xludf.DUMMYFUNCTION("""COMPUTED_VALUE"""),"Marylebone Up Main")</f>
        <v>Marylebone Up Main</v>
      </c>
      <c r="B300" s="1"/>
      <c r="C300" s="1">
        <f ca="1">IFERROR(__xludf.DUMMYFUNCTION("""COMPUTED_VALUE"""),147504)</f>
        <v>147504</v>
      </c>
      <c r="D300" s="1" t="str">
        <f ca="1">IFERROR(__xludf.DUMMYFUNCTION("""COMPUTED_VALUE"""),"MARYUM")</f>
        <v>MARYUM</v>
      </c>
      <c r="E300" s="1"/>
      <c r="F300" s="1"/>
    </row>
    <row r="301" spans="1:6" x14ac:dyDescent="0.3">
      <c r="A301" s="1" t="str">
        <f ca="1">IFERROR(__xludf.DUMMYFUNCTION("""COMPUTED_VALUE"""),"Marylebone Up Passenger Loop")</f>
        <v>Marylebone Up Passenger Loop</v>
      </c>
      <c r="B301" s="1"/>
      <c r="C301" s="1">
        <f ca="1">IFERROR(__xludf.DUMMYFUNCTION("""COMPUTED_VALUE"""),147509)</f>
        <v>147509</v>
      </c>
      <c r="D301" s="1" t="str">
        <f ca="1">IFERROR(__xludf.DUMMYFUNCTION("""COMPUTED_VALUE"""),"MARYUPL")</f>
        <v>MARYUPL</v>
      </c>
      <c r="E301" s="1" t="str">
        <f ca="1">IFERROR(__xludf.DUMMYFUNCTION("""COMPUTED_VALUE"""),"MARYLBUPL")</f>
        <v>MARYLBUPL</v>
      </c>
      <c r="F301" s="1">
        <f ca="1">IFERROR(__xludf.DUMMYFUNCTION("""COMPUTED_VALUE"""),63022)</f>
        <v>63022</v>
      </c>
    </row>
    <row r="302" spans="1:6" x14ac:dyDescent="0.3">
      <c r="A302" s="1" t="str">
        <f ca="1">IFERROR(__xludf.DUMMYFUNCTION("""COMPUTED_VALUE"""),"Marylebone Up Platform Siding")</f>
        <v>Marylebone Up Platform Siding</v>
      </c>
      <c r="B302" s="1"/>
      <c r="C302" s="1">
        <f ca="1">IFERROR(__xludf.DUMMYFUNCTION("""COMPUTED_VALUE"""),147505)</f>
        <v>147505</v>
      </c>
      <c r="D302" s="1" t="str">
        <f ca="1">IFERROR(__xludf.DUMMYFUNCTION("""COMPUTED_VALUE"""),"MARYUPS")</f>
        <v>MARYUPS</v>
      </c>
      <c r="E302" s="1" t="str">
        <f ca="1">IFERROR(__xludf.DUMMYFUNCTION("""COMPUTED_VALUE"""),"MARYLBUPS")</f>
        <v>MARYLBUPS</v>
      </c>
      <c r="F302" s="1">
        <f ca="1">IFERROR(__xludf.DUMMYFUNCTION("""COMPUTED_VALUE"""),63025)</f>
        <v>63025</v>
      </c>
    </row>
    <row r="303" spans="1:6" x14ac:dyDescent="0.3">
      <c r="A303" s="1" t="str">
        <f ca="1">IFERROR(__xludf.DUMMYFUNCTION("""COMPUTED_VALUE"""),"Marylebone Up Tunnel Siding")</f>
        <v>Marylebone Up Tunnel Siding</v>
      </c>
      <c r="B303" s="1"/>
      <c r="C303" s="1">
        <f ca="1">IFERROR(__xludf.DUMMYFUNCTION("""COMPUTED_VALUE"""),147507)</f>
        <v>147507</v>
      </c>
      <c r="D303" s="1" t="str">
        <f ca="1">IFERROR(__xludf.DUMMYFUNCTION("""COMPUTED_VALUE"""),"MARYUTS")</f>
        <v>MARYUTS</v>
      </c>
      <c r="E303" s="1" t="str">
        <f ca="1">IFERROR(__xludf.DUMMYFUNCTION("""COMPUTED_VALUE"""),"MARYLBUTS")</f>
        <v>MARYLBUTS</v>
      </c>
      <c r="F303" s="1">
        <f ca="1">IFERROR(__xludf.DUMMYFUNCTION("""COMPUTED_VALUE"""),63026)</f>
        <v>63026</v>
      </c>
    </row>
    <row r="304" spans="1:6" x14ac:dyDescent="0.3">
      <c r="A304" s="1" t="str">
        <f ca="1">IFERROR(__xludf.DUMMYFUNCTION("""COMPUTED_VALUE"""),"Marylebone Washer Road")</f>
        <v>Marylebone Washer Road</v>
      </c>
      <c r="B304" s="1"/>
      <c r="C304" s="1">
        <f ca="1">IFERROR(__xludf.DUMMYFUNCTION("""COMPUTED_VALUE"""),147506)</f>
        <v>147506</v>
      </c>
      <c r="D304" s="1" t="str">
        <f ca="1">IFERROR(__xludf.DUMMYFUNCTION("""COMPUTED_VALUE"""),"MARYWRD")</f>
        <v>MARYWRD</v>
      </c>
      <c r="E304" s="1" t="str">
        <f ca="1">IFERROR(__xludf.DUMMYFUNCTION("""COMPUTED_VALUE"""),"MARYLBNWR")</f>
        <v>MARYLBNWR</v>
      </c>
      <c r="F304" s="1">
        <f ca="1">IFERROR(__xludf.DUMMYFUNCTION("""COMPUTED_VALUE"""),63024)</f>
        <v>63024</v>
      </c>
    </row>
    <row r="305" spans="1:6" x14ac:dyDescent="0.3">
      <c r="A305" s="1" t="str">
        <f ca="1">IFERROR(__xludf.DUMMYFUNCTION("""COMPUTED_VALUE"""),"Maryport")</f>
        <v>Maryport</v>
      </c>
      <c r="B305" s="1" t="str">
        <f ca="1">IFERROR(__xludf.DUMMYFUNCTION("""COMPUTED_VALUE"""),"MRY")</f>
        <v>MRY</v>
      </c>
      <c r="C305" s="1">
        <f ca="1">IFERROR(__xludf.DUMMYFUNCTION("""COMPUTED_VALUE"""),198800)</f>
        <v>198800</v>
      </c>
      <c r="D305" s="1" t="str">
        <f ca="1">IFERROR(__xludf.DUMMYFUNCTION("""COMPUTED_VALUE"""),"MPRT")</f>
        <v>MPRT</v>
      </c>
      <c r="E305" s="1" t="str">
        <f ca="1">IFERROR(__xludf.DUMMYFUNCTION("""COMPUTED_VALUE"""),"MARYPORT")</f>
        <v>MARYPORT</v>
      </c>
      <c r="F305" s="1">
        <f ca="1">IFERROR(__xludf.DUMMYFUNCTION("""COMPUTED_VALUE"""),10023)</f>
        <v>10023</v>
      </c>
    </row>
    <row r="306" spans="1:6" x14ac:dyDescent="0.3">
      <c r="A306" s="1" t="str">
        <f ca="1">IFERROR(__xludf.DUMMYFUNCTION("""COMPUTED_VALUE"""),"Maryport Up Siding")</f>
        <v>Maryport Up Siding</v>
      </c>
      <c r="B306" s="1"/>
      <c r="C306" s="1">
        <f ca="1">IFERROR(__xludf.DUMMYFUNCTION("""COMPUTED_VALUE"""),198811)</f>
        <v>198811</v>
      </c>
      <c r="D306" s="1" t="str">
        <f ca="1">IFERROR(__xludf.DUMMYFUNCTION("""COMPUTED_VALUE"""),"MPRTNCB")</f>
        <v>MPRTNCB</v>
      </c>
      <c r="E306" s="1"/>
      <c r="F306" s="1" t="str">
        <f ca="1">IFERROR(__xludf.DUMMYFUNCTION("""COMPUTED_VALUE"""),"-")</f>
        <v>-</v>
      </c>
    </row>
    <row r="307" spans="1:6" x14ac:dyDescent="0.3">
      <c r="A307" s="1" t="str">
        <f ca="1">IFERROR(__xludf.DUMMYFUNCTION("""COMPUTED_VALUE"""),"Masborough BSC")</f>
        <v>Masborough BSC</v>
      </c>
      <c r="B307" s="1"/>
      <c r="C307" s="1"/>
      <c r="D307" s="1" t="str">
        <f ca="1">IFERROR(__xludf.DUMMYFUNCTION("""COMPUTED_VALUE"""),"MBROSS")</f>
        <v>MBROSS</v>
      </c>
      <c r="E307" s="1"/>
      <c r="F307" s="1"/>
    </row>
    <row r="308" spans="1:6" x14ac:dyDescent="0.3">
      <c r="A308" s="1" t="str">
        <f ca="1">IFERROR(__xludf.DUMMYFUNCTION("""COMPUTED_VALUE"""),"Masborough English Welsh &amp; Scottish Railway")</f>
        <v>Masborough English Welsh &amp; Scottish Railway</v>
      </c>
      <c r="B308" s="1"/>
      <c r="C308" s="1">
        <f ca="1">IFERROR(__xludf.DUMMYFUNCTION("""COMPUTED_VALUE"""),667302)</f>
        <v>667302</v>
      </c>
      <c r="D308" s="1" t="str">
        <f ca="1">IFERROR(__xludf.DUMMYFUNCTION("""COMPUTED_VALUE"""),"MBROEWS")</f>
        <v>MBROEWS</v>
      </c>
      <c r="E308" s="1" t="str">
        <f ca="1">IFERROR(__xludf.DUMMYFUNCTION("""COMPUTED_VALUE"""),"MASBRODB")</f>
        <v>MASBRODB</v>
      </c>
      <c r="F308" s="1">
        <f ca="1">IFERROR(__xludf.DUMMYFUNCTION("""COMPUTED_VALUE"""),25009)</f>
        <v>25009</v>
      </c>
    </row>
    <row r="309" spans="1:6" x14ac:dyDescent="0.3">
      <c r="A309" s="1" t="str">
        <f ca="1">IFERROR(__xludf.DUMMYFUNCTION("""COMPUTED_VALUE"""),"Masborough Freight Depot")</f>
        <v>Masborough Freight Depot</v>
      </c>
      <c r="B309" s="1"/>
      <c r="C309" s="1">
        <f ca="1">IFERROR(__xludf.DUMMYFUNCTION("""COMPUTED_VALUE"""),667324)</f>
        <v>667324</v>
      </c>
      <c r="D309" s="1" t="str">
        <f ca="1">IFERROR(__xludf.DUMMYFUNCTION("""COMPUTED_VALUE"""),"MBROSTY")</f>
        <v>MBROSTY</v>
      </c>
      <c r="E309" s="1" t="str">
        <f ca="1">IFERROR(__xludf.DUMMYFUNCTION("""COMPUTED_VALUE"""),"RHAM S T")</f>
        <v>RHAM S T</v>
      </c>
      <c r="F309" s="1">
        <f ca="1">IFERROR(__xludf.DUMMYFUNCTION("""COMPUTED_VALUE"""),25012)</f>
        <v>25012</v>
      </c>
    </row>
    <row r="310" spans="1:6" x14ac:dyDescent="0.3">
      <c r="A310" s="1" t="str">
        <f ca="1">IFERROR(__xludf.DUMMYFUNCTION("""COMPUTED_VALUE"""),"Masborough Freightliner Heavy Haul")</f>
        <v>Masborough Freightliner Heavy Haul</v>
      </c>
      <c r="B310" s="1"/>
      <c r="C310" s="1">
        <f ca="1">IFERROR(__xludf.DUMMYFUNCTION("""COMPUTED_VALUE"""),667301)</f>
        <v>667301</v>
      </c>
      <c r="D310" s="1" t="str">
        <f ca="1">IFERROR(__xludf.DUMMYFUNCTION("""COMPUTED_VALUE"""),"MBROFHH")</f>
        <v>MBROFHH</v>
      </c>
      <c r="E310" s="1" t="str">
        <f ca="1">IFERROR(__xludf.DUMMYFUNCTION("""COMPUTED_VALUE"""),"RHAM MASB")</f>
        <v>RHAM MASB</v>
      </c>
      <c r="F310" s="1">
        <f ca="1">IFERROR(__xludf.DUMMYFUNCTION("""COMPUTED_VALUE"""),25010)</f>
        <v>25010</v>
      </c>
    </row>
    <row r="311" spans="1:6" x14ac:dyDescent="0.3">
      <c r="A311" s="1" t="str">
        <f ca="1">IFERROR(__xludf.DUMMYFUNCTION("""COMPUTED_VALUE"""),"Masborough Junction")</f>
        <v>Masborough Junction</v>
      </c>
      <c r="B311" s="1"/>
      <c r="C311" s="1">
        <f ca="1">IFERROR(__xludf.DUMMYFUNCTION("""COMPUTED_VALUE"""),667330)</f>
        <v>667330</v>
      </c>
      <c r="D311" s="1" t="str">
        <f ca="1">IFERROR(__xludf.DUMMYFUNCTION("""COMPUTED_VALUE"""),"MBRONJN")</f>
        <v>MBRONJN</v>
      </c>
      <c r="E311" s="1" t="str">
        <f ca="1">IFERROR(__xludf.DUMMYFUNCTION("""COMPUTED_VALUE"""),"RHAMMASJN")</f>
        <v>RHAMMASJN</v>
      </c>
      <c r="F311" s="1">
        <f ca="1">IFERROR(__xludf.DUMMYFUNCTION("""COMPUTED_VALUE"""),24705)</f>
        <v>24705</v>
      </c>
    </row>
    <row r="312" spans="1:6" x14ac:dyDescent="0.3">
      <c r="A312" s="1" t="str">
        <f ca="1">IFERROR(__xludf.DUMMYFUNCTION("""COMPUTED_VALUE"""),"Masborough Junction Shunt Signal")</f>
        <v>Masborough Junction Shunt Signal</v>
      </c>
      <c r="B312" s="1"/>
      <c r="C312" s="1">
        <f ca="1">IFERROR(__xludf.DUMMYFUNCTION("""COMPUTED_VALUE"""),667315)</f>
        <v>667315</v>
      </c>
      <c r="D312" s="1" t="str">
        <f ca="1">IFERROR(__xludf.DUMMYFUNCTION("""COMPUTED_VALUE"""),"MBROJNS")</f>
        <v>MBROJNS</v>
      </c>
      <c r="E312" s="1" t="str">
        <f ca="1">IFERROR(__xludf.DUMMYFUNCTION("""COMPUTED_VALUE"""),"MASBJNSHS")</f>
        <v>MASBJNSHS</v>
      </c>
      <c r="F312" s="1">
        <f ca="1">IFERROR(__xludf.DUMMYFUNCTION("""COMPUTED_VALUE"""),24704)</f>
        <v>24704</v>
      </c>
    </row>
    <row r="313" spans="1:6" x14ac:dyDescent="0.3">
      <c r="A313" s="1" t="str">
        <f ca="1">IFERROR(__xludf.DUMMYFUNCTION("""COMPUTED_VALUE"""),"Masborough N&amp;W GB Railfright")</f>
        <v>Masborough N&amp;W GB Railfright</v>
      </c>
      <c r="B313" s="1"/>
      <c r="C313" s="1">
        <f ca="1">IFERROR(__xludf.DUMMYFUNCTION("""COMPUTED_VALUE"""),667310)</f>
        <v>667310</v>
      </c>
      <c r="D313" s="1" t="str">
        <f ca="1">IFERROR(__xludf.DUMMYFUNCTION("""COMPUTED_VALUE"""),"MBROGBR")</f>
        <v>MBROGBR</v>
      </c>
      <c r="E313" s="1" t="str">
        <f ca="1">IFERROR(__xludf.DUMMYFUNCTION("""COMPUTED_VALUE"""),"MASBRNWGB")</f>
        <v>MASBRNWGB</v>
      </c>
      <c r="F313" s="1">
        <f ca="1">IFERROR(__xludf.DUMMYFUNCTION("""COMPUTED_VALUE"""),25019)</f>
        <v>25019</v>
      </c>
    </row>
    <row r="314" spans="1:6" x14ac:dyDescent="0.3">
      <c r="A314" s="1" t="str">
        <f ca="1">IFERROR(__xludf.DUMMYFUNCTION("""COMPUTED_VALUE"""),"Masborough PS Booths")</f>
        <v>Masborough PS Booths</v>
      </c>
      <c r="B314" s="1"/>
      <c r="C314" s="1">
        <f ca="1">IFERROR(__xludf.DUMMYFUNCTION("""COMPUTED_VALUE"""),667312)</f>
        <v>667312</v>
      </c>
      <c r="D314" s="1" t="str">
        <f ca="1">IFERROR(__xludf.DUMMYFUNCTION("""COMPUTED_VALUE"""),"MBROBPS")</f>
        <v>MBROBPS</v>
      </c>
      <c r="E314" s="1" t="str">
        <f ca="1">IFERROR(__xludf.DUMMYFUNCTION("""COMPUTED_VALUE"""),"RHAM MAS")</f>
        <v>RHAM MAS</v>
      </c>
      <c r="F314" s="1">
        <f ca="1">IFERROR(__xludf.DUMMYFUNCTION("""COMPUTED_VALUE"""),25014)</f>
        <v>25014</v>
      </c>
    </row>
    <row r="315" spans="1:6" x14ac:dyDescent="0.3">
      <c r="A315" s="1" t="str">
        <f ca="1">IFERROR(__xludf.DUMMYFUNCTION("""COMPUTED_VALUE"""),"Masborough Sorting Sidings Junction")</f>
        <v>Masborough Sorting Sidings Junction</v>
      </c>
      <c r="B315" s="1"/>
      <c r="C315" s="1">
        <f ca="1">IFERROR(__xludf.DUMMYFUNCTION("""COMPUTED_VALUE"""),667319)</f>
        <v>667319</v>
      </c>
      <c r="D315" s="1" t="str">
        <f ca="1">IFERROR(__xludf.DUMMYFUNCTION("""COMPUTED_VALUE"""),"MBROSSJ")</f>
        <v>MBROSSJ</v>
      </c>
      <c r="E315" s="1" t="str">
        <f ca="1">IFERROR(__xludf.DUMMYFUNCTION("""COMPUTED_VALUE"""),"MASBROSSJ")</f>
        <v>MASBROSSJ</v>
      </c>
      <c r="F315" s="1">
        <f ca="1">IFERROR(__xludf.DUMMYFUNCTION("""COMPUTED_VALUE"""),25011)</f>
        <v>25011</v>
      </c>
    </row>
    <row r="316" spans="1:6" x14ac:dyDescent="0.3">
      <c r="A316" s="1" t="str">
        <f ca="1">IFERROR(__xludf.DUMMYFUNCTION("""COMPUTED_VALUE"""),"Matlock")</f>
        <v>Matlock</v>
      </c>
      <c r="B316" s="1" t="str">
        <f ca="1">IFERROR(__xludf.DUMMYFUNCTION("""COMPUTED_VALUE"""),"MAT")</f>
        <v>MAT</v>
      </c>
      <c r="C316" s="1">
        <f ca="1">IFERROR(__xludf.DUMMYFUNCTION("""COMPUTED_VALUE"""),158100)</f>
        <v>158100</v>
      </c>
      <c r="D316" s="1" t="str">
        <f ca="1">IFERROR(__xludf.DUMMYFUNCTION("""COMPUTED_VALUE"""),"MATLOCK")</f>
        <v>MATLOCK</v>
      </c>
      <c r="E316" s="1" t="str">
        <f ca="1">IFERROR(__xludf.DUMMYFUNCTION("""COMPUTED_VALUE"""),"MATLOCK")</f>
        <v>MATLOCK</v>
      </c>
      <c r="F316" s="1">
        <f ca="1">IFERROR(__xludf.DUMMYFUNCTION("""COMPUTED_VALUE"""),57004)</f>
        <v>57004</v>
      </c>
    </row>
    <row r="317" spans="1:6" x14ac:dyDescent="0.3">
      <c r="A317" s="1" t="str">
        <f ca="1">IFERROR(__xludf.DUMMYFUNCTION("""COMPUTED_VALUE"""),"Matlock Bath")</f>
        <v>Matlock Bath</v>
      </c>
      <c r="B317" s="1" t="str">
        <f ca="1">IFERROR(__xludf.DUMMYFUNCTION("""COMPUTED_VALUE"""),"MTB")</f>
        <v>MTB</v>
      </c>
      <c r="C317" s="1">
        <f ca="1">IFERROR(__xludf.DUMMYFUNCTION("""COMPUTED_VALUE"""),158200)</f>
        <v>158200</v>
      </c>
      <c r="D317" s="1" t="str">
        <f ca="1">IFERROR(__xludf.DUMMYFUNCTION("""COMPUTED_VALUE"""),"MATLCKB")</f>
        <v>MATLCKB</v>
      </c>
      <c r="E317" s="1" t="str">
        <f ca="1">IFERROR(__xludf.DUMMYFUNCTION("""COMPUTED_VALUE"""),"MATLKBATH")</f>
        <v>MATLKBATH</v>
      </c>
      <c r="F317" s="1">
        <f ca="1">IFERROR(__xludf.DUMMYFUNCTION("""COMPUTED_VALUE"""),57007)</f>
        <v>57007</v>
      </c>
    </row>
    <row r="318" spans="1:6" x14ac:dyDescent="0.3">
      <c r="A318" s="1" t="str">
        <f ca="1">IFERROR(__xludf.DUMMYFUNCTION("""COMPUTED_VALUE"""),"Matlock Peak Rail")</f>
        <v>Matlock Peak Rail</v>
      </c>
      <c r="B318" s="1"/>
      <c r="C318" s="1">
        <f ca="1">IFERROR(__xludf.DUMMYFUNCTION("""COMPUTED_VALUE"""),158113)</f>
        <v>158113</v>
      </c>
      <c r="D318" s="1" t="str">
        <f ca="1">IFERROR(__xludf.DUMMYFUNCTION("""COMPUTED_VALUE"""),"MATLPR")</f>
        <v>MATLPR</v>
      </c>
      <c r="E318" s="1" t="str">
        <f ca="1">IFERROR(__xludf.DUMMYFUNCTION("""COMPUTED_VALUE"""),"MATLOCKPR")</f>
        <v>MATLOCKPR</v>
      </c>
      <c r="F318" s="1">
        <f ca="1">IFERROR(__xludf.DUMMYFUNCTION("""COMPUTED_VALUE"""),57005)</f>
        <v>57005</v>
      </c>
    </row>
    <row r="319" spans="1:6" x14ac:dyDescent="0.3">
      <c r="A319" s="1" t="str">
        <f ca="1">IFERROR(__xludf.DUMMYFUNCTION("""COMPUTED_VALUE"""),"Mauchline")</f>
        <v>Mauchline</v>
      </c>
      <c r="B319" s="1"/>
      <c r="C319" s="1">
        <f ca="1">IFERROR(__xludf.DUMMYFUNCTION("""COMPUTED_VALUE"""),952600)</f>
        <v>952600</v>
      </c>
      <c r="D319" s="1" t="str">
        <f ca="1">IFERROR(__xludf.DUMMYFUNCTION("""COMPUTED_VALUE"""),"MAUCHLN")</f>
        <v>MAUCHLN</v>
      </c>
      <c r="E319" s="1" t="str">
        <f ca="1">IFERROR(__xludf.DUMMYFUNCTION("""COMPUTED_VALUE"""),"MCHLNE JN")</f>
        <v>MCHLNE JN</v>
      </c>
      <c r="F319" s="1">
        <f ca="1">IFERROR(__xludf.DUMMYFUNCTION("""COMPUTED_VALUE"""),8813)</f>
        <v>8813</v>
      </c>
    </row>
    <row r="320" spans="1:6" x14ac:dyDescent="0.3">
      <c r="A320" s="1" t="str">
        <f ca="1">IFERROR(__xludf.DUMMYFUNCTION("""COMPUTED_VALUE"""),"Mauchline Signal MM31")</f>
        <v>Mauchline Signal MM31</v>
      </c>
      <c r="B320" s="1"/>
      <c r="C320" s="1">
        <f ca="1">IFERROR(__xludf.DUMMYFUNCTION("""COMPUTED_VALUE"""),952602)</f>
        <v>952602</v>
      </c>
      <c r="D320" s="1" t="str">
        <f ca="1">IFERROR(__xludf.DUMMYFUNCTION("""COMPUTED_VALUE"""),"MAUCM31")</f>
        <v>MAUCM31</v>
      </c>
      <c r="E320" s="1"/>
      <c r="F320" s="1">
        <f ca="1">IFERROR(__xludf.DUMMYFUNCTION("""COMPUTED_VALUE"""),8811)</f>
        <v>8811</v>
      </c>
    </row>
    <row r="321" spans="1:6" x14ac:dyDescent="0.3">
      <c r="A321" s="1" t="str">
        <f ca="1">IFERROR(__xludf.DUMMYFUNCTION("""COMPUTED_VALUE"""),"Mauchline Up Sidings")</f>
        <v>Mauchline Up Sidings</v>
      </c>
      <c r="B321" s="1"/>
      <c r="C321" s="1">
        <f ca="1">IFERROR(__xludf.DUMMYFUNCTION("""COMPUTED_VALUE"""),952601)</f>
        <v>952601</v>
      </c>
      <c r="D321" s="1" t="str">
        <f ca="1">IFERROR(__xludf.DUMMYFUNCTION("""COMPUTED_VALUE"""),"MAUCLUS")</f>
        <v>MAUCLUS</v>
      </c>
      <c r="E321" s="1" t="str">
        <f ca="1">IFERROR(__xludf.DUMMYFUNCTION("""COMPUTED_VALUE"""),"MCHLNE US")</f>
        <v>MCHLNE US</v>
      </c>
      <c r="F321" s="1">
        <f ca="1">IFERROR(__xludf.DUMMYFUNCTION("""COMPUTED_VALUE"""),8812)</f>
        <v>8812</v>
      </c>
    </row>
    <row r="322" spans="1:6" x14ac:dyDescent="0.3">
      <c r="A322" s="1" t="str">
        <f ca="1">IFERROR(__xludf.DUMMYFUNCTION("""COMPUTED_VALUE"""),"Mauldeth Road")</f>
        <v>Mauldeth Road</v>
      </c>
      <c r="B322" s="1" t="str">
        <f ca="1">IFERROR(__xludf.DUMMYFUNCTION("""COMPUTED_VALUE"""),"MAU")</f>
        <v>MAU</v>
      </c>
      <c r="C322" s="1">
        <f ca="1">IFERROR(__xludf.DUMMYFUNCTION("""COMPUTED_VALUE"""),286700)</f>
        <v>286700</v>
      </c>
      <c r="D322" s="1" t="str">
        <f ca="1">IFERROR(__xludf.DUMMYFUNCTION("""COMPUTED_VALUE"""),"MLDTHRD")</f>
        <v>MLDTHRD</v>
      </c>
      <c r="E322" s="1" t="str">
        <f ca="1">IFERROR(__xludf.DUMMYFUNCTION("""COMPUTED_VALUE"""),"MAULDTHRD")</f>
        <v>MAULDTHRD</v>
      </c>
      <c r="F322" s="1">
        <f ca="1">IFERROR(__xludf.DUMMYFUNCTION("""COMPUTED_VALUE"""),32527)</f>
        <v>32527</v>
      </c>
    </row>
    <row r="323" spans="1:6" x14ac:dyDescent="0.3">
      <c r="A323" s="1" t="str">
        <f ca="1">IFERROR(__xludf.DUMMYFUNCTION("""COMPUTED_VALUE"""),"Maxwell Park")</f>
        <v>Maxwell Park</v>
      </c>
      <c r="B323" s="1" t="str">
        <f ca="1">IFERROR(__xludf.DUMMYFUNCTION("""COMPUTED_VALUE"""),"MAX")</f>
        <v>MAX</v>
      </c>
      <c r="C323" s="1">
        <f ca="1">IFERROR(__xludf.DUMMYFUNCTION("""COMPUTED_VALUE"""),980200)</f>
        <v>980200</v>
      </c>
      <c r="D323" s="1" t="str">
        <f ca="1">IFERROR(__xludf.DUMMYFUNCTION("""COMPUTED_VALUE"""),"MAXWLPK")</f>
        <v>MAXWLPK</v>
      </c>
      <c r="E323" s="1" t="str">
        <f ca="1">IFERROR(__xludf.DUMMYFUNCTION("""COMPUTED_VALUE"""),"MAXWELLPK")</f>
        <v>MAXWELLPK</v>
      </c>
      <c r="F323" s="1">
        <f ca="1">IFERROR(__xludf.DUMMYFUNCTION("""COMPUTED_VALUE"""),7587)</f>
        <v>7587</v>
      </c>
    </row>
    <row r="324" spans="1:6" x14ac:dyDescent="0.3">
      <c r="A324" s="1" t="str">
        <f ca="1">IFERROR(__xludf.DUMMYFUNCTION("""COMPUTED_VALUE"""),"Maybole")</f>
        <v>Maybole</v>
      </c>
      <c r="B324" s="1" t="str">
        <f ca="1">IFERROR(__xludf.DUMMYFUNCTION("""COMPUTED_VALUE"""),"MAY")</f>
        <v>MAY</v>
      </c>
      <c r="C324" s="1">
        <f ca="1">IFERROR(__xludf.DUMMYFUNCTION("""COMPUTED_VALUE"""),952900)</f>
        <v>952900</v>
      </c>
      <c r="D324" s="1" t="str">
        <f ca="1">IFERROR(__xludf.DUMMYFUNCTION("""COMPUTED_VALUE"""),"MAYBOLE")</f>
        <v>MAYBOLE</v>
      </c>
      <c r="E324" s="1" t="str">
        <f ca="1">IFERROR(__xludf.DUMMYFUNCTION("""COMPUTED_VALUE"""),"MAYBOLE")</f>
        <v>MAYBOLE</v>
      </c>
      <c r="F324" s="1">
        <f ca="1">IFERROR(__xludf.DUMMYFUNCTION("""COMPUTED_VALUE"""),8639)</f>
        <v>8639</v>
      </c>
    </row>
    <row r="325" spans="1:6" x14ac:dyDescent="0.3">
      <c r="A325" s="1" t="str">
        <f ca="1">IFERROR(__xludf.DUMMYFUNCTION("""COMPUTED_VALUE"""),"Mayfield Loop")</f>
        <v>Mayfield Loop</v>
      </c>
      <c r="B325" s="1"/>
      <c r="C325" s="1">
        <f ca="1">IFERROR(__xludf.DUMMYFUNCTION("""COMPUTED_VALUE"""),296803)</f>
        <v>296803</v>
      </c>
      <c r="D325" s="1" t="str">
        <f ca="1">IFERROR(__xludf.DUMMYFUNCTION("""COMPUTED_VALUE"""),"MAIFDLP")</f>
        <v>MAIFDLP</v>
      </c>
      <c r="E325" s="1" t="str">
        <f ca="1">IFERROR(__xludf.DUMMYFUNCTION("""COMPUTED_VALUE"""),"MAYFDLOOP")</f>
        <v>MAYFDLOOP</v>
      </c>
      <c r="F325" s="1">
        <f ca="1">IFERROR(__xludf.DUMMYFUNCTION("""COMPUTED_VALUE"""),32002)</f>
        <v>32002</v>
      </c>
    </row>
    <row r="326" spans="1:6" x14ac:dyDescent="0.3">
      <c r="A326" s="1" t="str">
        <f ca="1">IFERROR(__xludf.DUMMYFUNCTION("""COMPUTED_VALUE"""),"Maynooth")</f>
        <v>Maynooth</v>
      </c>
      <c r="B326" s="1" t="str">
        <f ca="1">IFERROR(__xludf.DUMMYFUNCTION("""COMPUTED_VALUE"""),"MAE")</f>
        <v>MAE</v>
      </c>
      <c r="C326" s="1">
        <f ca="1">IFERROR(__xludf.DUMMYFUNCTION("""COMPUTED_VALUE"""),162100)</f>
        <v>162100</v>
      </c>
      <c r="D326" s="1" t="str">
        <f ca="1">IFERROR(__xludf.DUMMYFUNCTION("""COMPUTED_VALUE"""),"CATZMAE")</f>
        <v>CATZMAE</v>
      </c>
      <c r="E326" s="1"/>
      <c r="F326" s="1"/>
    </row>
    <row r="327" spans="1:6" x14ac:dyDescent="0.3">
      <c r="A327" s="1" t="str">
        <f ca="1">IFERROR(__xludf.DUMMYFUNCTION("""COMPUTED_VALUE"""),"Maze Hill")</f>
        <v>Maze Hill</v>
      </c>
      <c r="B327" s="1" t="str">
        <f ca="1">IFERROR(__xludf.DUMMYFUNCTION("""COMPUTED_VALUE"""),"MZH")</f>
        <v>MZH</v>
      </c>
      <c r="C327" s="1">
        <f ca="1">IFERROR(__xludf.DUMMYFUNCTION("""COMPUTED_VALUE"""),514900)</f>
        <v>514900</v>
      </c>
      <c r="D327" s="1" t="str">
        <f ca="1">IFERROR(__xludf.DUMMYFUNCTION("""COMPUTED_VALUE"""),"MAZEH")</f>
        <v>MAZEH</v>
      </c>
      <c r="E327" s="1" t="str">
        <f ca="1">IFERROR(__xludf.DUMMYFUNCTION("""COMPUTED_VALUE"""),"MAZE HILL")</f>
        <v>MAZE HILL</v>
      </c>
      <c r="F327" s="1">
        <f ca="1">IFERROR(__xludf.DUMMYFUNCTION("""COMPUTED_VALUE"""),88435)</f>
        <v>88435</v>
      </c>
    </row>
    <row r="328" spans="1:6" x14ac:dyDescent="0.3">
      <c r="A328" s="1" t="str">
        <f ca="1">IFERROR(__xludf.DUMMYFUNCTION("""COMPUTED_VALUE"""),"Maze Hill For The Games")</f>
        <v>Maze Hill For The Games</v>
      </c>
      <c r="B328" s="1" t="str">
        <f ca="1">IFERROR(__xludf.DUMMYFUNCTION("""COMPUTED_VALUE"""),"MZZ")</f>
        <v>MZZ</v>
      </c>
      <c r="C328" s="1">
        <f ca="1">IFERROR(__xludf.DUMMYFUNCTION("""COMPUTED_VALUE"""),673700)</f>
        <v>673700</v>
      </c>
      <c r="D328" s="1" t="str">
        <f ca="1">IFERROR(__xludf.DUMMYFUNCTION("""COMPUTED_VALUE"""),"CATZ063")</f>
        <v>CATZ063</v>
      </c>
      <c r="E328" s="1"/>
      <c r="F328" s="1"/>
    </row>
    <row r="329" spans="1:6" x14ac:dyDescent="0.3">
      <c r="A329" s="1" t="str">
        <f ca="1">IFERROR(__xludf.DUMMYFUNCTION("""COMPUTED_VALUE"""),"Meadowbank Stadium")</f>
        <v>Meadowbank Stadium</v>
      </c>
      <c r="B329" s="1"/>
      <c r="C329" s="1">
        <f ca="1">IFERROR(__xludf.DUMMYFUNCTION("""COMPUTED_VALUE"""),937700)</f>
        <v>937700</v>
      </c>
      <c r="D329" s="1" t="str">
        <f ca="1">IFERROR(__xludf.DUMMYFUNCTION("""COMPUTED_VALUE"""),"MEDWBNK")</f>
        <v>MEDWBNK</v>
      </c>
      <c r="E329" s="1"/>
      <c r="F329" s="1" t="str">
        <f ca="1">IFERROR(__xludf.DUMMYFUNCTION("""COMPUTED_VALUE"""),"-")</f>
        <v>-</v>
      </c>
    </row>
    <row r="330" spans="1:6" x14ac:dyDescent="0.3">
      <c r="A330" s="1" t="str">
        <f ca="1">IFERROR(__xludf.DUMMYFUNCTION("""COMPUTED_VALUE"""),"Meadowhall")</f>
        <v>Meadowhall</v>
      </c>
      <c r="B330" s="1" t="str">
        <f ca="1">IFERROR(__xludf.DUMMYFUNCTION("""COMPUTED_VALUE"""),"MHS")</f>
        <v>MHS</v>
      </c>
      <c r="C330" s="1">
        <f ca="1">IFERROR(__xludf.DUMMYFUNCTION("""COMPUTED_VALUE"""),666300)</f>
        <v>666300</v>
      </c>
      <c r="D330" s="1" t="str">
        <f ca="1">IFERROR(__xludf.DUMMYFUNCTION("""COMPUTED_VALUE"""),"MEADWHL")</f>
        <v>MEADWHL</v>
      </c>
      <c r="E330" s="1" t="str">
        <f ca="1">IFERROR(__xludf.DUMMYFUNCTION("""COMPUTED_VALUE"""),"MEDOWHALL")</f>
        <v>MEDOWHALL</v>
      </c>
      <c r="F330" s="1">
        <f ca="1">IFERROR(__xludf.DUMMYFUNCTION("""COMPUTED_VALUE"""),25316)</f>
        <v>25316</v>
      </c>
    </row>
    <row r="331" spans="1:6" x14ac:dyDescent="0.3">
      <c r="A331" s="1" t="str">
        <f ca="1">IFERROR(__xludf.DUMMYFUNCTION("""COMPUTED_VALUE"""),"Meadowhall Limit Of Shunt")</f>
        <v>Meadowhall Limit Of Shunt</v>
      </c>
      <c r="B331" s="1"/>
      <c r="C331" s="1">
        <f ca="1">IFERROR(__xludf.DUMMYFUNCTION("""COMPUTED_VALUE"""),666302)</f>
        <v>666302</v>
      </c>
      <c r="D331" s="1" t="str">
        <f ca="1">IFERROR(__xludf.DUMMYFUNCTION("""COMPUTED_VALUE"""),"MEADLOS")</f>
        <v>MEADLOS</v>
      </c>
      <c r="E331" s="1" t="str">
        <f ca="1">IFERROR(__xludf.DUMMYFUNCTION("""COMPUTED_VALUE"""),"MEADW LOS")</f>
        <v>MEADW LOS</v>
      </c>
      <c r="F331" s="1">
        <f ca="1">IFERROR(__xludf.DUMMYFUNCTION("""COMPUTED_VALUE"""),25315)</f>
        <v>25315</v>
      </c>
    </row>
    <row r="332" spans="1:6" x14ac:dyDescent="0.3">
      <c r="A332" s="1" t="str">
        <f ca="1">IFERROR(__xludf.DUMMYFUNCTION("""COMPUTED_VALUE"""),"Meadowhall Signal S1069")</f>
        <v>Meadowhall Signal S1069</v>
      </c>
      <c r="B332" s="1"/>
      <c r="C332" s="1">
        <f ca="1">IFERROR(__xludf.DUMMYFUNCTION("""COMPUTED_VALUE"""),666301)</f>
        <v>666301</v>
      </c>
      <c r="D332" s="1" t="str">
        <f ca="1">IFERROR(__xludf.DUMMYFUNCTION("""COMPUTED_VALUE"""),"MEADW69")</f>
        <v>MEADW69</v>
      </c>
      <c r="E332" s="1" t="str">
        <f ca="1">IFERROR(__xludf.DUMMYFUNCTION("""COMPUTED_VALUE"""),"MEADW1069")</f>
        <v>MEADW1069</v>
      </c>
      <c r="F332" s="1">
        <f ca="1">IFERROR(__xludf.DUMMYFUNCTION("""COMPUTED_VALUE"""),25314)</f>
        <v>25314</v>
      </c>
    </row>
    <row r="333" spans="1:6" x14ac:dyDescent="0.3">
      <c r="A333" s="1" t="str">
        <f ca="1">IFERROR(__xludf.DUMMYFUNCTION("""COMPUTED_VALUE"""),"Meadow Lane Junction")</f>
        <v>Meadow Lane Junction</v>
      </c>
      <c r="B333" s="1"/>
      <c r="C333" s="1">
        <f ca="1">IFERROR(__xludf.DUMMYFUNCTION("""COMPUTED_VALUE"""),172003)</f>
        <v>172003</v>
      </c>
      <c r="D333" s="1" t="str">
        <f ca="1">IFERROR(__xludf.DUMMYFUNCTION("""COMPUTED_VALUE"""),"MEADLAJ")</f>
        <v>MEADLAJ</v>
      </c>
      <c r="E333" s="1" t="str">
        <f ca="1">IFERROR(__xludf.DUMMYFUNCTION("""COMPUTED_VALUE"""),"MEADOWLNJ")</f>
        <v>MEADOWLNJ</v>
      </c>
      <c r="F333" s="1">
        <f ca="1">IFERROR(__xludf.DUMMYFUNCTION("""COMPUTED_VALUE"""),56599)</f>
        <v>56599</v>
      </c>
    </row>
    <row r="334" spans="1:6" x14ac:dyDescent="0.3">
      <c r="A334" s="1" t="str">
        <f ca="1">IFERROR(__xludf.DUMMYFUNCTION("""COMPUTED_VALUE"""),"Meadow Lane Level Crossing")</f>
        <v>Meadow Lane Level Crossing</v>
      </c>
      <c r="B334" s="1"/>
      <c r="C334" s="1">
        <f ca="1">IFERROR(__xludf.DUMMYFUNCTION("""COMPUTED_VALUE"""),172004)</f>
        <v>172004</v>
      </c>
      <c r="D334" s="1" t="str">
        <f ca="1">IFERROR(__xludf.DUMMYFUNCTION("""COMPUTED_VALUE"""),"MEDLALC")</f>
        <v>MEDLALC</v>
      </c>
      <c r="E334" s="1" t="str">
        <f ca="1">IFERROR(__xludf.DUMMYFUNCTION("""COMPUTED_VALUE"""),"MEADOWLNC")</f>
        <v>MEADOWLNC</v>
      </c>
      <c r="F334" s="1">
        <f ca="1">IFERROR(__xludf.DUMMYFUNCTION("""COMPUTED_VALUE"""),56593)</f>
        <v>56593</v>
      </c>
    </row>
    <row r="335" spans="1:6" x14ac:dyDescent="0.3">
      <c r="A335" s="1" t="str">
        <f ca="1">IFERROR(__xludf.DUMMYFUNCTION("""COMPUTED_VALUE"""),"Meaford Crossing")</f>
        <v>Meaford Crossing</v>
      </c>
      <c r="B335" s="1"/>
      <c r="C335" s="1">
        <f ca="1">IFERROR(__xludf.DUMMYFUNCTION("""COMPUTED_VALUE"""),135701)</f>
        <v>135701</v>
      </c>
      <c r="D335" s="1" t="str">
        <f ca="1">IFERROR(__xludf.DUMMYFUNCTION("""COMPUTED_VALUE"""),"MEAFCNG")</f>
        <v>MEAFCNG</v>
      </c>
      <c r="E335" s="1"/>
      <c r="F335" s="1"/>
    </row>
    <row r="336" spans="1:6" x14ac:dyDescent="0.3">
      <c r="A336" s="1" t="str">
        <f ca="1">IFERROR(__xludf.DUMMYFUNCTION("""COMPUTED_VALUE"""),"Medstead")</f>
        <v>Medstead</v>
      </c>
      <c r="B336" s="1" t="str">
        <f ca="1">IFERROR(__xludf.DUMMYFUNCTION("""COMPUTED_VALUE"""),"MDT")</f>
        <v>MDT</v>
      </c>
      <c r="C336" s="1">
        <f ca="1">IFERROR(__xludf.DUMMYFUNCTION("""COMPUTED_VALUE"""),592465)</f>
        <v>592465</v>
      </c>
      <c r="D336" s="1" t="str">
        <f ca="1">IFERROR(__xludf.DUMMYFUNCTION("""COMPUTED_VALUE"""),"MEDSTED")</f>
        <v>MEDSTED</v>
      </c>
      <c r="E336" s="1"/>
      <c r="F336" s="1" t="str">
        <f ca="1">IFERROR(__xludf.DUMMYFUNCTION("""COMPUTED_VALUE"""),"-")</f>
        <v>-</v>
      </c>
    </row>
    <row r="337" spans="1:6" x14ac:dyDescent="0.3">
      <c r="A337" s="1" t="str">
        <f ca="1">IFERROR(__xludf.DUMMYFUNCTION("""COMPUTED_VALUE"""),"Melbourne Junction")</f>
        <v>Melbourne Junction</v>
      </c>
      <c r="B337" s="1"/>
      <c r="C337" s="1">
        <f ca="1">IFERROR(__xludf.DUMMYFUNCTION("""COMPUTED_VALUE"""),168101)</f>
        <v>168101</v>
      </c>
      <c r="D337" s="1" t="str">
        <f ca="1">IFERROR(__xludf.DUMMYFUNCTION("""COMPUTED_VALUE"""),"MELBRNJ")</f>
        <v>MELBRNJ</v>
      </c>
      <c r="E337" s="1" t="str">
        <f ca="1">IFERROR(__xludf.DUMMYFUNCTION("""COMPUTED_VALUE"""),"MELBORNEJ")</f>
        <v>MELBORNEJ</v>
      </c>
      <c r="F337" s="1">
        <f ca="1">IFERROR(__xludf.DUMMYFUNCTION("""COMPUTED_VALUE"""),57453)</f>
        <v>57453</v>
      </c>
    </row>
    <row r="338" spans="1:6" x14ac:dyDescent="0.3">
      <c r="A338" s="1" t="str">
        <f ca="1">IFERROR(__xludf.DUMMYFUNCTION("""COMPUTED_VALUE"""),"Meldon Quarry")</f>
        <v>Meldon Quarry</v>
      </c>
      <c r="B338" s="1" t="str">
        <f ca="1">IFERROR(__xludf.DUMMYFUNCTION("""COMPUTED_VALUE"""),"MDQ")</f>
        <v>MDQ</v>
      </c>
      <c r="C338" s="1" t="str">
        <f ca="1">IFERROR(__xludf.DUMMYFUNCTION("""COMPUTED_VALUE"""),"578663 087700")</f>
        <v>578663 087700</v>
      </c>
      <c r="D338" s="1" t="str">
        <f ca="1">IFERROR(__xludf.DUMMYFUNCTION("""COMPUTED_VALUE"""),"MLDONQ")</f>
        <v>MLDONQ</v>
      </c>
      <c r="E338" s="1" t="str">
        <f ca="1">IFERROR(__xludf.DUMMYFUNCTION("""COMPUTED_VALUE"""),"MLDONQ")</f>
        <v>MLDONQ</v>
      </c>
      <c r="F338" s="1">
        <f ca="1">IFERROR(__xludf.DUMMYFUNCTION("""COMPUTED_VALUE"""),83301)</f>
        <v>83301</v>
      </c>
    </row>
    <row r="339" spans="1:6" x14ac:dyDescent="0.3">
      <c r="A339" s="1" t="str">
        <f ca="1">IFERROR(__xludf.DUMMYFUNCTION("""COMPUTED_VALUE"""),"Meldon Quarry Freightliner Heavy Haul")</f>
        <v>Meldon Quarry Freightliner Heavy Haul</v>
      </c>
      <c r="B339" s="1"/>
      <c r="C339" s="1">
        <f ca="1">IFERROR(__xludf.DUMMYFUNCTION("""COMPUTED_VALUE"""),578666)</f>
        <v>578666</v>
      </c>
      <c r="D339" s="1" t="str">
        <f ca="1">IFERROR(__xludf.DUMMYFUNCTION("""COMPUTED_VALUE"""),"MLDOFHH")</f>
        <v>MLDOFHH</v>
      </c>
      <c r="E339" s="1" t="str">
        <f ca="1">IFERROR(__xludf.DUMMYFUNCTION("""COMPUTED_VALUE"""),"MELDONQRY")</f>
        <v>MELDONQRY</v>
      </c>
      <c r="F339" s="1">
        <f ca="1">IFERROR(__xludf.DUMMYFUNCTION("""COMPUTED_VALUE"""),83300)</f>
        <v>83300</v>
      </c>
    </row>
    <row r="340" spans="1:6" x14ac:dyDescent="0.3">
      <c r="A340" s="1" t="str">
        <f ca="1">IFERROR(__xludf.DUMMYFUNCTION("""COMPUTED_VALUE"""),"Meldreth")</f>
        <v>Meldreth</v>
      </c>
      <c r="B340" s="1" t="str">
        <f ca="1">IFERROR(__xludf.DUMMYFUNCTION("""COMPUTED_VALUE"""),"MEL")</f>
        <v>MEL</v>
      </c>
      <c r="C340" s="1">
        <f ca="1">IFERROR(__xludf.DUMMYFUNCTION("""COMPUTED_VALUE"""),703600)</f>
        <v>703600</v>
      </c>
      <c r="D340" s="1" t="str">
        <f ca="1">IFERROR(__xludf.DUMMYFUNCTION("""COMPUTED_VALUE"""),"MELDRTH")</f>
        <v>MELDRTH</v>
      </c>
      <c r="E340" s="1" t="str">
        <f ca="1">IFERROR(__xludf.DUMMYFUNCTION("""COMPUTED_VALUE"""),"MELDRETH")</f>
        <v>MELDRETH</v>
      </c>
      <c r="F340" s="1">
        <f ca="1">IFERROR(__xludf.DUMMYFUNCTION("""COMPUTED_VALUE"""),47248)</f>
        <v>47248</v>
      </c>
    </row>
    <row r="341" spans="1:6" x14ac:dyDescent="0.3">
      <c r="A341" s="1" t="str">
        <f ca="1">IFERROR(__xludf.DUMMYFUNCTION("""COMPUTED_VALUE"""),"Melkridge Opencast")</f>
        <v>Melkridge Opencast</v>
      </c>
      <c r="B341" s="1"/>
      <c r="C341" s="1">
        <f ca="1">IFERROR(__xludf.DUMMYFUNCTION("""COMPUTED_VALUE"""),756312)</f>
        <v>756312</v>
      </c>
      <c r="D341" s="1" t="str">
        <f ca="1">IFERROR(__xludf.DUMMYFUNCTION("""COMPUTED_VALUE"""),"MLKRDGE")</f>
        <v>MLKRDGE</v>
      </c>
      <c r="E341" s="1" t="str">
        <f ca="1">IFERROR(__xludf.DUMMYFUNCTION("""COMPUTED_VALUE"""),"MELKRIDGE")</f>
        <v>MELKRIDGE</v>
      </c>
      <c r="F341" s="1">
        <f ca="1">IFERROR(__xludf.DUMMYFUNCTION("""COMPUTED_VALUE"""),13307)</f>
        <v>13307</v>
      </c>
    </row>
    <row r="342" spans="1:6" x14ac:dyDescent="0.3">
      <c r="A342" s="1" t="str">
        <f ca="1">IFERROR(__xludf.DUMMYFUNCTION("""COMPUTED_VALUE"""),"Melkridge Signal HW102")</f>
        <v>Melkridge Signal HW102</v>
      </c>
      <c r="B342" s="1"/>
      <c r="C342" s="1">
        <f ca="1">IFERROR(__xludf.DUMMYFUNCTION("""COMPUTED_VALUE"""),750681)</f>
        <v>750681</v>
      </c>
      <c r="D342" s="1" t="str">
        <f ca="1">IFERROR(__xludf.DUMMYFUNCTION("""COMPUTED_VALUE"""),"MLKR102")</f>
        <v>MLKR102</v>
      </c>
      <c r="E342" s="1" t="str">
        <f ca="1">IFERROR(__xludf.DUMMYFUNCTION("""COMPUTED_VALUE"""),"MLK102 51")</f>
        <v>MLK102 51</v>
      </c>
      <c r="F342" s="1">
        <f ca="1">IFERROR(__xludf.DUMMYFUNCTION("""COMPUTED_VALUE"""),13308)</f>
        <v>13308</v>
      </c>
    </row>
    <row r="343" spans="1:6" x14ac:dyDescent="0.3">
      <c r="A343" s="1" t="str">
        <f ca="1">IFERROR(__xludf.DUMMYFUNCTION("""COMPUTED_VALUE"""),"Melksham")</f>
        <v>Melksham</v>
      </c>
      <c r="B343" s="1" t="str">
        <f ca="1">IFERROR(__xludf.DUMMYFUNCTION("""COMPUTED_VALUE"""),"MKM")</f>
        <v>MKM</v>
      </c>
      <c r="C343" s="1">
        <f ca="1">IFERROR(__xludf.DUMMYFUNCTION("""COMPUTED_VALUE"""),334600)</f>
        <v>334600</v>
      </c>
      <c r="D343" s="1" t="str">
        <f ca="1">IFERROR(__xludf.DUMMYFUNCTION("""COMPUTED_VALUE"""),"MELKSHM")</f>
        <v>MELKSHM</v>
      </c>
      <c r="E343" s="1" t="str">
        <f ca="1">IFERROR(__xludf.DUMMYFUNCTION("""COMPUTED_VALUE"""),"MELKSHAM")</f>
        <v>MELKSHAM</v>
      </c>
      <c r="F343" s="1">
        <f ca="1">IFERROR(__xludf.DUMMYFUNCTION("""COMPUTED_VALUE"""),75361)</f>
        <v>75361</v>
      </c>
    </row>
    <row r="344" spans="1:6" x14ac:dyDescent="0.3">
      <c r="A344" s="1" t="str">
        <f ca="1">IFERROR(__xludf.DUMMYFUNCTION("""COMPUTED_VALUE"""),"Melksham Market Place Bus Stop")</f>
        <v>Melksham Market Place Bus Stop</v>
      </c>
      <c r="B344" s="1" t="str">
        <f ca="1">IFERROR(__xludf.DUMMYFUNCTION("""COMPUTED_VALUE"""),"XBO")</f>
        <v>XBO</v>
      </c>
      <c r="C344" s="1">
        <f ca="1">IFERROR(__xludf.DUMMYFUNCTION("""COMPUTED_VALUE"""),334601)</f>
        <v>334601</v>
      </c>
      <c r="D344" s="1" t="str">
        <f ca="1">IFERROR(__xludf.DUMMYFUNCTION("""COMPUTED_VALUE"""),"MELKMAR")</f>
        <v>MELKMAR</v>
      </c>
      <c r="E344" s="1"/>
      <c r="F344" s="1" t="str">
        <f ca="1">IFERROR(__xludf.DUMMYFUNCTION("""COMPUTED_VALUE"""),"-")</f>
        <v>-</v>
      </c>
    </row>
    <row r="345" spans="1:6" x14ac:dyDescent="0.3">
      <c r="A345" s="1" t="str">
        <f ca="1">IFERROR(__xludf.DUMMYFUNCTION("""COMPUTED_VALUE"""),"Mellis")</f>
        <v>Mellis</v>
      </c>
      <c r="B345" s="1"/>
      <c r="C345" s="1">
        <f ca="1">IFERROR(__xludf.DUMMYFUNCTION("""COMPUTED_VALUE"""),734878)</f>
        <v>734878</v>
      </c>
      <c r="D345" s="1" t="str">
        <f ca="1">IFERROR(__xludf.DUMMYFUNCTION("""COMPUTED_VALUE"""),"MELLIS")</f>
        <v>MELLIS</v>
      </c>
      <c r="E345" s="1" t="str">
        <f ca="1">IFERROR(__xludf.DUMMYFUNCTION("""COMPUTED_VALUE"""),"MELLIS")</f>
        <v>MELLIS</v>
      </c>
      <c r="F345" s="1">
        <f ca="1">IFERROR(__xludf.DUMMYFUNCTION("""COMPUTED_VALUE"""),49007)</f>
        <v>49007</v>
      </c>
    </row>
    <row r="346" spans="1:6" x14ac:dyDescent="0.3">
      <c r="A346" s="1" t="str">
        <f ca="1">IFERROR(__xludf.DUMMYFUNCTION("""COMPUTED_VALUE"""),"Melrose")</f>
        <v>Melrose</v>
      </c>
      <c r="B346" s="1" t="str">
        <f ca="1">IFERROR(__xludf.DUMMYFUNCTION("""COMPUTED_VALUE"""),"MLS")</f>
        <v>MLS</v>
      </c>
      <c r="C346" s="1">
        <f ca="1">IFERROR(__xludf.DUMMYFUNCTION("""COMPUTED_VALUE"""),933300)</f>
        <v>933300</v>
      </c>
      <c r="D346" s="1" t="str">
        <f ca="1">IFERROR(__xludf.DUMMYFUNCTION("""COMPUTED_VALUE"""),"MELROSE")</f>
        <v>MELROSE</v>
      </c>
      <c r="E346" s="1"/>
      <c r="F346" s="1" t="str">
        <f ca="1">IFERROR(__xludf.DUMMYFUNCTION("""COMPUTED_VALUE"""),"-")</f>
        <v>-</v>
      </c>
    </row>
    <row r="347" spans="1:6" x14ac:dyDescent="0.3">
      <c r="A347" s="1" t="str">
        <f ca="1">IFERROR(__xludf.DUMMYFUNCTION("""COMPUTED_VALUE"""),"Melton")</f>
        <v>Melton</v>
      </c>
      <c r="B347" s="1" t="str">
        <f ca="1">IFERROR(__xludf.DUMMYFUNCTION("""COMPUTED_VALUE"""),"MES")</f>
        <v>MES</v>
      </c>
      <c r="C347" s="1">
        <f ca="1">IFERROR(__xludf.DUMMYFUNCTION("""COMPUTED_VALUE"""),722100)</f>
        <v>722100</v>
      </c>
      <c r="D347" s="1" t="str">
        <f ca="1">IFERROR(__xludf.DUMMYFUNCTION("""COMPUTED_VALUE"""),"MELTON")</f>
        <v>MELTON</v>
      </c>
      <c r="E347" s="1" t="str">
        <f ca="1">IFERROR(__xludf.DUMMYFUNCTION("""COMPUTED_VALUE"""),"MELTON")</f>
        <v>MELTON</v>
      </c>
      <c r="F347" s="1">
        <f ca="1">IFERROR(__xludf.DUMMYFUNCTION("""COMPUTED_VALUE"""),49121)</f>
        <v>49121</v>
      </c>
    </row>
    <row r="348" spans="1:6" x14ac:dyDescent="0.3">
      <c r="A348" s="1" t="str">
        <f ca="1">IFERROR(__xludf.DUMMYFUNCTION("""COMPUTED_VALUE"""),"Melton Asfordby Level Crossing")</f>
        <v>Melton Asfordby Level Crossing</v>
      </c>
      <c r="B348" s="1"/>
      <c r="C348" s="1">
        <f ca="1">IFERROR(__xludf.DUMMYFUNCTION("""COMPUTED_VALUE"""),185107)</f>
        <v>185107</v>
      </c>
      <c r="D348" s="1" t="str">
        <f ca="1">IFERROR(__xludf.DUMMYFUNCTION("""COMPUTED_VALUE"""),"MLTNASH")</f>
        <v>MLTNASH</v>
      </c>
      <c r="E348" s="1" t="str">
        <f ca="1">IFERROR(__xludf.DUMMYFUNCTION("""COMPUTED_VALUE"""),"ASFRDBYLC")</f>
        <v>ASFRDBYLC</v>
      </c>
      <c r="F348" s="1">
        <f ca="1">IFERROR(__xludf.DUMMYFUNCTION("""COMPUTED_VALUE"""),59118)</f>
        <v>59118</v>
      </c>
    </row>
    <row r="349" spans="1:6" x14ac:dyDescent="0.3">
      <c r="A349" s="1" t="str">
        <f ca="1">IFERROR(__xludf.DUMMYFUNCTION("""COMPUTED_VALUE"""),"Melton Brooksby Level Crossing")</f>
        <v>Melton Brooksby Level Crossing</v>
      </c>
      <c r="B349" s="1"/>
      <c r="C349" s="1">
        <f ca="1">IFERROR(__xludf.DUMMYFUNCTION("""COMPUTED_VALUE"""),185103)</f>
        <v>185103</v>
      </c>
      <c r="D349" s="1" t="str">
        <f ca="1">IFERROR(__xludf.DUMMYFUNCTION("""COMPUTED_VALUE"""),"MLTNBBY")</f>
        <v>MLTNBBY</v>
      </c>
      <c r="E349" s="1" t="str">
        <f ca="1">IFERROR(__xludf.DUMMYFUNCTION("""COMPUTED_VALUE"""),"BROKSBYLC")</f>
        <v>BROKSBYLC</v>
      </c>
      <c r="F349" s="1">
        <f ca="1">IFERROR(__xludf.DUMMYFUNCTION("""COMPUTED_VALUE"""),59115)</f>
        <v>59115</v>
      </c>
    </row>
    <row r="350" spans="1:6" x14ac:dyDescent="0.3">
      <c r="A350" s="1" t="str">
        <f ca="1">IFERROR(__xludf.DUMMYFUNCTION("""COMPUTED_VALUE"""),"Melton Ferriby Blue Circle")</f>
        <v>Melton Ferriby Blue Circle</v>
      </c>
      <c r="B350" s="1"/>
      <c r="C350" s="1">
        <f ca="1">IFERROR(__xludf.DUMMYFUNCTION("""COMPUTED_VALUE"""),806112)</f>
        <v>806112</v>
      </c>
      <c r="D350" s="1" t="str">
        <f ca="1">IFERROR(__xludf.DUMMYFUNCTION("""COMPUTED_VALUE"""),"MELMBC")</f>
        <v>MELMBC</v>
      </c>
      <c r="E350" s="1" t="str">
        <f ca="1">IFERROR(__xludf.DUMMYFUNCTION("""COMPUTED_VALUE"""),"FERRIBYOM")</f>
        <v>FERRIBYOM</v>
      </c>
      <c r="F350" s="1">
        <f ca="1">IFERROR(__xludf.DUMMYFUNCTION("""COMPUTED_VALUE"""),19202)</f>
        <v>19202</v>
      </c>
    </row>
    <row r="351" spans="1:6" x14ac:dyDescent="0.3">
      <c r="A351" s="1" t="str">
        <f ca="1">IFERROR(__xludf.DUMMYFUNCTION("""COMPUTED_VALUE"""),"Melton Frisby")</f>
        <v>Melton Frisby</v>
      </c>
      <c r="B351" s="1"/>
      <c r="C351" s="1">
        <f ca="1">IFERROR(__xludf.DUMMYFUNCTION("""COMPUTED_VALUE"""),185110)</f>
        <v>185110</v>
      </c>
      <c r="D351" s="1" t="str">
        <f ca="1">IFERROR(__xludf.DUMMYFUNCTION("""COMPUTED_VALUE"""),"MLTNFBY")</f>
        <v>MLTNFBY</v>
      </c>
      <c r="E351" s="1" t="str">
        <f ca="1">IFERROR(__xludf.DUMMYFUNCTION("""COMPUTED_VALUE"""),"FRISBY")</f>
        <v>FRISBY</v>
      </c>
      <c r="F351" s="1">
        <f ca="1">IFERROR(__xludf.DUMMYFUNCTION("""COMPUTED_VALUE"""),59127)</f>
        <v>59127</v>
      </c>
    </row>
    <row r="352" spans="1:6" x14ac:dyDescent="0.3">
      <c r="A352" s="1" t="str">
        <f ca="1">IFERROR(__xludf.DUMMYFUNCTION("""COMPUTED_VALUE"""),"Melton Halt")</f>
        <v>Melton Halt</v>
      </c>
      <c r="B352" s="1" t="str">
        <f ca="1">IFERROR(__xludf.DUMMYFUNCTION("""COMPUTED_VALUE"""),"MET")</f>
        <v>MET</v>
      </c>
      <c r="C352" s="1">
        <f ca="1">IFERROR(__xludf.DUMMYFUNCTION("""COMPUTED_VALUE"""),811100)</f>
        <v>811100</v>
      </c>
      <c r="D352" s="1" t="str">
        <f ca="1">IFERROR(__xludf.DUMMYFUNCTION("""COMPUTED_VALUE"""),"MELTONH")</f>
        <v>MELTONH</v>
      </c>
      <c r="E352" s="1"/>
      <c r="F352" s="1" t="str">
        <f ca="1">IFERROR(__xludf.DUMMYFUNCTION("""COMPUTED_VALUE"""),"-")</f>
        <v>-</v>
      </c>
    </row>
    <row r="353" spans="1:6" x14ac:dyDescent="0.3">
      <c r="A353" s="1" t="str">
        <f ca="1">IFERROR(__xludf.DUMMYFUNCTION("""COMPUTED_VALUE"""),"Melton Junction")</f>
        <v>Melton Junction</v>
      </c>
      <c r="B353" s="1"/>
      <c r="C353" s="1">
        <f ca="1">IFERROR(__xludf.DUMMYFUNCTION("""COMPUTED_VALUE"""),185120)</f>
        <v>185120</v>
      </c>
      <c r="D353" s="1" t="str">
        <f ca="1">IFERROR(__xludf.DUMMYFUNCTION("""COMPUTED_VALUE"""),"MLTNJN")</f>
        <v>MLTNJN</v>
      </c>
      <c r="E353" s="1" t="str">
        <f ca="1">IFERROR(__xludf.DUMMYFUNCTION("""COMPUTED_VALUE"""),"MELTON JN")</f>
        <v>MELTON JN</v>
      </c>
      <c r="F353" s="1">
        <f ca="1">IFERROR(__xludf.DUMMYFUNCTION("""COMPUTED_VALUE"""),59121)</f>
        <v>59121</v>
      </c>
    </row>
    <row r="354" spans="1:6" x14ac:dyDescent="0.3">
      <c r="A354" s="1" t="str">
        <f ca="1">IFERROR(__xludf.DUMMYFUNCTION("""COMPUTED_VALUE"""),"Melton Lane Level Crossing")</f>
        <v>Melton Lane Level Crossing</v>
      </c>
      <c r="B354" s="1"/>
      <c r="C354" s="1">
        <f ca="1">IFERROR(__xludf.DUMMYFUNCTION("""COMPUTED_VALUE"""),806113)</f>
        <v>806113</v>
      </c>
      <c r="D354" s="1" t="str">
        <f ca="1">IFERROR(__xludf.DUMMYFUNCTION("""COMPUTED_VALUE"""),"MELMLC")</f>
        <v>MELMLC</v>
      </c>
      <c r="E354" s="1" t="str">
        <f ca="1">IFERROR(__xludf.DUMMYFUNCTION("""COMPUTED_VALUE"""),"MELTNLNLC")</f>
        <v>MELTNLNLC</v>
      </c>
      <c r="F354" s="1">
        <f ca="1">IFERROR(__xludf.DUMMYFUNCTION("""COMPUTED_VALUE"""),19212)</f>
        <v>19212</v>
      </c>
    </row>
    <row r="355" spans="1:6" x14ac:dyDescent="0.3">
      <c r="A355" s="1" t="str">
        <f ca="1">IFERROR(__xludf.DUMMYFUNCTION("""COMPUTED_VALUE"""),"Melton Mowbray")</f>
        <v>Melton Mowbray</v>
      </c>
      <c r="B355" s="1" t="str">
        <f ca="1">IFERROR(__xludf.DUMMYFUNCTION("""COMPUTED_VALUE"""),"MMO")</f>
        <v>MMO</v>
      </c>
      <c r="C355" s="1">
        <f ca="1">IFERROR(__xludf.DUMMYFUNCTION("""COMPUTED_VALUE"""),185100)</f>
        <v>185100</v>
      </c>
      <c r="D355" s="1" t="str">
        <f ca="1">IFERROR(__xludf.DUMMYFUNCTION("""COMPUTED_VALUE"""),"MLTNSDG")</f>
        <v>MLTNSDG</v>
      </c>
      <c r="E355" s="1" t="str">
        <f ca="1">IFERROR(__xludf.DUMMYFUNCTION("""COMPUTED_VALUE"""),"MELTONMOW")</f>
        <v>MELTONMOW</v>
      </c>
      <c r="F355" s="1">
        <f ca="1">IFERROR(__xludf.DUMMYFUNCTION("""COMPUTED_VALUE"""),59125)</f>
        <v>59125</v>
      </c>
    </row>
    <row r="356" spans="1:6" x14ac:dyDescent="0.3">
      <c r="A356" s="1" t="str">
        <f ca="1">IFERROR(__xludf.DUMMYFUNCTION("""COMPUTED_VALUE"""),"Melton Mowbray Down Loop")</f>
        <v>Melton Mowbray Down Loop</v>
      </c>
      <c r="B356" s="1"/>
      <c r="C356" s="1">
        <f ca="1">IFERROR(__xludf.DUMMYFUNCTION("""COMPUTED_VALUE"""),185102)</f>
        <v>185102</v>
      </c>
      <c r="D356" s="1" t="str">
        <f ca="1">IFERROR(__xludf.DUMMYFUNCTION("""COMPUTED_VALUE"""),"MLTNMDL")</f>
        <v>MLTNMDL</v>
      </c>
      <c r="E356" s="1" t="str">
        <f ca="1">IFERROR(__xludf.DUMMYFUNCTION("""COMPUTED_VALUE"""),"M MWBRYYD MELTONDLP")</f>
        <v>M MWBRYYD MELTONDLP</v>
      </c>
      <c r="F356" s="1">
        <f ca="1">IFERROR(__xludf.DUMMYFUNCTION("""COMPUTED_VALUE"""),59122)</f>
        <v>59122</v>
      </c>
    </row>
    <row r="357" spans="1:6" x14ac:dyDescent="0.3">
      <c r="A357" s="1" t="str">
        <f ca="1">IFERROR(__xludf.DUMMYFUNCTION("""COMPUTED_VALUE"""),"Melton Mowbray On Track Machine Sidings")</f>
        <v>Melton Mowbray On Track Machine Sidings</v>
      </c>
      <c r="B357" s="1"/>
      <c r="C357" s="1">
        <f ca="1">IFERROR(__xludf.DUMMYFUNCTION("""COMPUTED_VALUE"""),185111)</f>
        <v>185111</v>
      </c>
      <c r="D357" s="1" t="str">
        <f ca="1">IFERROR(__xludf.DUMMYFUNCTION("""COMPUTED_VALUE"""),"MLTNOTM")</f>
        <v>MLTNOTM</v>
      </c>
      <c r="E357" s="1" t="str">
        <f ca="1">IFERROR(__xludf.DUMMYFUNCTION("""COMPUTED_VALUE"""),"MELTONOTM")</f>
        <v>MELTONOTM</v>
      </c>
      <c r="F357" s="1">
        <f ca="1">IFERROR(__xludf.DUMMYFUNCTION("""COMPUTED_VALUE"""),59129)</f>
        <v>59129</v>
      </c>
    </row>
    <row r="358" spans="1:6" x14ac:dyDescent="0.3">
      <c r="A358" s="1" t="str">
        <f ca="1">IFERROR(__xludf.DUMMYFUNCTION("""COMPUTED_VALUE"""),"Melton Mowbray Petfoods")</f>
        <v>Melton Mowbray Petfoods</v>
      </c>
      <c r="B358" s="1"/>
      <c r="C358" s="1">
        <f ca="1">IFERROR(__xludf.DUMMYFUNCTION("""COMPUTED_VALUE"""),185116)</f>
        <v>185116</v>
      </c>
      <c r="D358" s="1" t="str">
        <f ca="1">IFERROR(__xludf.DUMMYFUNCTION("""COMPUTED_VALUE"""),"MLTNMPS")</f>
        <v>MLTNMPS</v>
      </c>
      <c r="E358" s="1" t="str">
        <f ca="1">IFERROR(__xludf.DUMMYFUNCTION("""COMPUTED_VALUE"""),"MELTON P")</f>
        <v>MELTON P</v>
      </c>
      <c r="F358" s="1">
        <f ca="1">IFERROR(__xludf.DUMMYFUNCTION("""COMPUTED_VALUE"""),59124)</f>
        <v>59124</v>
      </c>
    </row>
    <row r="359" spans="1:6" x14ac:dyDescent="0.3">
      <c r="A359" s="1" t="str">
        <f ca="1">IFERROR(__xludf.DUMMYFUNCTION("""COMPUTED_VALUE"""),"Melton Mowbray Rearsby Level Crossing")</f>
        <v>Melton Mowbray Rearsby Level Crossing</v>
      </c>
      <c r="B359" s="1"/>
      <c r="C359" s="1">
        <f ca="1">IFERROR(__xludf.DUMMYFUNCTION("""COMPUTED_VALUE"""),185105)</f>
        <v>185105</v>
      </c>
      <c r="D359" s="1" t="str">
        <f ca="1">IFERROR(__xludf.DUMMYFUNCTION("""COMPUTED_VALUE"""),"MLTNRBY")</f>
        <v>MLTNRBY</v>
      </c>
      <c r="E359" s="1" t="str">
        <f ca="1">IFERROR(__xludf.DUMMYFUNCTION("""COMPUTED_VALUE"""),"REARSBYLC")</f>
        <v>REARSBYLC</v>
      </c>
      <c r="F359" s="1">
        <f ca="1">IFERROR(__xludf.DUMMYFUNCTION("""COMPUTED_VALUE"""),59113)</f>
        <v>59113</v>
      </c>
    </row>
    <row r="360" spans="1:6" x14ac:dyDescent="0.3">
      <c r="A360" s="1" t="str">
        <f ca="1">IFERROR(__xludf.DUMMYFUNCTION("""COMPUTED_VALUE"""),"Melton Mowbray Saxby")</f>
        <v>Melton Mowbray Saxby</v>
      </c>
      <c r="B360" s="1"/>
      <c r="C360" s="1">
        <f ca="1">IFERROR(__xludf.DUMMYFUNCTION("""COMPUTED_VALUE"""),185108)</f>
        <v>185108</v>
      </c>
      <c r="D360" s="1" t="str">
        <f ca="1">IFERROR(__xludf.DUMMYFUNCTION("""COMPUTED_VALUE"""),"MLTNSAX")</f>
        <v>MLTNSAX</v>
      </c>
      <c r="E360" s="1" t="str">
        <f ca="1">IFERROR(__xludf.DUMMYFUNCTION("""COMPUTED_VALUE"""),"SAXBY")</f>
        <v>SAXBY</v>
      </c>
      <c r="F360" s="1">
        <f ca="1">IFERROR(__xludf.DUMMYFUNCTION("""COMPUTED_VALUE"""),59128)</f>
        <v>59128</v>
      </c>
    </row>
    <row r="361" spans="1:6" x14ac:dyDescent="0.3">
      <c r="A361" s="1" t="str">
        <f ca="1">IFERROR(__xludf.DUMMYFUNCTION("""COMPUTED_VALUE"""),"Melton Mowbray Signal MN3")</f>
        <v>Melton Mowbray Signal MN3</v>
      </c>
      <c r="B361" s="1"/>
      <c r="C361" s="1">
        <f ca="1">IFERROR(__xludf.DUMMYFUNCTION("""COMPUTED_VALUE"""),185122)</f>
        <v>185122</v>
      </c>
      <c r="D361" s="1" t="str">
        <f ca="1">IFERROR(__xludf.DUMMYFUNCTION("""COMPUTED_VALUE"""),"MLTNS3")</f>
        <v>MLTNS3</v>
      </c>
      <c r="E361" s="1" t="str">
        <f ca="1">IFERROR(__xludf.DUMMYFUNCTION("""COMPUTED_VALUE"""),"MELTONSS3")</f>
        <v>MELTONSS3</v>
      </c>
      <c r="F361" s="1">
        <f ca="1">IFERROR(__xludf.DUMMYFUNCTION("""COMPUTED_VALUE"""),59123)</f>
        <v>59123</v>
      </c>
    </row>
    <row r="362" spans="1:6" x14ac:dyDescent="0.3">
      <c r="A362" s="1" t="str">
        <f ca="1">IFERROR(__xludf.DUMMYFUNCTION("""COMPUTED_VALUE"""),"Melton Mowbray Signal MN54")</f>
        <v>Melton Mowbray Signal MN54</v>
      </c>
      <c r="B362" s="1"/>
      <c r="C362" s="1">
        <f ca="1">IFERROR(__xludf.DUMMYFUNCTION("""COMPUTED_VALUE"""),185112)</f>
        <v>185112</v>
      </c>
      <c r="D362" s="1" t="str">
        <f ca="1">IFERROR(__xludf.DUMMYFUNCTION("""COMPUTED_VALUE"""),"MLTNS54")</f>
        <v>MLTNS54</v>
      </c>
      <c r="E362" s="1" t="str">
        <f ca="1">IFERROR(__xludf.DUMMYFUNCTION("""COMPUTED_VALUE"""),"MELTONS54")</f>
        <v>MELTONS54</v>
      </c>
      <c r="F362" s="1">
        <f ca="1">IFERROR(__xludf.DUMMYFUNCTION("""COMPUTED_VALUE"""),59132)</f>
        <v>59132</v>
      </c>
    </row>
    <row r="363" spans="1:6" x14ac:dyDescent="0.3">
      <c r="A363" s="1" t="str">
        <f ca="1">IFERROR(__xludf.DUMMYFUNCTION("""COMPUTED_VALUE"""),"Melton Mowbray Up Loop")</f>
        <v>Melton Mowbray Up Loop</v>
      </c>
      <c r="B363" s="1"/>
      <c r="C363" s="1">
        <f ca="1">IFERROR(__xludf.DUMMYFUNCTION("""COMPUTED_VALUE"""),185104)</f>
        <v>185104</v>
      </c>
      <c r="D363" s="1" t="str">
        <f ca="1">IFERROR(__xludf.DUMMYFUNCTION("""COMPUTED_VALUE"""),"MLTNMUL")</f>
        <v>MLTNMUL</v>
      </c>
      <c r="E363" s="1" t="str">
        <f ca="1">IFERROR(__xludf.DUMMYFUNCTION("""COMPUTED_VALUE"""),"MELTONULP")</f>
        <v>MELTONULP</v>
      </c>
      <c r="F363" s="1">
        <f ca="1">IFERROR(__xludf.DUMMYFUNCTION("""COMPUTED_VALUE"""),59134)</f>
        <v>59134</v>
      </c>
    </row>
    <row r="364" spans="1:6" x14ac:dyDescent="0.3">
      <c r="A364" s="1" t="str">
        <f ca="1">IFERROR(__xludf.DUMMYFUNCTION("""COMPUTED_VALUE"""),"Melton Mowbray Whissendine Level Crossing")</f>
        <v>Melton Mowbray Whissendine Level Crossing</v>
      </c>
      <c r="B364" s="1"/>
      <c r="C364" s="1">
        <f ca="1">IFERROR(__xludf.DUMMYFUNCTION("""COMPUTED_VALUE"""),185109)</f>
        <v>185109</v>
      </c>
      <c r="D364" s="1" t="str">
        <f ca="1">IFERROR(__xludf.DUMMYFUNCTION("""COMPUTED_VALUE"""),"MLTNWHI")</f>
        <v>MLTNWHI</v>
      </c>
      <c r="E364" s="1" t="str">
        <f ca="1">IFERROR(__xludf.DUMMYFUNCTION("""COMPUTED_VALUE"""),"WHISENDNE")</f>
        <v>WHISENDNE</v>
      </c>
      <c r="F364" s="1">
        <f ca="1">IFERROR(__xludf.DUMMYFUNCTION("""COMPUTED_VALUE"""),59130)</f>
        <v>59130</v>
      </c>
    </row>
    <row r="365" spans="1:6" x14ac:dyDescent="0.3">
      <c r="A365" s="1" t="str">
        <f ca="1">IFERROR(__xludf.DUMMYFUNCTION("""COMPUTED_VALUE"""),"Menai Bridge")</f>
        <v>Menai Bridge</v>
      </c>
      <c r="B365" s="1"/>
      <c r="C365" s="1">
        <f ca="1">IFERROR(__xludf.DUMMYFUNCTION("""COMPUTED_VALUE"""),246701)</f>
        <v>246701</v>
      </c>
      <c r="D365" s="1" t="str">
        <f ca="1">IFERROR(__xludf.DUMMYFUNCTION("""COMPUTED_VALUE"""),"MENAIBG")</f>
        <v>MENAIBG</v>
      </c>
      <c r="E365" s="1" t="str">
        <f ca="1">IFERROR(__xludf.DUMMYFUNCTION("""COMPUTED_VALUE"""),"MENAI BDG")</f>
        <v>MENAI BDG</v>
      </c>
      <c r="F365" s="1">
        <f ca="1">IFERROR(__xludf.DUMMYFUNCTION("""COMPUTED_VALUE"""),40031)</f>
        <v>40031</v>
      </c>
    </row>
    <row r="366" spans="1:6" x14ac:dyDescent="0.3">
      <c r="A366" s="1" t="str">
        <f ca="1">IFERROR(__xludf.DUMMYFUNCTION("""COMPUTED_VALUE"""),"Menheniot")</f>
        <v>Menheniot</v>
      </c>
      <c r="B366" s="1" t="str">
        <f ca="1">IFERROR(__xludf.DUMMYFUNCTION("""COMPUTED_VALUE"""),"MEN")</f>
        <v>MEN</v>
      </c>
      <c r="C366" s="1">
        <f ca="1">IFERROR(__xludf.DUMMYFUNCTION("""COMPUTED_VALUE"""),357600)</f>
        <v>357600</v>
      </c>
      <c r="D366" s="1" t="str">
        <f ca="1">IFERROR(__xludf.DUMMYFUNCTION("""COMPUTED_VALUE"""),"MENHENT")</f>
        <v>MENHENT</v>
      </c>
      <c r="E366" s="1" t="str">
        <f ca="1">IFERROR(__xludf.DUMMYFUNCTION("""COMPUTED_VALUE"""),"MENHENIOT")</f>
        <v>MENHENIOT</v>
      </c>
      <c r="F366" s="1">
        <f ca="1">IFERROR(__xludf.DUMMYFUNCTION("""COMPUTED_VALUE"""),84401)</f>
        <v>84401</v>
      </c>
    </row>
    <row r="367" spans="1:6" x14ac:dyDescent="0.3">
      <c r="A367" s="1" t="str">
        <f ca="1">IFERROR(__xludf.DUMMYFUNCTION("""COMPUTED_VALUE"""),"Menheniot Signal UM259")</f>
        <v>Menheniot Signal UM259</v>
      </c>
      <c r="B367" s="1"/>
      <c r="C367" s="1">
        <f ca="1">IFERROR(__xludf.DUMMYFUNCTION("""COMPUTED_VALUE"""),357601)</f>
        <v>357601</v>
      </c>
      <c r="D367" s="1" t="str">
        <f ca="1">IFERROR(__xludf.DUMMYFUNCTION("""COMPUTED_VALUE"""),"MENH259")</f>
        <v>MENH259</v>
      </c>
      <c r="E367" s="1" t="str">
        <f ca="1">IFERROR(__xludf.DUMMYFUNCTION("""COMPUTED_VALUE"""),"MENHEN259")</f>
        <v>MENHEN259</v>
      </c>
      <c r="F367" s="1">
        <f ca="1">IFERROR(__xludf.DUMMYFUNCTION("""COMPUTED_VALUE"""),84402)</f>
        <v>84402</v>
      </c>
    </row>
    <row r="368" spans="1:6" x14ac:dyDescent="0.3">
      <c r="A368" s="1" t="str">
        <f ca="1">IFERROR(__xludf.DUMMYFUNCTION("""COMPUTED_VALUE"""),"Menston")</f>
        <v>Menston</v>
      </c>
      <c r="B368" s="1" t="str">
        <f ca="1">IFERROR(__xludf.DUMMYFUNCTION("""COMPUTED_VALUE"""),"MNN")</f>
        <v>MNN</v>
      </c>
      <c r="C368" s="1">
        <f ca="1">IFERROR(__xludf.DUMMYFUNCTION("""COMPUTED_VALUE"""),857400)</f>
        <v>857400</v>
      </c>
      <c r="D368" s="1" t="str">
        <f ca="1">IFERROR(__xludf.DUMMYFUNCTION("""COMPUTED_VALUE"""),"MENSTON")</f>
        <v>MENSTON</v>
      </c>
      <c r="E368" s="1" t="str">
        <f ca="1">IFERROR(__xludf.DUMMYFUNCTION("""COMPUTED_VALUE"""),"MENSTON")</f>
        <v>MENSTON</v>
      </c>
      <c r="F368" s="1">
        <f ca="1">IFERROR(__xludf.DUMMYFUNCTION("""COMPUTED_VALUE"""),17041)</f>
        <v>17041</v>
      </c>
    </row>
    <row r="369" spans="1:6" x14ac:dyDescent="0.3">
      <c r="A369" s="1" t="str">
        <f ca="1">IFERROR(__xludf.DUMMYFUNCTION("""COMPUTED_VALUE"""),"Menston Otley Bus Station")</f>
        <v>Menston Otley Bus Station</v>
      </c>
      <c r="B369" s="1" t="str">
        <f ca="1">IFERROR(__xludf.DUMMYFUNCTION("""COMPUTED_VALUE"""),"OTL")</f>
        <v>OTL</v>
      </c>
      <c r="C369" s="1">
        <f ca="1">IFERROR(__xludf.DUMMYFUNCTION("""COMPUTED_VALUE"""),917200)</f>
        <v>917200</v>
      </c>
      <c r="D369" s="1" t="str">
        <f ca="1">IFERROR(__xludf.DUMMYFUNCTION("""COMPUTED_VALUE"""),"MENSTOB")</f>
        <v>MENSTOB</v>
      </c>
      <c r="E369" s="1"/>
      <c r="F369" s="1" t="str">
        <f ca="1">IFERROR(__xludf.DUMMYFUNCTION("""COMPUTED_VALUE"""),"-")</f>
        <v>-</v>
      </c>
    </row>
    <row r="370" spans="1:6" x14ac:dyDescent="0.3">
      <c r="A370" s="1" t="str">
        <f ca="1">IFERROR(__xludf.DUMMYFUNCTION("""COMPUTED_VALUE"""),"Menstrie DCL Yeast")</f>
        <v>Menstrie DCL Yeast</v>
      </c>
      <c r="B370" s="1"/>
      <c r="C370" s="1">
        <f ca="1">IFERROR(__xludf.DUMMYFUNCTION("""COMPUTED_VALUE"""),916211)</f>
        <v>916211</v>
      </c>
      <c r="D370" s="1" t="str">
        <f ca="1">IFERROR(__xludf.DUMMYFUNCTION("""COMPUTED_VALUE"""),"MSRYDCL")</f>
        <v>MSRYDCL</v>
      </c>
      <c r="E370" s="1" t="str">
        <f ca="1">IFERROR(__xludf.DUMMYFUNCTION("""COMPUTED_VALUE"""),"MENSTRIE")</f>
        <v>MENSTRIE</v>
      </c>
      <c r="F370" s="1">
        <f ca="1">IFERROR(__xludf.DUMMYFUNCTION("""COMPUTED_VALUE"""),3383)</f>
        <v>3383</v>
      </c>
    </row>
    <row r="371" spans="1:6" x14ac:dyDescent="0.3">
      <c r="A371" s="1" t="str">
        <f ca="1">IFERROR(__xludf.DUMMYFUNCTION("""COMPUTED_VALUE"""),"Meols")</f>
        <v>Meols</v>
      </c>
      <c r="B371" s="1" t="str">
        <f ca="1">IFERROR(__xludf.DUMMYFUNCTION("""COMPUTED_VALUE"""),"MEO")</f>
        <v>MEO</v>
      </c>
      <c r="C371" s="1">
        <f ca="1">IFERROR(__xludf.DUMMYFUNCTION("""COMPUTED_VALUE"""),225400)</f>
        <v>225400</v>
      </c>
      <c r="D371" s="1" t="str">
        <f ca="1">IFERROR(__xludf.DUMMYFUNCTION("""COMPUTED_VALUE"""),"MELS")</f>
        <v>MELS</v>
      </c>
      <c r="E371" s="1" t="str">
        <f ca="1">IFERROR(__xludf.DUMMYFUNCTION("""COMPUTED_VALUE"""),"MEOLS")</f>
        <v>MEOLS</v>
      </c>
      <c r="F371" s="1">
        <f ca="1">IFERROR(__xludf.DUMMYFUNCTION("""COMPUTED_VALUE"""),38006)</f>
        <v>38006</v>
      </c>
    </row>
    <row r="372" spans="1:6" x14ac:dyDescent="0.3">
      <c r="A372" s="1" t="str">
        <f ca="1">IFERROR(__xludf.DUMMYFUNCTION("""COMPUTED_VALUE"""),"Meols Cop")</f>
        <v>Meols Cop</v>
      </c>
      <c r="B372" s="1" t="str">
        <f ca="1">IFERROR(__xludf.DUMMYFUNCTION("""COMPUTED_VALUE"""),"MEC")</f>
        <v>MEC</v>
      </c>
      <c r="C372" s="1">
        <f ca="1">IFERROR(__xludf.DUMMYFUNCTION("""COMPUTED_VALUE"""),235700)</f>
        <v>235700</v>
      </c>
      <c r="D372" s="1" t="str">
        <f ca="1">IFERROR(__xludf.DUMMYFUNCTION("""COMPUTED_VALUE"""),"MEOLSCP")</f>
        <v>MEOLSCP</v>
      </c>
      <c r="E372" s="1" t="str">
        <f ca="1">IFERROR(__xludf.DUMMYFUNCTION("""COMPUTED_VALUE"""),"MEOLS COP")</f>
        <v>MEOLS COP</v>
      </c>
      <c r="F372" s="1">
        <f ca="1">IFERROR(__xludf.DUMMYFUNCTION("""COMPUTED_VALUE"""),35016)</f>
        <v>35016</v>
      </c>
    </row>
    <row r="373" spans="1:6" x14ac:dyDescent="0.3">
      <c r="A373" s="1" t="str">
        <f ca="1">IFERROR(__xludf.DUMMYFUNCTION("""COMPUTED_VALUE"""),"Meols Cop St Lukes Junction")</f>
        <v>Meols Cop St Lukes Junction</v>
      </c>
      <c r="B373" s="1"/>
      <c r="C373" s="1">
        <f ca="1">IFERROR(__xludf.DUMMYFUNCTION("""COMPUTED_VALUE"""),235705)</f>
        <v>235705</v>
      </c>
      <c r="D373" s="1" t="str">
        <f ca="1">IFERROR(__xludf.DUMMYFUNCTION("""COMPUTED_VALUE"""),"MEOLSLJ")</f>
        <v>MEOLSLJ</v>
      </c>
      <c r="E373" s="1" t="str">
        <f ca="1">IFERROR(__xludf.DUMMYFUNCTION("""COMPUTED_VALUE"""),"ST LUKESJ")</f>
        <v>ST LUKESJ</v>
      </c>
      <c r="F373" s="1">
        <f ca="1">IFERROR(__xludf.DUMMYFUNCTION("""COMPUTED_VALUE"""),35005)</f>
        <v>35005</v>
      </c>
    </row>
    <row r="374" spans="1:6" x14ac:dyDescent="0.3">
      <c r="A374" s="1" t="str">
        <f ca="1">IFERROR(__xludf.DUMMYFUNCTION("""COMPUTED_VALUE"""),"Meopham")</f>
        <v>Meopham</v>
      </c>
      <c r="B374" s="1" t="str">
        <f ca="1">IFERROR(__xludf.DUMMYFUNCTION("""COMPUTED_VALUE"""),"MEP")</f>
        <v>MEP</v>
      </c>
      <c r="C374" s="1">
        <f ca="1">IFERROR(__xludf.DUMMYFUNCTION("""COMPUTED_VALUE"""),511600)</f>
        <v>511600</v>
      </c>
      <c r="D374" s="1" t="str">
        <f ca="1">IFERROR(__xludf.DUMMYFUNCTION("""COMPUTED_VALUE"""),"MEOPHAM")</f>
        <v>MEOPHAM</v>
      </c>
      <c r="E374" s="1" t="str">
        <f ca="1">IFERROR(__xludf.DUMMYFUNCTION("""COMPUTED_VALUE"""),"MEOPHAM")</f>
        <v>MEOPHAM</v>
      </c>
      <c r="F374" s="1">
        <f ca="1">IFERROR(__xludf.DUMMYFUNCTION("""COMPUTED_VALUE"""),88488)</f>
        <v>88488</v>
      </c>
    </row>
    <row r="375" spans="1:6" x14ac:dyDescent="0.3">
      <c r="A375" s="1" t="str">
        <f ca="1">IFERROR(__xludf.DUMMYFUNCTION("""COMPUTED_VALUE"""),"Mere Clock")</f>
        <v>Mere Clock</v>
      </c>
      <c r="B375" s="1"/>
      <c r="C375" s="1"/>
      <c r="D375" s="1" t="str">
        <f ca="1">IFERROR(__xludf.DUMMYFUNCTION("""COMPUTED_VALUE"""),"MERECLK")</f>
        <v>MERECLK</v>
      </c>
      <c r="E375" s="1"/>
      <c r="F375" s="1"/>
    </row>
    <row r="376" spans="1:6" x14ac:dyDescent="0.3">
      <c r="A376" s="1" t="str">
        <f ca="1">IFERROR(__xludf.DUMMYFUNCTION("""COMPUTED_VALUE"""),"Merehead Quarry")</f>
        <v>Merehead Quarry</v>
      </c>
      <c r="B376" s="1"/>
      <c r="C376" s="1">
        <f ca="1">IFERROR(__xludf.DUMMYFUNCTION("""COMPUTED_VALUE"""),329461)</f>
        <v>329461</v>
      </c>
      <c r="D376" s="1" t="str">
        <f ca="1">IFERROR(__xludf.DUMMYFUNCTION("""COMPUTED_VALUE"""),"MERHDQ")</f>
        <v>MERHDQ</v>
      </c>
      <c r="E376" s="1" t="str">
        <f ca="1">IFERROR(__xludf.DUMMYFUNCTION("""COMPUTED_VALUE"""),"MEREHEAD")</f>
        <v>MEREHEAD</v>
      </c>
      <c r="F376" s="1">
        <f ca="1">IFERROR(__xludf.DUMMYFUNCTION("""COMPUTED_VALUE"""),82243)</f>
        <v>82243</v>
      </c>
    </row>
    <row r="377" spans="1:6" x14ac:dyDescent="0.3">
      <c r="A377" s="1" t="str">
        <f ca="1">IFERROR(__xludf.DUMMYFUNCTION("""COMPUTED_VALUE"""),"Merehead Quarry Freightliner Heavy Haul")</f>
        <v>Merehead Quarry Freightliner Heavy Haul</v>
      </c>
      <c r="B377" s="1"/>
      <c r="C377" s="1">
        <f ca="1">IFERROR(__xludf.DUMMYFUNCTION("""COMPUTED_VALUE"""),329402)</f>
        <v>329402</v>
      </c>
      <c r="D377" s="1" t="str">
        <f ca="1">IFERROR(__xludf.DUMMYFUNCTION("""COMPUTED_VALUE"""),"MERHFHH")</f>
        <v>MERHFHH</v>
      </c>
      <c r="E377" s="1" t="str">
        <f ca="1">IFERROR(__xludf.DUMMYFUNCTION("""COMPUTED_VALUE"""),"MEREQFHH")</f>
        <v>MEREQFHH</v>
      </c>
      <c r="F377" s="1">
        <f ca="1">IFERROR(__xludf.DUMMYFUNCTION("""COMPUTED_VALUE"""),82249)</f>
        <v>82249</v>
      </c>
    </row>
    <row r="378" spans="1:6" x14ac:dyDescent="0.3">
      <c r="A378" s="1" t="str">
        <f ca="1">IFERROR(__xludf.DUMMYFUNCTION("""COMPUTED_VALUE"""),"Merehead Quarry Junction")</f>
        <v>Merehead Quarry Junction</v>
      </c>
      <c r="B378" s="1"/>
      <c r="C378" s="1">
        <f ca="1">IFERROR(__xludf.DUMMYFUNCTION("""COMPUTED_VALUE"""),329413)</f>
        <v>329413</v>
      </c>
      <c r="D378" s="1" t="str">
        <f ca="1">IFERROR(__xludf.DUMMYFUNCTION("""COMPUTED_VALUE"""),"MERHDQJ")</f>
        <v>MERHDQJ</v>
      </c>
      <c r="E378" s="1" t="str">
        <f ca="1">IFERROR(__xludf.DUMMYFUNCTION("""COMPUTED_VALUE"""),"MEREHQYJ")</f>
        <v>MEREHQYJ</v>
      </c>
      <c r="F378" s="1">
        <f ca="1">IFERROR(__xludf.DUMMYFUNCTION("""COMPUTED_VALUE"""),82246)</f>
        <v>82246</v>
      </c>
    </row>
    <row r="379" spans="1:6" x14ac:dyDescent="0.3">
      <c r="A379" s="1" t="str">
        <f ca="1">IFERROR(__xludf.DUMMYFUNCTION("""COMPUTED_VALUE"""),"Merehead Traction Maintenance Depot")</f>
        <v>Merehead Traction Maintenance Depot</v>
      </c>
      <c r="B379" s="1"/>
      <c r="C379" s="1">
        <f ca="1">IFERROR(__xludf.DUMMYFUNCTION("""COMPUTED_VALUE"""),329401)</f>
        <v>329401</v>
      </c>
      <c r="D379" s="1" t="str">
        <f ca="1">IFERROR(__xludf.DUMMYFUNCTION("""COMPUTED_VALUE"""),"MERHTMD")</f>
        <v>MERHTMD</v>
      </c>
      <c r="E379" s="1" t="str">
        <f ca="1">IFERROR(__xludf.DUMMYFUNCTION("""COMPUTED_VALUE"""),"MEREHDTMD")</f>
        <v>MEREHDTMD</v>
      </c>
      <c r="F379" s="1">
        <f ca="1">IFERROR(__xludf.DUMMYFUNCTION("""COMPUTED_VALUE"""),82248)</f>
        <v>82248</v>
      </c>
    </row>
    <row r="380" spans="1:6" x14ac:dyDescent="0.3">
      <c r="A380" s="1" t="str">
        <f ca="1">IFERROR(__xludf.DUMMYFUNCTION("""COMPUTED_VALUE"""),"Merelbeke")</f>
        <v>Merelbeke</v>
      </c>
      <c r="B380" s="1"/>
      <c r="C380" s="1">
        <f ca="1">IFERROR(__xludf.DUMMYFUNCTION("""COMPUTED_VALUE"""),81405)</f>
        <v>81405</v>
      </c>
      <c r="D380" s="1" t="str">
        <f ca="1">IFERROR(__xludf.DUMMYFUNCTION("""COMPUTED_VALUE"""),"MERLBKE")</f>
        <v>MERLBKE</v>
      </c>
      <c r="E380" s="1" t="str">
        <f ca="1">IFERROR(__xludf.DUMMYFUNCTION("""COMPUTED_VALUE"""),"MERELBEKE")</f>
        <v>MERELBEKE</v>
      </c>
      <c r="F380" s="1">
        <f ca="1">IFERROR(__xludf.DUMMYFUNCTION("""COMPUTED_VALUE"""),848)</f>
        <v>848</v>
      </c>
    </row>
    <row r="381" spans="1:6" x14ac:dyDescent="0.3">
      <c r="A381" s="1" t="str">
        <f ca="1">IFERROR(__xludf.DUMMYFUNCTION("""COMPUTED_VALUE"""),"Meridian Water")</f>
        <v>Meridian Water</v>
      </c>
      <c r="B381" s="1" t="str">
        <f ca="1">IFERROR(__xludf.DUMMYFUNCTION("""COMPUTED_VALUE"""),"MRW")</f>
        <v>MRW</v>
      </c>
      <c r="C381" s="1">
        <f ca="1">IFERROR(__xludf.DUMMYFUNCTION("""COMPUTED_VALUE"""),659900)</f>
        <v>659900</v>
      </c>
      <c r="D381" s="1" t="str">
        <f ca="1">IFERROR(__xludf.DUMMYFUNCTION("""COMPUTED_VALUE"""),"MWRWSTN")</f>
        <v>MWRWSTN</v>
      </c>
      <c r="E381" s="1" t="str">
        <f ca="1">IFERROR(__xludf.DUMMYFUNCTION("""COMPUTED_VALUE"""),"MERWATSTN")</f>
        <v>MERWATSTN</v>
      </c>
      <c r="F381" s="1">
        <f ca="1">IFERROR(__xludf.DUMMYFUNCTION("""COMPUTED_VALUE"""),51925)</f>
        <v>51925</v>
      </c>
    </row>
    <row r="382" spans="1:6" x14ac:dyDescent="0.3">
      <c r="A382" s="1" t="str">
        <f ca="1">IFERROR(__xludf.DUMMYFUNCTION("""COMPUTED_VALUE"""),"Merryton")</f>
        <v>Merryton</v>
      </c>
      <c r="B382" s="1" t="str">
        <f ca="1">IFERROR(__xludf.DUMMYFUNCTION("""COMPUTED_VALUE"""),"MEY")</f>
        <v>MEY</v>
      </c>
      <c r="C382" s="1">
        <f ca="1">IFERROR(__xludf.DUMMYFUNCTION("""COMPUTED_VALUE"""),970500)</f>
        <v>970500</v>
      </c>
      <c r="D382" s="1" t="str">
        <f ca="1">IFERROR(__xludf.DUMMYFUNCTION("""COMPUTED_VALUE"""),"MRRYTON")</f>
        <v>MRRYTON</v>
      </c>
      <c r="E382" s="1" t="str">
        <f ca="1">IFERROR(__xludf.DUMMYFUNCTION("""COMPUTED_VALUE"""),"MERRYTON")</f>
        <v>MERRYTON</v>
      </c>
      <c r="F382" s="1">
        <f ca="1">IFERROR(__xludf.DUMMYFUNCTION("""COMPUTED_VALUE"""),7494)</f>
        <v>7494</v>
      </c>
    </row>
    <row r="383" spans="1:6" x14ac:dyDescent="0.3">
      <c r="A383" s="1" t="str">
        <f ca="1">IFERROR(__xludf.DUMMYFUNCTION("""COMPUTED_VALUE"""),"Merryton Loop")</f>
        <v>Merryton Loop</v>
      </c>
      <c r="B383" s="1"/>
      <c r="C383" s="1">
        <f ca="1">IFERROR(__xludf.DUMMYFUNCTION("""COMPUTED_VALUE"""),972713)</f>
        <v>972713</v>
      </c>
      <c r="D383" s="1" t="str">
        <f ca="1">IFERROR(__xludf.DUMMYFUNCTION("""COMPUTED_VALUE"""),"MRRYTNL")</f>
        <v>MRRYTNL</v>
      </c>
      <c r="E383" s="1" t="str">
        <f ca="1">IFERROR(__xludf.DUMMYFUNCTION("""COMPUTED_VALUE"""),"ALLANTNLP")</f>
        <v>ALLANTNLP</v>
      </c>
      <c r="F383" s="1">
        <f ca="1">IFERROR(__xludf.DUMMYFUNCTION("""COMPUTED_VALUE"""),7492)</f>
        <v>7492</v>
      </c>
    </row>
    <row r="384" spans="1:6" x14ac:dyDescent="0.3">
      <c r="A384" s="1" t="str">
        <f ca="1">IFERROR(__xludf.DUMMYFUNCTION("""COMPUTED_VALUE"""),"Merstham")</f>
        <v>Merstham</v>
      </c>
      <c r="B384" s="1" t="str">
        <f ca="1">IFERROR(__xludf.DUMMYFUNCTION("""COMPUTED_VALUE"""),"MHM")</f>
        <v>MHM</v>
      </c>
      <c r="C384" s="1">
        <f ca="1">IFERROR(__xludf.DUMMYFUNCTION("""COMPUTED_VALUE"""),547500)</f>
        <v>547500</v>
      </c>
      <c r="D384" s="1" t="str">
        <f ca="1">IFERROR(__xludf.DUMMYFUNCTION("""COMPUTED_VALUE"""),"MERSTHM")</f>
        <v>MERSTHM</v>
      </c>
      <c r="E384" s="1" t="str">
        <f ca="1">IFERROR(__xludf.DUMMYFUNCTION("""COMPUTED_VALUE"""),"MERSTHAM")</f>
        <v>MERSTHAM</v>
      </c>
      <c r="F384" s="1">
        <f ca="1">IFERROR(__xludf.DUMMYFUNCTION("""COMPUTED_VALUE"""),87712)</f>
        <v>87712</v>
      </c>
    </row>
    <row r="385" spans="1:6" x14ac:dyDescent="0.3">
      <c r="A385" s="1" t="str">
        <f ca="1">IFERROR(__xludf.DUMMYFUNCTION("""COMPUTED_VALUE"""),"Merthyr Brecon (Square)")</f>
        <v>Merthyr Brecon (Square)</v>
      </c>
      <c r="B385" s="1" t="str">
        <f ca="1">IFERROR(__xludf.DUMMYFUNCTION("""COMPUTED_VALUE"""),"BEO")</f>
        <v>BEO</v>
      </c>
      <c r="C385" s="1">
        <f ca="1">IFERROR(__xludf.DUMMYFUNCTION("""COMPUTED_VALUE"""),28100)</f>
        <v>28100</v>
      </c>
      <c r="D385" s="1" t="str">
        <f ca="1">IFERROR(__xludf.DUMMYFUNCTION("""COMPUTED_VALUE"""),"MERTBCN")</f>
        <v>MERTBCN</v>
      </c>
      <c r="E385" s="1"/>
      <c r="F385" s="1" t="str">
        <f ca="1">IFERROR(__xludf.DUMMYFUNCTION("""COMPUTED_VALUE"""),"-")</f>
        <v>-</v>
      </c>
    </row>
    <row r="386" spans="1:6" x14ac:dyDescent="0.3">
      <c r="A386" s="1" t="str">
        <f ca="1">IFERROR(__xludf.DUMMYFUNCTION("""COMPUTED_VALUE"""),"Merthyr Tydfil")</f>
        <v>Merthyr Tydfil</v>
      </c>
      <c r="B386" s="1" t="str">
        <f ca="1">IFERROR(__xludf.DUMMYFUNCTION("""COMPUTED_VALUE"""),"MER")</f>
        <v>MER</v>
      </c>
      <c r="C386" s="1">
        <f ca="1">IFERROR(__xludf.DUMMYFUNCTION("""COMPUTED_VALUE"""),385500)</f>
        <v>385500</v>
      </c>
      <c r="D386" s="1" t="str">
        <f ca="1">IFERROR(__xludf.DUMMYFUNCTION("""COMPUTED_VALUE"""),"MERTHYR")</f>
        <v>MERTHYR</v>
      </c>
      <c r="E386" s="1" t="str">
        <f ca="1">IFERROR(__xludf.DUMMYFUNCTION("""COMPUTED_VALUE"""),"MERTHYR")</f>
        <v>MERTHYR</v>
      </c>
      <c r="F386" s="1">
        <f ca="1">IFERROR(__xludf.DUMMYFUNCTION("""COMPUTED_VALUE"""),78201)</f>
        <v>78201</v>
      </c>
    </row>
    <row r="387" spans="1:6" x14ac:dyDescent="0.3">
      <c r="A387" s="1" t="str">
        <f ca="1">IFERROR(__xludf.DUMMYFUNCTION("""COMPUTED_VALUE"""),"Merthyr Vale")</f>
        <v>Merthyr Vale</v>
      </c>
      <c r="B387" s="1" t="str">
        <f ca="1">IFERROR(__xludf.DUMMYFUNCTION("""COMPUTED_VALUE"""),"MEV")</f>
        <v>MEV</v>
      </c>
      <c r="C387" s="1">
        <f ca="1">IFERROR(__xludf.DUMMYFUNCTION("""COMPUTED_VALUE"""),385700)</f>
        <v>385700</v>
      </c>
      <c r="D387" s="1" t="str">
        <f ca="1">IFERROR(__xludf.DUMMYFUNCTION("""COMPUTED_VALUE"""),"MERTHRV")</f>
        <v>MERTHRV</v>
      </c>
      <c r="E387" s="1" t="str">
        <f ca="1">IFERROR(__xludf.DUMMYFUNCTION("""COMPUTED_VALUE"""),"MERTHVALE")</f>
        <v>MERTHVALE</v>
      </c>
      <c r="F387" s="1">
        <f ca="1">IFERROR(__xludf.DUMMYFUNCTION("""COMPUTED_VALUE"""),78144)</f>
        <v>78144</v>
      </c>
    </row>
    <row r="388" spans="1:6" x14ac:dyDescent="0.3">
      <c r="A388" s="1" t="str">
        <f ca="1">IFERROR(__xludf.DUMMYFUNCTION("""COMPUTED_VALUE"""),"Merthyr Vale Colliery")</f>
        <v>Merthyr Vale Colliery</v>
      </c>
      <c r="B388" s="1"/>
      <c r="C388" s="1"/>
      <c r="D388" s="1" t="str">
        <f ca="1">IFERROR(__xludf.DUMMYFUNCTION("""COMPUTED_VALUE"""),"MRTRVCL")</f>
        <v>MRTRVCL</v>
      </c>
      <c r="E388" s="1"/>
      <c r="F388" s="1"/>
    </row>
    <row r="389" spans="1:6" x14ac:dyDescent="0.3">
      <c r="A389" s="1" t="str">
        <f ca="1">IFERROR(__xludf.DUMMYFUNCTION("""COMPUTED_VALUE"""),"Merton Park")</f>
        <v>Merton Park</v>
      </c>
      <c r="B389" s="1" t="str">
        <f ca="1">IFERROR(__xludf.DUMMYFUNCTION("""COMPUTED_VALUE"""),"MOP")</f>
        <v>MOP</v>
      </c>
      <c r="C389" s="1">
        <f ca="1">IFERROR(__xludf.DUMMYFUNCTION("""COMPUTED_VALUE"""),567700)</f>
        <v>567700</v>
      </c>
      <c r="D389" s="1" t="str">
        <f ca="1">IFERROR(__xludf.DUMMYFUNCTION("""COMPUTED_VALUE"""),"MRTP")</f>
        <v>MRTP</v>
      </c>
      <c r="E389" s="1" t="str">
        <f ca="1">IFERROR(__xludf.DUMMYFUNCTION("""COMPUTED_VALUE"""),"MERTNPARK")</f>
        <v>MERTNPARK</v>
      </c>
      <c r="F389" s="1">
        <f ca="1">IFERROR(__xludf.DUMMYFUNCTION("""COMPUTED_VALUE"""),87351)</f>
        <v>87351</v>
      </c>
    </row>
    <row r="390" spans="1:6" x14ac:dyDescent="0.3">
      <c r="A390" s="1" t="str">
        <f ca="1">IFERROR(__xludf.DUMMYFUNCTION("""COMPUTED_VALUE"""),"Metheringham")</f>
        <v>Metheringham</v>
      </c>
      <c r="B390" s="1" t="str">
        <f ca="1">IFERROR(__xludf.DUMMYFUNCTION("""COMPUTED_VALUE"""),"MGM")</f>
        <v>MGM</v>
      </c>
      <c r="C390" s="1">
        <f ca="1">IFERROR(__xludf.DUMMYFUNCTION("""COMPUTED_VALUE"""),629700)</f>
        <v>629700</v>
      </c>
      <c r="D390" s="1" t="str">
        <f ca="1">IFERROR(__xludf.DUMMYFUNCTION("""COMPUTED_VALUE"""),"MTHRNGH")</f>
        <v>MTHRNGH</v>
      </c>
      <c r="E390" s="1" t="str">
        <f ca="1">IFERROR(__xludf.DUMMYFUNCTION("""COMPUTED_VALUE"""),"METHRNGHM")</f>
        <v>METHRNGHM</v>
      </c>
      <c r="F390" s="1">
        <f ca="1">IFERROR(__xludf.DUMMYFUNCTION("""COMPUTED_VALUE"""),44093)</f>
        <v>44093</v>
      </c>
    </row>
    <row r="391" spans="1:6" x14ac:dyDescent="0.3">
      <c r="A391" s="1" t="str">
        <f ca="1">IFERROR(__xludf.DUMMYFUNCTION("""COMPUTED_VALUE"""),"Metheringham Scopwick")</f>
        <v>Metheringham Scopwick</v>
      </c>
      <c r="B391" s="1"/>
      <c r="C391" s="1">
        <f ca="1">IFERROR(__xludf.DUMMYFUNCTION("""COMPUTED_VALUE"""),629705)</f>
        <v>629705</v>
      </c>
      <c r="D391" s="1" t="str">
        <f ca="1">IFERROR(__xludf.DUMMYFUNCTION("""COMPUTED_VALUE"""),"MTHRSCP")</f>
        <v>MTHRSCP</v>
      </c>
      <c r="E391" s="1" t="str">
        <f ca="1">IFERROR(__xludf.DUMMYFUNCTION("""COMPUTED_VALUE"""),"SCOPWICK")</f>
        <v>SCOPWICK</v>
      </c>
      <c r="F391" s="1">
        <f ca="1">IFERROR(__xludf.DUMMYFUNCTION("""COMPUTED_VALUE"""),44094)</f>
        <v>44094</v>
      </c>
    </row>
    <row r="392" spans="1:6" x14ac:dyDescent="0.3">
      <c r="A392" s="1" t="str">
        <f ca="1">IFERROR(__xludf.DUMMYFUNCTION("""COMPUTED_VALUE"""),"Methil Power Station")</f>
        <v>Methil Power Station</v>
      </c>
      <c r="B392" s="1"/>
      <c r="C392" s="1">
        <f ca="1">IFERROR(__xludf.DUMMYFUNCTION("""COMPUTED_VALUE"""),916317)</f>
        <v>916317</v>
      </c>
      <c r="D392" s="1" t="str">
        <f ca="1">IFERROR(__xludf.DUMMYFUNCTION("""COMPUTED_VALUE"""),"MTHLPS")</f>
        <v>MTHLPS</v>
      </c>
      <c r="E392" s="1" t="str">
        <f ca="1">IFERROR(__xludf.DUMMYFUNCTION("""COMPUTED_VALUE"""),"METHIL PS")</f>
        <v>METHIL PS</v>
      </c>
      <c r="F392" s="1">
        <f ca="1">IFERROR(__xludf.DUMMYFUNCTION("""COMPUTED_VALUE"""),3234)</f>
        <v>3234</v>
      </c>
    </row>
    <row r="393" spans="1:6" x14ac:dyDescent="0.3">
      <c r="A393" s="1" t="str">
        <f ca="1">IFERROR(__xludf.DUMMYFUNCTION("""COMPUTED_VALUE"""),"Methil West")</f>
        <v>Methil West</v>
      </c>
      <c r="B393" s="1"/>
      <c r="C393" s="1">
        <f ca="1">IFERROR(__xludf.DUMMYFUNCTION("""COMPUTED_VALUE"""),916320)</f>
        <v>916320</v>
      </c>
      <c r="D393" s="1" t="str">
        <f ca="1">IFERROR(__xludf.DUMMYFUNCTION("""COMPUTED_VALUE"""),"MTHLWST")</f>
        <v>MTHLWST</v>
      </c>
      <c r="E393" s="1" t="str">
        <f ca="1">IFERROR(__xludf.DUMMYFUNCTION("""COMPUTED_VALUE"""),"METHILWST")</f>
        <v>METHILWST</v>
      </c>
      <c r="F393" s="1">
        <f ca="1">IFERROR(__xludf.DUMMYFUNCTION("""COMPUTED_VALUE"""),3233)</f>
        <v>3233</v>
      </c>
    </row>
    <row r="394" spans="1:6" x14ac:dyDescent="0.3">
      <c r="A394" s="1" t="str">
        <f ca="1">IFERROR(__xludf.DUMMYFUNCTION("""COMPUTED_VALUE"""),"Methley Junction")</f>
        <v>Methley Junction</v>
      </c>
      <c r="B394" s="1"/>
      <c r="C394" s="1">
        <f ca="1">IFERROR(__xludf.DUMMYFUNCTION("""COMPUTED_VALUE"""),858012)</f>
        <v>858012</v>
      </c>
      <c r="D394" s="1" t="str">
        <f ca="1">IFERROR(__xludf.DUMMYFUNCTION("""COMPUTED_VALUE"""),"METHLYJ")</f>
        <v>METHLYJ</v>
      </c>
      <c r="E394" s="1" t="str">
        <f ca="1">IFERROR(__xludf.DUMMYFUNCTION("""COMPUTED_VALUE"""),"METHLEYJN")</f>
        <v>METHLEYJN</v>
      </c>
      <c r="F394" s="1">
        <f ca="1">IFERROR(__xludf.DUMMYFUNCTION("""COMPUTED_VALUE"""),17192)</f>
        <v>17192</v>
      </c>
    </row>
    <row r="395" spans="1:6" x14ac:dyDescent="0.3">
      <c r="A395" s="1" t="str">
        <f ca="1">IFERROR(__xludf.DUMMYFUNCTION("""COMPUTED_VALUE"""),"Metropolitan Junction")</f>
        <v>Metropolitan Junction</v>
      </c>
      <c r="B395" s="1" t="str">
        <f ca="1">IFERROR(__xludf.DUMMYFUNCTION("""COMPUTED_VALUE"""),"XMK")</f>
        <v>XMK</v>
      </c>
      <c r="C395" s="1">
        <f ca="1">IFERROR(__xludf.DUMMYFUNCTION("""COMPUTED_VALUE"""),514267)</f>
        <v>514267</v>
      </c>
      <c r="D395" s="1" t="str">
        <f ca="1">IFERROR(__xludf.DUMMYFUNCTION("""COMPUTED_VALUE"""),"MTRPLTJ")</f>
        <v>MTRPLTJ</v>
      </c>
      <c r="E395" s="1" t="str">
        <f ca="1">IFERROR(__xludf.DUMMYFUNCTION("""COMPUTED_VALUE"""),"METROP JN")</f>
        <v>METROP JN</v>
      </c>
      <c r="F395" s="1">
        <f ca="1">IFERROR(__xludf.DUMMYFUNCTION("""COMPUTED_VALUE"""),88400)</f>
        <v>88400</v>
      </c>
    </row>
    <row r="396" spans="1:6" x14ac:dyDescent="0.3">
      <c r="A396" s="1" t="str">
        <f ca="1">IFERROR(__xludf.DUMMYFUNCTION("""COMPUTED_VALUE"""),"Metz Ville")</f>
        <v>Metz Ville</v>
      </c>
      <c r="B396" s="1" t="str">
        <f ca="1">IFERROR(__xludf.DUMMYFUNCTION("""COMPUTED_VALUE"""),"MZM")</f>
        <v>MZM</v>
      </c>
      <c r="C396" s="1">
        <f ca="1">IFERROR(__xludf.DUMMYFUNCTION("""COMPUTED_VALUE"""),873100)</f>
        <v>873100</v>
      </c>
      <c r="D396" s="1" t="str">
        <f ca="1">IFERROR(__xludf.DUMMYFUNCTION("""COMPUTED_VALUE"""),"METZ")</f>
        <v>METZ</v>
      </c>
      <c r="E396" s="1" t="str">
        <f ca="1">IFERROR(__xludf.DUMMYFUNCTION("""COMPUTED_VALUE"""),"METZ SBLN")</f>
        <v>METZ SBLN</v>
      </c>
      <c r="F396" s="1">
        <f ca="1">IFERROR(__xludf.DUMMYFUNCTION("""COMPUTED_VALUE"""),764)</f>
        <v>764</v>
      </c>
    </row>
    <row r="397" spans="1:6" x14ac:dyDescent="0.3">
      <c r="A397" s="1" t="str">
        <f ca="1">IFERROR(__xludf.DUMMYFUNCTION("""COMPUTED_VALUE"""),"Mevagissey Trevorth")</f>
        <v>Mevagissey Trevorth</v>
      </c>
      <c r="B397" s="1" t="str">
        <f ca="1">IFERROR(__xludf.DUMMYFUNCTION("""COMPUTED_VALUE"""),"XEF")</f>
        <v>XEF</v>
      </c>
      <c r="C397" s="1">
        <f ca="1">IFERROR(__xludf.DUMMYFUNCTION("""COMPUTED_VALUE"""),353402)</f>
        <v>353402</v>
      </c>
      <c r="D397" s="1" t="str">
        <f ca="1">IFERROR(__xludf.DUMMYFUNCTION("""COMPUTED_VALUE"""),"MEVATRE")</f>
        <v>MEVATRE</v>
      </c>
      <c r="E397" s="1"/>
      <c r="F397" s="1" t="str">
        <f ca="1">IFERROR(__xludf.DUMMYFUNCTION("""COMPUTED_VALUE"""),"-")</f>
        <v>-</v>
      </c>
    </row>
    <row r="398" spans="1:6" x14ac:dyDescent="0.3">
      <c r="A398" s="1" t="str">
        <f ca="1">IFERROR(__xludf.DUMMYFUNCTION("""COMPUTED_VALUE"""),"Mexborough")</f>
        <v>Mexborough</v>
      </c>
      <c r="B398" s="1" t="str">
        <f ca="1">IFERROR(__xludf.DUMMYFUNCTION("""COMPUTED_VALUE"""),"MEX")</f>
        <v>MEX</v>
      </c>
      <c r="C398" s="1">
        <f ca="1">IFERROR(__xludf.DUMMYFUNCTION("""COMPUTED_VALUE"""),670700)</f>
        <v>670700</v>
      </c>
      <c r="D398" s="1" t="str">
        <f ca="1">IFERROR(__xludf.DUMMYFUNCTION("""COMPUTED_VALUE"""),"MEXBRGH")</f>
        <v>MEXBRGH</v>
      </c>
      <c r="E398" s="1" t="str">
        <f ca="1">IFERROR(__xludf.DUMMYFUNCTION("""COMPUTED_VALUE"""),"MEXBORO")</f>
        <v>MEXBORO</v>
      </c>
      <c r="F398" s="1">
        <f ca="1">IFERROR(__xludf.DUMMYFUNCTION("""COMPUTED_VALUE"""),24314)</f>
        <v>24314</v>
      </c>
    </row>
    <row r="399" spans="1:6" x14ac:dyDescent="0.3">
      <c r="A399" s="1" t="str">
        <f ca="1">IFERROR(__xludf.DUMMYFUNCTION("""COMPUTED_VALUE"""),"Mexborough Junction")</f>
        <v>Mexborough Junction</v>
      </c>
      <c r="B399" s="1"/>
      <c r="C399" s="1">
        <f ca="1">IFERROR(__xludf.DUMMYFUNCTION("""COMPUTED_VALUE"""),670716)</f>
        <v>670716</v>
      </c>
      <c r="D399" s="1" t="str">
        <f ca="1">IFERROR(__xludf.DUMMYFUNCTION("""COMPUTED_VALUE"""),"MEXBRJN MEXBJN")</f>
        <v>MEXBRJN MEXBJN</v>
      </c>
      <c r="E399" s="1" t="str">
        <f ca="1">IFERROR(__xludf.DUMMYFUNCTION("""COMPUTED_VALUE"""),"MEXBOROJN")</f>
        <v>MEXBOROJN</v>
      </c>
      <c r="F399" s="1">
        <f ca="1">IFERROR(__xludf.DUMMYFUNCTION("""COMPUTED_VALUE"""),24315)</f>
        <v>24315</v>
      </c>
    </row>
    <row r="400" spans="1:6" x14ac:dyDescent="0.3">
      <c r="A400" s="1" t="str">
        <f ca="1">IFERROR(__xludf.DUMMYFUNCTION("""COMPUTED_VALUE"""),"Micheldever")</f>
        <v>Micheldever</v>
      </c>
      <c r="B400" s="1" t="str">
        <f ca="1">IFERROR(__xludf.DUMMYFUNCTION("""COMPUTED_VALUE"""),"MIC")</f>
        <v>MIC</v>
      </c>
      <c r="C400" s="1">
        <f ca="1">IFERROR(__xludf.DUMMYFUNCTION("""COMPUTED_VALUE"""),590800)</f>
        <v>590800</v>
      </c>
      <c r="D400" s="1" t="str">
        <f ca="1">IFERROR(__xludf.DUMMYFUNCTION("""COMPUTED_VALUE"""),"MCHLDVR")</f>
        <v>MCHLDVR</v>
      </c>
      <c r="E400" s="1" t="str">
        <f ca="1">IFERROR(__xludf.DUMMYFUNCTION("""COMPUTED_VALUE"""),"MICHELDEV")</f>
        <v>MICHELDEV</v>
      </c>
      <c r="F400" s="1">
        <f ca="1">IFERROR(__xludf.DUMMYFUNCTION("""COMPUTED_VALUE"""),86081)</f>
        <v>86081</v>
      </c>
    </row>
    <row r="401" spans="1:6" x14ac:dyDescent="0.3">
      <c r="A401" s="1" t="str">
        <f ca="1">IFERROR(__xludf.DUMMYFUNCTION("""COMPUTED_VALUE"""),"Micheldever Elf Oil Sidings")</f>
        <v>Micheldever Elf Oil Sidings</v>
      </c>
      <c r="B401" s="1"/>
      <c r="C401" s="1">
        <f ca="1">IFERROR(__xludf.DUMMYFUNCTION("""COMPUTED_VALUE"""),590811)</f>
        <v>590811</v>
      </c>
      <c r="D401" s="1" t="str">
        <f ca="1">IFERROR(__xludf.DUMMYFUNCTION("""COMPUTED_VALUE"""),"MCHLELF")</f>
        <v>MCHLELF</v>
      </c>
      <c r="E401" s="1" t="str">
        <f ca="1">IFERROR(__xludf.DUMMYFUNCTION("""COMPUTED_VALUE"""),"MICHELDOS")</f>
        <v>MICHELDOS</v>
      </c>
      <c r="F401" s="1">
        <f ca="1">IFERROR(__xludf.DUMMYFUNCTION("""COMPUTED_VALUE"""),86082)</f>
        <v>86082</v>
      </c>
    </row>
    <row r="402" spans="1:6" x14ac:dyDescent="0.3">
      <c r="A402" s="1" t="str">
        <f ca="1">IFERROR(__xludf.DUMMYFUNCTION("""COMPUTED_VALUE"""),"Micheldever Signal E125")</f>
        <v>Micheldever Signal E125</v>
      </c>
      <c r="B402" s="1"/>
      <c r="C402" s="1">
        <f ca="1">IFERROR(__xludf.DUMMYFUNCTION("""COMPUTED_VALUE"""),590802)</f>
        <v>590802</v>
      </c>
      <c r="D402" s="1" t="str">
        <f ca="1">IFERROR(__xludf.DUMMYFUNCTION("""COMPUTED_VALUE"""),"MCHL125")</f>
        <v>MCHL125</v>
      </c>
      <c r="E402" s="1" t="str">
        <f ca="1">IFERROR(__xludf.DUMMYFUNCTION("""COMPUTED_VALUE"""),"MCHDVR125")</f>
        <v>MCHDVR125</v>
      </c>
      <c r="F402" s="1">
        <f ca="1">IFERROR(__xludf.DUMMYFUNCTION("""COMPUTED_VALUE"""),86138)</f>
        <v>86138</v>
      </c>
    </row>
    <row r="403" spans="1:6" x14ac:dyDescent="0.3">
      <c r="A403" s="1" t="str">
        <f ca="1">IFERROR(__xludf.DUMMYFUNCTION("""COMPUTED_VALUE"""),"Micheldever Signal E229")</f>
        <v>Micheldever Signal E229</v>
      </c>
      <c r="B403" s="1"/>
      <c r="C403" s="1">
        <f ca="1">IFERROR(__xludf.DUMMYFUNCTION("""COMPUTED_VALUE"""),590801)</f>
        <v>590801</v>
      </c>
      <c r="D403" s="1" t="str">
        <f ca="1">IFERROR(__xludf.DUMMYFUNCTION("""COMPUTED_VALUE"""),"MCHL229")</f>
        <v>MCHL229</v>
      </c>
      <c r="E403" s="1" t="str">
        <f ca="1">IFERROR(__xludf.DUMMYFUNCTION("""COMPUTED_VALUE"""),"MICHEL229")</f>
        <v>MICHEL229</v>
      </c>
      <c r="F403" s="1">
        <f ca="1">IFERROR(__xludf.DUMMYFUNCTION("""COMPUTED_VALUE"""),86056)</f>
        <v>86056</v>
      </c>
    </row>
    <row r="404" spans="1:6" x14ac:dyDescent="0.3">
      <c r="A404" s="1" t="str">
        <f ca="1">IFERROR(__xludf.DUMMYFUNCTION("""COMPUTED_VALUE"""),"Micklefield")</f>
        <v>Micklefield</v>
      </c>
      <c r="B404" s="1" t="str">
        <f ca="1">IFERROR(__xludf.DUMMYFUNCTION("""COMPUTED_VALUE"""),"MIK")</f>
        <v>MIK</v>
      </c>
      <c r="C404" s="1">
        <f ca="1">IFERROR(__xludf.DUMMYFUNCTION("""COMPUTED_VALUE"""),847700)</f>
        <v>847700</v>
      </c>
      <c r="D404" s="1" t="str">
        <f ca="1">IFERROR(__xludf.DUMMYFUNCTION("""COMPUTED_VALUE"""),"MCKLFLD")</f>
        <v>MCKLFLD</v>
      </c>
      <c r="E404" s="1" t="str">
        <f ca="1">IFERROR(__xludf.DUMMYFUNCTION("""COMPUTED_VALUE"""),"MICKLEFLD")</f>
        <v>MICKLEFLD</v>
      </c>
      <c r="F404" s="1">
        <f ca="1">IFERROR(__xludf.DUMMYFUNCTION("""COMPUTED_VALUE"""),16602)</f>
        <v>16602</v>
      </c>
    </row>
    <row r="405" spans="1:6" x14ac:dyDescent="0.3">
      <c r="A405" s="1" t="str">
        <f ca="1">IFERROR(__xludf.DUMMYFUNCTION("""COMPUTED_VALUE"""),"Mickle Trafford")</f>
        <v>Mickle Trafford</v>
      </c>
      <c r="B405" s="1"/>
      <c r="C405" s="1">
        <f ca="1">IFERROR(__xludf.DUMMYFUNCTION("""COMPUTED_VALUE"""),241203)</f>
        <v>241203</v>
      </c>
      <c r="D405" s="1" t="str">
        <f ca="1">IFERROR(__xludf.DUMMYFUNCTION("""COMPUTED_VALUE"""),"MIKLTRF")</f>
        <v>MIKLTRF</v>
      </c>
      <c r="E405" s="1" t="str">
        <f ca="1">IFERROR(__xludf.DUMMYFUNCTION("""COMPUTED_VALUE"""),"MICKLETRF")</f>
        <v>MICKLETRF</v>
      </c>
      <c r="F405" s="1">
        <f ca="1">IFERROR(__xludf.DUMMYFUNCTION("""COMPUTED_VALUE"""),40322)</f>
        <v>40322</v>
      </c>
    </row>
    <row r="406" spans="1:6" x14ac:dyDescent="0.3">
      <c r="A406" s="1" t="str">
        <f ca="1">IFERROR(__xludf.DUMMYFUNCTION("""COMPUTED_VALUE"""),"Midcalder Goods Loop")</f>
        <v>Midcalder Goods Loop</v>
      </c>
      <c r="B406" s="1"/>
      <c r="C406" s="1">
        <f ca="1">IFERROR(__xludf.DUMMYFUNCTION("""COMPUTED_VALUE"""),923064)</f>
        <v>923064</v>
      </c>
      <c r="D406" s="1" t="str">
        <f ca="1">IFERROR(__xludf.DUMMYFUNCTION("""COMPUTED_VALUE"""),"MDCLDRL")</f>
        <v>MDCLDRL</v>
      </c>
      <c r="E406" s="1" t="str">
        <f ca="1">IFERROR(__xludf.DUMMYFUNCTION("""COMPUTED_VALUE"""),"MIDCLDRGL")</f>
        <v>MIDCLDRGL</v>
      </c>
      <c r="F406" s="1">
        <f ca="1">IFERROR(__xludf.DUMMYFUNCTION("""COMPUTED_VALUE"""),4110)</f>
        <v>4110</v>
      </c>
    </row>
    <row r="407" spans="1:6" x14ac:dyDescent="0.3">
      <c r="A407" s="1" t="str">
        <f ca="1">IFERROR(__xludf.DUMMYFUNCTION("""COMPUTED_VALUE"""),"Midcalder Junction")</f>
        <v>Midcalder Junction</v>
      </c>
      <c r="B407" s="1"/>
      <c r="C407" s="1">
        <f ca="1">IFERROR(__xludf.DUMMYFUNCTION("""COMPUTED_VALUE"""),923061)</f>
        <v>923061</v>
      </c>
      <c r="D407" s="1" t="str">
        <f ca="1">IFERROR(__xludf.DUMMYFUNCTION("""COMPUTED_VALUE"""),"MDCLDRJ")</f>
        <v>MDCLDRJ</v>
      </c>
      <c r="E407" s="1" t="str">
        <f ca="1">IFERROR(__xludf.DUMMYFUNCTION("""COMPUTED_VALUE"""),"MIDCLDRJN")</f>
        <v>MIDCLDRJN</v>
      </c>
      <c r="F407" s="1">
        <f ca="1">IFERROR(__xludf.DUMMYFUNCTION("""COMPUTED_VALUE"""),4111)</f>
        <v>4111</v>
      </c>
    </row>
    <row r="408" spans="1:6" x14ac:dyDescent="0.3">
      <c r="A408" s="1" t="str">
        <f ca="1">IFERROR(__xludf.DUMMYFUNCTION("""COMPUTED_VALUE"""),"Midcalder Junction Signal EJ720")</f>
        <v>Midcalder Junction Signal EJ720</v>
      </c>
      <c r="B408" s="1"/>
      <c r="C408" s="1">
        <f ca="1">IFERROR(__xludf.DUMMYFUNCTION("""COMPUTED_VALUE"""),923003)</f>
        <v>923003</v>
      </c>
      <c r="D408" s="1" t="str">
        <f ca="1">IFERROR(__xludf.DUMMYFUNCTION("""COMPUTED_VALUE"""),"MDCL720")</f>
        <v>MDCL720</v>
      </c>
      <c r="E408" s="1" t="str">
        <f ca="1">IFERROR(__xludf.DUMMYFUNCTION("""COMPUTED_VALUE"""),"MIDCLJ720")</f>
        <v>MIDCLJ720</v>
      </c>
      <c r="F408" s="1">
        <f ca="1">IFERROR(__xludf.DUMMYFUNCTION("""COMPUTED_VALUE"""),4117)</f>
        <v>4117</v>
      </c>
    </row>
    <row r="409" spans="1:6" x14ac:dyDescent="0.3">
      <c r="A409" s="1" t="str">
        <f ca="1">IFERROR(__xludf.DUMMYFUNCTION("""COMPUTED_VALUE"""),"Midcalder Junction Signal EJ982")</f>
        <v>Midcalder Junction Signal EJ982</v>
      </c>
      <c r="B409" s="1"/>
      <c r="C409" s="1">
        <f ca="1">IFERROR(__xludf.DUMMYFUNCTION("""COMPUTED_VALUE"""),923004)</f>
        <v>923004</v>
      </c>
      <c r="D409" s="1" t="str">
        <f ca="1">IFERROR(__xludf.DUMMYFUNCTION("""COMPUTED_VALUE"""),"MDCL982")</f>
        <v>MDCL982</v>
      </c>
      <c r="E409" s="1" t="str">
        <f ca="1">IFERROR(__xludf.DUMMYFUNCTION("""COMPUTED_VALUE"""),"MIDCLJ982")</f>
        <v>MIDCLJ982</v>
      </c>
      <c r="F409" s="1">
        <f ca="1">IFERROR(__xludf.DUMMYFUNCTION("""COMPUTED_VALUE"""),4123)</f>
        <v>4123</v>
      </c>
    </row>
    <row r="410" spans="1:6" x14ac:dyDescent="0.3">
      <c r="A410" s="1" t="str">
        <f ca="1">IFERROR(__xludf.DUMMYFUNCTION("""COMPUTED_VALUE"""),"Midcalder Junction Signal EJ991")</f>
        <v>Midcalder Junction Signal EJ991</v>
      </c>
      <c r="B410" s="1"/>
      <c r="C410" s="1">
        <f ca="1">IFERROR(__xludf.DUMMYFUNCTION("""COMPUTED_VALUE"""),923067)</f>
        <v>923067</v>
      </c>
      <c r="D410" s="1" t="str">
        <f ca="1">IFERROR(__xludf.DUMMYFUNCTION("""COMPUTED_VALUE"""),"MDCL991")</f>
        <v>MDCL991</v>
      </c>
      <c r="E410" s="1" t="str">
        <f ca="1">IFERROR(__xludf.DUMMYFUNCTION("""COMPUTED_VALUE"""),"MIDCLJ991")</f>
        <v>MIDCLJ991</v>
      </c>
      <c r="F410" s="1">
        <f ca="1">IFERROR(__xludf.DUMMYFUNCTION("""COMPUTED_VALUE"""),4115)</f>
        <v>4115</v>
      </c>
    </row>
    <row r="411" spans="1:6" x14ac:dyDescent="0.3">
      <c r="A411" s="1" t="str">
        <f ca="1">IFERROR(__xludf.DUMMYFUNCTION("""COMPUTED_VALUE"""),"Midcalder Up Refuge Siding")</f>
        <v>Midcalder Up Refuge Siding</v>
      </c>
      <c r="B411" s="1"/>
      <c r="C411" s="1">
        <f ca="1">IFERROR(__xludf.DUMMYFUNCTION("""COMPUTED_VALUE"""),923066)</f>
        <v>923066</v>
      </c>
      <c r="D411" s="1" t="str">
        <f ca="1">IFERROR(__xludf.DUMMYFUNCTION("""COMPUTED_VALUE"""),"MDCLURS")</f>
        <v>MDCLURS</v>
      </c>
      <c r="E411" s="1" t="str">
        <f ca="1">IFERROR(__xludf.DUMMYFUNCTION("""COMPUTED_VALUE"""),"MIDCLDURS")</f>
        <v>MIDCLDURS</v>
      </c>
      <c r="F411" s="1">
        <f ca="1">IFERROR(__xludf.DUMMYFUNCTION("""COMPUTED_VALUE"""),4109)</f>
        <v>4109</v>
      </c>
    </row>
    <row r="412" spans="1:6" x14ac:dyDescent="0.3">
      <c r="A412" s="1" t="str">
        <f ca="1">IFERROR(__xludf.DUMMYFUNCTION("""COMPUTED_VALUE"""),"Middle Drove")</f>
        <v>Middle Drove</v>
      </c>
      <c r="B412" s="1"/>
      <c r="C412" s="1">
        <f ca="1">IFERROR(__xludf.DUMMYFUNCTION("""COMPUTED_VALUE"""),716603)</f>
        <v>716603</v>
      </c>
      <c r="D412" s="1" t="str">
        <f ca="1">IFERROR(__xludf.DUMMYFUNCTION("""COMPUTED_VALUE"""),"MIDDRVE")</f>
        <v>MIDDRVE</v>
      </c>
      <c r="E412" s="1" t="str">
        <f ca="1">IFERROR(__xludf.DUMMYFUNCTION("""COMPUTED_VALUE"""),"MIDDLEDVE")</f>
        <v>MIDDLEDVE</v>
      </c>
      <c r="F412" s="1">
        <f ca="1">IFERROR(__xludf.DUMMYFUNCTION("""COMPUTED_VALUE"""),46142)</f>
        <v>46142</v>
      </c>
    </row>
    <row r="413" spans="1:6" x14ac:dyDescent="0.3">
      <c r="A413" s="1" t="str">
        <f ca="1">IFERROR(__xludf.DUMMYFUNCTION("""COMPUTED_VALUE"""),"Middlesbrough")</f>
        <v>Middlesbrough</v>
      </c>
      <c r="B413" s="1" t="str">
        <f ca="1">IFERROR(__xludf.DUMMYFUNCTION("""COMPUTED_VALUE"""),"MBR")</f>
        <v>MBR</v>
      </c>
      <c r="C413" s="1">
        <f ca="1">IFERROR(__xludf.DUMMYFUNCTION("""COMPUTED_VALUE"""),792900)</f>
        <v>792900</v>
      </c>
      <c r="D413" s="1" t="str">
        <f ca="1">IFERROR(__xludf.DUMMYFUNCTION("""COMPUTED_VALUE"""),"MDLSBRO")</f>
        <v>MDLSBRO</v>
      </c>
      <c r="E413" s="1" t="str">
        <f ca="1">IFERROR(__xludf.DUMMYFUNCTION("""COMPUTED_VALUE"""),"MIDDLSBRO")</f>
        <v>MIDDLSBRO</v>
      </c>
      <c r="F413" s="1">
        <f ca="1">IFERROR(__xludf.DUMMYFUNCTION("""COMPUTED_VALUE"""),15449)</f>
        <v>15449</v>
      </c>
    </row>
    <row r="414" spans="1:6" x14ac:dyDescent="0.3">
      <c r="A414" s="1" t="str">
        <f ca="1">IFERROR(__xludf.DUMMYFUNCTION("""COMPUTED_VALUE"""),"Middlesbrough Ayrton")</f>
        <v>Middlesbrough Ayrton</v>
      </c>
      <c r="B414" s="1"/>
      <c r="C414" s="1">
        <f ca="1">IFERROR(__xludf.DUMMYFUNCTION("""COMPUTED_VALUE"""),792901)</f>
        <v>792901</v>
      </c>
      <c r="D414" s="1" t="str">
        <f ca="1">IFERROR(__xludf.DUMMYFUNCTION("""COMPUTED_VALUE"""),"MIDDLDW")</f>
        <v>MIDDLDW</v>
      </c>
      <c r="E414" s="1"/>
      <c r="F414" s="1" t="str">
        <f ca="1">IFERROR(__xludf.DUMMYFUNCTION("""COMPUTED_VALUE"""),"-")</f>
        <v>-</v>
      </c>
    </row>
    <row r="415" spans="1:6" x14ac:dyDescent="0.3">
      <c r="A415" s="1" t="str">
        <f ca="1">IFERROR(__xludf.DUMMYFUNCTION("""COMPUTED_VALUE"""),"Middlesbrough Ayrton Direct Rail Services")</f>
        <v>Middlesbrough Ayrton Direct Rail Services</v>
      </c>
      <c r="B415" s="1"/>
      <c r="C415" s="1">
        <f ca="1">IFERROR(__xludf.DUMMYFUNCTION("""COMPUTED_VALUE"""),792904)</f>
        <v>792904</v>
      </c>
      <c r="D415" s="1" t="str">
        <f ca="1">IFERROR(__xludf.DUMMYFUNCTION("""COMPUTED_VALUE"""),"MDLSDRS")</f>
        <v>MDLSDRS</v>
      </c>
      <c r="E415" s="1" t="str">
        <f ca="1">IFERROR(__xludf.DUMMYFUNCTION("""COMPUTED_VALUE"""),"MDLSDWDRS")</f>
        <v>MDLSDWDRS</v>
      </c>
      <c r="F415" s="1">
        <f ca="1">IFERROR(__xludf.DUMMYFUNCTION("""COMPUTED_VALUE"""),15424)</f>
        <v>15424</v>
      </c>
    </row>
    <row r="416" spans="1:6" x14ac:dyDescent="0.3">
      <c r="A416" s="1" t="str">
        <f ca="1">IFERROR(__xludf.DUMMYFUNCTION("""COMPUTED_VALUE"""),"Middlesbrough Ayrton Freightliner Heavy Haul")</f>
        <v>Middlesbrough Ayrton Freightliner Heavy Haul</v>
      </c>
      <c r="B416" s="1"/>
      <c r="C416" s="1">
        <f ca="1">IFERROR(__xludf.DUMMYFUNCTION("""COMPUTED_VALUE"""),792903)</f>
        <v>792903</v>
      </c>
      <c r="D416" s="1" t="str">
        <f ca="1">IFERROR(__xludf.DUMMYFUNCTION("""COMPUTED_VALUE"""),"MDLSAFH")</f>
        <v>MDLSAFH</v>
      </c>
      <c r="E416" s="1" t="str">
        <f ca="1">IFERROR(__xludf.DUMMYFUNCTION("""COMPUTED_VALUE"""),"MIDDBRO D")</f>
        <v>MIDDBRO D</v>
      </c>
      <c r="F416" s="1">
        <f ca="1">IFERROR(__xludf.DUMMYFUNCTION("""COMPUTED_VALUE"""),15426)</f>
        <v>15426</v>
      </c>
    </row>
    <row r="417" spans="1:6" x14ac:dyDescent="0.3">
      <c r="A417" s="1" t="str">
        <f ca="1">IFERROR(__xludf.DUMMYFUNCTION("""COMPUTED_VALUE"""),"Middlesbrough Blue Circle")</f>
        <v>Middlesbrough Blue Circle</v>
      </c>
      <c r="B417" s="1"/>
      <c r="C417" s="1"/>
      <c r="D417" s="1" t="str">
        <f ca="1">IFERROR(__xludf.DUMMYFUNCTION("""COMPUTED_VALUE"""),"MDLSBC")</f>
        <v>MDLSBC</v>
      </c>
      <c r="E417" s="1" t="str">
        <f ca="1">IFERROR(__xludf.DUMMYFUNCTION("""COMPUTED_VALUE"""),"MDLSDWDRS")</f>
        <v>MDLSDWDRS</v>
      </c>
      <c r="F417" s="1">
        <f ca="1">IFERROR(__xludf.DUMMYFUNCTION("""COMPUTED_VALUE"""),15424)</f>
        <v>15424</v>
      </c>
    </row>
    <row r="418" spans="1:6" x14ac:dyDescent="0.3">
      <c r="A418" s="1" t="str">
        <f ca="1">IFERROR(__xludf.DUMMYFUNCTION("""COMPUTED_VALUE"""),"Middlesbrough Blue Circle Direct Rail Services")</f>
        <v>Middlesbrough Blue Circle Direct Rail Services</v>
      </c>
      <c r="B418" s="1"/>
      <c r="C418" s="1">
        <f ca="1">IFERROR(__xludf.DUMMYFUNCTION("""COMPUTED_VALUE"""),792906)</f>
        <v>792906</v>
      </c>
      <c r="D418" s="1" t="str">
        <f ca="1">IFERROR(__xludf.DUMMYFUNCTION("""COMPUTED_VALUE"""),"MDLSBDR")</f>
        <v>MDLSBDR</v>
      </c>
      <c r="E418" s="1" t="str">
        <f ca="1">IFERROR(__xludf.DUMMYFUNCTION("""COMPUTED_VALUE"""),"MIDBRODRS")</f>
        <v>MIDBRODRS</v>
      </c>
      <c r="F418" s="1">
        <f ca="1">IFERROR(__xludf.DUMMYFUNCTION("""COMPUTED_VALUE"""),15428)</f>
        <v>15428</v>
      </c>
    </row>
    <row r="419" spans="1:6" x14ac:dyDescent="0.3">
      <c r="A419" s="1" t="str">
        <f ca="1">IFERROR(__xludf.DUMMYFUNCTION("""COMPUTED_VALUE"""),"Middlesbrough Cargo Fleet Stockton Haulage")</f>
        <v>Middlesbrough Cargo Fleet Stockton Haulage</v>
      </c>
      <c r="B419" s="1"/>
      <c r="C419" s="1">
        <f ca="1">IFERROR(__xludf.DUMMYFUNCTION("""COMPUTED_VALUE"""),797113)</f>
        <v>797113</v>
      </c>
      <c r="D419" s="1" t="str">
        <f ca="1">IFERROR(__xludf.DUMMYFUNCTION("""COMPUTED_VALUE"""),"MDLSCAR")</f>
        <v>MDLSCAR</v>
      </c>
      <c r="E419" s="1" t="str">
        <f ca="1">IFERROR(__xludf.DUMMYFUNCTION("""COMPUTED_VALUE"""),"CARGOFLET")</f>
        <v>CARGOFLET</v>
      </c>
      <c r="F419" s="1">
        <f ca="1">IFERROR(__xludf.DUMMYFUNCTION("""COMPUTED_VALUE"""),15607)</f>
        <v>15607</v>
      </c>
    </row>
    <row r="420" spans="1:6" x14ac:dyDescent="0.3">
      <c r="A420" s="1" t="str">
        <f ca="1">IFERROR(__xludf.DUMMYFUNCTION("""COMPUTED_VALUE"""),"Middlesbrough Carriage Sidings")</f>
        <v>Middlesbrough Carriage Sidings</v>
      </c>
      <c r="B420" s="1"/>
      <c r="C420" s="1">
        <f ca="1">IFERROR(__xludf.DUMMYFUNCTION("""COMPUTED_VALUE"""),792905)</f>
        <v>792905</v>
      </c>
      <c r="D420" s="1" t="str">
        <f ca="1">IFERROR(__xludf.DUMMYFUNCTION("""COMPUTED_VALUE"""),"MDLSSDG")</f>
        <v>MDLSSDG</v>
      </c>
      <c r="E420" s="1" t="str">
        <f ca="1">IFERROR(__xludf.DUMMYFUNCTION("""COMPUTED_VALUE"""),"MIDDBROSD")</f>
        <v>MIDDBROSD</v>
      </c>
      <c r="F420" s="1">
        <f ca="1">IFERROR(__xludf.DUMMYFUNCTION("""COMPUTED_VALUE"""),15451)</f>
        <v>15451</v>
      </c>
    </row>
    <row r="421" spans="1:6" x14ac:dyDescent="0.3">
      <c r="A421" s="1" t="str">
        <f ca="1">IFERROR(__xludf.DUMMYFUNCTION("""COMPUTED_VALUE"""),"Middlesbrough Castle Cement")</f>
        <v>Middlesbrough Castle Cement</v>
      </c>
      <c r="B421" s="1"/>
      <c r="C421" s="1">
        <f ca="1">IFERROR(__xludf.DUMMYFUNCTION("""COMPUTED_VALUE"""),792923)</f>
        <v>792923</v>
      </c>
      <c r="D421" s="1" t="str">
        <f ca="1">IFERROR(__xludf.DUMMYFUNCTION("""COMPUTED_VALUE"""),"MDLSFD")</f>
        <v>MDLSFD</v>
      </c>
      <c r="E421" s="1" t="str">
        <f ca="1">IFERROR(__xludf.DUMMYFUNCTION("""COMPUTED_VALUE"""),"MIDDBROCC")</f>
        <v>MIDDBROCC</v>
      </c>
      <c r="F421" s="1">
        <f ca="1">IFERROR(__xludf.DUMMYFUNCTION("""COMPUTED_VALUE"""),15418)</f>
        <v>15418</v>
      </c>
    </row>
    <row r="422" spans="1:6" x14ac:dyDescent="0.3">
      <c r="A422" s="1" t="str">
        <f ca="1">IFERROR(__xludf.DUMMYFUNCTION("""COMPUTED_VALUE"""),"Middlesbrough Cobra Container")</f>
        <v>Middlesbrough Cobra Container</v>
      </c>
      <c r="B422" s="1"/>
      <c r="C422" s="1">
        <f ca="1">IFERROR(__xludf.DUMMYFUNCTION("""COMPUTED_VALUE"""),792915)</f>
        <v>792915</v>
      </c>
      <c r="D422" s="1" t="str">
        <f ca="1">IFERROR(__xludf.DUMMYFUNCTION("""COMPUTED_VALUE"""),"MDLSCOB")</f>
        <v>MDLSCOB</v>
      </c>
      <c r="E422" s="1" t="str">
        <f ca="1">IFERROR(__xludf.DUMMYFUNCTION("""COMPUTED_VALUE"""),"MIDLSBRO")</f>
        <v>MIDLSBRO</v>
      </c>
      <c r="F422" s="1">
        <f ca="1">IFERROR(__xludf.DUMMYFUNCTION("""COMPUTED_VALUE"""),15422)</f>
        <v>15422</v>
      </c>
    </row>
    <row r="423" spans="1:6" x14ac:dyDescent="0.3">
      <c r="A423" s="1" t="str">
        <f ca="1">IFERROR(__xludf.DUMMYFUNCTION("""COMPUTED_VALUE"""),"Middlesbrough Dawson")</f>
        <v>Middlesbrough Dawson</v>
      </c>
      <c r="B423" s="1"/>
      <c r="C423" s="1">
        <f ca="1">IFERROR(__xludf.DUMMYFUNCTION("""COMPUTED_VALUE"""),792902)</f>
        <v>792902</v>
      </c>
      <c r="D423" s="1" t="str">
        <f ca="1">IFERROR(__xludf.DUMMYFUNCTION("""COMPUTED_VALUE"""),"MDLSDS")</f>
        <v>MDLSDS</v>
      </c>
      <c r="E423" s="1" t="str">
        <f ca="1">IFERROR(__xludf.DUMMYFUNCTION("""COMPUTED_VALUE"""),"MIDDLSSDS")</f>
        <v>MIDDLSSDS</v>
      </c>
      <c r="F423" s="1">
        <f ca="1">IFERROR(__xludf.DUMMYFUNCTION("""COMPUTED_VALUE"""),15427)</f>
        <v>15427</v>
      </c>
    </row>
    <row r="424" spans="1:6" x14ac:dyDescent="0.3">
      <c r="A424" s="1" t="str">
        <f ca="1">IFERROR(__xludf.DUMMYFUNCTION("""COMPUTED_VALUE"""),"Middlesbrough Dawson Ayrton")</f>
        <v>Middlesbrough Dawson Ayrton</v>
      </c>
      <c r="B424" s="1"/>
      <c r="C424" s="1">
        <f ca="1">IFERROR(__xludf.DUMMYFUNCTION("""COMPUTED_VALUE"""),792909)</f>
        <v>792909</v>
      </c>
      <c r="D424" s="1" t="str">
        <f ca="1">IFERROR(__xludf.DUMMYFUNCTION("""COMPUTED_VALUE"""),"MDLSAYR")</f>
        <v>MDLSAYR</v>
      </c>
      <c r="E424" s="1" t="str">
        <f ca="1">IFERROR(__xludf.DUMMYFUNCTION("""COMPUTED_VALUE"""),"MIDDBRODW")</f>
        <v>MIDDBRODW</v>
      </c>
      <c r="F424" s="1">
        <f ca="1">IFERROR(__xludf.DUMMYFUNCTION("""COMPUTED_VALUE"""),15425)</f>
        <v>15425</v>
      </c>
    </row>
    <row r="425" spans="1:6" x14ac:dyDescent="0.3">
      <c r="A425" s="1" t="str">
        <f ca="1">IFERROR(__xludf.DUMMYFUNCTION("""COMPUTED_VALUE"""),"Middlesbrough Dawson GB Railfreight")</f>
        <v>Middlesbrough Dawson GB Railfreight</v>
      </c>
      <c r="B425" s="1"/>
      <c r="C425" s="1">
        <f ca="1">IFERROR(__xludf.DUMMYFUNCTION("""COMPUTED_VALUE"""),792908)</f>
        <v>792908</v>
      </c>
      <c r="D425" s="1" t="str">
        <f ca="1">IFERROR(__xludf.DUMMYFUNCTION("""COMPUTED_VALUE"""),"MDLSDSG")</f>
        <v>MDLSDSG</v>
      </c>
      <c r="E425" s="1" t="str">
        <f ca="1">IFERROR(__xludf.DUMMYFUNCTION("""COMPUTED_VALUE"""),"MDLSDAWGB")</f>
        <v>MDLSDAWGB</v>
      </c>
      <c r="F425" s="1">
        <f ca="1">IFERROR(__xludf.DUMMYFUNCTION("""COMPUTED_VALUE"""),15429)</f>
        <v>15429</v>
      </c>
    </row>
    <row r="426" spans="1:6" x14ac:dyDescent="0.3">
      <c r="A426" s="1" t="str">
        <f ca="1">IFERROR(__xludf.DUMMYFUNCTION("""COMPUTED_VALUE"""),"Middlesbrough Freightliner Heavy Haul")</f>
        <v>Middlesbrough Freightliner Heavy Haul</v>
      </c>
      <c r="B426" s="1"/>
      <c r="C426" s="1">
        <f ca="1">IFERROR(__xludf.DUMMYFUNCTION("""COMPUTED_VALUE"""),792916)</f>
        <v>792916</v>
      </c>
      <c r="D426" s="1" t="str">
        <f ca="1">IFERROR(__xludf.DUMMYFUNCTION("""COMPUTED_VALUE"""),"MDLSFHH")</f>
        <v>MDLSFHH</v>
      </c>
      <c r="E426" s="1" t="str">
        <f ca="1">IFERROR(__xludf.DUMMYFUNCTION("""COMPUTED_VALUE"""),"MDLSFHH")</f>
        <v>MDLSFHH</v>
      </c>
      <c r="F426" s="1">
        <f ca="1">IFERROR(__xludf.DUMMYFUNCTION("""COMPUTED_VALUE"""),15423)</f>
        <v>15423</v>
      </c>
    </row>
    <row r="427" spans="1:6" x14ac:dyDescent="0.3">
      <c r="A427" s="1" t="str">
        <f ca="1">IFERROR(__xludf.DUMMYFUNCTION("""COMPUTED_VALUE"""),"Middlesbrough Goods Marcroft")</f>
        <v>Middlesbrough Goods Marcroft</v>
      </c>
      <c r="B427" s="1"/>
      <c r="C427" s="1">
        <f ca="1">IFERROR(__xludf.DUMMYFUNCTION("""COMPUTED_VALUE"""),792925)</f>
        <v>792925</v>
      </c>
      <c r="D427" s="1" t="str">
        <f ca="1">IFERROR(__xludf.DUMMYFUNCTION("""COMPUTED_VALUE"""),"MDLSMAR")</f>
        <v>MDLSMAR</v>
      </c>
      <c r="E427" s="1" t="str">
        <f ca="1">IFERROR(__xludf.DUMMYFUNCTION("""COMPUTED_VALUE"""),"MIDDBROMR")</f>
        <v>MIDDBROMR</v>
      </c>
      <c r="F427" s="1">
        <f ca="1">IFERROR(__xludf.DUMMYFUNCTION("""COMPUTED_VALUE"""),15419)</f>
        <v>15419</v>
      </c>
    </row>
    <row r="428" spans="1:6" x14ac:dyDescent="0.3">
      <c r="A428" s="1" t="str">
        <f ca="1">IFERROR(__xludf.DUMMYFUNCTION("""COMPUTED_VALUE"""),"Middlesbrough Marsh Branch")</f>
        <v>Middlesbrough Marsh Branch</v>
      </c>
      <c r="B428" s="1"/>
      <c r="C428" s="1">
        <f ca="1">IFERROR(__xludf.DUMMYFUNCTION("""COMPUTED_VALUE"""),792918)</f>
        <v>792918</v>
      </c>
      <c r="D428" s="1" t="str">
        <f ca="1">IFERROR(__xludf.DUMMYFUNCTION("""COMPUTED_VALUE"""),"MDLSMRB")</f>
        <v>MDLSMRB</v>
      </c>
      <c r="E428" s="1" t="str">
        <f ca="1">IFERROR(__xludf.DUMMYFUNCTION("""COMPUTED_VALUE"""),"MIDDLSGDS")</f>
        <v>MIDDLSGDS</v>
      </c>
      <c r="F428" s="1">
        <f ca="1">IFERROR(__xludf.DUMMYFUNCTION("""COMPUTED_VALUE"""),15421)</f>
        <v>15421</v>
      </c>
    </row>
    <row r="429" spans="1:6" x14ac:dyDescent="0.3">
      <c r="A429" s="1" t="str">
        <f ca="1">IFERROR(__xludf.DUMMYFUNCTION("""COMPUTED_VALUE"""),"Middlesbrough Signal M221")</f>
        <v>Middlesbrough Signal M221</v>
      </c>
      <c r="B429" s="1"/>
      <c r="C429" s="1">
        <f ca="1">IFERROR(__xludf.DUMMYFUNCTION("""COMPUTED_VALUE"""),792911)</f>
        <v>792911</v>
      </c>
      <c r="D429" s="1" t="str">
        <f ca="1">IFERROR(__xludf.DUMMYFUNCTION("""COMPUTED_VALUE"""),"MDLS221")</f>
        <v>MDLS221</v>
      </c>
      <c r="E429" s="1" t="str">
        <f ca="1">IFERROR(__xludf.DUMMYFUNCTION("""COMPUTED_VALUE"""),"MIDBRO221")</f>
        <v>MIDBRO221</v>
      </c>
      <c r="F429" s="1">
        <f ca="1">IFERROR(__xludf.DUMMYFUNCTION("""COMPUTED_VALUE"""),15453)</f>
        <v>15453</v>
      </c>
    </row>
    <row r="430" spans="1:6" x14ac:dyDescent="0.3">
      <c r="A430" s="1" t="str">
        <f ca="1">IFERROR(__xludf.DUMMYFUNCTION("""COMPUTED_VALUE"""),"Middlesbrough Station Sidings")</f>
        <v>Middlesbrough Station Sidings</v>
      </c>
      <c r="B430" s="1"/>
      <c r="C430" s="1"/>
      <c r="D430" s="1" t="str">
        <f ca="1">IFERROR(__xludf.DUMMYFUNCTION("""COMPUTED_VALUE"""),"MDLSSS")</f>
        <v>MDLSSS</v>
      </c>
      <c r="E430" s="1"/>
      <c r="F430" s="1"/>
    </row>
    <row r="431" spans="1:6" x14ac:dyDescent="0.3">
      <c r="A431" s="1" t="str">
        <f ca="1">IFERROR(__xludf.DUMMYFUNCTION("""COMPUTED_VALUE"""),"Middlesbrough West Dock")</f>
        <v>Middlesbrough West Dock</v>
      </c>
      <c r="B431" s="1"/>
      <c r="C431" s="1">
        <f ca="1">IFERROR(__xludf.DUMMYFUNCTION("""COMPUTED_VALUE"""),792907)</f>
        <v>792907</v>
      </c>
      <c r="D431" s="1" t="str">
        <f ca="1">IFERROR(__xludf.DUMMYFUNCTION("""COMPUTED_VALUE"""),"MDLSWDK")</f>
        <v>MDLSWDK</v>
      </c>
      <c r="E431" s="1" t="str">
        <f ca="1">IFERROR(__xludf.DUMMYFUNCTION("""COMPUTED_VALUE"""),"MIDDBROWD")</f>
        <v>MIDDBROWD</v>
      </c>
      <c r="F431" s="1">
        <f ca="1">IFERROR(__xludf.DUMMYFUNCTION("""COMPUTED_VALUE"""),15452)</f>
        <v>15452</v>
      </c>
    </row>
    <row r="432" spans="1:6" x14ac:dyDescent="0.3">
      <c r="A432" s="1" t="str">
        <f ca="1">IFERROR(__xludf.DUMMYFUNCTION("""COMPUTED_VALUE"""),"Middleton Junction Terminal Complex")</f>
        <v>Middleton Junction Terminal Complex</v>
      </c>
      <c r="B432" s="1"/>
      <c r="C432" s="1"/>
      <c r="D432" s="1" t="str">
        <f ca="1">IFERROR(__xludf.DUMMYFUNCTION("""COMPUTED_VALUE"""),"MIDLTNJ")</f>
        <v>MIDLTNJ</v>
      </c>
      <c r="E432" s="1"/>
      <c r="F432" s="1"/>
    </row>
    <row r="433" spans="1:6" x14ac:dyDescent="0.3">
      <c r="A433" s="1" t="str">
        <f ca="1">IFERROR(__xludf.DUMMYFUNCTION("""COMPUTED_VALUE"""),"Middleton Towers")</f>
        <v>Middleton Towers</v>
      </c>
      <c r="B433" s="1"/>
      <c r="C433" s="1">
        <f ca="1">IFERROR(__xludf.DUMMYFUNCTION("""COMPUTED_VALUE"""),711900)</f>
        <v>711900</v>
      </c>
      <c r="D433" s="1" t="str">
        <f ca="1">IFERROR(__xludf.DUMMYFUNCTION("""COMPUTED_VALUE"""),"MDTT")</f>
        <v>MDTT</v>
      </c>
      <c r="E433" s="1" t="str">
        <f ca="1">IFERROR(__xludf.DUMMYFUNCTION("""COMPUTED_VALUE"""),"MIDDLTWRS")</f>
        <v>MIDDLTWRS</v>
      </c>
      <c r="F433" s="1">
        <f ca="1">IFERROR(__xludf.DUMMYFUNCTION("""COMPUTED_VALUE"""),46239)</f>
        <v>46239</v>
      </c>
    </row>
    <row r="434" spans="1:6" x14ac:dyDescent="0.3">
      <c r="A434" s="1" t="str">
        <f ca="1">IFERROR(__xludf.DUMMYFUNCTION("""COMPUTED_VALUE"""),"Middleton Towers GB Railfreight")</f>
        <v>Middleton Towers GB Railfreight</v>
      </c>
      <c r="B434" s="1"/>
      <c r="C434" s="1">
        <f ca="1">IFERROR(__xludf.DUMMYFUNCTION("""COMPUTED_VALUE"""),711901)</f>
        <v>711901</v>
      </c>
      <c r="D434" s="1" t="str">
        <f ca="1">IFERROR(__xludf.DUMMYFUNCTION("""COMPUTED_VALUE"""),"MDTTGBR")</f>
        <v>MDTTGBR</v>
      </c>
      <c r="E434" s="1" t="str">
        <f ca="1">IFERROR(__xludf.DUMMYFUNCTION("""COMPUTED_VALUE"""),"MDDLTWRGB")</f>
        <v>MDDLTWRGB</v>
      </c>
      <c r="F434" s="1">
        <f ca="1">IFERROR(__xludf.DUMMYFUNCTION("""COMPUTED_VALUE"""),46240)</f>
        <v>46240</v>
      </c>
    </row>
    <row r="435" spans="1:6" x14ac:dyDescent="0.3">
      <c r="A435" s="1" t="str">
        <f ca="1">IFERROR(__xludf.DUMMYFUNCTION("""COMPUTED_VALUE"""),"Middlewich")</f>
        <v>Middlewich</v>
      </c>
      <c r="B435" s="1"/>
      <c r="C435" s="1">
        <f ca="1">IFERROR(__xludf.DUMMYFUNCTION("""COMPUTED_VALUE"""),234500)</f>
        <v>234500</v>
      </c>
      <c r="D435" s="1" t="str">
        <f ca="1">IFERROR(__xludf.DUMMYFUNCTION("""COMPUTED_VALUE"""),"MDLW")</f>
        <v>MDLW</v>
      </c>
      <c r="E435" s="1" t="str">
        <f ca="1">IFERROR(__xludf.DUMMYFUNCTION("""COMPUTED_VALUE"""),"MIDDLEWCH")</f>
        <v>MIDDLEWCH</v>
      </c>
      <c r="F435" s="1">
        <f ca="1">IFERROR(__xludf.DUMMYFUNCTION("""COMPUTED_VALUE"""),37231)</f>
        <v>37231</v>
      </c>
    </row>
    <row r="436" spans="1:6" x14ac:dyDescent="0.3">
      <c r="A436" s="1" t="str">
        <f ca="1">IFERROR(__xludf.DUMMYFUNCTION("""COMPUTED_VALUE"""),"Middlewich British Salt")</f>
        <v>Middlewich British Salt</v>
      </c>
      <c r="B436" s="1"/>
      <c r="C436" s="1">
        <f ca="1">IFERROR(__xludf.DUMMYFUNCTION("""COMPUTED_VALUE"""),234511)</f>
        <v>234511</v>
      </c>
      <c r="D436" s="1" t="str">
        <f ca="1">IFERROR(__xludf.DUMMYFUNCTION("""COMPUTED_VALUE"""),"MDLWCBS")</f>
        <v>MDLWCBS</v>
      </c>
      <c r="E436" s="1" t="str">
        <f ca="1">IFERROR(__xludf.DUMMYFUNCTION("""COMPUTED_VALUE"""),"MIDLEWICH")</f>
        <v>MIDLEWICH</v>
      </c>
      <c r="F436" s="1">
        <f ca="1">IFERROR(__xludf.DUMMYFUNCTION("""COMPUTED_VALUE"""),37233)</f>
        <v>37233</v>
      </c>
    </row>
    <row r="437" spans="1:6" x14ac:dyDescent="0.3">
      <c r="A437" s="1" t="str">
        <f ca="1">IFERROR(__xludf.DUMMYFUNCTION("""COMPUTED_VALUE"""),"Middlewood")</f>
        <v>Middlewood</v>
      </c>
      <c r="B437" s="1" t="str">
        <f ca="1">IFERROR(__xludf.DUMMYFUNCTION("""COMPUTED_VALUE"""),"MDL")</f>
        <v>MDL</v>
      </c>
      <c r="C437" s="1">
        <f ca="1">IFERROR(__xludf.DUMMYFUNCTION("""COMPUTED_VALUE"""),297100)</f>
        <v>297100</v>
      </c>
      <c r="D437" s="1" t="str">
        <f ca="1">IFERROR(__xludf.DUMMYFUNCTION("""COMPUTED_VALUE"""),"MDWD")</f>
        <v>MDWD</v>
      </c>
      <c r="E437" s="1" t="str">
        <f ca="1">IFERROR(__xludf.DUMMYFUNCTION("""COMPUTED_VALUE"""),"MIDLEWOOD")</f>
        <v>MIDLEWOOD</v>
      </c>
      <c r="F437" s="1">
        <f ca="1">IFERROR(__xludf.DUMMYFUNCTION("""COMPUTED_VALUE"""),32542)</f>
        <v>32542</v>
      </c>
    </row>
    <row r="438" spans="1:6" x14ac:dyDescent="0.3">
      <c r="A438" s="1" t="str">
        <f ca="1">IFERROR(__xludf.DUMMYFUNCTION("""COMPUTED_VALUE"""),"Midgham")</f>
        <v>Midgham</v>
      </c>
      <c r="B438" s="1" t="str">
        <f ca="1">IFERROR(__xludf.DUMMYFUNCTION("""COMPUTED_VALUE"""),"MDG")</f>
        <v>MDG</v>
      </c>
      <c r="C438" s="1">
        <f ca="1">IFERROR(__xludf.DUMMYFUNCTION("""COMPUTED_VALUE"""),315900)</f>
        <v>315900</v>
      </c>
      <c r="D438" s="1" t="str">
        <f ca="1">IFERROR(__xludf.DUMMYFUNCTION("""COMPUTED_VALUE"""),"MIDGHAM")</f>
        <v>MIDGHAM</v>
      </c>
      <c r="E438" s="1" t="str">
        <f ca="1">IFERROR(__xludf.DUMMYFUNCTION("""COMPUTED_VALUE"""),"MIDGHAM")</f>
        <v>MIDGHAM</v>
      </c>
      <c r="F438" s="1">
        <f ca="1">IFERROR(__xludf.DUMMYFUNCTION("""COMPUTED_VALUE"""),74722)</f>
        <v>74722</v>
      </c>
    </row>
    <row r="439" spans="1:6" x14ac:dyDescent="0.3">
      <c r="A439" s="1" t="str">
        <f ca="1">IFERROR(__xludf.DUMMYFUNCTION("""COMPUTED_VALUE"""),"Midleton [Ireland]")</f>
        <v>Midleton [Ireland]</v>
      </c>
      <c r="B439" s="1" t="str">
        <f ca="1">IFERROR(__xludf.DUMMYFUNCTION("""COMPUTED_VALUE"""),"XME")</f>
        <v>XME</v>
      </c>
      <c r="C439" s="1">
        <f ca="1">IFERROR(__xludf.DUMMYFUNCTION("""COMPUTED_VALUE"""),48420)</f>
        <v>48420</v>
      </c>
      <c r="D439" s="1" t="str">
        <f ca="1">IFERROR(__xludf.DUMMYFUNCTION("""COMPUTED_VALUE"""),"CATZ004")</f>
        <v>CATZ004</v>
      </c>
      <c r="E439" s="1"/>
      <c r="F439" s="1" t="str">
        <f ca="1">IFERROR(__xludf.DUMMYFUNCTION("""COMPUTED_VALUE"""),"-")</f>
        <v>-</v>
      </c>
    </row>
    <row r="440" spans="1:6" x14ac:dyDescent="0.3">
      <c r="A440" s="1" t="str">
        <f ca="1">IFERROR(__xludf.DUMMYFUNCTION("""COMPUTED_VALUE"""),"Mid-Norfolk Railway Sidings")</f>
        <v>Mid-Norfolk Railway Sidings</v>
      </c>
      <c r="B440" s="1"/>
      <c r="C440" s="1">
        <f ca="1">IFERROR(__xludf.DUMMYFUNCTION("""COMPUTED_VALUE"""),736902)</f>
        <v>736902</v>
      </c>
      <c r="D440" s="1" t="str">
        <f ca="1">IFERROR(__xludf.DUMMYFUNCTION("""COMPUTED_VALUE"""),"MNRSDGS")</f>
        <v>MNRSDGS</v>
      </c>
      <c r="E440" s="1" t="str">
        <f ca="1">IFERROR(__xludf.DUMMYFUNCTION("""COMPUTED_VALUE"""),"MDNRFSDGS")</f>
        <v>MDNRFSDGS</v>
      </c>
      <c r="F440" s="1">
        <f ca="1">IFERROR(__xludf.DUMMYFUNCTION("""COMPUTED_VALUE"""),48431)</f>
        <v>48431</v>
      </c>
    </row>
    <row r="441" spans="1:6" x14ac:dyDescent="0.3">
      <c r="A441" s="1" t="str">
        <f ca="1">IFERROR(__xludf.DUMMYFUNCTION("""COMPUTED_VALUE"""),"Midsomer Norton Town Hall")</f>
        <v>Midsomer Norton Town Hall</v>
      </c>
      <c r="B441" s="1" t="str">
        <f ca="1">IFERROR(__xludf.DUMMYFUNCTION("""COMPUTED_VALUE"""),"XBR")</f>
        <v>XBR</v>
      </c>
      <c r="C441" s="1">
        <f ca="1">IFERROR(__xludf.DUMMYFUNCTION("""COMPUTED_VALUE"""),327102)</f>
        <v>327102</v>
      </c>
      <c r="D441" s="1" t="str">
        <f ca="1">IFERROR(__xludf.DUMMYFUNCTION("""COMPUTED_VALUE"""),"MIDSTHL")</f>
        <v>MIDSTHL</v>
      </c>
      <c r="E441" s="1"/>
      <c r="F441" s="1" t="str">
        <f ca="1">IFERROR(__xludf.DUMMYFUNCTION("""COMPUTED_VALUE"""),"-")</f>
        <v>-</v>
      </c>
    </row>
    <row r="442" spans="1:6" x14ac:dyDescent="0.3">
      <c r="A442" s="1" t="str">
        <f ca="1">IFERROR(__xludf.DUMMYFUNCTION("""COMPUTED_VALUE"""),"Milano Melzo")</f>
        <v>Milano Melzo</v>
      </c>
      <c r="B442" s="1"/>
      <c r="C442" s="1">
        <f ca="1">IFERROR(__xludf.DUMMYFUNCTION("""COMPUTED_VALUE"""),87203)</f>
        <v>87203</v>
      </c>
      <c r="D442" s="1" t="str">
        <f ca="1">IFERROR(__xludf.DUMMYFUNCTION("""COMPUTED_VALUE"""),"MILANML")</f>
        <v>MILANML</v>
      </c>
      <c r="E442" s="1" t="str">
        <f ca="1">IFERROR(__xludf.DUMMYFUNCTION("""COMPUTED_VALUE"""),"MILAN MEL")</f>
        <v>MILAN MEL</v>
      </c>
      <c r="F442" s="1">
        <f ca="1">IFERROR(__xludf.DUMMYFUNCTION("""COMPUTED_VALUE"""),315)</f>
        <v>315</v>
      </c>
    </row>
    <row r="443" spans="1:6" x14ac:dyDescent="0.3">
      <c r="A443" s="1" t="str">
        <f ca="1">IFERROR(__xludf.DUMMYFUNCTION("""COMPUTED_VALUE"""),"Milano Pioltello")</f>
        <v>Milano Pioltello</v>
      </c>
      <c r="B443" s="1"/>
      <c r="C443" s="1">
        <f ca="1">IFERROR(__xludf.DUMMYFUNCTION("""COMPUTED_VALUE"""),87209)</f>
        <v>87209</v>
      </c>
      <c r="D443" s="1" t="str">
        <f ca="1">IFERROR(__xludf.DUMMYFUNCTION("""COMPUTED_VALUE"""),"MILANPI")</f>
        <v>MILANPI</v>
      </c>
      <c r="E443" s="1" t="str">
        <f ca="1">IFERROR(__xludf.DUMMYFUNCTION("""COMPUTED_VALUE"""),"MILAN PIO")</f>
        <v>MILAN PIO</v>
      </c>
      <c r="F443" s="1">
        <f ca="1">IFERROR(__xludf.DUMMYFUNCTION("""COMPUTED_VALUE"""),319)</f>
        <v>319</v>
      </c>
    </row>
    <row r="444" spans="1:6" x14ac:dyDescent="0.3">
      <c r="A444" s="1" t="str">
        <f ca="1">IFERROR(__xludf.DUMMYFUNCTION("""COMPUTED_VALUE"""),"Milano Rocoredo")</f>
        <v>Milano Rocoredo</v>
      </c>
      <c r="B444" s="1"/>
      <c r="C444" s="1">
        <f ca="1">IFERROR(__xludf.DUMMYFUNCTION("""COMPUTED_VALUE"""),87204)</f>
        <v>87204</v>
      </c>
      <c r="D444" s="1" t="str">
        <f ca="1">IFERROR(__xludf.DUMMYFUNCTION("""COMPUTED_VALUE"""),"MILANRO")</f>
        <v>MILANRO</v>
      </c>
      <c r="E444" s="1" t="str">
        <f ca="1">IFERROR(__xludf.DUMMYFUNCTION("""COMPUTED_VALUE"""),"MILAN ROG")</f>
        <v>MILAN ROG</v>
      </c>
      <c r="F444" s="1">
        <f ca="1">IFERROR(__xludf.DUMMYFUNCTION("""COMPUTED_VALUE"""),316)</f>
        <v>316</v>
      </c>
    </row>
    <row r="445" spans="1:6" x14ac:dyDescent="0.3">
      <c r="A445" s="1" t="str">
        <f ca="1">IFERROR(__xludf.DUMMYFUNCTION("""COMPUTED_VALUE"""),"Milano Segrate")</f>
        <v>Milano Segrate</v>
      </c>
      <c r="B445" s="1"/>
      <c r="C445" s="1">
        <f ca="1">IFERROR(__xludf.DUMMYFUNCTION("""COMPUTED_VALUE"""),87205)</f>
        <v>87205</v>
      </c>
      <c r="D445" s="1" t="str">
        <f ca="1">IFERROR(__xludf.DUMMYFUNCTION("""COMPUTED_VALUE"""),"MILANSE")</f>
        <v>MILANSE</v>
      </c>
      <c r="E445" s="1" t="str">
        <f ca="1">IFERROR(__xludf.DUMMYFUNCTION("""COMPUTED_VALUE"""),"MILAN SEG")</f>
        <v>MILAN SEG</v>
      </c>
      <c r="F445" s="1">
        <f ca="1">IFERROR(__xludf.DUMMYFUNCTION("""COMPUTED_VALUE"""),317)</f>
        <v>317</v>
      </c>
    </row>
    <row r="446" spans="1:6" x14ac:dyDescent="0.3">
      <c r="A446" s="1" t="str">
        <f ca="1">IFERROR(__xludf.DUMMYFUNCTION("""COMPUTED_VALUE"""),"Mile End")</f>
        <v>Mile End</v>
      </c>
      <c r="B446" s="1"/>
      <c r="C446" s="1">
        <f ca="1">IFERROR(__xludf.DUMMYFUNCTION("""COMPUTED_VALUE"""),692800)</f>
        <v>692800</v>
      </c>
      <c r="D446" s="1" t="str">
        <f ca="1">IFERROR(__xludf.DUMMYFUNCTION("""COMPUTED_VALUE"""),"MEND")</f>
        <v>MEND</v>
      </c>
      <c r="E446" s="1" t="str">
        <f ca="1">IFERROR(__xludf.DUMMYFUNCTION("""COMPUTED_VALUE"""),"MILE END")</f>
        <v>MILE END</v>
      </c>
      <c r="F446" s="1">
        <f ca="1">IFERROR(__xludf.DUMMYFUNCTION("""COMPUTED_VALUE"""),52722)</f>
        <v>52722</v>
      </c>
    </row>
    <row r="447" spans="1:6" x14ac:dyDescent="0.3">
      <c r="A447" s="1" t="str">
        <f ca="1">IFERROR(__xludf.DUMMYFUNCTION("""COMPUTED_VALUE"""),"Miles Platting")</f>
        <v>Miles Platting</v>
      </c>
      <c r="B447" s="1" t="str">
        <f ca="1">IFERROR(__xludf.DUMMYFUNCTION("""COMPUTED_VALUE"""),"MLP")</f>
        <v>MLP</v>
      </c>
      <c r="C447" s="1">
        <f ca="1">IFERROR(__xludf.DUMMYFUNCTION("""COMPUTED_VALUE"""),288000)</f>
        <v>288000</v>
      </c>
      <c r="D447" s="1" t="str">
        <f ca="1">IFERROR(__xludf.DUMMYFUNCTION("""COMPUTED_VALUE"""),"MILESPL")</f>
        <v>MILESPL</v>
      </c>
      <c r="E447" s="1"/>
      <c r="F447" s="1" t="str">
        <f ca="1">IFERROR(__xludf.DUMMYFUNCTION("""COMPUTED_VALUE"""),"31339*")</f>
        <v>31339*</v>
      </c>
    </row>
    <row r="448" spans="1:6" x14ac:dyDescent="0.3">
      <c r="A448" s="1" t="str">
        <f ca="1">IFERROR(__xludf.DUMMYFUNCTION("""COMPUTED_VALUE"""),"Miles Platting Junction")</f>
        <v>Miles Platting Junction</v>
      </c>
      <c r="B448" s="1"/>
      <c r="C448" s="1">
        <f ca="1">IFERROR(__xludf.DUMMYFUNCTION("""COMPUTED_VALUE"""),288003)</f>
        <v>288003</v>
      </c>
      <c r="D448" s="1" t="str">
        <f ca="1">IFERROR(__xludf.DUMMYFUNCTION("""COMPUTED_VALUE"""),"MILESPJ")</f>
        <v>MILESPJ</v>
      </c>
      <c r="E448" s="1" t="str">
        <f ca="1">IFERROR(__xludf.DUMMYFUNCTION("""COMPUTED_VALUE"""),"MILESPLTJ")</f>
        <v>MILESPLTJ</v>
      </c>
      <c r="F448" s="1">
        <f ca="1">IFERROR(__xludf.DUMMYFUNCTION("""COMPUTED_VALUE"""),31339)</f>
        <v>31339</v>
      </c>
    </row>
    <row r="449" spans="1:6" x14ac:dyDescent="0.3">
      <c r="A449" s="1" t="str">
        <f ca="1">IFERROR(__xludf.DUMMYFUNCTION("""COMPUTED_VALUE"""),"Milford And Brocton")</f>
        <v>Milford And Brocton</v>
      </c>
      <c r="B449" s="1"/>
      <c r="C449" s="1">
        <f ca="1">IFERROR(__xludf.DUMMYFUNCTION("""COMPUTED_VALUE"""),126801)</f>
        <v>126801</v>
      </c>
      <c r="D449" s="1" t="str">
        <f ca="1">IFERROR(__xludf.DUMMYFUNCTION("""COMPUTED_VALUE"""),"MFDB")</f>
        <v>MFDB</v>
      </c>
      <c r="E449" s="1" t="str">
        <f ca="1">IFERROR(__xludf.DUMMYFUNCTION("""COMPUTED_VALUE"""),"MILFORD&amp;B")</f>
        <v>MILFORD&amp;B</v>
      </c>
      <c r="F449" s="1">
        <f ca="1">IFERROR(__xludf.DUMMYFUNCTION("""COMPUTED_VALUE"""),43326)</f>
        <v>43326</v>
      </c>
    </row>
    <row r="450" spans="1:6" x14ac:dyDescent="0.3">
      <c r="A450" s="1" t="str">
        <f ca="1">IFERROR(__xludf.DUMMYFUNCTION("""COMPUTED_VALUE"""),"Milford Carriage &amp; Wagon Sidings")</f>
        <v>Milford Carriage &amp; Wagon Sidings</v>
      </c>
      <c r="B450" s="1"/>
      <c r="C450" s="1">
        <f ca="1">IFERROR(__xludf.DUMMYFUNCTION("""COMPUTED_VALUE"""),814265)</f>
        <v>814265</v>
      </c>
      <c r="D450" s="1" t="str">
        <f ca="1">IFERROR(__xludf.DUMMYFUNCTION("""COMPUTED_VALUE"""),"MILFCW")</f>
        <v>MILFCW</v>
      </c>
      <c r="E450" s="1" t="str">
        <f ca="1">IFERROR(__xludf.DUMMYFUNCTION("""COMPUTED_VALUE"""),"MILFRD DS")</f>
        <v>MILFRD DS</v>
      </c>
      <c r="F450" s="1">
        <f ca="1">IFERROR(__xludf.DUMMYFUNCTION("""COMPUTED_VALUE"""),16504)</f>
        <v>16504</v>
      </c>
    </row>
    <row r="451" spans="1:6" x14ac:dyDescent="0.3">
      <c r="A451" s="1" t="str">
        <f ca="1">IFERROR(__xludf.DUMMYFUNCTION("""COMPUTED_VALUE"""),"Milford Down Sidings")</f>
        <v>Milford Down Sidings</v>
      </c>
      <c r="B451" s="1"/>
      <c r="C451" s="1">
        <f ca="1">IFERROR(__xludf.DUMMYFUNCTION("""COMPUTED_VALUE"""),814215)</f>
        <v>814215</v>
      </c>
      <c r="D451" s="1" t="str">
        <f ca="1">IFERROR(__xludf.DUMMYFUNCTION("""COMPUTED_VALUE"""),"MILFCDS")</f>
        <v>MILFCDS</v>
      </c>
      <c r="E451" s="1" t="str">
        <f ca="1">IFERROR(__xludf.DUMMYFUNCTION("""COMPUTED_VALUE"""),"MILFORDDS MILFRDDS")</f>
        <v>MILFORDDS MILFRDDS</v>
      </c>
      <c r="F451" s="1">
        <f ca="1">IFERROR(__xludf.DUMMYFUNCTION("""COMPUTED_VALUE"""),16501)</f>
        <v>16501</v>
      </c>
    </row>
    <row r="452" spans="1:6" x14ac:dyDescent="0.3">
      <c r="A452" s="1" t="str">
        <f ca="1">IFERROR(__xludf.DUMMYFUNCTION("""COMPUTED_VALUE"""),"Milford Haven")</f>
        <v>Milford Haven</v>
      </c>
      <c r="B452" s="1" t="str">
        <f ca="1">IFERROR(__xludf.DUMMYFUNCTION("""COMPUTED_VALUE"""),"MFH")</f>
        <v>MFH</v>
      </c>
      <c r="C452" s="1">
        <f ca="1">IFERROR(__xludf.DUMMYFUNCTION("""COMPUTED_VALUE"""),409500)</f>
        <v>409500</v>
      </c>
      <c r="D452" s="1" t="str">
        <f ca="1">IFERROR(__xludf.DUMMYFUNCTION("""COMPUTED_VALUE"""),"MLFDHVN")</f>
        <v>MLFDHVN</v>
      </c>
      <c r="E452" s="1" t="str">
        <f ca="1">IFERROR(__xludf.DUMMYFUNCTION("""COMPUTED_VALUE"""),"MILFRDHVN")</f>
        <v>MILFRDHVN</v>
      </c>
      <c r="F452" s="1">
        <f ca="1">IFERROR(__xludf.DUMMYFUNCTION("""COMPUTED_VALUE"""),80102)</f>
        <v>80102</v>
      </c>
    </row>
    <row r="453" spans="1:6" x14ac:dyDescent="0.3">
      <c r="A453" s="1" t="str">
        <f ca="1">IFERROR(__xludf.DUMMYFUNCTION("""COMPUTED_VALUE"""),"Milford Haven Docks MHDC")</f>
        <v>Milford Haven Docks MHDC</v>
      </c>
      <c r="B453" s="1"/>
      <c r="C453" s="1">
        <f ca="1">IFERROR(__xludf.DUMMYFUNCTION("""COMPUTED_VALUE"""),409513)</f>
        <v>409513</v>
      </c>
      <c r="D453" s="1" t="str">
        <f ca="1">IFERROR(__xludf.DUMMYFUNCTION("""COMPUTED_VALUE"""),"MLFDOCK")</f>
        <v>MLFDOCK</v>
      </c>
      <c r="E453" s="1" t="str">
        <f ca="1">IFERROR(__xludf.DUMMYFUNCTION("""COMPUTED_VALUE"""),"MLFDOCK")</f>
        <v>MLFDOCK</v>
      </c>
      <c r="F453" s="1">
        <f ca="1">IFERROR(__xludf.DUMMYFUNCTION("""COMPUTED_VALUE"""),80101)</f>
        <v>80101</v>
      </c>
    </row>
    <row r="454" spans="1:6" x14ac:dyDescent="0.3">
      <c r="A454" s="1" t="str">
        <f ca="1">IFERROR(__xludf.DUMMYFUNCTION("""COMPUTED_VALUE"""),"Milford Haven Gulf Oil Junction")</f>
        <v>Milford Haven Gulf Oil Junction</v>
      </c>
      <c r="B454" s="1"/>
      <c r="C454" s="1"/>
      <c r="D454" s="1" t="str">
        <f ca="1">IFERROR(__xludf.DUMMYFUNCTION("""COMPUTED_VALUE"""),"MLFDGOJ")</f>
        <v>MLFDGOJ</v>
      </c>
      <c r="E454" s="1"/>
      <c r="F454" s="1"/>
    </row>
    <row r="455" spans="1:6" x14ac:dyDescent="0.3">
      <c r="A455" s="1" t="str">
        <f ca="1">IFERROR(__xludf.DUMMYFUNCTION("""COMPUTED_VALUE"""),"Milford Junction")</f>
        <v>Milford Junction</v>
      </c>
      <c r="B455" s="1"/>
      <c r="C455" s="1">
        <f ca="1">IFERROR(__xludf.DUMMYFUNCTION("""COMPUTED_VALUE"""),814213)</f>
        <v>814213</v>
      </c>
      <c r="D455" s="1" t="str">
        <f ca="1">IFERROR(__xludf.DUMMYFUNCTION("""COMPUTED_VALUE"""),"MILFDY")</f>
        <v>MILFDY</v>
      </c>
      <c r="E455" s="1" t="str">
        <f ca="1">IFERROR(__xludf.DUMMYFUNCTION("""COMPUTED_VALUE"""),"MILFORDSB")</f>
        <v>MILFORDSB</v>
      </c>
      <c r="F455" s="1">
        <f ca="1">IFERROR(__xludf.DUMMYFUNCTION("""COMPUTED_VALUE"""),16503)</f>
        <v>16503</v>
      </c>
    </row>
    <row r="456" spans="1:6" x14ac:dyDescent="0.3">
      <c r="A456" s="1" t="str">
        <f ca="1">IFERROR(__xludf.DUMMYFUNCTION("""COMPUTED_VALUE"""),"Milford Loop")</f>
        <v>Milford Loop</v>
      </c>
      <c r="B456" s="1"/>
      <c r="C456" s="1">
        <f ca="1">IFERROR(__xludf.DUMMYFUNCTION("""COMPUTED_VALUE"""),814214)</f>
        <v>814214</v>
      </c>
      <c r="D456" s="1" t="str">
        <f ca="1">IFERROR(__xludf.DUMMYFUNCTION("""COMPUTED_VALUE"""),"MILFLOP")</f>
        <v>MILFLOP</v>
      </c>
      <c r="E456" s="1" t="str">
        <f ca="1">IFERROR(__xludf.DUMMYFUNCTION("""COMPUTED_VALUE"""),"MILFORDLP")</f>
        <v>MILFORDLP</v>
      </c>
      <c r="F456" s="1">
        <f ca="1">IFERROR(__xludf.DUMMYFUNCTION("""COMPUTED_VALUE"""),16506)</f>
        <v>16506</v>
      </c>
    </row>
    <row r="457" spans="1:6" x14ac:dyDescent="0.3">
      <c r="A457" s="1" t="str">
        <f ca="1">IFERROR(__xludf.DUMMYFUNCTION("""COMPUTED_VALUE"""),"Milford Red Lion Pub")</f>
        <v>Milford Red Lion Pub</v>
      </c>
      <c r="B457" s="1"/>
      <c r="C457" s="1">
        <f ca="1">IFERROR(__xludf.DUMMYFUNCTION("""COMPUTED_VALUE"""),564401)</f>
        <v>564401</v>
      </c>
      <c r="D457" s="1" t="str">
        <f ca="1">IFERROR(__xludf.DUMMYFUNCTION("""COMPUTED_VALUE"""),"MLFORLP")</f>
        <v>MLFORLP</v>
      </c>
      <c r="E457" s="1"/>
      <c r="F457" s="1" t="str">
        <f ca="1">IFERROR(__xludf.DUMMYFUNCTION("""COMPUTED_VALUE"""),"-")</f>
        <v>-</v>
      </c>
    </row>
    <row r="458" spans="1:6" x14ac:dyDescent="0.3">
      <c r="A458" s="1" t="str">
        <f ca="1">IFERROR(__xludf.DUMMYFUNCTION("""COMPUTED_VALUE"""),"Milford Signal M233")</f>
        <v>Milford Signal M233</v>
      </c>
      <c r="B458" s="1"/>
      <c r="C458" s="1">
        <f ca="1">IFERROR(__xludf.DUMMYFUNCTION("""COMPUTED_VALUE"""),814217)</f>
        <v>814217</v>
      </c>
      <c r="D458" s="1" t="str">
        <f ca="1">IFERROR(__xludf.DUMMYFUNCTION("""COMPUTED_VALUE"""),"MILF233")</f>
        <v>MILF233</v>
      </c>
      <c r="E458" s="1"/>
      <c r="F458" s="1" t="str">
        <f ca="1">IFERROR(__xludf.DUMMYFUNCTION("""COMPUTED_VALUE"""),"-")</f>
        <v>-</v>
      </c>
    </row>
    <row r="459" spans="1:6" x14ac:dyDescent="0.3">
      <c r="A459" s="1" t="str">
        <f ca="1">IFERROR(__xludf.DUMMYFUNCTION("""COMPUTED_VALUE"""),"Milford Signal M235")</f>
        <v>Milford Signal M235</v>
      </c>
      <c r="B459" s="1"/>
      <c r="C459" s="1">
        <f ca="1">IFERROR(__xludf.DUMMYFUNCTION("""COMPUTED_VALUE"""),814216)</f>
        <v>814216</v>
      </c>
      <c r="D459" s="1" t="str">
        <f ca="1">IFERROR(__xludf.DUMMYFUNCTION("""COMPUTED_VALUE"""),"MILF235")</f>
        <v>MILF235</v>
      </c>
      <c r="E459" s="1" t="str">
        <f ca="1">IFERROR(__xludf.DUMMYFUNCTION("""COMPUTED_VALUE"""),"MILFRD235")</f>
        <v>MILFRD235</v>
      </c>
      <c r="F459" s="1">
        <f ca="1">IFERROR(__xludf.DUMMYFUNCTION("""COMPUTED_VALUE"""),16500)</f>
        <v>16500</v>
      </c>
    </row>
    <row r="460" spans="1:6" x14ac:dyDescent="0.3">
      <c r="A460" s="1" t="str">
        <f ca="1">IFERROR(__xludf.DUMMYFUNCTION("""COMPUTED_VALUE"""),"Milford (Surrey)")</f>
        <v>Milford (Surrey)</v>
      </c>
      <c r="B460" s="1" t="str">
        <f ca="1">IFERROR(__xludf.DUMMYFUNCTION("""COMPUTED_VALUE"""),"MLF")</f>
        <v>MLF</v>
      </c>
      <c r="C460" s="1">
        <f ca="1">IFERROR(__xludf.DUMMYFUNCTION("""COMPUTED_VALUE"""),564400)</f>
        <v>564400</v>
      </c>
      <c r="D460" s="1" t="str">
        <f ca="1">IFERROR(__xludf.DUMMYFUNCTION("""COMPUTED_VALUE"""),"MLFORD")</f>
        <v>MLFORD</v>
      </c>
      <c r="E460" s="1" t="str">
        <f ca="1">IFERROR(__xludf.DUMMYFUNCTION("""COMPUTED_VALUE"""),"MILFORD")</f>
        <v>MILFORD</v>
      </c>
      <c r="F460" s="1">
        <f ca="1">IFERROR(__xludf.DUMMYFUNCTION("""COMPUTED_VALUE"""),87059)</f>
        <v>87059</v>
      </c>
    </row>
    <row r="461" spans="1:6" x14ac:dyDescent="0.3">
      <c r="A461" s="1" t="str">
        <f ca="1">IFERROR(__xludf.DUMMYFUNCTION("""COMPUTED_VALUE"""),"Milford West Sidings")</f>
        <v>Milford West Sidings</v>
      </c>
      <c r="B461" s="1"/>
      <c r="C461" s="1">
        <f ca="1">IFERROR(__xludf.DUMMYFUNCTION("""COMPUTED_VALUE"""),813914)</f>
        <v>813914</v>
      </c>
      <c r="D461" s="1" t="str">
        <f ca="1">IFERROR(__xludf.DUMMYFUNCTION("""COMPUTED_VALUE"""),"MILFDWS")</f>
        <v>MILFDWS</v>
      </c>
      <c r="E461" s="1" t="str">
        <f ca="1">IFERROR(__xludf.DUMMYFUNCTION("""COMPUTED_VALUE"""),"MILFORDWS")</f>
        <v>MILFORDWS</v>
      </c>
      <c r="F461" s="1">
        <f ca="1">IFERROR(__xludf.DUMMYFUNCTION("""COMPUTED_VALUE"""),16502)</f>
        <v>16502</v>
      </c>
    </row>
    <row r="462" spans="1:6" x14ac:dyDescent="0.3">
      <c r="A462" s="1" t="str">
        <f ca="1">IFERROR(__xludf.DUMMYFUNCTION("""COMPUTED_VALUE"""),"Millbrook (Bedfordshire)")</f>
        <v>Millbrook (Bedfordshire)</v>
      </c>
      <c r="B462" s="1" t="str">
        <f ca="1">IFERROR(__xludf.DUMMYFUNCTION("""COMPUTED_VALUE"""),"MLB")</f>
        <v>MLB</v>
      </c>
      <c r="C462" s="1">
        <f ca="1">IFERROR(__xludf.DUMMYFUNCTION("""COMPUTED_VALUE"""),153700)</f>
        <v>153700</v>
      </c>
      <c r="D462" s="1" t="str">
        <f ca="1">IFERROR(__xludf.DUMMYFUNCTION("""COMPUTED_VALUE"""),"MLBRKB")</f>
        <v>MLBRKB</v>
      </c>
      <c r="E462" s="1" t="str">
        <f ca="1">IFERROR(__xludf.DUMMYFUNCTION("""COMPUTED_VALUE"""),"MILLBROOK")</f>
        <v>MILLBROOK</v>
      </c>
      <c r="F462" s="1">
        <f ca="1">IFERROR(__xludf.DUMMYFUNCTION("""COMPUTED_VALUE"""),62044)</f>
        <v>62044</v>
      </c>
    </row>
    <row r="463" spans="1:6" x14ac:dyDescent="0.3">
      <c r="A463" s="1" t="str">
        <f ca="1">IFERROR(__xludf.DUMMYFUNCTION("""COMPUTED_VALUE"""),"Millbrook Dock Entrance")</f>
        <v>Millbrook Dock Entrance</v>
      </c>
      <c r="B463" s="1"/>
      <c r="C463" s="1">
        <f ca="1">IFERROR(__xludf.DUMMYFUNCTION("""COMPUTED_VALUE"""),590962)</f>
        <v>590962</v>
      </c>
      <c r="D463" s="1" t="str">
        <f ca="1">IFERROR(__xludf.DUMMYFUNCTION("""COMPUTED_VALUE"""),"MBRKDE")</f>
        <v>MBRKDE</v>
      </c>
      <c r="E463" s="1" t="str">
        <f ca="1">IFERROR(__xludf.DUMMYFUNCTION("""COMPUTED_VALUE"""),"MILLBDKEN")</f>
        <v>MILLBDKEN</v>
      </c>
      <c r="F463" s="1">
        <f ca="1">IFERROR(__xludf.DUMMYFUNCTION("""COMPUTED_VALUE"""),86526)</f>
        <v>86526</v>
      </c>
    </row>
    <row r="464" spans="1:6" x14ac:dyDescent="0.3">
      <c r="A464" s="1" t="str">
        <f ca="1">IFERROR(__xludf.DUMMYFUNCTION("""COMPUTED_VALUE"""),"Millbrook Dock Exit")</f>
        <v>Millbrook Dock Exit</v>
      </c>
      <c r="B464" s="1"/>
      <c r="C464" s="1">
        <f ca="1">IFERROR(__xludf.DUMMYFUNCTION("""COMPUTED_VALUE"""),590965)</f>
        <v>590965</v>
      </c>
      <c r="D464" s="1" t="str">
        <f ca="1">IFERROR(__xludf.DUMMYFUNCTION("""COMPUTED_VALUE"""),"MBRKDX")</f>
        <v>MBRKDX</v>
      </c>
      <c r="E464" s="1" t="str">
        <f ca="1">IFERROR(__xludf.DUMMYFUNCTION("""COMPUTED_VALUE"""),"MILLBDKEX")</f>
        <v>MILLBDKEX</v>
      </c>
      <c r="F464" s="1">
        <f ca="1">IFERROR(__xludf.DUMMYFUNCTION("""COMPUTED_VALUE"""),86528)</f>
        <v>86528</v>
      </c>
    </row>
    <row r="465" spans="1:6" x14ac:dyDescent="0.3">
      <c r="A465" s="1" t="str">
        <f ca="1">IFERROR(__xludf.DUMMYFUNCTION("""COMPUTED_VALUE"""),"Millbrook (Hants)")</f>
        <v>Millbrook (Hants)</v>
      </c>
      <c r="B465" s="1" t="str">
        <f ca="1">IFERROR(__xludf.DUMMYFUNCTION("""COMPUTED_VALUE"""),"MBK")</f>
        <v>MBK</v>
      </c>
      <c r="C465" s="1">
        <f ca="1">IFERROR(__xludf.DUMMYFUNCTION("""COMPUTED_VALUE"""),590900)</f>
        <v>590900</v>
      </c>
      <c r="D465" s="1" t="str">
        <f ca="1">IFERROR(__xludf.DUMMYFUNCTION("""COMPUTED_VALUE"""),"MBRK")</f>
        <v>MBRK</v>
      </c>
      <c r="E465" s="1" t="str">
        <f ca="1">IFERROR(__xludf.DUMMYFUNCTION("""COMPUTED_VALUE"""),"MBRK")</f>
        <v>MBRK</v>
      </c>
      <c r="F465" s="1">
        <f ca="1">IFERROR(__xludf.DUMMYFUNCTION("""COMPUTED_VALUE"""),86527)</f>
        <v>86527</v>
      </c>
    </row>
    <row r="466" spans="1:6" x14ac:dyDescent="0.3">
      <c r="A466" s="1" t="str">
        <f ca="1">IFERROR(__xludf.DUMMYFUNCTION("""COMPUTED_VALUE"""),"Millbrook Hants Church Lane Junction")</f>
        <v>Millbrook Hants Church Lane Junction</v>
      </c>
      <c r="B466" s="1"/>
      <c r="C466" s="1">
        <f ca="1">IFERROR(__xludf.DUMMYFUNCTION("""COMPUTED_VALUE"""),590903)</f>
        <v>590903</v>
      </c>
      <c r="D466" s="1" t="str">
        <f ca="1">IFERROR(__xludf.DUMMYFUNCTION("""COMPUTED_VALUE"""),"MBRKCLJ")</f>
        <v>MBRKCLJ</v>
      </c>
      <c r="E466" s="1" t="str">
        <f ca="1">IFERROR(__xludf.DUMMYFUNCTION("""COMPUTED_VALUE"""),"MBRKCHLJN")</f>
        <v>MBRKCHLJN</v>
      </c>
      <c r="F466" s="1">
        <f ca="1">IFERROR(__xludf.DUMMYFUNCTION("""COMPUTED_VALUE"""),86525)</f>
        <v>86525</v>
      </c>
    </row>
    <row r="467" spans="1:6" x14ac:dyDescent="0.3">
      <c r="A467" s="1" t="str">
        <f ca="1">IFERROR(__xludf.DUMMYFUNCTION("""COMPUTED_VALUE"""),"Millbrook Hants Freightliner Terminal")</f>
        <v>Millbrook Hants Freightliner Terminal</v>
      </c>
      <c r="B467" s="1"/>
      <c r="C467" s="1">
        <f ca="1">IFERROR(__xludf.DUMMYFUNCTION("""COMPUTED_VALUE"""),593500)</f>
        <v>593500</v>
      </c>
      <c r="D467" s="1" t="str">
        <f ca="1">IFERROR(__xludf.DUMMYFUNCTION("""COMPUTED_VALUE"""),"MBRKFLT")</f>
        <v>MBRKFLT</v>
      </c>
      <c r="E467" s="1" t="str">
        <f ca="1">IFERROR(__xludf.DUMMYFUNCTION("""COMPUTED_VALUE"""),"MBRKFLT")</f>
        <v>MBRKFLT</v>
      </c>
      <c r="F467" s="1">
        <f ca="1">IFERROR(__xludf.DUMMYFUNCTION("""COMPUTED_VALUE"""),86529)</f>
        <v>86529</v>
      </c>
    </row>
    <row r="468" spans="1:6" x14ac:dyDescent="0.3">
      <c r="A468" s="1" t="str">
        <f ca="1">IFERROR(__xludf.DUMMYFUNCTION("""COMPUTED_VALUE"""),"Millbrook Hants Freightliner Terminal GB Railfreight")</f>
        <v>Millbrook Hants Freightliner Terminal GB Railfreight</v>
      </c>
      <c r="B468" s="1"/>
      <c r="C468" s="1">
        <f ca="1">IFERROR(__xludf.DUMMYFUNCTION("""COMPUTED_VALUE"""),590902)</f>
        <v>590902</v>
      </c>
      <c r="D468" s="1" t="str">
        <f ca="1">IFERROR(__xludf.DUMMYFUNCTION("""COMPUTED_VALUE"""),"MBRKGBR")</f>
        <v>MBRKGBR</v>
      </c>
      <c r="E468" s="1" t="str">
        <f ca="1">IFERROR(__xludf.DUMMYFUNCTION("""COMPUTED_VALUE"""),"MBRKFLTGB")</f>
        <v>MBRKFLTGB</v>
      </c>
      <c r="F468" s="1">
        <f ca="1">IFERROR(__xludf.DUMMYFUNCTION("""COMPUTED_VALUE"""),86538)</f>
        <v>86538</v>
      </c>
    </row>
    <row r="469" spans="1:6" x14ac:dyDescent="0.3">
      <c r="A469" s="1" t="str">
        <f ca="1">IFERROR(__xludf.DUMMYFUNCTION("""COMPUTED_VALUE"""),"Millbrook No 14 Points")</f>
        <v>Millbrook No 14 Points</v>
      </c>
      <c r="B469" s="1"/>
      <c r="C469" s="1">
        <f ca="1">IFERROR(__xludf.DUMMYFUNCTION("""COMPUTED_VALUE"""),590963)</f>
        <v>590963</v>
      </c>
      <c r="D469" s="1" t="str">
        <f ca="1">IFERROR(__xludf.DUMMYFUNCTION("""COMPUTED_VALUE"""),"MBRK14P")</f>
        <v>MBRK14P</v>
      </c>
      <c r="E469" s="1"/>
      <c r="F469" s="1" t="str">
        <f ca="1">IFERROR(__xludf.DUMMYFUNCTION("""COMPUTED_VALUE"""),"-")</f>
        <v>-</v>
      </c>
    </row>
    <row r="470" spans="1:6" x14ac:dyDescent="0.3">
      <c r="A470" s="1" t="str">
        <f ca="1">IFERROR(__xludf.DUMMYFUNCTION("""COMPUTED_VALUE"""),"Millbrook No 17 Points")</f>
        <v>Millbrook No 17 Points</v>
      </c>
      <c r="B470" s="1"/>
      <c r="C470" s="1">
        <f ca="1">IFERROR(__xludf.DUMMYFUNCTION("""COMPUTED_VALUE"""),590964)</f>
        <v>590964</v>
      </c>
      <c r="D470" s="1" t="str">
        <f ca="1">IFERROR(__xludf.DUMMYFUNCTION("""COMPUTED_VALUE"""),"MBRK17P")</f>
        <v>MBRK17P</v>
      </c>
      <c r="E470" s="1"/>
      <c r="F470" s="1" t="str">
        <f ca="1">IFERROR(__xludf.DUMMYFUNCTION("""COMPUTED_VALUE"""),"-")</f>
        <v>-</v>
      </c>
    </row>
    <row r="471" spans="1:6" x14ac:dyDescent="0.3">
      <c r="A471" s="1" t="str">
        <f ca="1">IFERROR(__xludf.DUMMYFUNCTION("""COMPUTED_VALUE"""),"Millbrook Signal E758")</f>
        <v>Millbrook Signal E758</v>
      </c>
      <c r="B471" s="1"/>
      <c r="C471" s="1">
        <f ca="1">IFERROR(__xludf.DUMMYFUNCTION("""COMPUTED_VALUE"""),590966)</f>
        <v>590966</v>
      </c>
      <c r="D471" s="1" t="str">
        <f ca="1">IFERROR(__xludf.DUMMYFUNCTION("""COMPUTED_VALUE"""),"MBRK758")</f>
        <v>MBRK758</v>
      </c>
      <c r="E471" s="1" t="str">
        <f ca="1">IFERROR(__xludf.DUMMYFUNCTION("""COMPUTED_VALUE"""),"MILLBS758")</f>
        <v>MILLBS758</v>
      </c>
      <c r="F471" s="1">
        <f ca="1">IFERROR(__xludf.DUMMYFUNCTION("""COMPUTED_VALUE"""),86535)</f>
        <v>86535</v>
      </c>
    </row>
    <row r="472" spans="1:6" x14ac:dyDescent="0.3">
      <c r="A472" s="1" t="str">
        <f ca="1">IFERROR(__xludf.DUMMYFUNCTION("""COMPUTED_VALUE"""),"Millbrook Signal E850")</f>
        <v>Millbrook Signal E850</v>
      </c>
      <c r="B472" s="1"/>
      <c r="C472" s="1">
        <f ca="1">IFERROR(__xludf.DUMMYFUNCTION("""COMPUTED_VALUE"""),590967)</f>
        <v>590967</v>
      </c>
      <c r="D472" s="1" t="str">
        <f ca="1">IFERROR(__xludf.DUMMYFUNCTION("""COMPUTED_VALUE"""),"MBRK850")</f>
        <v>MBRK850</v>
      </c>
      <c r="E472" s="1" t="str">
        <f ca="1">IFERROR(__xludf.DUMMYFUNCTION("""COMPUTED_VALUE"""),"MBRK")</f>
        <v>MBRK</v>
      </c>
      <c r="F472" s="1" t="str">
        <f ca="1">IFERROR(__xludf.DUMMYFUNCTION("""COMPUTED_VALUE"""),"86527*")</f>
        <v>86527*</v>
      </c>
    </row>
    <row r="473" spans="1:6" x14ac:dyDescent="0.3">
      <c r="A473" s="1" t="str">
        <f ca="1">IFERROR(__xludf.DUMMYFUNCTION("""COMPUTED_VALUE"""),"Millbrook Signal E939")</f>
        <v>Millbrook Signal E939</v>
      </c>
      <c r="B473" s="1"/>
      <c r="C473" s="1">
        <f ca="1">IFERROR(__xludf.DUMMYFUNCTION("""COMPUTED_VALUE"""),590968)</f>
        <v>590968</v>
      </c>
      <c r="D473" s="1" t="str">
        <f ca="1">IFERROR(__xludf.DUMMYFUNCTION("""COMPUTED_VALUE"""),"MBRK939")</f>
        <v>MBRK939</v>
      </c>
      <c r="E473" s="1"/>
      <c r="F473" s="1" t="str">
        <f ca="1">IFERROR(__xludf.DUMMYFUNCTION("""COMPUTED_VALUE"""),"-")</f>
        <v>-</v>
      </c>
    </row>
    <row r="474" spans="1:6" x14ac:dyDescent="0.3">
      <c r="A474" s="1" t="str">
        <f ca="1">IFERROR(__xludf.DUMMYFUNCTION("""COMPUTED_VALUE"""),"Millbrook Signal E940")</f>
        <v>Millbrook Signal E940</v>
      </c>
      <c r="B474" s="1"/>
      <c r="C474" s="1">
        <f ca="1">IFERROR(__xludf.DUMMYFUNCTION("""COMPUTED_VALUE"""),590969)</f>
        <v>590969</v>
      </c>
      <c r="D474" s="1" t="str">
        <f ca="1">IFERROR(__xludf.DUMMYFUNCTION("""COMPUTED_VALUE"""),"MBRK940")</f>
        <v>MBRK940</v>
      </c>
      <c r="E474" s="1"/>
      <c r="F474" s="1" t="str">
        <f ca="1">IFERROR(__xludf.DUMMYFUNCTION("""COMPUTED_VALUE"""),"-")</f>
        <v>-</v>
      </c>
    </row>
    <row r="475" spans="1:6" x14ac:dyDescent="0.3">
      <c r="A475" s="1" t="str">
        <f ca="1">IFERROR(__xludf.DUMMYFUNCTION("""COMPUTED_VALUE"""),"Millbrook Signal E941")</f>
        <v>Millbrook Signal E941</v>
      </c>
      <c r="B475" s="1"/>
      <c r="C475" s="1">
        <f ca="1">IFERROR(__xludf.DUMMYFUNCTION("""COMPUTED_VALUE"""),590904)</f>
        <v>590904</v>
      </c>
      <c r="D475" s="1" t="str">
        <f ca="1">IFERROR(__xludf.DUMMYFUNCTION("""COMPUTED_VALUE"""),"MBRK941")</f>
        <v>MBRK941</v>
      </c>
      <c r="E475" s="1"/>
      <c r="F475" s="1">
        <f ca="1">IFERROR(__xludf.DUMMYFUNCTION("""COMPUTED_VALUE"""),86512)</f>
        <v>86512</v>
      </c>
    </row>
    <row r="476" spans="1:6" x14ac:dyDescent="0.3">
      <c r="A476" s="1" t="str">
        <f ca="1">IFERROR(__xludf.DUMMYFUNCTION("""COMPUTED_VALUE"""),"Millbrook Signal E942")</f>
        <v>Millbrook Signal E942</v>
      </c>
      <c r="B476" s="1"/>
      <c r="C476" s="1">
        <f ca="1">IFERROR(__xludf.DUMMYFUNCTION("""COMPUTED_VALUE"""),590970)</f>
        <v>590970</v>
      </c>
      <c r="D476" s="1" t="str">
        <f ca="1">IFERROR(__xludf.DUMMYFUNCTION("""COMPUTED_VALUE"""),"MBRK942")</f>
        <v>MBRK942</v>
      </c>
      <c r="E476" s="1" t="str">
        <f ca="1">IFERROR(__xludf.DUMMYFUNCTION("""COMPUTED_VALUE"""),"MILLBS942")</f>
        <v>MILLBS942</v>
      </c>
      <c r="F476" s="1">
        <f ca="1">IFERROR(__xludf.DUMMYFUNCTION("""COMPUTED_VALUE"""),86536)</f>
        <v>86536</v>
      </c>
    </row>
    <row r="477" spans="1:6" x14ac:dyDescent="0.3">
      <c r="A477" s="1" t="str">
        <f ca="1">IFERROR(__xludf.DUMMYFUNCTION("""COMPUTED_VALUE"""),"Millbrook Signal E955")</f>
        <v>Millbrook Signal E955</v>
      </c>
      <c r="B477" s="1"/>
      <c r="C477" s="1">
        <f ca="1">IFERROR(__xludf.DUMMYFUNCTION("""COMPUTED_VALUE"""),590901)</f>
        <v>590901</v>
      </c>
      <c r="D477" s="1" t="str">
        <f ca="1">IFERROR(__xludf.DUMMYFUNCTION("""COMPUTED_VALUE"""),"MBRK955")</f>
        <v>MBRK955</v>
      </c>
      <c r="E477" s="1" t="str">
        <f ca="1">IFERROR(__xludf.DUMMYFUNCTION("""COMPUTED_VALUE"""),"MILLBK955")</f>
        <v>MILLBK955</v>
      </c>
      <c r="F477" s="1">
        <f ca="1">IFERROR(__xludf.DUMMYFUNCTION("""COMPUTED_VALUE"""),86537)</f>
        <v>86537</v>
      </c>
    </row>
    <row r="478" spans="1:6" x14ac:dyDescent="0.3">
      <c r="A478" s="1" t="str">
        <f ca="1">IFERROR(__xludf.DUMMYFUNCTION("""COMPUTED_VALUE"""),"Millbrook Signal E958")</f>
        <v>Millbrook Signal E958</v>
      </c>
      <c r="B478" s="1"/>
      <c r="C478" s="1">
        <f ca="1">IFERROR(__xludf.DUMMYFUNCTION("""COMPUTED_VALUE"""),590971)</f>
        <v>590971</v>
      </c>
      <c r="D478" s="1" t="str">
        <f ca="1">IFERROR(__xludf.DUMMYFUNCTION("""COMPUTED_VALUE"""),"MBRK958")</f>
        <v>MBRK958</v>
      </c>
      <c r="E478" s="1" t="str">
        <f ca="1">IFERROR(__xludf.DUMMYFUNCTION("""COMPUTED_VALUE"""),"MILLBS958")</f>
        <v>MILLBS958</v>
      </c>
      <c r="F478" s="1">
        <f ca="1">IFERROR(__xludf.DUMMYFUNCTION("""COMPUTED_VALUE"""),86534)</f>
        <v>86534</v>
      </c>
    </row>
    <row r="479" spans="1:6" x14ac:dyDescent="0.3">
      <c r="A479" s="1" t="str">
        <f ca="1">IFERROR(__xludf.DUMMYFUNCTION("""COMPUTED_VALUE"""),"Millburn Junction (Inverness)")</f>
        <v>Millburn Junction (Inverness)</v>
      </c>
      <c r="B479" s="1"/>
      <c r="C479" s="1">
        <f ca="1">IFERROR(__xludf.DUMMYFUNCTION("""COMPUTED_VALUE"""),865162)</f>
        <v>865162</v>
      </c>
      <c r="D479" s="1" t="str">
        <f ca="1">IFERROR(__xludf.DUMMYFUNCTION("""COMPUTED_VALUE"""),"MILBRNJ")</f>
        <v>MILBRNJ</v>
      </c>
      <c r="E479" s="1" t="str">
        <f ca="1">IFERROR(__xludf.DUMMYFUNCTION("""COMPUTED_VALUE"""),"INVERNSMJ")</f>
        <v>INVERNSMJ</v>
      </c>
      <c r="F479" s="1">
        <f ca="1">IFERROR(__xludf.DUMMYFUNCTION("""COMPUTED_VALUE"""),1109)</f>
        <v>1109</v>
      </c>
    </row>
    <row r="480" spans="1:6" x14ac:dyDescent="0.3">
      <c r="A480" s="1" t="str">
        <f ca="1">IFERROR(__xludf.DUMMYFUNCTION("""COMPUTED_VALUE"""),"Millerhill Civil Engineer's Sidings")</f>
        <v>Millerhill Civil Engineer's Sidings</v>
      </c>
      <c r="B480" s="1"/>
      <c r="C480" s="1">
        <f ca="1">IFERROR(__xludf.DUMMYFUNCTION("""COMPUTED_VALUE"""),932263)</f>
        <v>932263</v>
      </c>
      <c r="D480" s="1" t="str">
        <f ca="1">IFERROR(__xludf.DUMMYFUNCTION("""COMPUTED_VALUE"""),"MLRHCE")</f>
        <v>MLRHCE</v>
      </c>
      <c r="E480" s="1" t="str">
        <f ca="1">IFERROR(__xludf.DUMMYFUNCTION("""COMPUTED_VALUE"""),"MHILL REC")</f>
        <v>MHILL REC</v>
      </c>
      <c r="F480" s="1">
        <f ca="1">IFERROR(__xludf.DUMMYFUNCTION("""COMPUTED_VALUE"""),4722)</f>
        <v>4722</v>
      </c>
    </row>
    <row r="481" spans="1:6" x14ac:dyDescent="0.3">
      <c r="A481" s="1" t="str">
        <f ca="1">IFERROR(__xludf.DUMMYFUNCTION("""COMPUTED_VALUE"""),"Millerhill East Junction")</f>
        <v>Millerhill East Junction</v>
      </c>
      <c r="B481" s="1"/>
      <c r="C481" s="1">
        <f ca="1">IFERROR(__xludf.DUMMYFUNCTION("""COMPUTED_VALUE"""),932287)</f>
        <v>932287</v>
      </c>
      <c r="D481" s="1" t="str">
        <f ca="1">IFERROR(__xludf.DUMMYFUNCTION("""COMPUTED_VALUE"""),"MLRHEJN")</f>
        <v>MLRHEJN</v>
      </c>
      <c r="E481" s="1" t="str">
        <f ca="1">IFERROR(__xludf.DUMMYFUNCTION("""COMPUTED_VALUE"""),"MILHIL EJ")</f>
        <v>MILHIL EJ</v>
      </c>
      <c r="F481" s="1">
        <f ca="1">IFERROR(__xludf.DUMMYFUNCTION("""COMPUTED_VALUE"""),4725)</f>
        <v>4725</v>
      </c>
    </row>
    <row r="482" spans="1:6" x14ac:dyDescent="0.3">
      <c r="A482" s="1" t="str">
        <f ca="1">IFERROR(__xludf.DUMMYFUNCTION("""COMPUTED_VALUE"""),"Millerhill EMU Yard")</f>
        <v>Millerhill EMU Yard</v>
      </c>
      <c r="B482" s="1"/>
      <c r="C482" s="1">
        <f ca="1">IFERROR(__xludf.DUMMYFUNCTION("""COMPUTED_VALUE"""),932203)</f>
        <v>932203</v>
      </c>
      <c r="D482" s="1" t="str">
        <f ca="1">IFERROR(__xludf.DUMMYFUNCTION("""COMPUTED_VALUE"""),"MLRHEY")</f>
        <v>MLRHEY</v>
      </c>
      <c r="E482" s="1" t="str">
        <f ca="1">IFERROR(__xludf.DUMMYFUNCTION("""COMPUTED_VALUE"""),"MHILLEMUY")</f>
        <v>MHILLEMUY</v>
      </c>
      <c r="F482" s="1">
        <f ca="1">IFERROR(__xludf.DUMMYFUNCTION("""COMPUTED_VALUE"""),4237)</f>
        <v>4237</v>
      </c>
    </row>
    <row r="483" spans="1:6" x14ac:dyDescent="0.3">
      <c r="A483" s="1" t="str">
        <f ca="1">IFERROR(__xludf.DUMMYFUNCTION("""COMPUTED_VALUE"""),"Millerhill Loco Inspection Point")</f>
        <v>Millerhill Loco Inspection Point</v>
      </c>
      <c r="B483" s="1"/>
      <c r="C483" s="1">
        <f ca="1">IFERROR(__xludf.DUMMYFUNCTION("""COMPUTED_VALUE"""),932261)</f>
        <v>932261</v>
      </c>
      <c r="D483" s="1" t="str">
        <f ca="1">IFERROR(__xludf.DUMMYFUNCTION("""COMPUTED_VALUE"""),"MLRHD")</f>
        <v>MLRHD</v>
      </c>
      <c r="E483" s="1" t="str">
        <f ca="1">IFERROR(__xludf.DUMMYFUNCTION("""COMPUTED_VALUE"""),"MILLRHLFP")</f>
        <v>MILLRHLFP</v>
      </c>
      <c r="F483" s="1">
        <f ca="1">IFERROR(__xludf.DUMMYFUNCTION("""COMPUTED_VALUE"""),4724)</f>
        <v>4724</v>
      </c>
    </row>
    <row r="484" spans="1:6" x14ac:dyDescent="0.3">
      <c r="A484" s="1" t="str">
        <f ca="1">IFERROR(__xludf.DUMMYFUNCTION("""COMPUTED_VALUE"""),"Millerhill Mechanical &amp; Electrical Engineer's Sidings")</f>
        <v>Millerhill Mechanical &amp; Electrical Engineer's Sidings</v>
      </c>
      <c r="B484" s="1"/>
      <c r="C484" s="1">
        <f ca="1">IFERROR(__xludf.DUMMYFUNCTION("""COMPUTED_VALUE"""),932285)</f>
        <v>932285</v>
      </c>
      <c r="D484" s="1" t="str">
        <f ca="1">IFERROR(__xludf.DUMMYFUNCTION("""COMPUTED_VALUE"""),"MLRHMEE")</f>
        <v>MLRHMEE</v>
      </c>
      <c r="E484" s="1" t="str">
        <f ca="1">IFERROR(__xludf.DUMMYFUNCTION("""COMPUTED_VALUE"""),"MHIL ELEC")</f>
        <v>MHIL ELEC</v>
      </c>
      <c r="F484" s="1">
        <f ca="1">IFERROR(__xludf.DUMMYFUNCTION("""COMPUTED_VALUE"""),4727)</f>
        <v>4727</v>
      </c>
    </row>
    <row r="485" spans="1:6" x14ac:dyDescent="0.3">
      <c r="A485" s="1" t="str">
        <f ca="1">IFERROR(__xludf.DUMMYFUNCTION("""COMPUTED_VALUE"""),"Millerhill Newcraighall Turnback Siding")</f>
        <v>Millerhill Newcraighall Turnback Siding</v>
      </c>
      <c r="B485" s="1"/>
      <c r="C485" s="1">
        <f ca="1">IFERROR(__xludf.DUMMYFUNCTION("""COMPUTED_VALUE"""),880805)</f>
        <v>880805</v>
      </c>
      <c r="D485" s="1" t="str">
        <f ca="1">IFERROR(__xludf.DUMMYFUNCTION("""COMPUTED_VALUE"""),"MLRHM21")</f>
        <v>MLRHM21</v>
      </c>
      <c r="E485" s="1" t="str">
        <f ca="1">IFERROR(__xludf.DUMMYFUNCTION("""COMPUTED_VALUE"""),"NEWCRGHTB")</f>
        <v>NEWCRGHTB</v>
      </c>
      <c r="F485" s="1">
        <f ca="1">IFERROR(__xludf.DUMMYFUNCTION("""COMPUTED_VALUE"""),4716)</f>
        <v>4716</v>
      </c>
    </row>
    <row r="486" spans="1:6" x14ac:dyDescent="0.3">
      <c r="A486" s="1" t="str">
        <f ca="1">IFERROR(__xludf.DUMMYFUNCTION("""COMPUTED_VALUE"""),"Millerhill Royal Scotsman")</f>
        <v>Millerhill Royal Scotsman</v>
      </c>
      <c r="B486" s="1"/>
      <c r="C486" s="1">
        <f ca="1">IFERROR(__xludf.DUMMYFUNCTION("""COMPUTED_VALUE"""),935563)</f>
        <v>935563</v>
      </c>
      <c r="D486" s="1" t="str">
        <f ca="1">IFERROR(__xludf.DUMMYFUNCTION("""COMPUTED_VALUE"""),"MLRHRSM")</f>
        <v>MLRHRSM</v>
      </c>
      <c r="E486" s="1" t="str">
        <f ca="1">IFERROR(__xludf.DUMMYFUNCTION("""COMPUTED_VALUE"""),"MILERHLRS")</f>
        <v>MILERHLRS</v>
      </c>
      <c r="F486" s="1">
        <f ca="1">IFERROR(__xludf.DUMMYFUNCTION("""COMPUTED_VALUE"""),4729)</f>
        <v>4729</v>
      </c>
    </row>
    <row r="487" spans="1:6" x14ac:dyDescent="0.3">
      <c r="A487" s="1" t="str">
        <f ca="1">IFERROR(__xludf.DUMMYFUNCTION("""COMPUTED_VALUE"""),"Millerhill Shunting And Marshalling Yard")</f>
        <v>Millerhill Shunting And Marshalling Yard</v>
      </c>
      <c r="B487" s="1"/>
      <c r="C487" s="1">
        <f ca="1">IFERROR(__xludf.DUMMYFUNCTION("""COMPUTED_VALUE"""),932200)</f>
        <v>932200</v>
      </c>
      <c r="D487" s="1" t="str">
        <f ca="1">IFERROR(__xludf.DUMMYFUNCTION("""COMPUTED_VALUE"""),"MLRHY")</f>
        <v>MLRHY</v>
      </c>
      <c r="E487" s="1"/>
      <c r="F487" s="1" t="str">
        <f ca="1">IFERROR(__xludf.DUMMYFUNCTION("""COMPUTED_VALUE"""),"04720*")</f>
        <v>04720*</v>
      </c>
    </row>
    <row r="488" spans="1:6" x14ac:dyDescent="0.3">
      <c r="A488" s="1" t="str">
        <f ca="1">IFERROR(__xludf.DUMMYFUNCTION("""COMPUTED_VALUE"""),"Millerhill Signal Box")</f>
        <v>Millerhill Signal Box</v>
      </c>
      <c r="B488" s="1"/>
      <c r="C488" s="1">
        <f ca="1">IFERROR(__xludf.DUMMYFUNCTION("""COMPUTED_VALUE"""),935500)</f>
        <v>935500</v>
      </c>
      <c r="D488" s="1" t="str">
        <f ca="1">IFERROR(__xludf.DUMMYFUNCTION("""COMPUTED_VALUE"""),"MLRHSB")</f>
        <v>MLRHSB</v>
      </c>
      <c r="E488" s="1"/>
      <c r="F488" s="1" t="str">
        <f ca="1">IFERROR(__xludf.DUMMYFUNCTION("""COMPUTED_VALUE"""),"04720*")</f>
        <v>04720*</v>
      </c>
    </row>
    <row r="489" spans="1:6" x14ac:dyDescent="0.3">
      <c r="A489" s="1" t="str">
        <f ca="1">IFERROR(__xludf.DUMMYFUNCTION("""COMPUTED_VALUE"""),"Millerhill Signal EH23")</f>
        <v>Millerhill Signal EH23</v>
      </c>
      <c r="B489" s="1"/>
      <c r="C489" s="1">
        <f ca="1">IFERROR(__xludf.DUMMYFUNCTION("""COMPUTED_VALUE"""),932201)</f>
        <v>932201</v>
      </c>
      <c r="D489" s="1" t="str">
        <f ca="1">IFERROR(__xludf.DUMMYFUNCTION("""COMPUTED_VALUE"""),"MLRHS23")</f>
        <v>MLRHS23</v>
      </c>
      <c r="E489" s="1" t="str">
        <f ca="1">IFERROR(__xludf.DUMMYFUNCTION("""COMPUTED_VALUE"""),"MILLHLS23")</f>
        <v>MILLHLS23</v>
      </c>
      <c r="F489" s="1">
        <f ca="1">IFERROR(__xludf.DUMMYFUNCTION("""COMPUTED_VALUE"""),4732)</f>
        <v>4732</v>
      </c>
    </row>
    <row r="490" spans="1:6" x14ac:dyDescent="0.3">
      <c r="A490" s="1" t="str">
        <f ca="1">IFERROR(__xludf.DUMMYFUNCTION("""COMPUTED_VALUE"""),"Millerhill Signal EH24")</f>
        <v>Millerhill Signal EH24</v>
      </c>
      <c r="B490" s="1"/>
      <c r="C490" s="1">
        <f ca="1">IFERROR(__xludf.DUMMYFUNCTION("""COMPUTED_VALUE"""),932280)</f>
        <v>932280</v>
      </c>
      <c r="D490" s="1" t="str">
        <f ca="1">IFERROR(__xludf.DUMMYFUNCTION("""COMPUTED_VALUE"""),"MLRHSTH")</f>
        <v>MLRHSTH</v>
      </c>
      <c r="E490" s="1" t="str">
        <f ca="1">IFERROR(__xludf.DUMMYFUNCTION("""COMPUTED_VALUE"""),"MILLHLS24")</f>
        <v>MILLHLS24</v>
      </c>
      <c r="F490" s="1">
        <f ca="1">IFERROR(__xludf.DUMMYFUNCTION("""COMPUTED_VALUE"""),4728)</f>
        <v>4728</v>
      </c>
    </row>
    <row r="491" spans="1:6" x14ac:dyDescent="0.3">
      <c r="A491" s="1" t="str">
        <f ca="1">IFERROR(__xludf.DUMMYFUNCTION("""COMPUTED_VALUE"""),"Millerhill Signal EM14")</f>
        <v>Millerhill Signal EM14</v>
      </c>
      <c r="B491" s="1"/>
      <c r="C491" s="1">
        <f ca="1">IFERROR(__xludf.DUMMYFUNCTION("""COMPUTED_VALUE"""),932202)</f>
        <v>932202</v>
      </c>
      <c r="D491" s="1" t="str">
        <f ca="1">IFERROR(__xludf.DUMMYFUNCTION("""COMPUTED_VALUE"""),"MLRHS14")</f>
        <v>MLRHS14</v>
      </c>
      <c r="E491" s="1" t="str">
        <f ca="1">IFERROR(__xludf.DUMMYFUNCTION("""COMPUTED_VALUE"""),"MILLRHL14")</f>
        <v>MILLRHL14</v>
      </c>
      <c r="F491" s="1">
        <f ca="1">IFERROR(__xludf.DUMMYFUNCTION("""COMPUTED_VALUE"""),4731)</f>
        <v>4731</v>
      </c>
    </row>
    <row r="492" spans="1:6" x14ac:dyDescent="0.3">
      <c r="A492" s="1" t="str">
        <f ca="1">IFERROR(__xludf.DUMMYFUNCTION("""COMPUTED_VALUE"""),"Millerhill Signalling &amp; Telecommunications Engineer's Sidings")</f>
        <v>Millerhill Signalling &amp; Telecommunications Engineer's Sidings</v>
      </c>
      <c r="B492" s="1"/>
      <c r="C492" s="1">
        <f ca="1">IFERROR(__xludf.DUMMYFUNCTION("""COMPUTED_VALUE"""),932284)</f>
        <v>932284</v>
      </c>
      <c r="D492" s="1" t="str">
        <f ca="1">IFERROR(__xludf.DUMMYFUNCTION("""COMPUTED_VALUE"""),"MLRHSTE")</f>
        <v>MLRHSTE</v>
      </c>
      <c r="E492" s="1"/>
      <c r="F492" s="1" t="str">
        <f ca="1">IFERROR(__xludf.DUMMYFUNCTION("""COMPUTED_VALUE"""),"-")</f>
        <v>-</v>
      </c>
    </row>
    <row r="493" spans="1:6" x14ac:dyDescent="0.3">
      <c r="A493" s="1" t="str">
        <f ca="1">IFERROR(__xludf.DUMMYFUNCTION("""COMPUTED_VALUE"""),"Millerhill Wagon Repair Depot")</f>
        <v>Millerhill Wagon Repair Depot</v>
      </c>
      <c r="B493" s="1"/>
      <c r="C493" s="1">
        <f ca="1">IFERROR(__xludf.DUMMYFUNCTION("""COMPUTED_VALUE"""),932260)</f>
        <v>932260</v>
      </c>
      <c r="D493" s="1" t="str">
        <f ca="1">IFERROR(__xludf.DUMMYFUNCTION("""COMPUTED_VALUE"""),"MLRHWRD")</f>
        <v>MLRHWRD</v>
      </c>
      <c r="E493" s="1" t="str">
        <f ca="1">IFERROR(__xludf.DUMMYFUNCTION("""COMPUTED_VALUE"""),"MHILL WRD")</f>
        <v>MHILL WRD</v>
      </c>
      <c r="F493" s="1">
        <f ca="1">IFERROR(__xludf.DUMMYFUNCTION("""COMPUTED_VALUE"""),4723)</f>
        <v>4723</v>
      </c>
    </row>
    <row r="494" spans="1:6" x14ac:dyDescent="0.3">
      <c r="A494" s="1" t="str">
        <f ca="1">IFERROR(__xludf.DUMMYFUNCTION("""COMPUTED_VALUE"""),"Millerhill Yard")</f>
        <v>Millerhill Yard</v>
      </c>
      <c r="B494" s="1"/>
      <c r="C494" s="1">
        <f ca="1">IFERROR(__xludf.DUMMYFUNCTION("""COMPUTED_VALUE"""),932200)</f>
        <v>932200</v>
      </c>
      <c r="D494" s="1" t="str">
        <f ca="1">IFERROR(__xludf.DUMMYFUNCTION("""COMPUTED_VALUE"""),"MLRHY")</f>
        <v>MLRHY</v>
      </c>
      <c r="E494" s="1" t="str">
        <f ca="1">IFERROR(__xludf.DUMMYFUNCTION("""COMPUTED_VALUE"""),"MILHIL YD")</f>
        <v>MILHIL YD</v>
      </c>
      <c r="F494" s="1">
        <f ca="1">IFERROR(__xludf.DUMMYFUNCTION("""COMPUTED_VALUE"""),4720)</f>
        <v>4720</v>
      </c>
    </row>
    <row r="495" spans="1:6" x14ac:dyDescent="0.3">
      <c r="A495" s="1" t="str">
        <f ca="1">IFERROR(__xludf.DUMMYFUNCTION("""COMPUTED_VALUE"""),"Millerhill Signal M21")</f>
        <v>Millerhill Signal M21</v>
      </c>
      <c r="B495" s="1"/>
      <c r="C495" s="1">
        <f ca="1">IFERROR(__xludf.DUMMYFUNCTION("""COMPUTED_VALUE"""),880805)</f>
        <v>880805</v>
      </c>
      <c r="D495" s="1" t="str">
        <f ca="1">IFERROR(__xludf.DUMMYFUNCTION("""COMPUTED_VALUE"""),"MLRHM21")</f>
        <v>MLRHM21</v>
      </c>
      <c r="E495" s="1" t="str">
        <f ca="1">IFERROR(__xludf.DUMMYFUNCTION("""COMPUTED_VALUE"""),"NEWCRGHTB")</f>
        <v>NEWCRGHTB</v>
      </c>
      <c r="F495" s="1">
        <f ca="1">IFERROR(__xludf.DUMMYFUNCTION("""COMPUTED_VALUE"""),4716)</f>
        <v>4716</v>
      </c>
    </row>
    <row r="496" spans="1:6" x14ac:dyDescent="0.3">
      <c r="A496" s="1" t="str">
        <f ca="1">IFERROR(__xludf.DUMMYFUNCTION("""COMPUTED_VALUE"""),"Millfield (Nexus)")</f>
        <v>Millfield (Nexus)</v>
      </c>
      <c r="B496" s="1" t="str">
        <f ca="1">IFERROR(__xludf.DUMMYFUNCTION("""COMPUTED_VALUE"""),"MIF")</f>
        <v>MIF</v>
      </c>
      <c r="C496" s="1">
        <f ca="1">IFERROR(__xludf.DUMMYFUNCTION("""COMPUTED_VALUE"""),868700)</f>
        <v>868700</v>
      </c>
      <c r="D496" s="1" t="str">
        <f ca="1">IFERROR(__xludf.DUMMYFUNCTION("""COMPUTED_VALUE"""),"MLLF")</f>
        <v>MLLF</v>
      </c>
      <c r="E496" s="1" t="str">
        <f ca="1">IFERROR(__xludf.DUMMYFUNCTION("""COMPUTED_VALUE"""),"MILLFIELD")</f>
        <v>MILLFIELD</v>
      </c>
      <c r="F496" s="1">
        <f ca="1">IFERROR(__xludf.DUMMYFUNCTION("""COMPUTED_VALUE"""),14038)</f>
        <v>14038</v>
      </c>
    </row>
    <row r="497" spans="1:6" x14ac:dyDescent="0.3">
      <c r="A497" s="1" t="str">
        <f ca="1">IFERROR(__xludf.DUMMYFUNCTION("""COMPUTED_VALUE"""),"Millgate")</f>
        <v>Millgate</v>
      </c>
      <c r="B497" s="1"/>
      <c r="C497" s="1"/>
      <c r="D497" s="1" t="str">
        <f ca="1">IFERROR(__xludf.DUMMYFUNCTION("""COMPUTED_VALUE"""),"MILGATE")</f>
        <v>MILGATE</v>
      </c>
      <c r="E497" s="1"/>
      <c r="F497" s="1"/>
    </row>
    <row r="498" spans="1:6" x14ac:dyDescent="0.3">
      <c r="A498" s="1" t="str">
        <f ca="1">IFERROR(__xludf.DUMMYFUNCTION("""COMPUTED_VALUE"""),"Millgate Carriage Sidings")</f>
        <v>Millgate Carriage Sidings</v>
      </c>
      <c r="B498" s="1"/>
      <c r="C498" s="1">
        <f ca="1">IFERROR(__xludf.DUMMYFUNCTION("""COMPUTED_VALUE"""),297007)</f>
        <v>297007</v>
      </c>
      <c r="D498" s="1" t="str">
        <f ca="1">IFERROR(__xludf.DUMMYFUNCTION("""COMPUTED_VALUE"""),"MILGTCS")</f>
        <v>MILGTCS</v>
      </c>
      <c r="E498" s="1"/>
      <c r="F498" s="1"/>
    </row>
    <row r="499" spans="1:6" x14ac:dyDescent="0.3">
      <c r="A499" s="1" t="str">
        <f ca="1">IFERROR(__xludf.DUMMYFUNCTION("""COMPUTED_VALUE"""),"Mill Hill Broadway")</f>
        <v>Mill Hill Broadway</v>
      </c>
      <c r="B499" s="1" t="str">
        <f ca="1">IFERROR(__xludf.DUMMYFUNCTION("""COMPUTED_VALUE"""),"MIL")</f>
        <v>MIL</v>
      </c>
      <c r="C499" s="1">
        <f ca="1">IFERROR(__xludf.DUMMYFUNCTION("""COMPUTED_VALUE"""),152700)</f>
        <v>152700</v>
      </c>
      <c r="D499" s="1" t="str">
        <f ca="1">IFERROR(__xludf.DUMMYFUNCTION("""COMPUTED_VALUE"""),"MLHB")</f>
        <v>MLHB</v>
      </c>
      <c r="E499" s="1" t="str">
        <f ca="1">IFERROR(__xludf.DUMMYFUNCTION("""COMPUTED_VALUE"""),"MILLHILLB")</f>
        <v>MILLHILLB</v>
      </c>
      <c r="F499" s="1">
        <f ca="1">IFERROR(__xludf.DUMMYFUNCTION("""COMPUTED_VALUE"""),63214)</f>
        <v>63214</v>
      </c>
    </row>
    <row r="500" spans="1:6" x14ac:dyDescent="0.3">
      <c r="A500" s="1" t="str">
        <f ca="1">IFERROR(__xludf.DUMMYFUNCTION("""COMPUTED_VALUE"""),"Mill Hill (Lancs)")</f>
        <v>Mill Hill (Lancs)</v>
      </c>
      <c r="B500" s="1" t="str">
        <f ca="1">IFERROR(__xludf.DUMMYFUNCTION("""COMPUTED_VALUE"""),"MLH")</f>
        <v>MLH</v>
      </c>
      <c r="C500" s="1">
        <f ca="1">IFERROR(__xludf.DUMMYFUNCTION("""COMPUTED_VALUE"""),275000)</f>
        <v>275000</v>
      </c>
      <c r="D500" s="1" t="str">
        <f ca="1">IFERROR(__xludf.DUMMYFUNCTION("""COMPUTED_VALUE"""),"MLHL")</f>
        <v>MLHL</v>
      </c>
      <c r="E500" s="1" t="str">
        <f ca="1">IFERROR(__xludf.DUMMYFUNCTION("""COMPUTED_VALUE"""),"MILL HILL")</f>
        <v>MILL HILL</v>
      </c>
      <c r="F500" s="1">
        <f ca="1">IFERROR(__xludf.DUMMYFUNCTION("""COMPUTED_VALUE"""),29161)</f>
        <v>29161</v>
      </c>
    </row>
    <row r="501" spans="1:6" x14ac:dyDescent="0.3">
      <c r="A501" s="1" t="str">
        <f ca="1">IFERROR(__xludf.DUMMYFUNCTION("""COMPUTED_VALUE"""),"Milliken Park")</f>
        <v>Milliken Park</v>
      </c>
      <c r="B501" s="1" t="str">
        <f ca="1">IFERROR(__xludf.DUMMYFUNCTION("""COMPUTED_VALUE"""),"MIN")</f>
        <v>MIN</v>
      </c>
      <c r="C501" s="1">
        <f ca="1">IFERROR(__xludf.DUMMYFUNCTION("""COMPUTED_VALUE"""),965800)</f>
        <v>965800</v>
      </c>
      <c r="D501" s="1" t="str">
        <f ca="1">IFERROR(__xludf.DUMMYFUNCTION("""COMPUTED_VALUE"""),"MILKNPK")</f>
        <v>MILKNPK</v>
      </c>
      <c r="E501" s="1" t="str">
        <f ca="1">IFERROR(__xludf.DUMMYFUNCTION("""COMPUTED_VALUE"""),"MILLIKENP")</f>
        <v>MILLIKENP</v>
      </c>
      <c r="F501" s="1">
        <f ca="1">IFERROR(__xludf.DUMMYFUNCTION("""COMPUTED_VALUE"""),7103)</f>
        <v>7103</v>
      </c>
    </row>
    <row r="502" spans="1:6" x14ac:dyDescent="0.3">
      <c r="A502" s="1" t="str">
        <f ca="1">IFERROR(__xludf.DUMMYFUNCTION("""COMPUTED_VALUE"""),"Mill Lane Junction")</f>
        <v>Mill Lane Junction</v>
      </c>
      <c r="B502" s="1"/>
      <c r="C502" s="1">
        <f ca="1">IFERROR(__xludf.DUMMYFUNCTION("""COMPUTED_VALUE"""),834572)</f>
        <v>834572</v>
      </c>
      <c r="D502" s="1" t="str">
        <f ca="1">IFERROR(__xludf.DUMMYFUNCTION("""COMPUTED_VALUE"""),"MLLNJN")</f>
        <v>MLLNJN</v>
      </c>
      <c r="E502" s="1" t="str">
        <f ca="1">IFERROR(__xludf.DUMMYFUNCTION("""COMPUTED_VALUE"""),"MILL LN J")</f>
        <v>MILL LN J</v>
      </c>
      <c r="F502" s="1">
        <f ca="1">IFERROR(__xludf.DUMMYFUNCTION("""COMPUTED_VALUE"""),18635)</f>
        <v>18635</v>
      </c>
    </row>
    <row r="503" spans="1:6" x14ac:dyDescent="0.3">
      <c r="A503" s="1" t="str">
        <f ca="1">IFERROR(__xludf.DUMMYFUNCTION("""COMPUTED_VALUE"""),"Millom")</f>
        <v>Millom</v>
      </c>
      <c r="B503" s="1" t="str">
        <f ca="1">IFERROR(__xludf.DUMMYFUNCTION("""COMPUTED_VALUE"""),"MLM")</f>
        <v>MLM</v>
      </c>
      <c r="C503" s="1">
        <f ca="1">IFERROR(__xludf.DUMMYFUNCTION("""COMPUTED_VALUE"""),199700)</f>
        <v>199700</v>
      </c>
      <c r="D503" s="1" t="str">
        <f ca="1">IFERROR(__xludf.DUMMYFUNCTION("""COMPUTED_VALUE"""),"MLLM")</f>
        <v>MLLM</v>
      </c>
      <c r="E503" s="1" t="str">
        <f ca="1">IFERROR(__xludf.DUMMYFUNCTION("""COMPUTED_VALUE"""),"MILLOM")</f>
        <v>MILLOM</v>
      </c>
      <c r="F503" s="1">
        <f ca="1">IFERROR(__xludf.DUMMYFUNCTION("""COMPUTED_VALUE"""),11211)</f>
        <v>11211</v>
      </c>
    </row>
    <row r="504" spans="1:6" x14ac:dyDescent="0.3">
      <c r="A504" s="1" t="str">
        <f ca="1">IFERROR(__xludf.DUMMYFUNCTION("""COMPUTED_VALUE"""),"Millom Siding DRS")</f>
        <v>Millom Siding DRS</v>
      </c>
      <c r="B504" s="1"/>
      <c r="C504" s="1">
        <f ca="1">IFERROR(__xludf.DUMMYFUNCTION("""COMPUTED_VALUE"""),199711)</f>
        <v>199711</v>
      </c>
      <c r="D504" s="1" t="str">
        <f ca="1">IFERROR(__xludf.DUMMYFUNCTION("""COMPUTED_VALUE"""),"MLLMDRS")</f>
        <v>MLLMDRS</v>
      </c>
      <c r="E504" s="1" t="str">
        <f ca="1">IFERROR(__xludf.DUMMYFUNCTION("""COMPUTED_VALUE"""),"MLM MP44")</f>
        <v>MLM MP44</v>
      </c>
      <c r="F504" s="1">
        <f ca="1">IFERROR(__xludf.DUMMYFUNCTION("""COMPUTED_VALUE"""),11213)</f>
        <v>11213</v>
      </c>
    </row>
    <row r="505" spans="1:6" x14ac:dyDescent="0.3">
      <c r="A505" s="1" t="str">
        <f ca="1">IFERROR(__xludf.DUMMYFUNCTION("""COMPUTED_VALUE"""),"Millom Siding English Welsh &amp; Scottish Railway")</f>
        <v>Millom Siding English Welsh &amp; Scottish Railway</v>
      </c>
      <c r="B505" s="1"/>
      <c r="C505" s="1">
        <f ca="1">IFERROR(__xludf.DUMMYFUNCTION("""COMPUTED_VALUE"""),199710)</f>
        <v>199710</v>
      </c>
      <c r="D505" s="1" t="str">
        <f ca="1">IFERROR(__xludf.DUMMYFUNCTION("""COMPUTED_VALUE"""),"MLLMSDG")</f>
        <v>MLLMSDG</v>
      </c>
      <c r="E505" s="1" t="str">
        <f ca="1">IFERROR(__xludf.DUMMYFUNCTION("""COMPUTED_VALUE"""),"MILLOM SD")</f>
        <v>MILLOM SD</v>
      </c>
      <c r="F505" s="1">
        <f ca="1">IFERROR(__xludf.DUMMYFUNCTION("""COMPUTED_VALUE"""),11212)</f>
        <v>11212</v>
      </c>
    </row>
    <row r="506" spans="1:6" x14ac:dyDescent="0.3">
      <c r="A506" s="1" t="str">
        <f ca="1">IFERROR(__xludf.DUMMYFUNCTION("""COMPUTED_VALUE"""),"Millom Signal MM22")</f>
        <v>Millom Signal MM22</v>
      </c>
      <c r="B506" s="1"/>
      <c r="C506" s="1">
        <f ca="1">IFERROR(__xludf.DUMMYFUNCTION("""COMPUTED_VALUE"""),199701)</f>
        <v>199701</v>
      </c>
      <c r="D506" s="1" t="str">
        <f ca="1">IFERROR(__xludf.DUMMYFUNCTION("""COMPUTED_VALUE"""),"MLLM22")</f>
        <v>MLLM22</v>
      </c>
      <c r="E506" s="1"/>
      <c r="F506" s="1">
        <f ca="1">IFERROR(__xludf.DUMMYFUNCTION("""COMPUTED_VALUE"""),11214)</f>
        <v>11214</v>
      </c>
    </row>
    <row r="507" spans="1:6" x14ac:dyDescent="0.3">
      <c r="A507" s="1" t="str">
        <f ca="1">IFERROR(__xludf.DUMMYFUNCTION("""COMPUTED_VALUE"""),"Millport (Isle of Cumbrae)")</f>
        <v>Millport (Isle of Cumbrae)</v>
      </c>
      <c r="B507" s="1"/>
      <c r="C507" s="1">
        <f ca="1">IFERROR(__xludf.DUMMYFUNCTION("""COMPUTED_VALUE"""),905400)</f>
        <v>905400</v>
      </c>
      <c r="D507" s="1" t="str">
        <f ca="1">IFERROR(__xludf.DUMMYFUNCTION("""COMPUTED_VALUE"""),"MLLPTOP")</f>
        <v>MLLPTOP</v>
      </c>
      <c r="E507" s="1"/>
      <c r="F507" s="1" t="str">
        <f ca="1">IFERROR(__xludf.DUMMYFUNCTION("""COMPUTED_VALUE"""),"-")</f>
        <v>-</v>
      </c>
    </row>
    <row r="508" spans="1:6" x14ac:dyDescent="0.3">
      <c r="A508" s="1" t="str">
        <f ca="1">IFERROR(__xludf.DUMMYFUNCTION("""COMPUTED_VALUE"""),"Mill Race Junction")</f>
        <v>Mill Race Junction</v>
      </c>
      <c r="B508" s="1"/>
      <c r="C508" s="1">
        <f ca="1">IFERROR(__xludf.DUMMYFUNCTION("""COMPUTED_VALUE"""),660114)</f>
        <v>660114</v>
      </c>
      <c r="D508" s="1" t="str">
        <f ca="1">IFERROR(__xludf.DUMMYFUNCTION("""COMPUTED_VALUE"""),"MILLRJ")</f>
        <v>MILLRJ</v>
      </c>
      <c r="E508" s="1" t="str">
        <f ca="1">IFERROR(__xludf.DUMMYFUNCTION("""COMPUTED_VALUE"""),"MILLRACEJ")</f>
        <v>MILLRACEJ</v>
      </c>
      <c r="F508" s="1">
        <f ca="1">IFERROR(__xludf.DUMMYFUNCTION("""COMPUTED_VALUE"""),25629)</f>
        <v>25629</v>
      </c>
    </row>
    <row r="509" spans="1:6" x14ac:dyDescent="0.3">
      <c r="A509" s="1" t="str">
        <f ca="1">IFERROR(__xludf.DUMMYFUNCTION("""COMPUTED_VALUE"""),"Mills Hill (Manchester)")</f>
        <v>Mills Hill (Manchester)</v>
      </c>
      <c r="B509" s="1" t="str">
        <f ca="1">IFERROR(__xludf.DUMMYFUNCTION("""COMPUTED_VALUE"""),"MIH")</f>
        <v>MIH</v>
      </c>
      <c r="C509" s="1">
        <f ca="1">IFERROR(__xludf.DUMMYFUNCTION("""COMPUTED_VALUE"""),292000)</f>
        <v>292000</v>
      </c>
      <c r="D509" s="1" t="str">
        <f ca="1">IFERROR(__xludf.DUMMYFUNCTION("""COMPUTED_VALUE"""),"MLSHILL")</f>
        <v>MLSHILL</v>
      </c>
      <c r="E509" s="1" t="str">
        <f ca="1">IFERROR(__xludf.DUMMYFUNCTION("""COMPUTED_VALUE"""),"MILLSHILL")</f>
        <v>MILLSHILL</v>
      </c>
      <c r="F509" s="1">
        <f ca="1">IFERROR(__xludf.DUMMYFUNCTION("""COMPUTED_VALUE"""),31049)</f>
        <v>31049</v>
      </c>
    </row>
    <row r="510" spans="1:6" x14ac:dyDescent="0.3">
      <c r="A510" s="1" t="str">
        <f ca="1">IFERROR(__xludf.DUMMYFUNCTION("""COMPUTED_VALUE"""),"Millstreet")</f>
        <v>Millstreet</v>
      </c>
      <c r="B510" s="1" t="str">
        <f ca="1">IFERROR(__xludf.DUMMYFUNCTION("""COMPUTED_VALUE"""),"MIE")</f>
        <v>MIE</v>
      </c>
      <c r="C510" s="1">
        <f ca="1">IFERROR(__xludf.DUMMYFUNCTION("""COMPUTED_VALUE"""),163500)</f>
        <v>163500</v>
      </c>
      <c r="D510" s="1" t="str">
        <f ca="1">IFERROR(__xludf.DUMMYFUNCTION("""COMPUTED_VALUE"""),"CATZMIE")</f>
        <v>CATZMIE</v>
      </c>
      <c r="E510" s="1"/>
      <c r="F510" s="1"/>
    </row>
    <row r="511" spans="1:6" x14ac:dyDescent="0.3">
      <c r="A511" s="1" t="str">
        <f ca="1">IFERROR(__xludf.DUMMYFUNCTION("""COMPUTED_VALUE"""),"Milner Royd Junction")</f>
        <v>Milner Royd Junction</v>
      </c>
      <c r="B511" s="1"/>
      <c r="C511" s="1">
        <f ca="1">IFERROR(__xludf.DUMMYFUNCTION("""COMPUTED_VALUE"""),841700)</f>
        <v>841700</v>
      </c>
      <c r="D511" s="1" t="str">
        <f ca="1">IFERROR(__xludf.DUMMYFUNCTION("""COMPUTED_VALUE"""),"MLNRYDJ")</f>
        <v>MLNRYDJ</v>
      </c>
      <c r="E511" s="1" t="str">
        <f ca="1">IFERROR(__xludf.DUMMYFUNCTION("""COMPUTED_VALUE"""),"MILNROYDJ")</f>
        <v>MILNROYDJ</v>
      </c>
      <c r="F511" s="1">
        <f ca="1">IFERROR(__xludf.DUMMYFUNCTION("""COMPUTED_VALUE"""),18445)</f>
        <v>18445</v>
      </c>
    </row>
    <row r="512" spans="1:6" x14ac:dyDescent="0.3">
      <c r="A512" s="1" t="str">
        <f ca="1">IFERROR(__xludf.DUMMYFUNCTION("""COMPUTED_VALUE"""),"Milner Royd Signal MR8")</f>
        <v>Milner Royd Signal MR8</v>
      </c>
      <c r="B512" s="1"/>
      <c r="C512" s="1">
        <f ca="1">IFERROR(__xludf.DUMMYFUNCTION("""COMPUTED_VALUE"""),841701)</f>
        <v>841701</v>
      </c>
      <c r="D512" s="1" t="str">
        <f ca="1">IFERROR(__xludf.DUMMYFUNCTION("""COMPUTED_VALUE"""),"MLNR8")</f>
        <v>MLNR8</v>
      </c>
      <c r="E512" s="1" t="str">
        <f ca="1">IFERROR(__xludf.DUMMYFUNCTION("""COMPUTED_VALUE"""),"MILNROYD8")</f>
        <v>MILNROYD8</v>
      </c>
      <c r="F512" s="1">
        <f ca="1">IFERROR(__xludf.DUMMYFUNCTION("""COMPUTED_VALUE"""),18452)</f>
        <v>18452</v>
      </c>
    </row>
    <row r="513" spans="1:6" x14ac:dyDescent="0.3">
      <c r="A513" s="1" t="str">
        <f ca="1">IFERROR(__xludf.DUMMYFUNCTION("""COMPUTED_VALUE"""),"Milngavie")</f>
        <v>Milngavie</v>
      </c>
      <c r="B513" s="1" t="str">
        <f ca="1">IFERROR(__xludf.DUMMYFUNCTION("""COMPUTED_VALUE"""),"MLN")</f>
        <v>MLN</v>
      </c>
      <c r="C513" s="1">
        <f ca="1">IFERROR(__xludf.DUMMYFUNCTION("""COMPUTED_VALUE"""),998500)</f>
        <v>998500</v>
      </c>
      <c r="D513" s="1" t="str">
        <f ca="1">IFERROR(__xludf.DUMMYFUNCTION("""COMPUTED_VALUE"""),"MLGV")</f>
        <v>MLGV</v>
      </c>
      <c r="E513" s="1" t="str">
        <f ca="1">IFERROR(__xludf.DUMMYFUNCTION("""COMPUTED_VALUE"""),"MILNGAVIE")</f>
        <v>MILNGAVIE</v>
      </c>
      <c r="F513" s="1">
        <f ca="1">IFERROR(__xludf.DUMMYFUNCTION("""COMPUTED_VALUE"""),6301)</f>
        <v>6301</v>
      </c>
    </row>
    <row r="514" spans="1:6" x14ac:dyDescent="0.3">
      <c r="A514" s="1" t="str">
        <f ca="1">IFERROR(__xludf.DUMMYFUNCTION("""COMPUTED_VALUE"""),"Milnrow")</f>
        <v>Milnrow</v>
      </c>
      <c r="B514" s="1" t="str">
        <f ca="1">IFERROR(__xludf.DUMMYFUNCTION("""COMPUTED_VALUE"""),"MLR")</f>
        <v>MLR</v>
      </c>
      <c r="C514" s="1">
        <f ca="1">IFERROR(__xludf.DUMMYFUNCTION("""COMPUTED_VALUE"""),292200)</f>
        <v>292200</v>
      </c>
      <c r="D514" s="1" t="str">
        <f ca="1">IFERROR(__xludf.DUMMYFUNCTION("""COMPUTED_VALUE"""),"MILNROW")</f>
        <v>MILNROW</v>
      </c>
      <c r="E514" s="1" t="str">
        <f ca="1">IFERROR(__xludf.DUMMYFUNCTION("""COMPUTED_VALUE"""),"MILNROW")</f>
        <v>MILNROW</v>
      </c>
      <c r="F514" s="1">
        <f ca="1">IFERROR(__xludf.DUMMYFUNCTION("""COMPUTED_VALUE"""),31051)</f>
        <v>31051</v>
      </c>
    </row>
    <row r="515" spans="1:6" x14ac:dyDescent="0.3">
      <c r="A515" s="1" t="str">
        <f ca="1">IFERROR(__xludf.DUMMYFUNCTION("""COMPUTED_VALUE"""),"Milnthorpe")</f>
        <v>Milnthorpe</v>
      </c>
      <c r="B515" s="1"/>
      <c r="C515" s="1">
        <f ca="1">IFERROR(__xludf.DUMMYFUNCTION("""COMPUTED_VALUE"""),209014)</f>
        <v>209014</v>
      </c>
      <c r="D515" s="1" t="str">
        <f ca="1">IFERROR(__xludf.DUMMYFUNCTION("""COMPUTED_VALUE"""),"MLNT")</f>
        <v>MLNT</v>
      </c>
      <c r="E515" s="1" t="str">
        <f ca="1">IFERROR(__xludf.DUMMYFUNCTION("""COMPUTED_VALUE"""),"MILNTHORP")</f>
        <v>MILNTHORP</v>
      </c>
      <c r="F515" s="1">
        <f ca="1">IFERROR(__xludf.DUMMYFUNCTION("""COMPUTED_VALUE"""),11015)</f>
        <v>11015</v>
      </c>
    </row>
    <row r="516" spans="1:6" x14ac:dyDescent="0.3">
      <c r="A516" s="1" t="str">
        <f ca="1">IFERROR(__xludf.DUMMYFUNCTION("""COMPUTED_VALUE"""),"Milton")</f>
        <v>Milton</v>
      </c>
      <c r="B516" s="1"/>
      <c r="C516" s="1">
        <f ca="1">IFERROR(__xludf.DUMMYFUNCTION("""COMPUTED_VALUE"""),303050)</f>
        <v>303050</v>
      </c>
      <c r="D516" s="1" t="str">
        <f ca="1">IFERROR(__xludf.DUMMYFUNCTION("""COMPUTED_VALUE"""),"MILTON")</f>
        <v>MILTON</v>
      </c>
      <c r="E516" s="1"/>
      <c r="F516" s="1"/>
    </row>
    <row r="517" spans="1:6" x14ac:dyDescent="0.3">
      <c r="A517" s="1" t="str">
        <f ca="1">IFERROR(__xludf.DUMMYFUNCTION("""COMPUTED_VALUE"""),"Milton Junction")</f>
        <v>Milton Junction</v>
      </c>
      <c r="B517" s="1"/>
      <c r="C517" s="1">
        <f ca="1">IFERROR(__xludf.DUMMYFUNCTION("""COMPUTED_VALUE"""),303051)</f>
        <v>303051</v>
      </c>
      <c r="D517" s="1" t="str">
        <f ca="1">IFERROR(__xludf.DUMMYFUNCTION("""COMPUTED_VALUE"""),"MILTJN")</f>
        <v>MILTJN</v>
      </c>
      <c r="E517" s="1" t="str">
        <f ca="1">IFERROR(__xludf.DUMMYFUNCTION("""COMPUTED_VALUE"""),"MILTON JN")</f>
        <v>MILTON JN</v>
      </c>
      <c r="F517" s="1">
        <f ca="1">IFERROR(__xludf.DUMMYFUNCTION("""COMPUTED_VALUE"""),74325)</f>
        <v>74325</v>
      </c>
    </row>
    <row r="518" spans="1:6" x14ac:dyDescent="0.3">
      <c r="A518" s="1" t="str">
        <f ca="1">IFERROR(__xludf.DUMMYFUNCTION("""COMPUTED_VALUE"""),"Milton Keynes Central")</f>
        <v>Milton Keynes Central</v>
      </c>
      <c r="B518" s="1" t="str">
        <f ca="1">IFERROR(__xludf.DUMMYFUNCTION("""COMPUTED_VALUE"""),"MKC")</f>
        <v>MKC</v>
      </c>
      <c r="C518" s="1">
        <f ca="1">IFERROR(__xludf.DUMMYFUNCTION("""COMPUTED_VALUE"""),137800)</f>
        <v>137800</v>
      </c>
      <c r="D518" s="1" t="str">
        <f ca="1">IFERROR(__xludf.DUMMYFUNCTION("""COMPUTED_VALUE"""),"MKNSCEN")</f>
        <v>MKNSCEN</v>
      </c>
      <c r="E518" s="1" t="str">
        <f ca="1">IFERROR(__xludf.DUMMYFUNCTION("""COMPUTED_VALUE"""),"MILTON KC")</f>
        <v>MILTON KC</v>
      </c>
      <c r="F518" s="1">
        <f ca="1">IFERROR(__xludf.DUMMYFUNCTION("""COMPUTED_VALUE"""),70261)</f>
        <v>70261</v>
      </c>
    </row>
    <row r="519" spans="1:6" x14ac:dyDescent="0.3">
      <c r="A519" s="1" t="str">
        <f ca="1">IFERROR(__xludf.DUMMYFUNCTION("""COMPUTED_VALUE"""),"Milton Keynes City Centre/The Point")</f>
        <v>Milton Keynes City Centre/The Point</v>
      </c>
      <c r="B519" s="1"/>
      <c r="C519" s="1">
        <f ca="1">IFERROR(__xludf.DUMMYFUNCTION("""COMPUTED_VALUE"""),137802)</f>
        <v>137802</v>
      </c>
      <c r="D519" s="1" t="str">
        <f ca="1">IFERROR(__xludf.DUMMYFUNCTION("""COMPUTED_VALUE"""),"MKNSBUS")</f>
        <v>MKNSBUS</v>
      </c>
      <c r="E519" s="1"/>
      <c r="F519" s="1" t="str">
        <f ca="1">IFERROR(__xludf.DUMMYFUNCTION("""COMPUTED_VALUE"""),"-")</f>
        <v>-</v>
      </c>
    </row>
    <row r="520" spans="1:6" x14ac:dyDescent="0.3">
      <c r="A520" s="1" t="str">
        <f ca="1">IFERROR(__xludf.DUMMYFUNCTION("""COMPUTED_VALUE"""),"Milton Keynes Signal KR1492")</f>
        <v>Milton Keynes Signal KR1492</v>
      </c>
      <c r="B520" s="1"/>
      <c r="C520" s="1">
        <f ca="1">IFERROR(__xludf.DUMMYFUNCTION("""COMPUTED_VALUE"""),137803)</f>
        <v>137803</v>
      </c>
      <c r="D520" s="1" t="str">
        <f ca="1">IFERROR(__xludf.DUMMYFUNCTION("""COMPUTED_VALUE"""),"MKNS492")</f>
        <v>MKNS492</v>
      </c>
      <c r="E520" s="1"/>
      <c r="F520" s="1">
        <f ca="1">IFERROR(__xludf.DUMMYFUNCTION("""COMPUTED_VALUE"""),70219)</f>
        <v>70219</v>
      </c>
    </row>
    <row r="521" spans="1:6" x14ac:dyDescent="0.3">
      <c r="A521" s="1" t="str">
        <f ca="1">IFERROR(__xludf.DUMMYFUNCTION("""COMPUTED_VALUE"""),"Milverton Junction")</f>
        <v>Milverton Junction</v>
      </c>
      <c r="B521" s="1"/>
      <c r="C521" s="1">
        <f ca="1">IFERROR(__xludf.DUMMYFUNCTION("""COMPUTED_VALUE"""),459702)</f>
        <v>459702</v>
      </c>
      <c r="D521" s="1" t="str">
        <f ca="1">IFERROR(__xludf.DUMMYFUNCTION("""COMPUTED_VALUE"""),"MLVTJN")</f>
        <v>MLVTJN</v>
      </c>
      <c r="E521" s="1" t="str">
        <f ca="1">IFERROR(__xludf.DUMMYFUNCTION("""COMPUTED_VALUE"""),"MILVERTON")</f>
        <v>MILVERTON</v>
      </c>
      <c r="F521" s="1">
        <f ca="1">IFERROR(__xludf.DUMMYFUNCTION("""COMPUTED_VALUE"""),69307)</f>
        <v>69307</v>
      </c>
    </row>
    <row r="522" spans="1:6" x14ac:dyDescent="0.3">
      <c r="A522" s="1" t="str">
        <f ca="1">IFERROR(__xludf.DUMMYFUNCTION("""COMPUTED_VALUE"""),"Minehead")</f>
        <v>Minehead</v>
      </c>
      <c r="B522" s="1"/>
      <c r="C522" s="1">
        <f ca="1">IFERROR(__xludf.DUMMYFUNCTION("""COMPUTED_VALUE"""),303500)</f>
        <v>303500</v>
      </c>
      <c r="D522" s="1" t="str">
        <f ca="1">IFERROR(__xludf.DUMMYFUNCTION("""COMPUTED_VALUE"""),"MINEHD")</f>
        <v>MINEHD</v>
      </c>
      <c r="E522" s="1"/>
      <c r="F522" s="1" t="str">
        <f ca="1">IFERROR(__xludf.DUMMYFUNCTION("""COMPUTED_VALUE"""),"-")</f>
        <v>-</v>
      </c>
    </row>
    <row r="523" spans="1:6" x14ac:dyDescent="0.3">
      <c r="A523" s="1" t="str">
        <f ca="1">IFERROR(__xludf.DUMMYFUNCTION("""COMPUTED_VALUE"""),"Minehead Bancks Street")</f>
        <v>Minehead Bancks Street</v>
      </c>
      <c r="B523" s="1"/>
      <c r="C523" s="1">
        <f ca="1">IFERROR(__xludf.DUMMYFUNCTION("""COMPUTED_VALUE"""),346301)</f>
        <v>346301</v>
      </c>
      <c r="D523" s="1" t="str">
        <f ca="1">IFERROR(__xludf.DUMMYFUNCTION("""COMPUTED_VALUE"""),"MINEBAN")</f>
        <v>MINEBAN</v>
      </c>
      <c r="E523" s="1"/>
      <c r="F523" s="1" t="str">
        <f ca="1">IFERROR(__xludf.DUMMYFUNCTION("""COMPUTED_VALUE"""),"-")</f>
        <v>-</v>
      </c>
    </row>
    <row r="524" spans="1:6" x14ac:dyDescent="0.3">
      <c r="A524" s="1" t="str">
        <f ca="1">IFERROR(__xludf.DUMMYFUNCTION("""COMPUTED_VALUE"""),"Minehead Butlins")</f>
        <v>Minehead Butlins</v>
      </c>
      <c r="B524" s="1"/>
      <c r="C524" s="1">
        <f ca="1">IFERROR(__xludf.DUMMYFUNCTION("""COMPUTED_VALUE"""),346304)</f>
        <v>346304</v>
      </c>
      <c r="D524" s="1" t="str">
        <f ca="1">IFERROR(__xludf.DUMMYFUNCTION("""COMPUTED_VALUE"""),"MINEBUT")</f>
        <v>MINEBUT</v>
      </c>
      <c r="E524" s="1"/>
      <c r="F524" s="1" t="str">
        <f ca="1">IFERROR(__xludf.DUMMYFUNCTION("""COMPUTED_VALUE"""),"-")</f>
        <v>-</v>
      </c>
    </row>
    <row r="525" spans="1:6" x14ac:dyDescent="0.3">
      <c r="A525" s="1" t="str">
        <f ca="1">IFERROR(__xludf.DUMMYFUNCTION("""COMPUTED_VALUE"""),"Minehead (Parade)")</f>
        <v>Minehead (Parade)</v>
      </c>
      <c r="B525" s="1"/>
      <c r="C525" s="1">
        <f ca="1">IFERROR(__xludf.DUMMYFUNCTION("""COMPUTED_VALUE"""),346302)</f>
        <v>346302</v>
      </c>
      <c r="D525" s="1" t="str">
        <f ca="1">IFERROR(__xludf.DUMMYFUNCTION("""COMPUTED_VALUE"""),"MINEPAR")</f>
        <v>MINEPAR</v>
      </c>
      <c r="E525" s="1"/>
      <c r="F525" s="1" t="str">
        <f ca="1">IFERROR(__xludf.DUMMYFUNCTION("""COMPUTED_VALUE"""),"-")</f>
        <v>-</v>
      </c>
    </row>
    <row r="526" spans="1:6" x14ac:dyDescent="0.3">
      <c r="A526" s="1" t="str">
        <f ca="1">IFERROR(__xludf.DUMMYFUNCTION("""COMPUTED_VALUE"""),"Minehead Somerwest World")</f>
        <v>Minehead Somerwest World</v>
      </c>
      <c r="B526" s="1" t="str">
        <f ca="1">IFERROR(__xludf.DUMMYFUNCTION("""COMPUTED_VALUE"""),"XBV")</f>
        <v>XBV</v>
      </c>
      <c r="C526" s="1">
        <f ca="1">IFERROR(__xludf.DUMMYFUNCTION("""COMPUTED_VALUE"""),346303)</f>
        <v>346303</v>
      </c>
      <c r="D526" s="1" t="str">
        <f ca="1">IFERROR(__xludf.DUMMYFUNCTION("""COMPUTED_VALUE"""),"MINESWW")</f>
        <v>MINESWW</v>
      </c>
      <c r="E526" s="1"/>
      <c r="F526" s="1" t="str">
        <f ca="1">IFERROR(__xludf.DUMMYFUNCTION("""COMPUTED_VALUE"""),"-")</f>
        <v>-</v>
      </c>
    </row>
    <row r="527" spans="1:6" x14ac:dyDescent="0.3">
      <c r="A527" s="1" t="str">
        <f ca="1">IFERROR(__xludf.DUMMYFUNCTION("""COMPUTED_VALUE"""),"Minehead [station]")</f>
        <v>Minehead [station]</v>
      </c>
      <c r="B527" s="1" t="str">
        <f ca="1">IFERROR(__xludf.DUMMYFUNCTION("""COMPUTED_VALUE"""),"MHD")</f>
        <v>MHD</v>
      </c>
      <c r="C527" s="1">
        <f ca="1">IFERROR(__xludf.DUMMYFUNCTION("""COMPUTED_VALUE"""),346300)</f>
        <v>346300</v>
      </c>
      <c r="D527" s="1" t="str">
        <f ca="1">IFERROR(__xludf.DUMMYFUNCTION("""COMPUTED_VALUE"""),"MINEHED")</f>
        <v>MINEHED</v>
      </c>
      <c r="E527" s="1" t="str">
        <f ca="1">IFERROR(__xludf.DUMMYFUNCTION("""COMPUTED_VALUE"""),"MINEHEAD")</f>
        <v>MINEHEAD</v>
      </c>
      <c r="F527" s="1">
        <f ca="1">IFERROR(__xludf.DUMMYFUNCTION("""COMPUTED_VALUE"""),83019)</f>
        <v>83019</v>
      </c>
    </row>
    <row r="528" spans="1:6" x14ac:dyDescent="0.3">
      <c r="A528" s="1" t="str">
        <f ca="1">IFERROR(__xludf.DUMMYFUNCTION("""COMPUTED_VALUE"""),"Minety Crossing*see also Swindon Minety Crossing*")</f>
        <v>Minety Crossing*see also Swindon Minety Crossing*</v>
      </c>
      <c r="B528" s="1"/>
      <c r="C528" s="1" t="str">
        <f ca="1">IFERROR(__xludf.DUMMYFUNCTION("""COMPUTED_VALUE"""),"332505 333350")</f>
        <v>332505 333350</v>
      </c>
      <c r="D528" s="1" t="str">
        <f ca="1">IFERROR(__xludf.DUMMYFUNCTION("""COMPUTED_VALUE"""),"MINTYX")</f>
        <v>MINTYX</v>
      </c>
      <c r="E528" s="1" t="str">
        <f ca="1">IFERROR(__xludf.DUMMYFUNCTION("""COMPUTED_VALUE"""),"MINETY")</f>
        <v>MINETY</v>
      </c>
      <c r="F528" s="1">
        <f ca="1">IFERROR(__xludf.DUMMYFUNCTION("""COMPUTED_VALUE"""),75022)</f>
        <v>75022</v>
      </c>
    </row>
    <row r="529" spans="1:6" x14ac:dyDescent="0.3">
      <c r="A529" s="1" t="str">
        <f ca="1">IFERROR(__xludf.DUMMYFUNCTION("""COMPUTED_VALUE"""),"Minffordd")</f>
        <v>Minffordd</v>
      </c>
      <c r="B529" s="1" t="str">
        <f ca="1">IFERROR(__xludf.DUMMYFUNCTION("""COMPUTED_VALUE"""),"MFF")</f>
        <v>MFF</v>
      </c>
      <c r="C529" s="1">
        <f ca="1">IFERROR(__xludf.DUMMYFUNCTION("""COMPUTED_VALUE"""),446900)</f>
        <v>446900</v>
      </c>
      <c r="D529" s="1" t="str">
        <f ca="1">IFERROR(__xludf.DUMMYFUNCTION("""COMPUTED_VALUE"""),"MINFORD")</f>
        <v>MINFORD</v>
      </c>
      <c r="E529" s="1" t="str">
        <f ca="1">IFERROR(__xludf.DUMMYFUNCTION("""COMPUTED_VALUE"""),"MINFFORDD")</f>
        <v>MINFFORDD</v>
      </c>
      <c r="F529" s="1">
        <f ca="1">IFERROR(__xludf.DUMMYFUNCTION("""COMPUTED_VALUE"""),64428)</f>
        <v>64428</v>
      </c>
    </row>
    <row r="530" spans="1:6" x14ac:dyDescent="0.3">
      <c r="A530" s="1" t="str">
        <f ca="1">IFERROR(__xludf.DUMMYFUNCTION("""COMPUTED_VALUE"""),"Minffordd Ffestiniog Railway")</f>
        <v>Minffordd Ffestiniog Railway</v>
      </c>
      <c r="B530" s="1" t="str">
        <f ca="1">IFERROR(__xludf.DUMMYFUNCTION("""COMPUTED_VALUE"""),"MFD")</f>
        <v>MFD</v>
      </c>
      <c r="C530" s="1">
        <f ca="1">IFERROR(__xludf.DUMMYFUNCTION("""COMPUTED_VALUE"""),446901)</f>
        <v>446901</v>
      </c>
      <c r="D530" s="1" t="str">
        <f ca="1">IFERROR(__xludf.DUMMYFUNCTION("""COMPUTED_VALUE"""),"MINFFR")</f>
        <v>MINFFR</v>
      </c>
      <c r="E530" s="1"/>
      <c r="F530" s="1" t="str">
        <f ca="1">IFERROR(__xludf.DUMMYFUNCTION("""COMPUTED_VALUE"""),"64428*")</f>
        <v>64428*</v>
      </c>
    </row>
    <row r="531" spans="1:6" x14ac:dyDescent="0.3">
      <c r="A531" s="1" t="str">
        <f ca="1">IFERROR(__xludf.DUMMYFUNCTION("""COMPUTED_VALUE"""),"Minster")</f>
        <v>Minster</v>
      </c>
      <c r="B531" s="1" t="str">
        <f ca="1">IFERROR(__xludf.DUMMYFUNCTION("""COMPUTED_VALUE"""),"MSR")</f>
        <v>MSR</v>
      </c>
      <c r="C531" s="1">
        <f ca="1">IFERROR(__xludf.DUMMYFUNCTION("""COMPUTED_VALUE"""),501900)</f>
        <v>501900</v>
      </c>
      <c r="D531" s="1" t="str">
        <f ca="1">IFERROR(__xludf.DUMMYFUNCTION("""COMPUTED_VALUE"""),"MINSTER")</f>
        <v>MINSTER</v>
      </c>
      <c r="E531" s="1" t="str">
        <f ca="1">IFERROR(__xludf.DUMMYFUNCTION("""COMPUTED_VALUE"""),"MINSTER")</f>
        <v>MINSTER</v>
      </c>
      <c r="F531" s="1">
        <f ca="1">IFERROR(__xludf.DUMMYFUNCTION("""COMPUTED_VALUE"""),89451)</f>
        <v>89451</v>
      </c>
    </row>
    <row r="532" spans="1:6" x14ac:dyDescent="0.3">
      <c r="A532" s="1" t="str">
        <f ca="1">IFERROR(__xludf.DUMMYFUNCTION("""COMPUTED_VALUE"""),"Minster East Junction")</f>
        <v>Minster East Junction</v>
      </c>
      <c r="B532" s="1" t="str">
        <f ca="1">IFERROR(__xludf.DUMMYFUNCTION("""COMPUTED_VALUE"""),"XMF")</f>
        <v>XMF</v>
      </c>
      <c r="C532" s="1">
        <f ca="1">IFERROR(__xludf.DUMMYFUNCTION("""COMPUTED_VALUE"""),501963)</f>
        <v>501963</v>
      </c>
      <c r="D532" s="1" t="str">
        <f ca="1">IFERROR(__xludf.DUMMYFUNCTION("""COMPUTED_VALUE"""),"MINSTEJ")</f>
        <v>MINSTEJ</v>
      </c>
      <c r="E532" s="1" t="str">
        <f ca="1">IFERROR(__xludf.DUMMYFUNCTION("""COMPUTED_VALUE"""),"MINSTREJN")</f>
        <v>MINSTREJN</v>
      </c>
      <c r="F532" s="1">
        <f ca="1">IFERROR(__xludf.DUMMYFUNCTION("""COMPUTED_VALUE"""),89452)</f>
        <v>89452</v>
      </c>
    </row>
    <row r="533" spans="1:6" x14ac:dyDescent="0.3">
      <c r="A533" s="1" t="str">
        <f ca="1">IFERROR(__xludf.DUMMYFUNCTION("""COMPUTED_VALUE"""),"Minster South Junction")</f>
        <v>Minster South Junction</v>
      </c>
      <c r="B533" s="1"/>
      <c r="C533" s="1">
        <f ca="1">IFERROR(__xludf.DUMMYFUNCTION("""COMPUTED_VALUE"""),501965)</f>
        <v>501965</v>
      </c>
      <c r="D533" s="1" t="str">
        <f ca="1">IFERROR(__xludf.DUMMYFUNCTION("""COMPUTED_VALUE"""),"MINSTSJ")</f>
        <v>MINSTSJ</v>
      </c>
      <c r="E533" s="1" t="str">
        <f ca="1">IFERROR(__xludf.DUMMYFUNCTION("""COMPUTED_VALUE"""),"MINSTRSJN")</f>
        <v>MINSTRSJN</v>
      </c>
      <c r="F533" s="1">
        <f ca="1">IFERROR(__xludf.DUMMYFUNCTION("""COMPUTED_VALUE"""),89444)</f>
        <v>89444</v>
      </c>
    </row>
    <row r="534" spans="1:6" x14ac:dyDescent="0.3">
      <c r="A534" s="1" t="str">
        <f ca="1">IFERROR(__xludf.DUMMYFUNCTION("""COMPUTED_VALUE"""),"Minster West Junction")</f>
        <v>Minster West Junction</v>
      </c>
      <c r="B534" s="1"/>
      <c r="C534" s="1">
        <f ca="1">IFERROR(__xludf.DUMMYFUNCTION("""COMPUTED_VALUE"""),501964)</f>
        <v>501964</v>
      </c>
      <c r="D534" s="1" t="str">
        <f ca="1">IFERROR(__xludf.DUMMYFUNCTION("""COMPUTED_VALUE"""),"MINSTWJ")</f>
        <v>MINSTWJ</v>
      </c>
      <c r="E534" s="1"/>
      <c r="F534" s="1" t="str">
        <f ca="1">IFERROR(__xludf.DUMMYFUNCTION("""COMPUTED_VALUE"""),"89452*")</f>
        <v>89452*</v>
      </c>
    </row>
    <row r="535" spans="1:6" x14ac:dyDescent="0.3">
      <c r="A535" s="1" t="str">
        <f ca="1">IFERROR(__xludf.DUMMYFUNCTION("""COMPUTED_VALUE"""),"Miranda De Ebro")</f>
        <v>Miranda De Ebro</v>
      </c>
      <c r="B535" s="1"/>
      <c r="C535" s="1">
        <f ca="1">IFERROR(__xludf.DUMMYFUNCTION("""COMPUTED_VALUE"""),87602)</f>
        <v>87602</v>
      </c>
      <c r="D535" s="1" t="str">
        <f ca="1">IFERROR(__xludf.DUMMYFUNCTION("""COMPUTED_VALUE"""),"MIRADEB")</f>
        <v>MIRADEB</v>
      </c>
      <c r="E535" s="1" t="str">
        <f ca="1">IFERROR(__xludf.DUMMYFUNCTION("""COMPUTED_VALUE"""),"MIRAN D E")</f>
        <v>MIRAN D E</v>
      </c>
      <c r="F535" s="1">
        <f ca="1">IFERROR(__xludf.DUMMYFUNCTION("""COMPUTED_VALUE"""),235)</f>
        <v>235</v>
      </c>
    </row>
    <row r="536" spans="1:6" x14ac:dyDescent="0.3">
      <c r="A536" s="1" t="str">
        <f ca="1">IFERROR(__xludf.DUMMYFUNCTION("""COMPUTED_VALUE"""),"Mirehouse Junction")</f>
        <v>Mirehouse Junction</v>
      </c>
      <c r="B536" s="1"/>
      <c r="C536" s="1">
        <f ca="1">IFERROR(__xludf.DUMMYFUNCTION("""COMPUTED_VALUE"""),204920)</f>
        <v>204920</v>
      </c>
      <c r="D536" s="1" t="str">
        <f ca="1">IFERROR(__xludf.DUMMYFUNCTION("""COMPUTED_VALUE"""),"MIREJN")</f>
        <v>MIREJN</v>
      </c>
      <c r="E536" s="1" t="str">
        <f ca="1">IFERROR(__xludf.DUMMYFUNCTION("""COMPUTED_VALUE"""),"MIREHSEJN")</f>
        <v>MIREHSEJN</v>
      </c>
      <c r="F536" s="1">
        <f ca="1">IFERROR(__xludf.DUMMYFUNCTION("""COMPUTED_VALUE"""),10130)</f>
        <v>10130</v>
      </c>
    </row>
    <row r="537" spans="1:6" x14ac:dyDescent="0.3">
      <c r="A537" s="1" t="str">
        <f ca="1">IFERROR(__xludf.DUMMYFUNCTION("""COMPUTED_VALUE"""),"Mirfield")</f>
        <v>Mirfield</v>
      </c>
      <c r="B537" s="1" t="str">
        <f ca="1">IFERROR(__xludf.DUMMYFUNCTION("""COMPUTED_VALUE"""),"MIR")</f>
        <v>MIR</v>
      </c>
      <c r="C537" s="1">
        <f ca="1">IFERROR(__xludf.DUMMYFUNCTION("""COMPUTED_VALUE"""),851800)</f>
        <v>851800</v>
      </c>
      <c r="D537" s="1" t="str">
        <f ca="1">IFERROR(__xludf.DUMMYFUNCTION("""COMPUTED_VALUE"""),"MIRFILD")</f>
        <v>MIRFILD</v>
      </c>
      <c r="E537" s="1" t="str">
        <f ca="1">IFERROR(__xludf.DUMMYFUNCTION("""COMPUTED_VALUE"""),"MIRFIELD")</f>
        <v>MIRFIELD</v>
      </c>
      <c r="F537" s="1">
        <f ca="1">IFERROR(__xludf.DUMMYFUNCTION("""COMPUTED_VALUE"""),18441)</f>
        <v>18441</v>
      </c>
    </row>
    <row r="538" spans="1:6" x14ac:dyDescent="0.3">
      <c r="A538" s="1" t="str">
        <f ca="1">IFERROR(__xludf.DUMMYFUNCTION("""COMPUTED_VALUE"""),"Mirfield East Junction")</f>
        <v>Mirfield East Junction</v>
      </c>
      <c r="B538" s="1"/>
      <c r="C538" s="1">
        <f ca="1">IFERROR(__xludf.DUMMYFUNCTION("""COMPUTED_VALUE"""),851813)</f>
        <v>851813</v>
      </c>
      <c r="D538" s="1" t="str">
        <f ca="1">IFERROR(__xludf.DUMMYFUNCTION("""COMPUTED_VALUE"""),"MIRFEJN")</f>
        <v>MIRFEJN</v>
      </c>
      <c r="E538" s="1" t="str">
        <f ca="1">IFERROR(__xludf.DUMMYFUNCTION("""COMPUTED_VALUE"""),"MIRFLDEJN")</f>
        <v>MIRFLDEJN</v>
      </c>
      <c r="F538" s="1">
        <f ca="1">IFERROR(__xludf.DUMMYFUNCTION("""COMPUTED_VALUE"""),18442)</f>
        <v>18442</v>
      </c>
    </row>
    <row r="539" spans="1:6" x14ac:dyDescent="0.3">
      <c r="A539" s="1" t="str">
        <f ca="1">IFERROR(__xludf.DUMMYFUNCTION("""COMPUTED_VALUE"""),"Miskin")</f>
        <v>Miskin</v>
      </c>
      <c r="B539" s="1"/>
      <c r="C539" s="1">
        <f ca="1">IFERROR(__xludf.DUMMYFUNCTION("""COMPUTED_VALUE"""),384970)</f>
        <v>384970</v>
      </c>
      <c r="D539" s="1" t="str">
        <f ca="1">IFERROR(__xludf.DUMMYFUNCTION("""COMPUTED_VALUE"""),"MISKIN")</f>
        <v>MISKIN</v>
      </c>
      <c r="E539" s="1" t="str">
        <f ca="1">IFERROR(__xludf.DUMMYFUNCTION("""COMPUTED_VALUE"""),"MISKINLPS")</f>
        <v>MISKINLPS</v>
      </c>
      <c r="F539" s="1">
        <f ca="1">IFERROR(__xludf.DUMMYFUNCTION("""COMPUTED_VALUE"""),78603)</f>
        <v>78603</v>
      </c>
    </row>
    <row r="540" spans="1:6" x14ac:dyDescent="0.3">
      <c r="A540" s="1" t="str">
        <f ca="1">IFERROR(__xludf.DUMMYFUNCTION("""COMPUTED_VALUE"""),"Mistley")</f>
        <v>Mistley</v>
      </c>
      <c r="B540" s="1" t="str">
        <f ca="1">IFERROR(__xludf.DUMMYFUNCTION("""COMPUTED_VALUE"""),"MIS")</f>
        <v>MIS</v>
      </c>
      <c r="C540" s="1">
        <f ca="1">IFERROR(__xludf.DUMMYFUNCTION("""COMPUTED_VALUE"""),690600)</f>
        <v>690600</v>
      </c>
      <c r="D540" s="1" t="str">
        <f ca="1">IFERROR(__xludf.DUMMYFUNCTION("""COMPUTED_VALUE"""),"MISTLEY")</f>
        <v>MISTLEY</v>
      </c>
      <c r="E540" s="1" t="str">
        <f ca="1">IFERROR(__xludf.DUMMYFUNCTION("""COMPUTED_VALUE"""),"MISTLEY")</f>
        <v>MISTLEY</v>
      </c>
      <c r="F540" s="1">
        <f ca="1">IFERROR(__xludf.DUMMYFUNCTION("""COMPUTED_VALUE"""),49313)</f>
        <v>49313</v>
      </c>
    </row>
    <row r="541" spans="1:6" x14ac:dyDescent="0.3">
      <c r="A541" s="1" t="str">
        <f ca="1">IFERROR(__xludf.DUMMYFUNCTION("""COMPUTED_VALUE"""),"Mistley Down Loop")</f>
        <v>Mistley Down Loop</v>
      </c>
      <c r="B541" s="1"/>
      <c r="C541" s="1">
        <f ca="1">IFERROR(__xludf.DUMMYFUNCTION("""COMPUTED_VALUE"""),690602)</f>
        <v>690602</v>
      </c>
      <c r="D541" s="1" t="str">
        <f ca="1">IFERROR(__xludf.DUMMYFUNCTION("""COMPUTED_VALUE"""),"MISTDL")</f>
        <v>MISTDL</v>
      </c>
      <c r="E541" s="1" t="str">
        <f ca="1">IFERROR(__xludf.DUMMYFUNCTION("""COMPUTED_VALUE"""),"MISTLYDLP")</f>
        <v>MISTLYDLP</v>
      </c>
      <c r="F541" s="1">
        <f ca="1">IFERROR(__xludf.DUMMYFUNCTION("""COMPUTED_VALUE"""),49311)</f>
        <v>49311</v>
      </c>
    </row>
    <row r="542" spans="1:6" x14ac:dyDescent="0.3">
      <c r="A542" s="1" t="str">
        <f ca="1">IFERROR(__xludf.DUMMYFUNCTION("""COMPUTED_VALUE"""),"Mitcham")</f>
        <v>Mitcham</v>
      </c>
      <c r="B542" s="1" t="str">
        <f ca="1">IFERROR(__xludf.DUMMYFUNCTION("""COMPUTED_VALUE"""),"MIT")</f>
        <v>MIT</v>
      </c>
      <c r="C542" s="1">
        <f ca="1">IFERROR(__xludf.DUMMYFUNCTION("""COMPUTED_VALUE"""),537400)</f>
        <v>537400</v>
      </c>
      <c r="D542" s="1" t="str">
        <f ca="1">IFERROR(__xludf.DUMMYFUNCTION("""COMPUTED_VALUE"""),"MITCHAM")</f>
        <v>MITCHAM</v>
      </c>
      <c r="E542" s="1" t="str">
        <f ca="1">IFERROR(__xludf.DUMMYFUNCTION("""COMPUTED_VALUE"""),"MITCHAM")</f>
        <v>MITCHAM</v>
      </c>
      <c r="F542" s="1">
        <f ca="1">IFERROR(__xludf.DUMMYFUNCTION("""COMPUTED_VALUE"""),87359)</f>
        <v>87359</v>
      </c>
    </row>
    <row r="543" spans="1:6" x14ac:dyDescent="0.3">
      <c r="A543" s="1" t="str">
        <f ca="1">IFERROR(__xludf.DUMMYFUNCTION("""COMPUTED_VALUE"""),"Mitcham Junction")</f>
        <v>Mitcham Junction</v>
      </c>
      <c r="B543" s="1" t="str">
        <f ca="1">IFERROR(__xludf.DUMMYFUNCTION("""COMPUTED_VALUE"""),"MIJ")</f>
        <v>MIJ</v>
      </c>
      <c r="C543" s="1">
        <f ca="1">IFERROR(__xludf.DUMMYFUNCTION("""COMPUTED_VALUE"""),542700)</f>
        <v>542700</v>
      </c>
      <c r="D543" s="1" t="str">
        <f ca="1">IFERROR(__xludf.DUMMYFUNCTION("""COMPUTED_VALUE"""),"MITCHMJ")</f>
        <v>MITCHMJ</v>
      </c>
      <c r="E543" s="1" t="str">
        <f ca="1">IFERROR(__xludf.DUMMYFUNCTION("""COMPUTED_VALUE"""),"MITCHAMJN")</f>
        <v>MITCHAMJN</v>
      </c>
      <c r="F543" s="1">
        <f ca="1">IFERROR(__xludf.DUMMYFUNCTION("""COMPUTED_VALUE"""),87661)</f>
        <v>87661</v>
      </c>
    </row>
    <row r="544" spans="1:6" x14ac:dyDescent="0.3">
      <c r="A544" s="1" t="str">
        <f ca="1">IFERROR(__xludf.DUMMYFUNCTION("""COMPUTED_VALUE"""),"Mitre Bridge Junction")</f>
        <v>Mitre Bridge Junction</v>
      </c>
      <c r="B544" s="1" t="str">
        <f ca="1">IFERROR(__xludf.DUMMYFUNCTION("""COMPUTED_VALUE"""),"XMB")</f>
        <v>XMB</v>
      </c>
      <c r="C544" s="1">
        <f ca="1">IFERROR(__xludf.DUMMYFUNCTION("""COMPUTED_VALUE"""),145733)</f>
        <v>145733</v>
      </c>
      <c r="D544" s="1" t="str">
        <f ca="1">IFERROR(__xludf.DUMMYFUNCTION("""COMPUTED_VALUE"""),"MTRBDGJ")</f>
        <v>MTRBDGJ</v>
      </c>
      <c r="E544" s="1" t="str">
        <f ca="1">IFERROR(__xludf.DUMMYFUNCTION("""COMPUTED_VALUE"""),"MITREBDGJ")</f>
        <v>MITREBDGJ</v>
      </c>
      <c r="F544" s="1">
        <f ca="1">IFERROR(__xludf.DUMMYFUNCTION("""COMPUTED_VALUE"""),72237)</f>
        <v>72237</v>
      </c>
    </row>
    <row r="545" spans="1:6" x14ac:dyDescent="0.3">
      <c r="A545" s="1" t="str">
        <f ca="1">IFERROR(__xludf.DUMMYFUNCTION("""COMPUTED_VALUE"""),"Mobberley")</f>
        <v>Mobberley</v>
      </c>
      <c r="B545" s="1" t="str">
        <f ca="1">IFERROR(__xludf.DUMMYFUNCTION("""COMPUTED_VALUE"""),"MOB")</f>
        <v>MOB</v>
      </c>
      <c r="C545" s="1">
        <f ca="1">IFERROR(__xludf.DUMMYFUNCTION("""COMPUTED_VALUE"""),284900)</f>
        <v>284900</v>
      </c>
      <c r="D545" s="1" t="str">
        <f ca="1">IFERROR(__xludf.DUMMYFUNCTION("""COMPUTED_VALUE"""),"MOBERLY")</f>
        <v>MOBERLY</v>
      </c>
      <c r="E545" s="1" t="str">
        <f ca="1">IFERROR(__xludf.DUMMYFUNCTION("""COMPUTED_VALUE"""),"MOBBERLEY")</f>
        <v>MOBBERLEY</v>
      </c>
      <c r="F545" s="1">
        <f ca="1">IFERROR(__xludf.DUMMYFUNCTION("""COMPUTED_VALUE"""),37222)</f>
        <v>37222</v>
      </c>
    </row>
    <row r="546" spans="1:6" x14ac:dyDescent="0.3">
      <c r="A546" s="1" t="str">
        <f ca="1">IFERROR(__xludf.DUMMYFUNCTION("""COMPUTED_VALUE"""),"Modane")</f>
        <v>Modane</v>
      </c>
      <c r="B546" s="1"/>
      <c r="C546" s="1">
        <f ca="1">IFERROR(__xludf.DUMMYFUNCTION("""COMPUTED_VALUE"""),80668)</f>
        <v>80668</v>
      </c>
      <c r="D546" s="1" t="str">
        <f ca="1">IFERROR(__xludf.DUMMYFUNCTION("""COMPUTED_VALUE"""),"MODANE")</f>
        <v>MODANE</v>
      </c>
      <c r="E546" s="1" t="str">
        <f ca="1">IFERROR(__xludf.DUMMYFUNCTION("""COMPUTED_VALUE"""),"MODANE")</f>
        <v>MODANE</v>
      </c>
      <c r="F546" s="1">
        <f ca="1">IFERROR(__xludf.DUMMYFUNCTION("""COMPUTED_VALUE"""),781)</f>
        <v>781</v>
      </c>
    </row>
    <row r="547" spans="1:6" x14ac:dyDescent="0.3">
      <c r="A547" s="1" t="str">
        <f ca="1">IFERROR(__xludf.DUMMYFUNCTION("""COMPUTED_VALUE"""),"Moira Gresley")</f>
        <v>Moira Gresley</v>
      </c>
      <c r="B547" s="1"/>
      <c r="C547" s="1">
        <f ca="1">IFERROR(__xludf.DUMMYFUNCTION("""COMPUTED_VALUE"""),178503)</f>
        <v>178503</v>
      </c>
      <c r="D547" s="1" t="str">
        <f ca="1">IFERROR(__xludf.DUMMYFUNCTION("""COMPUTED_VALUE"""),"MOIRGRE")</f>
        <v>MOIRGRE</v>
      </c>
      <c r="E547" s="1" t="str">
        <f ca="1">IFERROR(__xludf.DUMMYFUNCTION("""COMPUTED_VALUE"""),"GRESLEY")</f>
        <v>GRESLEY</v>
      </c>
      <c r="F547" s="1">
        <f ca="1">IFERROR(__xludf.DUMMYFUNCTION("""COMPUTED_VALUE"""),57806)</f>
        <v>57806</v>
      </c>
    </row>
    <row r="548" spans="1:6" x14ac:dyDescent="0.3">
      <c r="A548" s="1" t="str">
        <f ca="1">IFERROR(__xludf.DUMMYFUNCTION("""COMPUTED_VALUE"""),"Moira Hicks Lodge")</f>
        <v>Moira Hicks Lodge</v>
      </c>
      <c r="B548" s="1"/>
      <c r="C548" s="1">
        <f ca="1">IFERROR(__xludf.DUMMYFUNCTION("""COMPUTED_VALUE"""),178501)</f>
        <v>178501</v>
      </c>
      <c r="D548" s="1" t="str">
        <f ca="1">IFERROR(__xludf.DUMMYFUNCTION("""COMPUTED_VALUE"""),"MOIRHIC")</f>
        <v>MOIRHIC</v>
      </c>
      <c r="E548" s="1" t="str">
        <f ca="1">IFERROR(__xludf.DUMMYFUNCTION("""COMPUTED_VALUE"""),"HICKS LDG")</f>
        <v>HICKS LDG</v>
      </c>
      <c r="F548" s="1">
        <f ca="1">IFERROR(__xludf.DUMMYFUNCTION("""COMPUTED_VALUE"""),58016)</f>
        <v>58016</v>
      </c>
    </row>
    <row r="549" spans="1:6" x14ac:dyDescent="0.3">
      <c r="A549" s="1" t="str">
        <f ca="1">IFERROR(__xludf.DUMMYFUNCTION("""COMPUTED_VALUE"""),"Moira Hicks Lodge Freightliner Heavy Haul")</f>
        <v>Moira Hicks Lodge Freightliner Heavy Haul</v>
      </c>
      <c r="B549" s="1"/>
      <c r="C549" s="1">
        <f ca="1">IFERROR(__xludf.DUMMYFUNCTION("""COMPUTED_VALUE"""),178504)</f>
        <v>178504</v>
      </c>
      <c r="D549" s="1" t="str">
        <f ca="1">IFERROR(__xludf.DUMMYFUNCTION("""COMPUTED_VALUE"""),"MOIRFHH")</f>
        <v>MOIRFHH</v>
      </c>
      <c r="E549" s="1" t="str">
        <f ca="1">IFERROR(__xludf.DUMMYFUNCTION("""COMPUTED_VALUE"""),"HICKSLDGE")</f>
        <v>HICKSLDGE</v>
      </c>
      <c r="F549" s="1">
        <f ca="1">IFERROR(__xludf.DUMMYFUNCTION("""COMPUTED_VALUE"""),58018)</f>
        <v>58018</v>
      </c>
    </row>
    <row r="550" spans="1:6" x14ac:dyDescent="0.3">
      <c r="A550" s="1" t="str">
        <f ca="1">IFERROR(__xludf.DUMMYFUNCTION("""COMPUTED_VALUE"""),"Moira Hicks Lodge Ground Frame")</f>
        <v>Moira Hicks Lodge Ground Frame</v>
      </c>
      <c r="B550" s="1"/>
      <c r="C550" s="1">
        <f ca="1">IFERROR(__xludf.DUMMYFUNCTION("""COMPUTED_VALUE"""),178505)</f>
        <v>178505</v>
      </c>
      <c r="D550" s="1" t="str">
        <f ca="1">IFERROR(__xludf.DUMMYFUNCTION("""COMPUTED_VALUE"""),"MOIRHGF")</f>
        <v>MOIRHGF</v>
      </c>
      <c r="E550" s="1" t="str">
        <f ca="1">IFERROR(__xludf.DUMMYFUNCTION("""COMPUTED_VALUE"""),"HICKLDGGF")</f>
        <v>HICKLDGGF</v>
      </c>
      <c r="F550" s="1">
        <f ca="1">IFERROR(__xludf.DUMMYFUNCTION("""COMPUTED_VALUE"""),58019)</f>
        <v>58019</v>
      </c>
    </row>
    <row r="551" spans="1:6" x14ac:dyDescent="0.3">
      <c r="A551" s="1" t="str">
        <f ca="1">IFERROR(__xludf.DUMMYFUNCTION("""COMPUTED_VALUE"""),"Moira Swains Park Opencast DP")</f>
        <v>Moira Swains Park Opencast DP</v>
      </c>
      <c r="B551" s="1"/>
      <c r="C551" s="1">
        <f ca="1">IFERROR(__xludf.DUMMYFUNCTION("""COMPUTED_VALUE"""),183301)</f>
        <v>183301</v>
      </c>
      <c r="D551" s="1" t="str">
        <f ca="1">IFERROR(__xludf.DUMMYFUNCTION("""COMPUTED_VALUE"""),"MOIRSPK")</f>
        <v>MOIRSPK</v>
      </c>
      <c r="E551" s="1" t="str">
        <f ca="1">IFERROR(__xludf.DUMMYFUNCTION("""COMPUTED_VALUE"""),"SWAINS PK")</f>
        <v>SWAINS PK</v>
      </c>
      <c r="F551" s="1">
        <f ca="1">IFERROR(__xludf.DUMMYFUNCTION("""COMPUTED_VALUE"""),58031)</f>
        <v>58031</v>
      </c>
    </row>
    <row r="552" spans="1:6" x14ac:dyDescent="0.3">
      <c r="A552" s="1" t="str">
        <f ca="1">IFERROR(__xludf.DUMMYFUNCTION("""COMPUTED_VALUE"""),"Moira West Junction")</f>
        <v>Moira West Junction</v>
      </c>
      <c r="B552" s="1"/>
      <c r="C552" s="1">
        <f ca="1">IFERROR(__xludf.DUMMYFUNCTION("""COMPUTED_VALUE"""),178500)</f>
        <v>178500</v>
      </c>
      <c r="D552" s="1" t="str">
        <f ca="1">IFERROR(__xludf.DUMMYFUNCTION("""COMPUTED_VALUE"""),"MOIRAWJ")</f>
        <v>MOIRAWJ</v>
      </c>
      <c r="E552" s="1" t="str">
        <f ca="1">IFERROR(__xludf.DUMMYFUNCTION("""COMPUTED_VALUE"""),"MOIRA")</f>
        <v>MOIRA</v>
      </c>
      <c r="F552" s="1">
        <f ca="1">IFERROR(__xludf.DUMMYFUNCTION("""COMPUTED_VALUE"""),58029)</f>
        <v>58029</v>
      </c>
    </row>
    <row r="553" spans="1:6" x14ac:dyDescent="0.3">
      <c r="A553" s="1" t="str">
        <f ca="1">IFERROR(__xludf.DUMMYFUNCTION("""COMPUTED_VALUE"""),"Mold Bus")</f>
        <v>Mold Bus</v>
      </c>
      <c r="B553" s="1" t="str">
        <f ca="1">IFERROR(__xludf.DUMMYFUNCTION("""COMPUTED_VALUE"""),"MOZ")</f>
        <v>MOZ</v>
      </c>
      <c r="C553" s="1"/>
      <c r="D553" s="1" t="str">
        <f ca="1">IFERROR(__xludf.DUMMYFUNCTION("""COMPUTED_VALUE"""),"CATZMOZ")</f>
        <v>CATZMOZ</v>
      </c>
      <c r="E553" s="1"/>
      <c r="F553" s="1"/>
    </row>
    <row r="554" spans="1:6" x14ac:dyDescent="0.3">
      <c r="A554" s="1" t="str">
        <f ca="1">IFERROR(__xludf.DUMMYFUNCTION("""COMPUTED_VALUE"""),"Mold Junction")</f>
        <v>Mold Junction</v>
      </c>
      <c r="B554" s="1"/>
      <c r="C554" s="1">
        <f ca="1">IFERROR(__xludf.DUMMYFUNCTION("""COMPUTED_VALUE"""),251700)</f>
        <v>251700</v>
      </c>
      <c r="D554" s="1" t="str">
        <f ca="1">IFERROR(__xludf.DUMMYFUNCTION("""COMPUTED_VALUE"""),"MOLDJ")</f>
        <v>MOLDJ</v>
      </c>
      <c r="E554" s="1" t="str">
        <f ca="1">IFERROR(__xludf.DUMMYFUNCTION("""COMPUTED_VALUE"""),"MOLD JN")</f>
        <v>MOLD JN</v>
      </c>
      <c r="F554" s="1">
        <f ca="1">IFERROR(__xludf.DUMMYFUNCTION("""COMPUTED_VALUE"""),40214)</f>
        <v>40214</v>
      </c>
    </row>
    <row r="555" spans="1:6" x14ac:dyDescent="0.3">
      <c r="A555" s="1" t="str">
        <f ca="1">IFERROR(__xludf.DUMMYFUNCTION("""COMPUTED_VALUE"""),"Molewood Junction")</f>
        <v>Molewood Junction</v>
      </c>
      <c r="B555" s="1"/>
      <c r="C555" s="1">
        <f ca="1">IFERROR(__xludf.DUMMYFUNCTION("""COMPUTED_VALUE"""),609507)</f>
        <v>609507</v>
      </c>
      <c r="D555" s="1" t="str">
        <f ca="1">IFERROR(__xludf.DUMMYFUNCTION("""COMPUTED_VALUE"""),"MOLEJN")</f>
        <v>MOLEJN</v>
      </c>
      <c r="E555" s="1" t="str">
        <f ca="1">IFERROR(__xludf.DUMMYFUNCTION("""COMPUTED_VALUE"""),"MOLEWOODJ")</f>
        <v>MOLEWOODJ</v>
      </c>
      <c r="F555" s="1">
        <f ca="1">IFERROR(__xludf.DUMMYFUNCTION("""COMPUTED_VALUE"""),53250)</f>
        <v>53250</v>
      </c>
    </row>
    <row r="556" spans="1:6" x14ac:dyDescent="0.3">
      <c r="A556" s="1" t="str">
        <f ca="1">IFERROR(__xludf.DUMMYFUNCTION("""COMPUTED_VALUE"""),"Monasterevin")</f>
        <v>Monasterevin</v>
      </c>
      <c r="B556" s="1" t="str">
        <f ca="1">IFERROR(__xludf.DUMMYFUNCTION("""COMPUTED_VALUE"""),"XMV")</f>
        <v>XMV</v>
      </c>
      <c r="C556" s="1">
        <f ca="1">IFERROR(__xludf.DUMMYFUNCTION("""COMPUTED_VALUE"""),33210)</f>
        <v>33210</v>
      </c>
      <c r="D556" s="1" t="str">
        <f ca="1">IFERROR(__xludf.DUMMYFUNCTION("""COMPUTED_VALUE"""),"CATZ005")</f>
        <v>CATZ005</v>
      </c>
      <c r="E556" s="1"/>
      <c r="F556" s="1" t="str">
        <f ca="1">IFERROR(__xludf.DUMMYFUNCTION("""COMPUTED_VALUE"""),"-")</f>
        <v>-</v>
      </c>
    </row>
    <row r="557" spans="1:6" x14ac:dyDescent="0.3">
      <c r="A557" s="1" t="str">
        <f ca="1">IFERROR(__xludf.DUMMYFUNCTION("""COMPUTED_VALUE"""),"Monchengladbach")</f>
        <v>Monchengladbach</v>
      </c>
      <c r="B557" s="1"/>
      <c r="C557" s="1">
        <f ca="1">IFERROR(__xludf.DUMMYFUNCTION("""COMPUTED_VALUE"""),81615)</f>
        <v>81615</v>
      </c>
      <c r="D557" s="1" t="str">
        <f ca="1">IFERROR(__xludf.DUMMYFUNCTION("""COMPUTED_VALUE"""),"MONCHEN")</f>
        <v>MONCHEN</v>
      </c>
      <c r="E557" s="1" t="str">
        <f ca="1">IFERROR(__xludf.DUMMYFUNCTION("""COMPUTED_VALUE"""),"MONCHGBCH")</f>
        <v>MONCHGBCH</v>
      </c>
      <c r="F557" s="1">
        <f ca="1">IFERROR(__xludf.DUMMYFUNCTION("""COMPUTED_VALUE"""),18)</f>
        <v>18</v>
      </c>
    </row>
    <row r="558" spans="1:6" x14ac:dyDescent="0.3">
      <c r="A558" s="1" t="str">
        <f ca="1">IFERROR(__xludf.DUMMYFUNCTION("""COMPUTED_VALUE"""),"Mond's Siding Inco Europe")</f>
        <v>Mond's Siding Inco Europe</v>
      </c>
      <c r="B558" s="1"/>
      <c r="C558" s="1"/>
      <c r="D558" s="1" t="str">
        <f ca="1">IFERROR(__xludf.DUMMYFUNCTION("""COMPUTED_VALUE"""),"MONDSS")</f>
        <v>MONDSS</v>
      </c>
      <c r="E558" s="1"/>
      <c r="F558" s="1"/>
    </row>
    <row r="559" spans="1:6" x14ac:dyDescent="0.3">
      <c r="A559" s="1" t="str">
        <f ca="1">IFERROR(__xludf.DUMMYFUNCTION("""COMPUTED_VALUE"""),"Monifieth")</f>
        <v>Monifieth</v>
      </c>
      <c r="B559" s="1" t="str">
        <f ca="1">IFERROR(__xludf.DUMMYFUNCTION("""COMPUTED_VALUE"""),"MON")</f>
        <v>MON</v>
      </c>
      <c r="C559" s="1">
        <f ca="1">IFERROR(__xludf.DUMMYFUNCTION("""COMPUTED_VALUE"""),906000)</f>
        <v>906000</v>
      </c>
      <c r="D559" s="1" t="str">
        <f ca="1">IFERROR(__xludf.DUMMYFUNCTION("""COMPUTED_VALUE"""),"MONIFTH")</f>
        <v>MONIFTH</v>
      </c>
      <c r="E559" s="1" t="str">
        <f ca="1">IFERROR(__xludf.DUMMYFUNCTION("""COMPUTED_VALUE"""),"MONIFIETH")</f>
        <v>MONIFIETH</v>
      </c>
      <c r="F559" s="1">
        <f ca="1">IFERROR(__xludf.DUMMYFUNCTION("""COMPUTED_VALUE"""),3039)</f>
        <v>3039</v>
      </c>
    </row>
    <row r="560" spans="1:6" x14ac:dyDescent="0.3">
      <c r="A560" s="1" t="str">
        <f ca="1">IFERROR(__xludf.DUMMYFUNCTION("""COMPUTED_VALUE"""),"Monk Bretton Loop")</f>
        <v>Monk Bretton Loop</v>
      </c>
      <c r="B560" s="1"/>
      <c r="C560" s="1">
        <f ca="1">IFERROR(__xludf.DUMMYFUNCTION("""COMPUTED_VALUE"""),839414)</f>
        <v>839414</v>
      </c>
      <c r="D560" s="1" t="str">
        <f ca="1">IFERROR(__xludf.DUMMYFUNCTION("""COMPUTED_VALUE"""),"MNKBLP")</f>
        <v>MNKBLP</v>
      </c>
      <c r="E560" s="1" t="str">
        <f ca="1">IFERROR(__xludf.DUMMYFUNCTION("""COMPUTED_VALUE"""),"MONKBRTLP")</f>
        <v>MONKBRTLP</v>
      </c>
      <c r="F560" s="1">
        <f ca="1">IFERROR(__xludf.DUMMYFUNCTION("""COMPUTED_VALUE"""),18085)</f>
        <v>18085</v>
      </c>
    </row>
    <row r="561" spans="1:6" x14ac:dyDescent="0.3">
      <c r="A561" s="1" t="str">
        <f ca="1">IFERROR(__xludf.DUMMYFUNCTION("""COMPUTED_VALUE"""),"Monk Bretton Redfearns")</f>
        <v>Monk Bretton Redfearns</v>
      </c>
      <c r="B561" s="1"/>
      <c r="C561" s="1">
        <f ca="1">IFERROR(__xludf.DUMMYFUNCTION("""COMPUTED_VALUE"""),839411)</f>
        <v>839411</v>
      </c>
      <c r="D561" s="1" t="str">
        <f ca="1">IFERROR(__xludf.DUMMYFUNCTION("""COMPUTED_VALUE"""),"MNKBRRF")</f>
        <v>MNKBRRF</v>
      </c>
      <c r="E561" s="1" t="str">
        <f ca="1">IFERROR(__xludf.DUMMYFUNCTION("""COMPUTED_VALUE"""),"MONKBRETN")</f>
        <v>MONKBRETN</v>
      </c>
      <c r="F561" s="1">
        <f ca="1">IFERROR(__xludf.DUMMYFUNCTION("""COMPUTED_VALUE"""),18086)</f>
        <v>18086</v>
      </c>
    </row>
    <row r="562" spans="1:6" x14ac:dyDescent="0.3">
      <c r="A562" s="1" t="str">
        <f ca="1">IFERROR(__xludf.DUMMYFUNCTION("""COMPUTED_VALUE"""),"Monk Bretton Redfearns GB Railfreight")</f>
        <v>Monk Bretton Redfearns GB Railfreight</v>
      </c>
      <c r="B562" s="1"/>
      <c r="C562" s="1">
        <f ca="1">IFERROR(__xludf.DUMMYFUNCTION("""COMPUTED_VALUE"""),839412)</f>
        <v>839412</v>
      </c>
      <c r="D562" s="1" t="str">
        <f ca="1">IFERROR(__xludf.DUMMYFUNCTION("""COMPUTED_VALUE"""),"MNKBRRG")</f>
        <v>MNKBRRG</v>
      </c>
      <c r="E562" s="1" t="str">
        <f ca="1">IFERROR(__xludf.DUMMYFUNCTION("""COMPUTED_VALUE"""),"MNKBRTNGB")</f>
        <v>MNKBRTNGB</v>
      </c>
      <c r="F562" s="1">
        <f ca="1">IFERROR(__xludf.DUMMYFUNCTION("""COMPUTED_VALUE"""),18087)</f>
        <v>18087</v>
      </c>
    </row>
    <row r="563" spans="1:6" x14ac:dyDescent="0.3">
      <c r="A563" s="1" t="str">
        <f ca="1">IFERROR(__xludf.DUMMYFUNCTION("""COMPUTED_VALUE"""),"Monks Risborough")</f>
        <v>Monks Risborough</v>
      </c>
      <c r="B563" s="1" t="str">
        <f ca="1">IFERROR(__xludf.DUMMYFUNCTION("""COMPUTED_VALUE"""),"MRS")</f>
        <v>MRS</v>
      </c>
      <c r="C563" s="1">
        <f ca="1">IFERROR(__xludf.DUMMYFUNCTION("""COMPUTED_VALUE"""),306700)</f>
        <v>306700</v>
      </c>
      <c r="D563" s="1" t="str">
        <f ca="1">IFERROR(__xludf.DUMMYFUNCTION("""COMPUTED_VALUE"""),"MNKRISB")</f>
        <v>MNKRISB</v>
      </c>
      <c r="E563" s="1" t="str">
        <f ca="1">IFERROR(__xludf.DUMMYFUNCTION("""COMPUTED_VALUE"""),"MONKS RIS")</f>
        <v>MONKS RIS</v>
      </c>
      <c r="F563" s="1">
        <f ca="1">IFERROR(__xludf.DUMMYFUNCTION("""COMPUTED_VALUE"""),73520)</f>
        <v>73520</v>
      </c>
    </row>
    <row r="564" spans="1:6" x14ac:dyDescent="0.3">
      <c r="A564" s="1" t="str">
        <f ca="1">IFERROR(__xludf.DUMMYFUNCTION("""COMPUTED_VALUE"""),"Monkton Coke &amp; Chemicals Company")</f>
        <v>Monkton Coke &amp; Chemicals Company</v>
      </c>
      <c r="B564" s="1"/>
      <c r="C564" s="1">
        <f ca="1">IFERROR(__xludf.DUMMYFUNCTION("""COMPUTED_VALUE"""),839612)</f>
        <v>839612</v>
      </c>
      <c r="D564" s="1" t="str">
        <f ca="1">IFERROR(__xludf.DUMMYFUNCTION("""COMPUTED_VALUE"""),"MNCKCCC")</f>
        <v>MNCKCCC</v>
      </c>
      <c r="E564" s="1" t="str">
        <f ca="1">IFERROR(__xludf.DUMMYFUNCTION("""COMPUTED_VALUE"""),"ROYSTONMC")</f>
        <v>ROYSTONMC</v>
      </c>
      <c r="F564" s="1">
        <f ca="1">IFERROR(__xludf.DUMMYFUNCTION("""COMPUTED_VALUE"""),18081)</f>
        <v>18081</v>
      </c>
    </row>
    <row r="565" spans="1:6" x14ac:dyDescent="0.3">
      <c r="A565" s="1" t="str">
        <f ca="1">IFERROR(__xludf.DUMMYFUNCTION("""COMPUTED_VALUE"""),"Monktonhall Colliery")</f>
        <v>Monktonhall Colliery</v>
      </c>
      <c r="B565" s="1"/>
      <c r="C565" s="1">
        <f ca="1">IFERROR(__xludf.DUMMYFUNCTION("""COMPUTED_VALUE"""),930600)</f>
        <v>930600</v>
      </c>
      <c r="D565" s="1" t="str">
        <f ca="1">IFERROR(__xludf.DUMMYFUNCTION("""COMPUTED_VALUE"""),"MNKTNCL")</f>
        <v>MNKTNCL</v>
      </c>
      <c r="E565" s="1" t="str">
        <f ca="1">IFERROR(__xludf.DUMMYFUNCTION("""COMPUTED_VALUE"""),"MNKTNHALL")</f>
        <v>MNKTNHALL</v>
      </c>
      <c r="F565" s="1">
        <f ca="1">IFERROR(__xludf.DUMMYFUNCTION("""COMPUTED_VALUE"""),4731)</f>
        <v>4731</v>
      </c>
    </row>
    <row r="566" spans="1:6" x14ac:dyDescent="0.3">
      <c r="A566" s="1" t="str">
        <f ca="1">IFERROR(__xludf.DUMMYFUNCTION("""COMPUTED_VALUE"""),"Monktonhall Junction")</f>
        <v>Monktonhall Junction</v>
      </c>
      <c r="B566" s="1"/>
      <c r="C566" s="1">
        <f ca="1">IFERROR(__xludf.DUMMYFUNCTION("""COMPUTED_VALUE"""),932282)</f>
        <v>932282</v>
      </c>
      <c r="D566" s="1" t="str">
        <f ca="1">IFERROR(__xludf.DUMMYFUNCTION("""COMPUTED_VALUE"""),"MNKTNHJ")</f>
        <v>MNKTNHJ</v>
      </c>
      <c r="E566" s="1" t="str">
        <f ca="1">IFERROR(__xludf.DUMMYFUNCTION("""COMPUTED_VALUE"""),"MNKTNHALJ")</f>
        <v>MNKTNHALJ</v>
      </c>
      <c r="F566" s="1">
        <f ca="1">IFERROR(__xludf.DUMMYFUNCTION("""COMPUTED_VALUE"""),4730)</f>
        <v>4730</v>
      </c>
    </row>
    <row r="567" spans="1:6" x14ac:dyDescent="0.3">
      <c r="A567" s="1" t="str">
        <f ca="1">IFERROR(__xludf.DUMMYFUNCTION("""COMPUTED_VALUE"""),"Monmore Green British Oxygen")</f>
        <v>Monmore Green British Oxygen</v>
      </c>
      <c r="B567" s="1"/>
      <c r="C567" s="1">
        <f ca="1">IFERROR(__xludf.DUMMYFUNCTION("""COMPUTED_VALUE"""),462615)</f>
        <v>462615</v>
      </c>
      <c r="D567" s="1" t="str">
        <f ca="1">IFERROR(__xludf.DUMMYFUNCTION("""COMPUTED_VALUE"""),"MNMRGRN")</f>
        <v>MNMRGRN</v>
      </c>
      <c r="E567" s="1" t="str">
        <f ca="1">IFERROR(__xludf.DUMMYFUNCTION("""COMPUTED_VALUE"""),"MONMOREGN")</f>
        <v>MONMOREGN</v>
      </c>
      <c r="F567" s="1">
        <f ca="1">IFERROR(__xludf.DUMMYFUNCTION("""COMPUTED_VALUE"""),65061)</f>
        <v>65061</v>
      </c>
    </row>
    <row r="568" spans="1:6" x14ac:dyDescent="0.3">
      <c r="A568" s="1" t="str">
        <f ca="1">IFERROR(__xludf.DUMMYFUNCTION("""COMPUTED_VALUE"""),"Monmouth Centre")</f>
        <v>Monmouth Centre</v>
      </c>
      <c r="B568" s="1"/>
      <c r="C568" s="1">
        <f ca="1">IFERROR(__xludf.DUMMYFUNCTION("""COMPUTED_VALUE"""),367475)</f>
        <v>367475</v>
      </c>
      <c r="D568" s="1" t="str">
        <f ca="1">IFERROR(__xludf.DUMMYFUNCTION("""COMPUTED_VALUE"""),"MONMCTR")</f>
        <v>MONMCTR</v>
      </c>
      <c r="E568" s="1"/>
      <c r="F568" s="1" t="str">
        <f ca="1">IFERROR(__xludf.DUMMYFUNCTION("""COMPUTED_VALUE"""),"-")</f>
        <v>-</v>
      </c>
    </row>
    <row r="569" spans="1:6" x14ac:dyDescent="0.3">
      <c r="A569" s="1" t="str">
        <f ca="1">IFERROR(__xludf.DUMMYFUNCTION("""COMPUTED_VALUE"""),"Montbeliard")</f>
        <v>Montbeliard</v>
      </c>
      <c r="B569" s="1"/>
      <c r="C569" s="1">
        <f ca="1">IFERROR(__xludf.DUMMYFUNCTION("""COMPUTED_VALUE"""),80671)</f>
        <v>80671</v>
      </c>
      <c r="D569" s="1" t="str">
        <f ca="1">IFERROR(__xludf.DUMMYFUNCTION("""COMPUTED_VALUE"""),"MNTBLRD")</f>
        <v>MNTBLRD</v>
      </c>
      <c r="E569" s="1" t="str">
        <f ca="1">IFERROR(__xludf.DUMMYFUNCTION("""COMPUTED_VALUE"""),"MONTBELRD")</f>
        <v>MONTBELRD</v>
      </c>
      <c r="F569" s="1">
        <f ca="1">IFERROR(__xludf.DUMMYFUNCTION("""COMPUTED_VALUE"""),773)</f>
        <v>773</v>
      </c>
    </row>
    <row r="570" spans="1:6" x14ac:dyDescent="0.3">
      <c r="A570" s="1" t="str">
        <f ca="1">IFERROR(__xludf.DUMMYFUNCTION("""COMPUTED_VALUE"""),"Montpelier")</f>
        <v>Montpelier</v>
      </c>
      <c r="B570" s="1" t="str">
        <f ca="1">IFERROR(__xludf.DUMMYFUNCTION("""COMPUTED_VALUE"""),"MTP")</f>
        <v>MTP</v>
      </c>
      <c r="C570" s="1">
        <f ca="1">IFERROR(__xludf.DUMMYFUNCTION("""COMPUTED_VALUE"""),320300)</f>
        <v>320300</v>
      </c>
      <c r="D570" s="1" t="str">
        <f ca="1">IFERROR(__xludf.DUMMYFUNCTION("""COMPUTED_VALUE"""),"MONPELR")</f>
        <v>MONPELR</v>
      </c>
      <c r="E570" s="1" t="str">
        <f ca="1">IFERROR(__xludf.DUMMYFUNCTION("""COMPUTED_VALUE"""),"MONTPLIER")</f>
        <v>MONTPLIER</v>
      </c>
      <c r="F570" s="1">
        <f ca="1">IFERROR(__xludf.DUMMYFUNCTION("""COMPUTED_VALUE"""),81261)</f>
        <v>81261</v>
      </c>
    </row>
    <row r="571" spans="1:6" x14ac:dyDescent="0.3">
      <c r="A571" s="1" t="str">
        <f ca="1">IFERROR(__xludf.DUMMYFUNCTION("""COMPUTED_VALUE"""),"Montrose")</f>
        <v>Montrose</v>
      </c>
      <c r="B571" s="1" t="str">
        <f ca="1">IFERROR(__xludf.DUMMYFUNCTION("""COMPUTED_VALUE"""),"MTS")</f>
        <v>MTS</v>
      </c>
      <c r="C571" s="1">
        <f ca="1">IFERROR(__xludf.DUMMYFUNCTION("""COMPUTED_VALUE"""),908000)</f>
        <v>908000</v>
      </c>
      <c r="D571" s="1" t="str">
        <f ca="1">IFERROR(__xludf.DUMMYFUNCTION("""COMPUTED_VALUE"""),"MONTRSE")</f>
        <v>MONTRSE</v>
      </c>
      <c r="E571" s="1" t="str">
        <f ca="1">IFERROR(__xludf.DUMMYFUNCTION("""COMPUTED_VALUE"""),"MONTROSE")</f>
        <v>MONTROSE</v>
      </c>
      <c r="F571" s="1">
        <f ca="1">IFERROR(__xludf.DUMMYFUNCTION("""COMPUTED_VALUE"""),3014)</f>
        <v>3014</v>
      </c>
    </row>
    <row r="572" spans="1:6" x14ac:dyDescent="0.3">
      <c r="A572" s="1" t="str">
        <f ca="1">IFERROR(__xludf.DUMMYFUNCTION("""COMPUTED_VALUE"""),"Montrose DB Cargo")</f>
        <v>Montrose DB Cargo</v>
      </c>
      <c r="B572" s="1"/>
      <c r="C572" s="1">
        <f ca="1">IFERROR(__xludf.DUMMYFUNCTION("""COMPUTED_VALUE"""),908003)</f>
        <v>908003</v>
      </c>
      <c r="D572" s="1" t="str">
        <f ca="1">IFERROR(__xludf.DUMMYFUNCTION("""COMPUTED_VALUE"""),"MONTDBC")</f>
        <v>MONTDBC</v>
      </c>
      <c r="E572" s="1"/>
      <c r="F572" s="1">
        <f ca="1">IFERROR(__xludf.DUMMYFUNCTION("""COMPUTED_VALUE"""),3015)</f>
        <v>3015</v>
      </c>
    </row>
    <row r="573" spans="1:6" x14ac:dyDescent="0.3">
      <c r="A573" s="1" t="str">
        <f ca="1">IFERROR(__xludf.DUMMYFUNCTION("""COMPUTED_VALUE"""),"Montrose Down Through Siding")</f>
        <v>Montrose Down Through Siding</v>
      </c>
      <c r="B573" s="1"/>
      <c r="C573" s="1">
        <f ca="1">IFERROR(__xludf.DUMMYFUNCTION("""COMPUTED_VALUE"""),908065)</f>
        <v>908065</v>
      </c>
      <c r="D573" s="1" t="str">
        <f ca="1">IFERROR(__xludf.DUMMYFUNCTION("""COMPUTED_VALUE"""),"MONTDTS")</f>
        <v>MONTDTS</v>
      </c>
      <c r="E573" s="1"/>
      <c r="F573" s="1" t="str">
        <f ca="1">IFERROR(__xludf.DUMMYFUNCTION("""COMPUTED_VALUE"""),"03014*")</f>
        <v>03014*</v>
      </c>
    </row>
    <row r="574" spans="1:6" x14ac:dyDescent="0.3">
      <c r="A574" s="1" t="str">
        <f ca="1">IFERROR(__xludf.DUMMYFUNCTION("""COMPUTED_VALUE"""),"Montrose English Welsh &amp; Scottish Railway")</f>
        <v>Montrose English Welsh &amp; Scottish Railway</v>
      </c>
      <c r="B574" s="1"/>
      <c r="C574" s="1">
        <f ca="1">IFERROR(__xludf.DUMMYFUNCTION("""COMPUTED_VALUE"""),908001)</f>
        <v>908001</v>
      </c>
      <c r="D574" s="1" t="str">
        <f ca="1">IFERROR(__xludf.DUMMYFUNCTION("""COMPUTED_VALUE"""),"MONTEWS")</f>
        <v>MONTEWS</v>
      </c>
      <c r="E574" s="1" t="str">
        <f ca="1">IFERROR(__xludf.DUMMYFUNCTION("""COMPUTED_VALUE"""),"MONTRSE")</f>
        <v>MONTRSE</v>
      </c>
      <c r="F574" s="1">
        <f ca="1">IFERROR(__xludf.DUMMYFUNCTION("""COMPUTED_VALUE"""),3015)</f>
        <v>3015</v>
      </c>
    </row>
    <row r="575" spans="1:6" x14ac:dyDescent="0.3">
      <c r="A575" s="1" t="str">
        <f ca="1">IFERROR(__xludf.DUMMYFUNCTION("""COMPUTED_VALUE"""),"Montrose Signal MD11")</f>
        <v>Montrose Signal MD11</v>
      </c>
      <c r="B575" s="1"/>
      <c r="C575" s="1">
        <f ca="1">IFERROR(__xludf.DUMMYFUNCTION("""COMPUTED_VALUE"""),908004)</f>
        <v>908004</v>
      </c>
      <c r="D575" s="1" t="str">
        <f ca="1">IFERROR(__xludf.DUMMYFUNCTION("""COMPUTED_VALUE"""),"MONTS11")</f>
        <v>MONTS11</v>
      </c>
      <c r="E575" s="1" t="str">
        <f ca="1">IFERROR(__xludf.DUMMYFUNCTION("""COMPUTED_VALUE"""),"MONSIGS11")</f>
        <v>MONSIGS11</v>
      </c>
      <c r="F575" s="1">
        <f ca="1">IFERROR(__xludf.DUMMYFUNCTION("""COMPUTED_VALUE"""),3019)</f>
        <v>3019</v>
      </c>
    </row>
    <row r="576" spans="1:6" x14ac:dyDescent="0.3">
      <c r="A576" s="1" t="str">
        <f ca="1">IFERROR(__xludf.DUMMYFUNCTION("""COMPUTED_VALUE"""),"Montrose South")</f>
        <v>Montrose South</v>
      </c>
      <c r="B576" s="1"/>
      <c r="C576" s="1">
        <f ca="1">IFERROR(__xludf.DUMMYFUNCTION("""COMPUTED_VALUE"""),908061)</f>
        <v>908061</v>
      </c>
      <c r="D576" s="1" t="str">
        <f ca="1">IFERROR(__xludf.DUMMYFUNCTION("""COMPUTED_VALUE"""),"MONTRSS")</f>
        <v>MONTRSS</v>
      </c>
      <c r="E576" s="1" t="str">
        <f ca="1">IFERROR(__xludf.DUMMYFUNCTION("""COMPUTED_VALUE"""),"MONTRSTH")</f>
        <v>MONTRSTH</v>
      </c>
      <c r="F576" s="1">
        <f ca="1">IFERROR(__xludf.DUMMYFUNCTION("""COMPUTED_VALUE"""),3017)</f>
        <v>3017</v>
      </c>
    </row>
    <row r="577" spans="1:6" x14ac:dyDescent="0.3">
      <c r="A577" s="1" t="str">
        <f ca="1">IFERROR(__xludf.DUMMYFUNCTION("""COMPUTED_VALUE"""),"Montrose Through Siding No 1")</f>
        <v>Montrose Through Siding No 1</v>
      </c>
      <c r="B577" s="1"/>
      <c r="C577" s="1">
        <f ca="1">IFERROR(__xludf.DUMMYFUNCTION("""COMPUTED_VALUE"""),908002)</f>
        <v>908002</v>
      </c>
      <c r="D577" s="1" t="str">
        <f ca="1">IFERROR(__xludf.DUMMYFUNCTION("""COMPUTED_VALUE"""),"MONT1SD")</f>
        <v>MONT1SD</v>
      </c>
      <c r="E577" s="1" t="str">
        <f ca="1">IFERROR(__xludf.DUMMYFUNCTION("""COMPUTED_VALUE"""),"MONTRSNO1")</f>
        <v>MONTRSNO1</v>
      </c>
      <c r="F577" s="1">
        <f ca="1">IFERROR(__xludf.DUMMYFUNCTION("""COMPUTED_VALUE"""),3016)</f>
        <v>3016</v>
      </c>
    </row>
    <row r="578" spans="1:6" x14ac:dyDescent="0.3">
      <c r="A578" s="1" t="str">
        <f ca="1">IFERROR(__xludf.DUMMYFUNCTION("""COMPUTED_VALUE"""),"Monument Lane")</f>
        <v>Monument Lane</v>
      </c>
      <c r="B578" s="1"/>
      <c r="C578" s="1">
        <f ca="1">IFERROR(__xludf.DUMMYFUNCTION("""COMPUTED_VALUE"""),112701)</f>
        <v>112701</v>
      </c>
      <c r="D578" s="1" t="str">
        <f ca="1">IFERROR(__xludf.DUMMYFUNCTION("""COMPUTED_VALUE"""),"MNMNTLA")</f>
        <v>MNMNTLA</v>
      </c>
      <c r="E578" s="1" t="str">
        <f ca="1">IFERROR(__xludf.DUMMYFUNCTION("""COMPUTED_VALUE"""),"MONUMNTLN")</f>
        <v>MONUMNTLN</v>
      </c>
      <c r="F578" s="1">
        <f ca="1">IFERROR(__xludf.DUMMYFUNCTION("""COMPUTED_VALUE"""),65830)</f>
        <v>65830</v>
      </c>
    </row>
    <row r="579" spans="1:6" x14ac:dyDescent="0.3">
      <c r="A579" s="1" t="str">
        <f ca="1">IFERROR(__xludf.DUMMYFUNCTION("""COMPUTED_VALUE"""),"Moorfields (loop station)")</f>
        <v>Moorfields (loop station)</v>
      </c>
      <c r="B579" s="1" t="str">
        <f ca="1">IFERROR(__xludf.DUMMYFUNCTION("""COMPUTED_VALUE"""),"MRF")</f>
        <v>MRF</v>
      </c>
      <c r="C579" s="1">
        <f ca="1">IFERROR(__xludf.DUMMYFUNCTION("""COMPUTED_VALUE"""),222600)</f>
        <v>222600</v>
      </c>
      <c r="D579" s="1" t="str">
        <f ca="1">IFERROR(__xludf.DUMMYFUNCTION("""COMPUTED_VALUE"""),"MORFLDS")</f>
        <v>MORFLDS</v>
      </c>
      <c r="E579" s="1" t="str">
        <f ca="1">IFERROR(__xludf.DUMMYFUNCTION("""COMPUTED_VALUE"""),"MORFLDSWL")</f>
        <v>MORFLDSWL</v>
      </c>
      <c r="F579" s="1">
        <f ca="1">IFERROR(__xludf.DUMMYFUNCTION("""COMPUTED_VALUE"""),38181)</f>
        <v>38181</v>
      </c>
    </row>
    <row r="580" spans="1:6" x14ac:dyDescent="0.3">
      <c r="A580" s="1" t="str">
        <f ca="1">IFERROR(__xludf.DUMMYFUNCTION("""COMPUTED_VALUE"""),"Moorfields (Northern line station platform 1)")</f>
        <v>Moorfields (Northern line station platform 1)</v>
      </c>
      <c r="B580" s="1"/>
      <c r="C580" s="1">
        <f ca="1">IFERROR(__xludf.DUMMYFUNCTION("""COMPUTED_VALUE"""),222602)</f>
        <v>222602</v>
      </c>
      <c r="D580" s="1" t="str">
        <f ca="1">IFERROR(__xludf.DUMMYFUNCTION("""COMPUTED_VALUE"""),"MORFPL1")</f>
        <v>MORFPL1</v>
      </c>
      <c r="E580" s="1"/>
      <c r="F580" s="1" t="str">
        <f ca="1">IFERROR(__xludf.DUMMYFUNCTION("""COMPUTED_VALUE"""),"36078*")</f>
        <v>36078*</v>
      </c>
    </row>
    <row r="581" spans="1:6" x14ac:dyDescent="0.3">
      <c r="A581" s="1" t="str">
        <f ca="1">IFERROR(__xludf.DUMMYFUNCTION("""COMPUTED_VALUE"""),"Moorfields (Northern line station platform 2)")</f>
        <v>Moorfields (Northern line station platform 2)</v>
      </c>
      <c r="B581" s="1"/>
      <c r="C581" s="1">
        <f ca="1">IFERROR(__xludf.DUMMYFUNCTION("""COMPUTED_VALUE"""),222603)</f>
        <v>222603</v>
      </c>
      <c r="D581" s="1" t="str">
        <f ca="1">IFERROR(__xludf.DUMMYFUNCTION("""COMPUTED_VALUE"""),"MORFPL2")</f>
        <v>MORFPL2</v>
      </c>
      <c r="E581" s="1"/>
      <c r="F581" s="1" t="str">
        <f ca="1">IFERROR(__xludf.DUMMYFUNCTION("""COMPUTED_VALUE"""),"36078*")</f>
        <v>36078*</v>
      </c>
    </row>
    <row r="582" spans="1:6" x14ac:dyDescent="0.3">
      <c r="A582" s="1" t="str">
        <f ca="1">IFERROR(__xludf.DUMMYFUNCTION("""COMPUTED_VALUE"""),"Moorfields (Northern line station)")</f>
        <v>Moorfields (Northern line station)</v>
      </c>
      <c r="B582" s="1" t="str">
        <f ca="1">IFERROR(__xludf.DUMMYFUNCTION("""COMPUTED_VALUE"""),"XMR")</f>
        <v>XMR</v>
      </c>
      <c r="C582" s="1">
        <f ca="1">IFERROR(__xludf.DUMMYFUNCTION("""COMPUTED_VALUE"""),222601)</f>
        <v>222601</v>
      </c>
      <c r="D582" s="1" t="str">
        <f ca="1">IFERROR(__xludf.DUMMYFUNCTION("""COMPUTED_VALUE"""),"MORFNL")</f>
        <v>MORFNL</v>
      </c>
      <c r="E582" s="1" t="str">
        <f ca="1">IFERROR(__xludf.DUMMYFUNCTION("""COMPUTED_VALUE"""),"MORFLDSNL")</f>
        <v>MORFLDSNL</v>
      </c>
      <c r="F582" s="1">
        <f ca="1">IFERROR(__xludf.DUMMYFUNCTION("""COMPUTED_VALUE"""),36078)</f>
        <v>36078</v>
      </c>
    </row>
    <row r="583" spans="1:6" x14ac:dyDescent="0.3">
      <c r="A583" s="1" t="str">
        <f ca="1">IFERROR(__xludf.DUMMYFUNCTION("""COMPUTED_VALUE"""),"Moorgate (Great Northern)")</f>
        <v>Moorgate (Great Northern)</v>
      </c>
      <c r="B583" s="1" t="str">
        <f ca="1">IFERROR(__xludf.DUMMYFUNCTION("""COMPUTED_VALUE"""),"MOG")</f>
        <v>MOG</v>
      </c>
      <c r="C583" s="1">
        <f ca="1">IFERROR(__xludf.DUMMYFUNCTION("""COMPUTED_VALUE"""),600500)</f>
        <v>600500</v>
      </c>
      <c r="D583" s="1" t="str">
        <f ca="1">IFERROR(__xludf.DUMMYFUNCTION("""COMPUTED_VALUE"""),"MRGT")</f>
        <v>MRGT</v>
      </c>
      <c r="E583" s="1" t="str">
        <f ca="1">IFERROR(__xludf.DUMMYFUNCTION("""COMPUTED_VALUE"""),"MORGATEGN")</f>
        <v>MORGATEGN</v>
      </c>
      <c r="F583" s="1">
        <f ca="1">IFERROR(__xludf.DUMMYFUNCTION("""COMPUTED_VALUE"""),54299)</f>
        <v>54299</v>
      </c>
    </row>
    <row r="584" spans="1:6" x14ac:dyDescent="0.3">
      <c r="A584" s="1" t="str">
        <f ca="1">IFERROR(__xludf.DUMMYFUNCTION("""COMPUTED_VALUE"""),"Moorgate LT")</f>
        <v>Moorgate LT</v>
      </c>
      <c r="B584" s="1" t="str">
        <f ca="1">IFERROR(__xludf.DUMMYFUNCTION("""COMPUTED_VALUE"""),"ZMG")</f>
        <v>ZMG</v>
      </c>
      <c r="C584" s="1">
        <f ca="1">IFERROR(__xludf.DUMMYFUNCTION("""COMPUTED_VALUE"""),64500)</f>
        <v>64500</v>
      </c>
      <c r="D584" s="1" t="str">
        <f ca="1">IFERROR(__xludf.DUMMYFUNCTION("""COMPUTED_VALUE"""),"MORGTLT")</f>
        <v>MORGTLT</v>
      </c>
      <c r="E584" s="1"/>
      <c r="F584" s="1" t="str">
        <f ca="1">IFERROR(__xludf.DUMMYFUNCTION("""COMPUTED_VALUE"""),"-")</f>
        <v>-</v>
      </c>
    </row>
    <row r="585" spans="1:6" x14ac:dyDescent="0.3">
      <c r="A585" s="1" t="str">
        <f ca="1">IFERROR(__xludf.DUMMYFUNCTION("""COMPUTED_VALUE"""),"Moorgate (Midland)")</f>
        <v>Moorgate (Midland)</v>
      </c>
      <c r="B585" s="1" t="str">
        <f ca="1">IFERROR(__xludf.DUMMYFUNCTION("""COMPUTED_VALUE"""),"XMM")</f>
        <v>XMM</v>
      </c>
      <c r="C585" s="1" t="str">
        <f ca="1">IFERROR(__xludf.DUMMYFUNCTION("""COMPUTED_VALUE"""),"142701 950902")</f>
        <v>142701 950902</v>
      </c>
      <c r="D585" s="1" t="str">
        <f ca="1">IFERROR(__xludf.DUMMYFUNCTION("""COMPUTED_VALUE"""),"MGTE MGTLSR")</f>
        <v>MGTE MGTLSR</v>
      </c>
      <c r="E585" s="1" t="str">
        <f ca="1">IFERROR(__xludf.DUMMYFUNCTION("""COMPUTED_VALUE"""),"MORGTETLK")</f>
        <v>MORGTETLK</v>
      </c>
      <c r="F585" s="1" t="str">
        <f ca="1">IFERROR(__xludf.DUMMYFUNCTION("""COMPUTED_VALUE"""),"63636 63636*")</f>
        <v>63636 63636*</v>
      </c>
    </row>
    <row r="586" spans="1:6" x14ac:dyDescent="0.3">
      <c r="A586" s="1" t="str">
        <f ca="1">IFERROR(__xludf.DUMMYFUNCTION("""COMPUTED_VALUE"""),"Moorgate Signal K42")</f>
        <v>Moorgate Signal K42</v>
      </c>
      <c r="B586" s="1"/>
      <c r="C586" s="1">
        <f ca="1">IFERROR(__xludf.DUMMYFUNCTION("""COMPUTED_VALUE"""),600502)</f>
        <v>600502</v>
      </c>
      <c r="D586" s="1" t="str">
        <f ca="1">IFERROR(__xludf.DUMMYFUNCTION("""COMPUTED_VALUE"""),"MRGT42")</f>
        <v>MRGT42</v>
      </c>
      <c r="E586" s="1" t="str">
        <f ca="1">IFERROR(__xludf.DUMMYFUNCTION("""COMPUTED_VALUE"""),"MRGTSIG42")</f>
        <v>MRGTSIG42</v>
      </c>
      <c r="F586" s="1">
        <f ca="1">IFERROR(__xludf.DUMMYFUNCTION("""COMPUTED_VALUE"""),54298)</f>
        <v>54298</v>
      </c>
    </row>
    <row r="587" spans="1:6" x14ac:dyDescent="0.3">
      <c r="A587" s="1" t="str">
        <f ca="1">IFERROR(__xludf.DUMMYFUNCTION("""COMPUTED_VALUE"""),"Moorland Road Junction")</f>
        <v>Moorland Road Junction</v>
      </c>
      <c r="B587" s="1"/>
      <c r="C587" s="1">
        <f ca="1">IFERROR(__xludf.DUMMYFUNCTION("""COMPUTED_VALUE"""),367701)</f>
        <v>367701</v>
      </c>
      <c r="D587" s="1" t="str">
        <f ca="1">IFERROR(__xludf.DUMMYFUNCTION("""COMPUTED_VALUE"""),"MRLDJN")</f>
        <v>MRLDJN</v>
      </c>
      <c r="E587" s="1" t="str">
        <f ca="1">IFERROR(__xludf.DUMMYFUNCTION("""COMPUTED_VALUE"""),"MOORLNDRJ")</f>
        <v>MOORLNDRJ</v>
      </c>
      <c r="F587" s="1">
        <f ca="1">IFERROR(__xludf.DUMMYFUNCTION("""COMPUTED_VALUE"""),77076)</f>
        <v>77076</v>
      </c>
    </row>
    <row r="588" spans="1:6" x14ac:dyDescent="0.3">
      <c r="A588" s="1" t="str">
        <f ca="1">IFERROR(__xludf.DUMMYFUNCTION("""COMPUTED_VALUE"""),"Moor Lane Junction")</f>
        <v>Moor Lane Junction</v>
      </c>
      <c r="B588" s="1"/>
      <c r="C588" s="1">
        <f ca="1">IFERROR(__xludf.DUMMYFUNCTION("""COMPUTED_VALUE"""),567017)</f>
        <v>567017</v>
      </c>
      <c r="D588" s="1" t="str">
        <f ca="1">IFERROR(__xludf.DUMMYFUNCTION("""COMPUTED_VALUE"""),"MRLAJN")</f>
        <v>MRLAJN</v>
      </c>
      <c r="E588" s="1"/>
      <c r="F588" s="1" t="str">
        <f ca="1">IFERROR(__xludf.DUMMYFUNCTION("""COMPUTED_VALUE"""),"-")</f>
        <v>-</v>
      </c>
    </row>
    <row r="589" spans="1:6" x14ac:dyDescent="0.3">
      <c r="A589" s="1" t="str">
        <f ca="1">IFERROR(__xludf.DUMMYFUNCTION("""COMPUTED_VALUE"""),"Moor Park")</f>
        <v>Moor Park</v>
      </c>
      <c r="B589" s="1" t="str">
        <f ca="1">IFERROR(__xludf.DUMMYFUNCTION("""COMPUTED_VALUE"""),"MPA")</f>
        <v>MPA</v>
      </c>
      <c r="C589" s="1">
        <f ca="1">IFERROR(__xludf.DUMMYFUNCTION("""COMPUTED_VALUE"""),64600)</f>
        <v>64600</v>
      </c>
      <c r="D589" s="1" t="str">
        <f ca="1">IFERROR(__xludf.DUMMYFUNCTION("""COMPUTED_VALUE"""),"MOORPK")</f>
        <v>MOORPK</v>
      </c>
      <c r="E589" s="1" t="str">
        <f ca="1">IFERROR(__xludf.DUMMYFUNCTION("""COMPUTED_VALUE"""),"MOOR PARK")</f>
        <v>MOOR PARK</v>
      </c>
      <c r="F589" s="1">
        <f ca="1">IFERROR(__xludf.DUMMYFUNCTION("""COMPUTED_VALUE"""),70378)</f>
        <v>70378</v>
      </c>
    </row>
    <row r="590" spans="1:6" x14ac:dyDescent="0.3">
      <c r="A590" s="1" t="str">
        <f ca="1">IFERROR(__xludf.DUMMYFUNCTION("""COMPUTED_VALUE"""),"Moor Park LT")</f>
        <v>Moor Park LT</v>
      </c>
      <c r="B590" s="1" t="str">
        <f ca="1">IFERROR(__xludf.DUMMYFUNCTION("""COMPUTED_VALUE"""),"ZMP")</f>
        <v>ZMP</v>
      </c>
      <c r="C590" s="1">
        <f ca="1">IFERROR(__xludf.DUMMYFUNCTION("""COMPUTED_VALUE"""),64600)</f>
        <v>64600</v>
      </c>
      <c r="D590" s="1" t="str">
        <f ca="1">IFERROR(__xludf.DUMMYFUNCTION("""COMPUTED_VALUE"""),"MOORPK")</f>
        <v>MOORPK</v>
      </c>
      <c r="E590" s="1" t="str">
        <f ca="1">IFERROR(__xludf.DUMMYFUNCTION("""COMPUTED_VALUE"""),"MOOR PARK")</f>
        <v>MOOR PARK</v>
      </c>
      <c r="F590" s="1">
        <f ca="1">IFERROR(__xludf.DUMMYFUNCTION("""COMPUTED_VALUE"""),70378)</f>
        <v>70378</v>
      </c>
    </row>
    <row r="591" spans="1:6" x14ac:dyDescent="0.3">
      <c r="A591" s="1" t="str">
        <f ca="1">IFERROR(__xludf.DUMMYFUNCTION("""COMPUTED_VALUE"""),"Moor Park Pinner")</f>
        <v>Moor Park Pinner</v>
      </c>
      <c r="B591" s="1"/>
      <c r="C591" s="1">
        <f ca="1">IFERROR(__xludf.DUMMYFUNCTION("""COMPUTED_VALUE"""),64601)</f>
        <v>64601</v>
      </c>
      <c r="D591" s="1" t="str">
        <f ca="1">IFERROR(__xludf.DUMMYFUNCTION("""COMPUTED_VALUE"""),"MOORPIN")</f>
        <v>MOORPIN</v>
      </c>
      <c r="E591" s="1" t="str">
        <f ca="1">IFERROR(__xludf.DUMMYFUNCTION("""COMPUTED_VALUE"""),"PINNER")</f>
        <v>PINNER</v>
      </c>
      <c r="F591" s="1">
        <f ca="1">IFERROR(__xludf.DUMMYFUNCTION("""COMPUTED_VALUE"""),70380)</f>
        <v>70380</v>
      </c>
    </row>
    <row r="592" spans="1:6" x14ac:dyDescent="0.3">
      <c r="A592" s="1" t="str">
        <f ca="1">IFERROR(__xludf.DUMMYFUNCTION("""COMPUTED_VALUE"""),"Moor Road Metrolink")</f>
        <v>Moor Road Metrolink</v>
      </c>
      <c r="B592" s="1" t="str">
        <f ca="1">IFERROR(__xludf.DUMMYFUNCTION("""COMPUTED_VALUE"""),"MDM")</f>
        <v>MDM</v>
      </c>
      <c r="C592" s="1"/>
      <c r="D592" s="1" t="str">
        <f ca="1">IFERROR(__xludf.DUMMYFUNCTION("""COMPUTED_VALUE"""),"MRDMTLK")</f>
        <v>MRDMTLK</v>
      </c>
      <c r="E592" s="1"/>
      <c r="F592" s="1" t="str">
        <f ca="1">IFERROR(__xludf.DUMMYFUNCTION("""COMPUTED_VALUE"""),"-")</f>
        <v>-</v>
      </c>
    </row>
    <row r="593" spans="1:6" x14ac:dyDescent="0.3">
      <c r="A593" s="1" t="str">
        <f ca="1">IFERROR(__xludf.DUMMYFUNCTION("""COMPUTED_VALUE"""),"Moorside")</f>
        <v>Moorside</v>
      </c>
      <c r="B593" s="1" t="str">
        <f ca="1">IFERROR(__xludf.DUMMYFUNCTION("""COMPUTED_VALUE"""),"MSD")</f>
        <v>MSD</v>
      </c>
      <c r="C593" s="1">
        <f ca="1">IFERROR(__xludf.DUMMYFUNCTION("""COMPUTED_VALUE"""),279900)</f>
        <v>279900</v>
      </c>
      <c r="D593" s="1" t="str">
        <f ca="1">IFERROR(__xludf.DUMMYFUNCTION("""COMPUTED_VALUE"""),"MRSD")</f>
        <v>MRSD</v>
      </c>
      <c r="E593" s="1" t="str">
        <f ca="1">IFERROR(__xludf.DUMMYFUNCTION("""COMPUTED_VALUE"""),"MOORSIDE")</f>
        <v>MOORSIDE</v>
      </c>
      <c r="F593" s="1">
        <f ca="1">IFERROR(__xludf.DUMMYFUNCTION("""COMPUTED_VALUE"""),35144)</f>
        <v>35144</v>
      </c>
    </row>
    <row r="594" spans="1:6" x14ac:dyDescent="0.3">
      <c r="A594" s="1" t="str">
        <f ca="1">IFERROR(__xludf.DUMMYFUNCTION("""COMPUTED_VALUE"""),"Moorthorpe")</f>
        <v>Moorthorpe</v>
      </c>
      <c r="B594" s="1" t="str">
        <f ca="1">IFERROR(__xludf.DUMMYFUNCTION("""COMPUTED_VALUE"""),"MRP")</f>
        <v>MRP</v>
      </c>
      <c r="C594" s="1">
        <f ca="1">IFERROR(__xludf.DUMMYFUNCTION("""COMPUTED_VALUE"""),853900)</f>
        <v>853900</v>
      </c>
      <c r="D594" s="1" t="str">
        <f ca="1">IFERROR(__xludf.DUMMYFUNCTION("""COMPUTED_VALUE"""),"MORTHRP")</f>
        <v>MORTHRP</v>
      </c>
      <c r="E594" s="1" t="str">
        <f ca="1">IFERROR(__xludf.DUMMYFUNCTION("""COMPUTED_VALUE"""),"MOORTHORP")</f>
        <v>MOORTHORP</v>
      </c>
      <c r="F594" s="1">
        <f ca="1">IFERROR(__xludf.DUMMYFUNCTION("""COMPUTED_VALUE"""),18305)</f>
        <v>18305</v>
      </c>
    </row>
    <row r="595" spans="1:6" x14ac:dyDescent="0.3">
      <c r="A595" s="1" t="str">
        <f ca="1">IFERROR(__xludf.DUMMYFUNCTION("""COMPUTED_VALUE"""),"Moorthorpe Goods Loop")</f>
        <v>Moorthorpe Goods Loop</v>
      </c>
      <c r="B595" s="1"/>
      <c r="C595" s="1">
        <f ca="1">IFERROR(__xludf.DUMMYFUNCTION("""COMPUTED_VALUE"""),853912)</f>
        <v>853912</v>
      </c>
      <c r="D595" s="1" t="str">
        <f ca="1">IFERROR(__xludf.DUMMYFUNCTION("""COMPUTED_VALUE"""),"MORTHGL")</f>
        <v>MORTHGL</v>
      </c>
      <c r="E595" s="1" t="str">
        <f ca="1">IFERROR(__xludf.DUMMYFUNCTION("""COMPUTED_VALUE"""),"MOORTHPLP")</f>
        <v>MOORTHPLP</v>
      </c>
      <c r="F595" s="1">
        <f ca="1">IFERROR(__xludf.DUMMYFUNCTION("""COMPUTED_VALUE"""),18303)</f>
        <v>18303</v>
      </c>
    </row>
    <row r="596" spans="1:6" x14ac:dyDescent="0.3">
      <c r="A596" s="1" t="str">
        <f ca="1">IFERROR(__xludf.DUMMYFUNCTION("""COMPUTED_VALUE"""),"Moorthorpe Signal L6586")</f>
        <v>Moorthorpe Signal L6586</v>
      </c>
      <c r="B596" s="1"/>
      <c r="C596" s="1">
        <f ca="1">IFERROR(__xludf.DUMMYFUNCTION("""COMPUTED_VALUE"""),853901)</f>
        <v>853901</v>
      </c>
      <c r="D596" s="1" t="str">
        <f ca="1">IFERROR(__xludf.DUMMYFUNCTION("""COMPUTED_VALUE"""),"MORT586")</f>
        <v>MORT586</v>
      </c>
      <c r="E596" s="1" t="str">
        <f ca="1">IFERROR(__xludf.DUMMYFUNCTION("""COMPUTED_VALUE"""),"MOORT6586")</f>
        <v>MOORT6586</v>
      </c>
      <c r="F596" s="1">
        <f ca="1">IFERROR(__xludf.DUMMYFUNCTION("""COMPUTED_VALUE"""),18304)</f>
        <v>18304</v>
      </c>
    </row>
    <row r="597" spans="1:6" x14ac:dyDescent="0.3">
      <c r="A597" s="1" t="str">
        <f ca="1">IFERROR(__xludf.DUMMYFUNCTION("""COMPUTED_VALUE"""),"Moorthorpe South Junction")</f>
        <v>Moorthorpe South Junction</v>
      </c>
      <c r="B597" s="1"/>
      <c r="C597" s="1">
        <f ca="1">IFERROR(__xludf.DUMMYFUNCTION("""COMPUTED_VALUE"""),853911)</f>
        <v>853911</v>
      </c>
      <c r="D597" s="1" t="str">
        <f ca="1">IFERROR(__xludf.DUMMYFUNCTION("""COMPUTED_VALUE"""),"MORTHSJ")</f>
        <v>MORTHSJ</v>
      </c>
      <c r="E597" s="1"/>
      <c r="F597" s="1" t="str">
        <f ca="1">IFERROR(__xludf.DUMMYFUNCTION("""COMPUTED_VALUE"""),"18305*")</f>
        <v>18305*</v>
      </c>
    </row>
    <row r="598" spans="1:6" x14ac:dyDescent="0.3">
      <c r="A598" s="1" t="str">
        <f ca="1">IFERROR(__xludf.DUMMYFUNCTION("""COMPUTED_VALUE"""),"Morar")</f>
        <v>Morar</v>
      </c>
      <c r="B598" s="1" t="str">
        <f ca="1">IFERROR(__xludf.DUMMYFUNCTION("""COMPUTED_VALUE"""),"MRR")</f>
        <v>MRR</v>
      </c>
      <c r="C598" s="1">
        <f ca="1">IFERROR(__xludf.DUMMYFUNCTION("""COMPUTED_VALUE"""),883300)</f>
        <v>883300</v>
      </c>
      <c r="D598" s="1" t="str">
        <f ca="1">IFERROR(__xludf.DUMMYFUNCTION("""COMPUTED_VALUE"""),"MORAR")</f>
        <v>MORAR</v>
      </c>
      <c r="E598" s="1" t="str">
        <f ca="1">IFERROR(__xludf.DUMMYFUNCTION("""COMPUTED_VALUE"""),"MORAR")</f>
        <v>MORAR</v>
      </c>
      <c r="F598" s="1">
        <f ca="1">IFERROR(__xludf.DUMMYFUNCTION("""COMPUTED_VALUE"""),6002)</f>
        <v>6002</v>
      </c>
    </row>
    <row r="599" spans="1:6" x14ac:dyDescent="0.3">
      <c r="A599" s="1" t="str">
        <f ca="1">IFERROR(__xludf.DUMMYFUNCTION("""COMPUTED_VALUE"""),"Morchard Road")</f>
        <v>Morchard Road</v>
      </c>
      <c r="B599" s="1" t="str">
        <f ca="1">IFERROR(__xludf.DUMMYFUNCTION("""COMPUTED_VALUE"""),"MRD")</f>
        <v>MRD</v>
      </c>
      <c r="C599" s="1">
        <f ca="1">IFERROR(__xludf.DUMMYFUNCTION("""COMPUTED_VALUE"""),582500)</f>
        <v>582500</v>
      </c>
      <c r="D599" s="1" t="str">
        <f ca="1">IFERROR(__xludf.DUMMYFUNCTION("""COMPUTED_VALUE"""),"MOCHARD")</f>
        <v>MOCHARD</v>
      </c>
      <c r="E599" s="1" t="str">
        <f ca="1">IFERROR(__xludf.DUMMYFUNCTION("""COMPUTED_VALUE"""),"MORCHRDRD")</f>
        <v>MORCHRDRD</v>
      </c>
      <c r="F599" s="1">
        <f ca="1">IFERROR(__xludf.DUMMYFUNCTION("""COMPUTED_VALUE"""),83236)</f>
        <v>83236</v>
      </c>
    </row>
    <row r="600" spans="1:6" x14ac:dyDescent="0.3">
      <c r="A600" s="1" t="str">
        <f ca="1">IFERROR(__xludf.DUMMYFUNCTION("""COMPUTED_VALUE"""),"Morden Level Crossing Signal NF7194")</f>
        <v>Morden Level Crossing Signal NF7194</v>
      </c>
      <c r="B600" s="1"/>
      <c r="C600" s="1">
        <f ca="1">IFERROR(__xludf.DUMMYFUNCTION("""COMPUTED_VALUE"""),530301)</f>
        <v>530301</v>
      </c>
      <c r="D600" s="1" t="str">
        <f ca="1">IFERROR(__xludf.DUMMYFUNCTION("""COMPUTED_VALUE"""),"MRDN194")</f>
        <v>MRDN194</v>
      </c>
      <c r="E600" s="1" t="str">
        <f ca="1">IFERROR(__xludf.DUMMYFUNCTION("""COMPUTED_VALUE"""),"MRDLC7194")</f>
        <v>MRDLC7194</v>
      </c>
      <c r="F600" s="1">
        <f ca="1">IFERROR(__xludf.DUMMYFUNCTION("""COMPUTED_VALUE"""),15124)</f>
        <v>15124</v>
      </c>
    </row>
    <row r="601" spans="1:6" x14ac:dyDescent="0.3">
      <c r="A601" s="1" t="str">
        <f ca="1">IFERROR(__xludf.DUMMYFUNCTION("""COMPUTED_VALUE"""),"Morden Level Crossing Signal NF7195")</f>
        <v>Morden Level Crossing Signal NF7195</v>
      </c>
      <c r="B601" s="1"/>
      <c r="C601" s="1">
        <f ca="1">IFERROR(__xludf.DUMMYFUNCTION("""COMPUTED_VALUE"""),530302)</f>
        <v>530302</v>
      </c>
      <c r="D601" s="1" t="str">
        <f ca="1">IFERROR(__xludf.DUMMYFUNCTION("""COMPUTED_VALUE"""),"MRDN195")</f>
        <v>MRDN195</v>
      </c>
      <c r="E601" s="1" t="str">
        <f ca="1">IFERROR(__xludf.DUMMYFUNCTION("""COMPUTED_VALUE"""),"MRDLC7195")</f>
        <v>MRDLC7195</v>
      </c>
      <c r="F601" s="1">
        <f ca="1">IFERROR(__xludf.DUMMYFUNCTION("""COMPUTED_VALUE"""),15126)</f>
        <v>15126</v>
      </c>
    </row>
    <row r="602" spans="1:6" x14ac:dyDescent="0.3">
      <c r="A602" s="1" t="str">
        <f ca="1">IFERROR(__xludf.DUMMYFUNCTION("""COMPUTED_VALUE"""),"Morden Road")</f>
        <v>Morden Road</v>
      </c>
      <c r="B602" s="1" t="str">
        <f ca="1">IFERROR(__xludf.DUMMYFUNCTION("""COMPUTED_VALUE"""),"MDR")</f>
        <v>MDR</v>
      </c>
      <c r="C602" s="1">
        <f ca="1">IFERROR(__xludf.DUMMYFUNCTION("""COMPUTED_VALUE"""),530300)</f>
        <v>530300</v>
      </c>
      <c r="D602" s="1" t="str">
        <f ca="1">IFERROR(__xludf.DUMMYFUNCTION("""COMPUTED_VALUE"""),"MRDNRD")</f>
        <v>MRDNRD</v>
      </c>
      <c r="E602" s="1" t="str">
        <f ca="1">IFERROR(__xludf.DUMMYFUNCTION("""COMPUTED_VALUE"""),"MORDEN RD")</f>
        <v>MORDEN RD</v>
      </c>
      <c r="F602" s="1">
        <f ca="1">IFERROR(__xludf.DUMMYFUNCTION("""COMPUTED_VALUE"""),87355)</f>
        <v>87355</v>
      </c>
    </row>
    <row r="603" spans="1:6" x14ac:dyDescent="0.3">
      <c r="A603" s="1" t="str">
        <f ca="1">IFERROR(__xludf.DUMMYFUNCTION("""COMPUTED_VALUE"""),"Morden South")</f>
        <v>Morden South</v>
      </c>
      <c r="B603" s="1" t="str">
        <f ca="1">IFERROR(__xludf.DUMMYFUNCTION("""COMPUTED_VALUE"""),"MDS")</f>
        <v>MDS</v>
      </c>
      <c r="C603" s="1">
        <f ca="1">IFERROR(__xludf.DUMMYFUNCTION("""COMPUTED_VALUE"""),529100)</f>
        <v>529100</v>
      </c>
      <c r="D603" s="1" t="str">
        <f ca="1">IFERROR(__xludf.DUMMYFUNCTION("""COMPUTED_VALUE"""),"MORDENS")</f>
        <v>MORDENS</v>
      </c>
      <c r="E603" s="1" t="str">
        <f ca="1">IFERROR(__xludf.DUMMYFUNCTION("""COMPUTED_VALUE"""),"MORDENSTH")</f>
        <v>MORDENSTH</v>
      </c>
      <c r="F603" s="1">
        <f ca="1">IFERROR(__xludf.DUMMYFUNCTION("""COMPUTED_VALUE"""),87331)</f>
        <v>87331</v>
      </c>
    </row>
    <row r="604" spans="1:6" x14ac:dyDescent="0.3">
      <c r="A604" s="1" t="str">
        <f ca="1">IFERROR(__xludf.DUMMYFUNCTION("""COMPUTED_VALUE"""),"Morecambe")</f>
        <v>Morecambe</v>
      </c>
      <c r="B604" s="1" t="str">
        <f ca="1">IFERROR(__xludf.DUMMYFUNCTION("""COMPUTED_VALUE"""),"MCM")</f>
        <v>MCM</v>
      </c>
      <c r="C604" s="1">
        <f ca="1">IFERROR(__xludf.DUMMYFUNCTION("""COMPUTED_VALUE"""),269500)</f>
        <v>269500</v>
      </c>
      <c r="D604" s="1" t="str">
        <f ca="1">IFERROR(__xludf.DUMMYFUNCTION("""COMPUTED_VALUE"""),"MORCAME")</f>
        <v>MORCAME</v>
      </c>
      <c r="E604" s="1" t="str">
        <f ca="1">IFERROR(__xludf.DUMMYFUNCTION("""COMPUTED_VALUE"""),"MORECAMBE")</f>
        <v>MORECAMBE</v>
      </c>
      <c r="F604" s="1">
        <f ca="1">IFERROR(__xludf.DUMMYFUNCTION("""COMPUTED_VALUE"""),11701)</f>
        <v>11701</v>
      </c>
    </row>
    <row r="605" spans="1:6" x14ac:dyDescent="0.3">
      <c r="A605" s="1" t="str">
        <f ca="1">IFERROR(__xludf.DUMMYFUNCTION("""COMPUTED_VALUE"""),"Morecambe Junction Ground Frame")</f>
        <v>Morecambe Junction Ground Frame</v>
      </c>
      <c r="B605" s="1"/>
      <c r="C605" s="1">
        <f ca="1">IFERROR(__xludf.DUMMYFUNCTION("""COMPUTED_VALUE"""),269510)</f>
        <v>269510</v>
      </c>
      <c r="D605" s="1" t="str">
        <f ca="1">IFERROR(__xludf.DUMMYFUNCTION("""COMPUTED_VALUE"""),"MORCJGF")</f>
        <v>MORCJGF</v>
      </c>
      <c r="E605" s="1" t="str">
        <f ca="1">IFERROR(__xludf.DUMMYFUNCTION("""COMPUTED_VALUE"""),"MORECJ GF")</f>
        <v>MORECJ GF</v>
      </c>
      <c r="F605" s="1">
        <f ca="1">IFERROR(__xludf.DUMMYFUNCTION("""COMPUTED_VALUE"""),11703)</f>
        <v>11703</v>
      </c>
    </row>
    <row r="606" spans="1:6" x14ac:dyDescent="0.3">
      <c r="A606" s="1" t="str">
        <f ca="1">IFERROR(__xludf.DUMMYFUNCTION("""COMPUTED_VALUE"""),"Morecambe South Junction")</f>
        <v>Morecambe South Junction</v>
      </c>
      <c r="B606" s="1"/>
      <c r="C606" s="1">
        <f ca="1">IFERROR(__xludf.DUMMYFUNCTION("""COMPUTED_VALUE"""),268502)</f>
        <v>268502</v>
      </c>
      <c r="D606" s="1" t="str">
        <f ca="1">IFERROR(__xludf.DUMMYFUNCTION("""COMPUTED_VALUE"""),"MORCMSJ")</f>
        <v>MORCMSJ</v>
      </c>
      <c r="E606" s="1" t="str">
        <f ca="1">IFERROR(__xludf.DUMMYFUNCTION("""COMPUTED_VALUE"""),"MORCM SJN")</f>
        <v>MORCM SJN</v>
      </c>
      <c r="F606" s="1">
        <f ca="1">IFERROR(__xludf.DUMMYFUNCTION("""COMPUTED_VALUE"""),11718)</f>
        <v>11718</v>
      </c>
    </row>
    <row r="607" spans="1:6" x14ac:dyDescent="0.3">
      <c r="A607" s="1" t="str">
        <f ca="1">IFERROR(__xludf.DUMMYFUNCTION("""COMPUTED_VALUE"""),"Moreton Cutting")</f>
        <v>Moreton Cutting</v>
      </c>
      <c r="B607" s="1"/>
      <c r="C607" s="1">
        <f ca="1">IFERROR(__xludf.DUMMYFUNCTION("""COMPUTED_VALUE"""),303059)</f>
        <v>303059</v>
      </c>
      <c r="D607" s="1" t="str">
        <f ca="1">IFERROR(__xludf.DUMMYFUNCTION("""COMPUTED_VALUE"""),"MRTNCUT")</f>
        <v>MRTNCUT</v>
      </c>
      <c r="E607" s="1" t="str">
        <f ca="1">IFERROR(__xludf.DUMMYFUNCTION("""COMPUTED_VALUE"""),"MORETON C")</f>
        <v>MORETON C</v>
      </c>
      <c r="F607" s="1">
        <f ca="1">IFERROR(__xludf.DUMMYFUNCTION("""COMPUTED_VALUE"""),74305)</f>
        <v>74305</v>
      </c>
    </row>
    <row r="608" spans="1:6" x14ac:dyDescent="0.3">
      <c r="A608" s="1" t="str">
        <f ca="1">IFERROR(__xludf.DUMMYFUNCTION("""COMPUTED_VALUE"""),"Moreton (Dorset)")</f>
        <v>Moreton (Dorset)</v>
      </c>
      <c r="B608" s="1" t="str">
        <f ca="1">IFERROR(__xludf.DUMMYFUNCTION("""COMPUTED_VALUE"""),"MTN")</f>
        <v>MTN</v>
      </c>
      <c r="C608" s="1">
        <f ca="1">IFERROR(__xludf.DUMMYFUNCTION("""COMPUTED_VALUE"""),595700)</f>
        <v>595700</v>
      </c>
      <c r="D608" s="1" t="str">
        <f ca="1">IFERROR(__xludf.DUMMYFUNCTION("""COMPUTED_VALUE"""),"MORETON")</f>
        <v>MORETON</v>
      </c>
      <c r="E608" s="1" t="str">
        <f ca="1">IFERROR(__xludf.DUMMYFUNCTION("""COMPUTED_VALUE"""),"MORETON")</f>
        <v>MORETON</v>
      </c>
      <c r="F608" s="1">
        <f ca="1">IFERROR(__xludf.DUMMYFUNCTION("""COMPUTED_VALUE"""),86975)</f>
        <v>86975</v>
      </c>
    </row>
    <row r="609" spans="1:6" x14ac:dyDescent="0.3">
      <c r="A609" s="1" t="str">
        <f ca="1">IFERROR(__xludf.DUMMYFUNCTION("""COMPUTED_VALUE"""),"Moretonhampstead Court Street")</f>
        <v>Moretonhampstead Court Street</v>
      </c>
      <c r="B609" s="1" t="str">
        <f ca="1">IFERROR(__xludf.DUMMYFUNCTION("""COMPUTED_VALUE"""),"XEK")</f>
        <v>XEK</v>
      </c>
      <c r="C609" s="1">
        <f ca="1">IFERROR(__xludf.DUMMYFUNCTION("""COMPUTED_VALUE"""),341069)</f>
        <v>341069</v>
      </c>
      <c r="D609" s="1" t="str">
        <f ca="1">IFERROR(__xludf.DUMMYFUNCTION("""COMPUTED_VALUE"""),"MRTECTR")</f>
        <v>MRTECTR</v>
      </c>
      <c r="E609" s="1"/>
      <c r="F609" s="1" t="str">
        <f ca="1">IFERROR(__xludf.DUMMYFUNCTION("""COMPUTED_VALUE"""),"-")</f>
        <v>-</v>
      </c>
    </row>
    <row r="610" spans="1:6" x14ac:dyDescent="0.3">
      <c r="A610" s="1" t="str">
        <f ca="1">IFERROR(__xludf.DUMMYFUNCTION("""COMPUTED_VALUE"""),"Moreton-in-Marsh")</f>
        <v>Moreton-in-Marsh</v>
      </c>
      <c r="B610" s="1" t="str">
        <f ca="1">IFERROR(__xludf.DUMMYFUNCTION("""COMPUTED_VALUE"""),"MIM")</f>
        <v>MIM</v>
      </c>
      <c r="C610" s="1">
        <f ca="1">IFERROR(__xludf.DUMMYFUNCTION("""COMPUTED_VALUE"""),481400)</f>
        <v>481400</v>
      </c>
      <c r="D610" s="1" t="str">
        <f ca="1">IFERROR(__xludf.DUMMYFUNCTION("""COMPUTED_VALUE"""),"MINMARS")</f>
        <v>MINMARS</v>
      </c>
      <c r="E610" s="1" t="str">
        <f ca="1">IFERROR(__xludf.DUMMYFUNCTION("""COMPUTED_VALUE"""),"MORTONINM")</f>
        <v>MORTONINM</v>
      </c>
      <c r="F610" s="1">
        <f ca="1">IFERROR(__xludf.DUMMYFUNCTION("""COMPUTED_VALUE"""),67359)</f>
        <v>67359</v>
      </c>
    </row>
    <row r="611" spans="1:6" x14ac:dyDescent="0.3">
      <c r="A611" s="1" t="str">
        <f ca="1">IFERROR(__xludf.DUMMYFUNCTION("""COMPUTED_VALUE"""),"Moreton-in-Marsh Direct Rail Services")</f>
        <v>Moreton-in-Marsh Direct Rail Services</v>
      </c>
      <c r="B611" s="1"/>
      <c r="C611" s="1">
        <f ca="1">IFERROR(__xludf.DUMMYFUNCTION("""COMPUTED_VALUE"""),481401)</f>
        <v>481401</v>
      </c>
      <c r="D611" s="1" t="str">
        <f ca="1">IFERROR(__xludf.DUMMYFUNCTION("""COMPUTED_VALUE"""),"MINMDRS")</f>
        <v>MINMDRS</v>
      </c>
      <c r="E611" s="1" t="str">
        <f ca="1">IFERROR(__xludf.DUMMYFUNCTION("""COMPUTED_VALUE"""),"MRTNINDRS")</f>
        <v>MRTNINDRS</v>
      </c>
      <c r="F611" s="1">
        <f ca="1">IFERROR(__xludf.DUMMYFUNCTION("""COMPUTED_VALUE"""),67358)</f>
        <v>67358</v>
      </c>
    </row>
    <row r="612" spans="1:6" x14ac:dyDescent="0.3">
      <c r="A612" s="1" t="str">
        <f ca="1">IFERROR(__xludf.DUMMYFUNCTION("""COMPUTED_VALUE"""),"Moreton-in-Marsh Signal MM21")</f>
        <v>Moreton-in-Marsh Signal MM21</v>
      </c>
      <c r="B612" s="1"/>
      <c r="C612" s="1">
        <f ca="1">IFERROR(__xludf.DUMMYFUNCTION("""COMPUTED_VALUE"""),481402)</f>
        <v>481402</v>
      </c>
      <c r="D612" s="1" t="str">
        <f ca="1">IFERROR(__xludf.DUMMYFUNCTION("""COMPUTED_VALUE"""),"MINM221")</f>
        <v>MINM221</v>
      </c>
      <c r="E612" s="1"/>
      <c r="F612" s="1">
        <f ca="1">IFERROR(__xludf.DUMMYFUNCTION("""COMPUTED_VALUE"""),67367)</f>
        <v>67367</v>
      </c>
    </row>
    <row r="613" spans="1:6" x14ac:dyDescent="0.3">
      <c r="A613" s="1" t="str">
        <f ca="1">IFERROR(__xludf.DUMMYFUNCTION("""COMPUTED_VALUE"""),"Moreton (Merseyside)")</f>
        <v>Moreton (Merseyside)</v>
      </c>
      <c r="B613" s="1" t="str">
        <f ca="1">IFERROR(__xludf.DUMMYFUNCTION("""COMPUTED_VALUE"""),"MRT")</f>
        <v>MRT</v>
      </c>
      <c r="C613" s="1">
        <f ca="1">IFERROR(__xludf.DUMMYFUNCTION("""COMPUTED_VALUE"""),215100)</f>
        <v>215100</v>
      </c>
      <c r="D613" s="1" t="str">
        <f ca="1">IFERROR(__xludf.DUMMYFUNCTION("""COMPUTED_VALUE"""),"MOTO")</f>
        <v>MOTO</v>
      </c>
      <c r="E613" s="1" t="str">
        <f ca="1">IFERROR(__xludf.DUMMYFUNCTION("""COMPUTED_VALUE"""),"MORETN")</f>
        <v>MORETN</v>
      </c>
      <c r="F613" s="1">
        <f ca="1">IFERROR(__xludf.DUMMYFUNCTION("""COMPUTED_VALUE"""),38008)</f>
        <v>38008</v>
      </c>
    </row>
    <row r="614" spans="1:6" x14ac:dyDescent="0.3">
      <c r="A614" s="1" t="str">
        <f ca="1">IFERROR(__xludf.DUMMYFUNCTION("""COMPUTED_VALUE"""),"Moreton-On-Lugg")</f>
        <v>Moreton-On-Lugg</v>
      </c>
      <c r="B614" s="1"/>
      <c r="C614" s="1">
        <f ca="1">IFERROR(__xludf.DUMMYFUNCTION("""COMPUTED_VALUE"""),361700)</f>
        <v>361700</v>
      </c>
      <c r="D614" s="1" t="str">
        <f ca="1">IFERROR(__xludf.DUMMYFUNCTION("""COMPUTED_VALUE"""),"MRTNONL")</f>
        <v>MRTNONL</v>
      </c>
      <c r="E614" s="1" t="str">
        <f ca="1">IFERROR(__xludf.DUMMYFUNCTION("""COMPUTED_VALUE"""),"MORTONOLG")</f>
        <v>MORTONOLG</v>
      </c>
      <c r="F614" s="1">
        <f ca="1">IFERROR(__xludf.DUMMYFUNCTION("""COMPUTED_VALUE"""),76371)</f>
        <v>76371</v>
      </c>
    </row>
    <row r="615" spans="1:6" x14ac:dyDescent="0.3">
      <c r="A615" s="1" t="str">
        <f ca="1">IFERROR(__xludf.DUMMYFUNCTION("""COMPUTED_VALUE"""),"Moreton-On-Lugg Freightliner Heavy Haul")</f>
        <v>Moreton-On-Lugg Freightliner Heavy Haul</v>
      </c>
      <c r="B615" s="1"/>
      <c r="C615" s="1">
        <f ca="1">IFERROR(__xludf.DUMMYFUNCTION("""COMPUTED_VALUE"""),361702)</f>
        <v>361702</v>
      </c>
      <c r="D615" s="1" t="str">
        <f ca="1">IFERROR(__xludf.DUMMYFUNCTION("""COMPUTED_VALUE"""),"MRTNFHH")</f>
        <v>MRTNFHH</v>
      </c>
      <c r="E615" s="1" t="str">
        <f ca="1">IFERROR(__xludf.DUMMYFUNCTION("""COMPUTED_VALUE"""),"MORTONLUG")</f>
        <v>MORTONLUG</v>
      </c>
      <c r="F615" s="1">
        <f ca="1">IFERROR(__xludf.DUMMYFUNCTION("""COMPUTED_VALUE"""),76365)</f>
        <v>76365</v>
      </c>
    </row>
    <row r="616" spans="1:6" x14ac:dyDescent="0.3">
      <c r="A616" s="1" t="str">
        <f ca="1">IFERROR(__xludf.DUMMYFUNCTION("""COMPUTED_VALUE"""),"Moreton-On-Lugg GB Railfreight")</f>
        <v>Moreton-On-Lugg GB Railfreight</v>
      </c>
      <c r="B616" s="1"/>
      <c r="C616" s="1">
        <f ca="1">IFERROR(__xludf.DUMMYFUNCTION("""COMPUTED_VALUE"""),361703)</f>
        <v>361703</v>
      </c>
      <c r="D616" s="1" t="str">
        <f ca="1">IFERROR(__xludf.DUMMYFUNCTION("""COMPUTED_VALUE"""),"MRTNGBF")</f>
        <v>MRTNGBF</v>
      </c>
      <c r="E616" s="1" t="str">
        <f ca="1">IFERROR(__xludf.DUMMYFUNCTION("""COMPUTED_VALUE"""),"MRTNONLGB")</f>
        <v>MRTNONLGB</v>
      </c>
      <c r="F616" s="1">
        <f ca="1">IFERROR(__xludf.DUMMYFUNCTION("""COMPUTED_VALUE"""),76363)</f>
        <v>76363</v>
      </c>
    </row>
    <row r="617" spans="1:6" x14ac:dyDescent="0.3">
      <c r="A617" s="1" t="str">
        <f ca="1">IFERROR(__xludf.DUMMYFUNCTION("""COMPUTED_VALUE"""),"Moreton-On-Lugg Tarmac")</f>
        <v>Moreton-On-Lugg Tarmac</v>
      </c>
      <c r="B617" s="1"/>
      <c r="C617" s="1">
        <f ca="1">IFERROR(__xludf.DUMMYFUNCTION("""COMPUTED_VALUE"""),361701)</f>
        <v>361701</v>
      </c>
      <c r="D617" s="1" t="str">
        <f ca="1">IFERROR(__xludf.DUMMYFUNCTION("""COMPUTED_VALUE"""),"MRTNTAR")</f>
        <v>MRTNTAR</v>
      </c>
      <c r="E617" s="1" t="str">
        <f ca="1">IFERROR(__xludf.DUMMYFUNCTION("""COMPUTED_VALUE"""),"MORTONLGT")</f>
        <v>MORTONLGT</v>
      </c>
      <c r="F617" s="1">
        <f ca="1">IFERROR(__xludf.DUMMYFUNCTION("""COMPUTED_VALUE"""),76367)</f>
        <v>76367</v>
      </c>
    </row>
    <row r="618" spans="1:6" x14ac:dyDescent="0.3">
      <c r="A618" s="1" t="str">
        <f ca="1">IFERROR(__xludf.DUMMYFUNCTION("""COMPUTED_VALUE"""),"Moreton Warmwell Roundabout")</f>
        <v>Moreton Warmwell Roundabout</v>
      </c>
      <c r="B618" s="1"/>
      <c r="C618" s="1">
        <f ca="1">IFERROR(__xludf.DUMMYFUNCTION("""COMPUTED_VALUE"""),595701)</f>
        <v>595701</v>
      </c>
      <c r="D618" s="1" t="str">
        <f ca="1">IFERROR(__xludf.DUMMYFUNCTION("""COMPUTED_VALUE"""),"MOREWWR")</f>
        <v>MOREWWR</v>
      </c>
      <c r="E618" s="1"/>
      <c r="F618" s="1" t="str">
        <f ca="1">IFERROR(__xludf.DUMMYFUNCTION("""COMPUTED_VALUE"""),"-")</f>
        <v>-</v>
      </c>
    </row>
    <row r="619" spans="1:6" x14ac:dyDescent="0.3">
      <c r="A619" s="1" t="str">
        <f ca="1">IFERROR(__xludf.DUMMYFUNCTION("""COMPUTED_VALUE"""),"Morfa Mawddach")</f>
        <v>Morfa Mawddach</v>
      </c>
      <c r="B619" s="1" t="str">
        <f ca="1">IFERROR(__xludf.DUMMYFUNCTION("""COMPUTED_VALUE"""),"MFA")</f>
        <v>MFA</v>
      </c>
      <c r="C619" s="1">
        <f ca="1">IFERROR(__xludf.DUMMYFUNCTION("""COMPUTED_VALUE"""),447000)</f>
        <v>447000</v>
      </c>
      <c r="D619" s="1" t="str">
        <f ca="1">IFERROR(__xludf.DUMMYFUNCTION("""COMPUTED_VALUE"""),"MFAM")</f>
        <v>MFAM</v>
      </c>
      <c r="E619" s="1" t="str">
        <f ca="1">IFERROR(__xludf.DUMMYFUNCTION("""COMPUTED_VALUE"""),"MORFA MAW")</f>
        <v>MORFA MAW</v>
      </c>
      <c r="F619" s="1">
        <f ca="1">IFERROR(__xludf.DUMMYFUNCTION("""COMPUTED_VALUE"""),64404)</f>
        <v>64404</v>
      </c>
    </row>
    <row r="620" spans="1:6" x14ac:dyDescent="0.3">
      <c r="A620" s="1" t="str">
        <f ca="1">IFERROR(__xludf.DUMMYFUNCTION("""COMPUTED_VALUE"""),"Morlais Colliery")</f>
        <v>Morlais Colliery</v>
      </c>
      <c r="B620" s="1"/>
      <c r="C620" s="1">
        <f ca="1">IFERROR(__xludf.DUMMYFUNCTION("""COMPUTED_VALUE"""),415600)</f>
        <v>415600</v>
      </c>
      <c r="D620" s="1" t="str">
        <f ca="1">IFERROR(__xludf.DUMMYFUNCTION("""COMPUTED_VALUE"""),"MORLSCL")</f>
        <v>MORLSCL</v>
      </c>
      <c r="E620" s="1" t="str">
        <f ca="1">IFERROR(__xludf.DUMMYFUNCTION("""COMPUTED_VALUE"""),"MORLAISJN MORLCOLLY")</f>
        <v>MORLAISJN MORLCOLLY</v>
      </c>
      <c r="F620" s="1" t="str">
        <f ca="1">IFERROR(__xludf.DUMMYFUNCTION("""COMPUTED_VALUE"""),"79055 79059")</f>
        <v>79055 79059</v>
      </c>
    </row>
    <row r="621" spans="1:6" x14ac:dyDescent="0.3">
      <c r="A621" s="1" t="str">
        <f ca="1">IFERROR(__xludf.DUMMYFUNCTION("""COMPUTED_VALUE"""),"Morlais Junction")</f>
        <v>Morlais Junction</v>
      </c>
      <c r="B621" s="1"/>
      <c r="C621" s="1">
        <f ca="1">IFERROR(__xludf.DUMMYFUNCTION("""COMPUTED_VALUE"""),413859)</f>
        <v>413859</v>
      </c>
      <c r="D621" s="1" t="str">
        <f ca="1">IFERROR(__xludf.DUMMYFUNCTION("""COMPUTED_VALUE"""),"MORLASJ")</f>
        <v>MORLASJ</v>
      </c>
      <c r="E621" s="1"/>
      <c r="F621" s="1" t="str">
        <f ca="1">IFERROR(__xludf.DUMMYFUNCTION("""COMPUTED_VALUE"""),"79055*")</f>
        <v>79055*</v>
      </c>
    </row>
    <row r="622" spans="1:6" x14ac:dyDescent="0.3">
      <c r="A622" s="1" t="str">
        <f ca="1">IFERROR(__xludf.DUMMYFUNCTION("""COMPUTED_VALUE"""),"Morley")</f>
        <v>Morley</v>
      </c>
      <c r="B622" s="1" t="str">
        <f ca="1">IFERROR(__xludf.DUMMYFUNCTION("""COMPUTED_VALUE"""),"MLY")</f>
        <v>MLY</v>
      </c>
      <c r="C622" s="1">
        <f ca="1">IFERROR(__xludf.DUMMYFUNCTION("""COMPUTED_VALUE"""),850400)</f>
        <v>850400</v>
      </c>
      <c r="D622" s="1" t="str">
        <f ca="1">IFERROR(__xludf.DUMMYFUNCTION("""COMPUTED_VALUE"""),"MRLY")</f>
        <v>MRLY</v>
      </c>
      <c r="E622" s="1" t="str">
        <f ca="1">IFERROR(__xludf.DUMMYFUNCTION("""COMPUTED_VALUE"""),"MORLEY")</f>
        <v>MORLEY</v>
      </c>
      <c r="F622" s="1">
        <f ca="1">IFERROR(__xludf.DUMMYFUNCTION("""COMPUTED_VALUE"""),17145)</f>
        <v>17145</v>
      </c>
    </row>
    <row r="623" spans="1:6" x14ac:dyDescent="0.3">
      <c r="A623" s="1" t="str">
        <f ca="1">IFERROR(__xludf.DUMMYFUNCTION("""COMPUTED_VALUE"""),"Morpeth")</f>
        <v>Morpeth</v>
      </c>
      <c r="B623" s="1" t="str">
        <f ca="1">IFERROR(__xludf.DUMMYFUNCTION("""COMPUTED_VALUE"""),"MPT")</f>
        <v>MPT</v>
      </c>
      <c r="C623" s="1">
        <f ca="1">IFERROR(__xludf.DUMMYFUNCTION("""COMPUTED_VALUE"""),768000)</f>
        <v>768000</v>
      </c>
      <c r="D623" s="1" t="str">
        <f ca="1">IFERROR(__xludf.DUMMYFUNCTION("""COMPUTED_VALUE"""),"MRPTHRP")</f>
        <v>MRPTHRP</v>
      </c>
      <c r="E623" s="1" t="str">
        <f ca="1">IFERROR(__xludf.DUMMYFUNCTION("""COMPUTED_VALUE"""),"MORPETH")</f>
        <v>MORPETH</v>
      </c>
      <c r="F623" s="1">
        <f ca="1">IFERROR(__xludf.DUMMYFUNCTION("""COMPUTED_VALUE"""),12132)</f>
        <v>12132</v>
      </c>
    </row>
    <row r="624" spans="1:6" x14ac:dyDescent="0.3">
      <c r="A624" s="1" t="str">
        <f ca="1">IFERROR(__xludf.DUMMYFUNCTION("""COMPUTED_VALUE"""),"Morpeth Barmoor Through Siding")</f>
        <v>Morpeth Barmoor Through Siding</v>
      </c>
      <c r="B624" s="1"/>
      <c r="C624" s="1">
        <f ca="1">IFERROR(__xludf.DUMMYFUNCTION("""COMPUTED_VALUE"""),768002)</f>
        <v>768002</v>
      </c>
      <c r="D624" s="1" t="str">
        <f ca="1">IFERROR(__xludf.DUMMYFUNCTION("""COMPUTED_VALUE"""),"MRPTBTS")</f>
        <v>MRPTBTS</v>
      </c>
      <c r="E624" s="1" t="str">
        <f ca="1">IFERROR(__xludf.DUMMYFUNCTION("""COMPUTED_VALUE"""),"BARMOORTS")</f>
        <v>BARMOORTS</v>
      </c>
      <c r="F624" s="1">
        <f ca="1">IFERROR(__xludf.DUMMYFUNCTION("""COMPUTED_VALUE"""),12138)</f>
        <v>12138</v>
      </c>
    </row>
    <row r="625" spans="1:6" x14ac:dyDescent="0.3">
      <c r="A625" s="1" t="str">
        <f ca="1">IFERROR(__xludf.DUMMYFUNCTION("""COMPUTED_VALUE"""),"Morpeth Down Slow Line")</f>
        <v>Morpeth Down Slow Line</v>
      </c>
      <c r="B625" s="1"/>
      <c r="C625" s="1">
        <f ca="1">IFERROR(__xludf.DUMMYFUNCTION("""COMPUTED_VALUE"""),768020)</f>
        <v>768020</v>
      </c>
      <c r="D625" s="1" t="str">
        <f ca="1">IFERROR(__xludf.DUMMYFUNCTION("""COMPUTED_VALUE"""),"MRPTDSL")</f>
        <v>MRPTDSL</v>
      </c>
      <c r="E625" s="1"/>
      <c r="F625" s="1"/>
    </row>
    <row r="626" spans="1:6" x14ac:dyDescent="0.3">
      <c r="A626" s="1" t="str">
        <f ca="1">IFERROR(__xludf.DUMMYFUNCTION("""COMPUTED_VALUE"""),"Morpeth Hepscott Junction")</f>
        <v>Morpeth Hepscott Junction</v>
      </c>
      <c r="B626" s="1"/>
      <c r="C626" s="1">
        <f ca="1">IFERROR(__xludf.DUMMYFUNCTION("""COMPUTED_VALUE"""),768021)</f>
        <v>768021</v>
      </c>
      <c r="D626" s="1" t="str">
        <f ca="1">IFERROR(__xludf.DUMMYFUNCTION("""COMPUTED_VALUE"""),"MRPTHEP")</f>
        <v>MRPTHEP</v>
      </c>
      <c r="E626" s="1" t="str">
        <f ca="1">IFERROR(__xludf.DUMMYFUNCTION("""COMPUTED_VALUE"""),"HEPSCOTT")</f>
        <v>HEPSCOTT</v>
      </c>
      <c r="F626" s="1">
        <f ca="1">IFERROR(__xludf.DUMMYFUNCTION("""COMPUTED_VALUE"""),12133)</f>
        <v>12133</v>
      </c>
    </row>
    <row r="627" spans="1:6" x14ac:dyDescent="0.3">
      <c r="A627" s="1" t="str">
        <f ca="1">IFERROR(__xludf.DUMMYFUNCTION("""COMPUTED_VALUE"""),"Morpeth Loop")</f>
        <v>Morpeth Loop</v>
      </c>
      <c r="B627" s="1"/>
      <c r="C627" s="1">
        <f ca="1">IFERROR(__xludf.DUMMYFUNCTION("""COMPUTED_VALUE"""),768011)</f>
        <v>768011</v>
      </c>
      <c r="D627" s="1" t="str">
        <f ca="1">IFERROR(__xludf.DUMMYFUNCTION("""COMPUTED_VALUE"""),"MRPTLP")</f>
        <v>MRPTLP</v>
      </c>
      <c r="E627" s="1" t="str">
        <f ca="1">IFERROR(__xludf.DUMMYFUNCTION("""COMPUTED_VALUE"""),"MORPTHUPL")</f>
        <v>MORPTHUPL</v>
      </c>
      <c r="F627" s="1">
        <f ca="1">IFERROR(__xludf.DUMMYFUNCTION("""COMPUTED_VALUE"""),12129)</f>
        <v>12129</v>
      </c>
    </row>
    <row r="628" spans="1:6" x14ac:dyDescent="0.3">
      <c r="A628" s="1" t="str">
        <f ca="1">IFERROR(__xludf.DUMMYFUNCTION("""COMPUTED_VALUE"""),"Morpeth North Junction")</f>
        <v>Morpeth North Junction</v>
      </c>
      <c r="B628" s="1"/>
      <c r="C628" s="1">
        <f ca="1">IFERROR(__xludf.DUMMYFUNCTION("""COMPUTED_VALUE"""),768012)</f>
        <v>768012</v>
      </c>
      <c r="D628" s="1" t="str">
        <f ca="1">IFERROR(__xludf.DUMMYFUNCTION("""COMPUTED_VALUE"""),"MRPTNJN")</f>
        <v>MRPTNJN</v>
      </c>
      <c r="E628" s="1" t="str">
        <f ca="1">IFERROR(__xludf.DUMMYFUNCTION("""COMPUTED_VALUE"""),"MORPETHNJ")</f>
        <v>MORPETHNJ</v>
      </c>
      <c r="F628" s="1">
        <f ca="1">IFERROR(__xludf.DUMMYFUNCTION("""COMPUTED_VALUE"""),12127)</f>
        <v>12127</v>
      </c>
    </row>
    <row r="629" spans="1:6" x14ac:dyDescent="0.3">
      <c r="A629" s="1" t="str">
        <f ca="1">IFERROR(__xludf.DUMMYFUNCTION("""COMPUTED_VALUE"""),"Morpeth Plessey Crossovers")</f>
        <v>Morpeth Plessey Crossovers</v>
      </c>
      <c r="B629" s="1"/>
      <c r="C629" s="1">
        <f ca="1">IFERROR(__xludf.DUMMYFUNCTION("""COMPUTED_VALUE"""),768025)</f>
        <v>768025</v>
      </c>
      <c r="D629" s="1" t="str">
        <f ca="1">IFERROR(__xludf.DUMMYFUNCTION("""COMPUTED_VALUE"""),"MRPTPX")</f>
        <v>MRPTPX</v>
      </c>
      <c r="E629" s="1" t="str">
        <f ca="1">IFERROR(__xludf.DUMMYFUNCTION("""COMPUTED_VALUE"""),"PLESSEY")</f>
        <v>PLESSEY</v>
      </c>
      <c r="F629" s="1">
        <f ca="1">IFERROR(__xludf.DUMMYFUNCTION("""COMPUTED_VALUE"""),12135)</f>
        <v>12135</v>
      </c>
    </row>
    <row r="630" spans="1:6" x14ac:dyDescent="0.3">
      <c r="A630" s="1" t="str">
        <f ca="1">IFERROR(__xludf.DUMMYFUNCTION("""COMPUTED_VALUE"""),"Morpeth Reception")</f>
        <v>Morpeth Reception</v>
      </c>
      <c r="B630" s="1"/>
      <c r="C630" s="1">
        <f ca="1">IFERROR(__xludf.DUMMYFUNCTION("""COMPUTED_VALUE"""),768013)</f>
        <v>768013</v>
      </c>
      <c r="D630" s="1" t="str">
        <f ca="1">IFERROR(__xludf.DUMMYFUNCTION("""COMPUTED_VALUE"""),"MRPTREC")</f>
        <v>MRPTREC</v>
      </c>
      <c r="E630" s="1" t="str">
        <f ca="1">IFERROR(__xludf.DUMMYFUNCTION("""COMPUTED_VALUE"""),"MORPETHFD")</f>
        <v>MORPETHFD</v>
      </c>
      <c r="F630" s="1">
        <f ca="1">IFERROR(__xludf.DUMMYFUNCTION("""COMPUTED_VALUE"""),12131)</f>
        <v>12131</v>
      </c>
    </row>
    <row r="631" spans="1:6" x14ac:dyDescent="0.3">
      <c r="A631" s="1" t="str">
        <f ca="1">IFERROR(__xludf.DUMMYFUNCTION("""COMPUTED_VALUE"""),"Morpeth Reversing Siding")</f>
        <v>Morpeth Reversing Siding</v>
      </c>
      <c r="B631" s="1"/>
      <c r="C631" s="1">
        <f ca="1">IFERROR(__xludf.DUMMYFUNCTION("""COMPUTED_VALUE"""),768001)</f>
        <v>768001</v>
      </c>
      <c r="D631" s="1" t="str">
        <f ca="1">IFERROR(__xludf.DUMMYFUNCTION("""COMPUTED_VALUE"""),"MRPTHRS")</f>
        <v>MRPTHRS</v>
      </c>
      <c r="E631" s="1" t="str">
        <f ca="1">IFERROR(__xludf.DUMMYFUNCTION("""COMPUTED_VALUE"""),"MORPTHREV")</f>
        <v>MORPTHREV</v>
      </c>
      <c r="F631" s="1">
        <f ca="1">IFERROR(__xludf.DUMMYFUNCTION("""COMPUTED_VALUE"""),12137)</f>
        <v>12137</v>
      </c>
    </row>
    <row r="632" spans="1:6" x14ac:dyDescent="0.3">
      <c r="A632" s="1" t="str">
        <f ca="1">IFERROR(__xludf.DUMMYFUNCTION("""COMPUTED_VALUE"""),"Morpeth South East Curve")</f>
        <v>Morpeth South East Curve</v>
      </c>
      <c r="B632" s="1"/>
      <c r="C632" s="1"/>
      <c r="D632" s="1" t="str">
        <f ca="1">IFERROR(__xludf.DUMMYFUNCTION("""COMPUTED_VALUE"""),"MRPTHSE")</f>
        <v>MRPTHSE</v>
      </c>
      <c r="E632" s="1"/>
      <c r="F632" s="1"/>
    </row>
    <row r="633" spans="1:6" x14ac:dyDescent="0.3">
      <c r="A633" s="1" t="str">
        <f ca="1">IFERROR(__xludf.DUMMYFUNCTION("""COMPUTED_VALUE"""),"Morris Cowley")</f>
        <v>Morris Cowley</v>
      </c>
      <c r="B633" s="1"/>
      <c r="C633" s="1">
        <f ca="1">IFERROR(__xludf.DUMMYFUNCTION("""COMPUTED_VALUE"""),311400)</f>
        <v>311400</v>
      </c>
      <c r="D633" s="1" t="str">
        <f ca="1">IFERROR(__xludf.DUMMYFUNCTION("""COMPUTED_VALUE"""),"MORRISC")</f>
        <v>MORRISC</v>
      </c>
      <c r="E633" s="1" t="str">
        <f ca="1">IFERROR(__xludf.DUMMYFUNCTION("""COMPUTED_VALUE"""),"MORRISCGF BMWOXFDGF")</f>
        <v>MORRISCGF BMWOXFDGF</v>
      </c>
      <c r="F633" s="1">
        <f ca="1">IFERROR(__xludf.DUMMYFUNCTION("""COMPUTED_VALUE"""),74431)</f>
        <v>74431</v>
      </c>
    </row>
    <row r="634" spans="1:6" x14ac:dyDescent="0.3">
      <c r="A634" s="1" t="str">
        <f ca="1">IFERROR(__xludf.DUMMYFUNCTION("""COMPUTED_VALUE"""),"Morris Cowley Austin Rover Group Parts")</f>
        <v>Morris Cowley Austin Rover Group Parts</v>
      </c>
      <c r="B634" s="1"/>
      <c r="C634" s="1">
        <f ca="1">IFERROR(__xludf.DUMMYFUNCTION("""COMPUTED_VALUE"""),311416)</f>
        <v>311416</v>
      </c>
      <c r="D634" s="1" t="str">
        <f ca="1">IFERROR(__xludf.DUMMYFUNCTION("""COMPUTED_VALUE"""),"MORRARP")</f>
        <v>MORRARP</v>
      </c>
      <c r="E634" s="1" t="str">
        <f ca="1">IFERROR(__xludf.DUMMYFUNCTION("""COMPUTED_VALUE"""),"OXFORD121")</f>
        <v>OXFORD121</v>
      </c>
      <c r="F634" s="1">
        <f ca="1">IFERROR(__xludf.DUMMYFUNCTION("""COMPUTED_VALUE"""),74432)</f>
        <v>74432</v>
      </c>
    </row>
    <row r="635" spans="1:6" x14ac:dyDescent="0.3">
      <c r="A635" s="1" t="str">
        <f ca="1">IFERROR(__xludf.DUMMYFUNCTION("""COMPUTED_VALUE"""),"Morris Cowley MAT")</f>
        <v>Morris Cowley MAT</v>
      </c>
      <c r="B635" s="1"/>
      <c r="C635" s="1">
        <f ca="1">IFERROR(__xludf.DUMMYFUNCTION("""COMPUTED_VALUE"""),311417)</f>
        <v>311417</v>
      </c>
      <c r="D635" s="1" t="str">
        <f ca="1">IFERROR(__xludf.DUMMYFUNCTION("""COMPUTED_VALUE"""),"MORRMAT")</f>
        <v>MORRMAT</v>
      </c>
      <c r="E635" s="1" t="str">
        <f ca="1">IFERROR(__xludf.DUMMYFUNCTION("""COMPUTED_VALUE"""),"BOXFORDRT✖Code may start with 'R' ROXFORDRT✖Code may start with 'B'")</f>
        <v>BOXFORDRT✖Code may start with 'R' ROXFORDRT✖Code may start with 'B'</v>
      </c>
      <c r="F635" s="1">
        <f ca="1">IFERROR(__xludf.DUMMYFUNCTION("""COMPUTED_VALUE"""),74433)</f>
        <v>74433</v>
      </c>
    </row>
    <row r="636" spans="1:6" x14ac:dyDescent="0.3">
      <c r="A636" s="1" t="str">
        <f ca="1">IFERROR(__xludf.DUMMYFUNCTION("""COMPUTED_VALUE"""),"Mortimer")</f>
        <v>Mortimer</v>
      </c>
      <c r="B636" s="1" t="str">
        <f ca="1">IFERROR(__xludf.DUMMYFUNCTION("""COMPUTED_VALUE"""),"MOR")</f>
        <v>MOR</v>
      </c>
      <c r="C636" s="1">
        <f ca="1">IFERROR(__xludf.DUMMYFUNCTION("""COMPUTED_VALUE"""),550100)</f>
        <v>550100</v>
      </c>
      <c r="D636" s="1" t="str">
        <f ca="1">IFERROR(__xludf.DUMMYFUNCTION("""COMPUTED_VALUE"""),"MTIMER")</f>
        <v>MTIMER</v>
      </c>
      <c r="E636" s="1" t="str">
        <f ca="1">IFERROR(__xludf.DUMMYFUNCTION("""COMPUTED_VALUE"""),"MORTIMER")</f>
        <v>MORTIMER</v>
      </c>
      <c r="F636" s="1">
        <f ca="1">IFERROR(__xludf.DUMMYFUNCTION("""COMPUTED_VALUE"""),86059)</f>
        <v>86059</v>
      </c>
    </row>
    <row r="637" spans="1:6" x14ac:dyDescent="0.3">
      <c r="A637" s="1" t="str">
        <f ca="1">IFERROR(__xludf.DUMMYFUNCTION("""COMPUTED_VALUE"""),"Mortlake")</f>
        <v>Mortlake</v>
      </c>
      <c r="B637" s="1" t="str">
        <f ca="1">IFERROR(__xludf.DUMMYFUNCTION("""COMPUTED_VALUE"""),"MTL")</f>
        <v>MTL</v>
      </c>
      <c r="C637" s="1">
        <f ca="1">IFERROR(__xludf.DUMMYFUNCTION("""COMPUTED_VALUE"""),560000)</f>
        <v>560000</v>
      </c>
      <c r="D637" s="1" t="str">
        <f ca="1">IFERROR(__xludf.DUMMYFUNCTION("""COMPUTED_VALUE"""),"MRTLKE")</f>
        <v>MRTLKE</v>
      </c>
      <c r="E637" s="1" t="str">
        <f ca="1">IFERROR(__xludf.DUMMYFUNCTION("""COMPUTED_VALUE"""),"MORTLAKE")</f>
        <v>MORTLAKE</v>
      </c>
      <c r="F637" s="1">
        <f ca="1">IFERROR(__xludf.DUMMYFUNCTION("""COMPUTED_VALUE"""),87139)</f>
        <v>87139</v>
      </c>
    </row>
    <row r="638" spans="1:6" x14ac:dyDescent="0.3">
      <c r="A638" s="1" t="str">
        <f ca="1">IFERROR(__xludf.DUMMYFUNCTION("""COMPUTED_VALUE"""),"Morton")</f>
        <v>Morton</v>
      </c>
      <c r="B638" s="1"/>
      <c r="C638" s="1">
        <f ca="1">IFERROR(__xludf.DUMMYFUNCTION("""COMPUTED_VALUE"""),161204)</f>
        <v>161204</v>
      </c>
      <c r="D638" s="1" t="str">
        <f ca="1">IFERROR(__xludf.DUMMYFUNCTION("""COMPUTED_VALUE"""),"MRTO")</f>
        <v>MRTO</v>
      </c>
      <c r="E638" s="1" t="str">
        <f ca="1">IFERROR(__xludf.DUMMYFUNCTION("""COMPUTED_VALUE"""),"MORTON")</f>
        <v>MORTON</v>
      </c>
      <c r="F638" s="1">
        <f ca="1">IFERROR(__xludf.DUMMYFUNCTION("""COMPUTED_VALUE"""),56105)</f>
        <v>56105</v>
      </c>
    </row>
    <row r="639" spans="1:6" x14ac:dyDescent="0.3">
      <c r="A639" s="1" t="str">
        <f ca="1">IFERROR(__xludf.DUMMYFUNCTION("""COMPUTED_VALUE"""),"Moses Gate")</f>
        <v>Moses Gate</v>
      </c>
      <c r="B639" s="1" t="str">
        <f ca="1">IFERROR(__xludf.DUMMYFUNCTION("""COMPUTED_VALUE"""),"MSS")</f>
        <v>MSS</v>
      </c>
      <c r="C639" s="1">
        <f ca="1">IFERROR(__xludf.DUMMYFUNCTION("""COMPUTED_VALUE"""),260600)</f>
        <v>260600</v>
      </c>
      <c r="D639" s="1" t="str">
        <f ca="1">IFERROR(__xludf.DUMMYFUNCTION("""COMPUTED_VALUE"""),"MSGT")</f>
        <v>MSGT</v>
      </c>
      <c r="E639" s="1" t="str">
        <f ca="1">IFERROR(__xludf.DUMMYFUNCTION("""COMPUTED_VALUE"""),"MOSESGATE")</f>
        <v>MOSESGATE</v>
      </c>
      <c r="F639" s="1">
        <f ca="1">IFERROR(__xludf.DUMMYFUNCTION("""COMPUTED_VALUE"""),31613)</f>
        <v>31613</v>
      </c>
    </row>
    <row r="640" spans="1:6" x14ac:dyDescent="0.3">
      <c r="A640" s="1" t="str">
        <f ca="1">IFERROR(__xludf.DUMMYFUNCTION("""COMPUTED_VALUE"""),"Moses Loops/Gate Junction")</f>
        <v>Moses Loops/Gate Junction</v>
      </c>
      <c r="B640" s="1"/>
      <c r="C640" s="1">
        <f ca="1">IFERROR(__xludf.DUMMYFUNCTION("""COMPUTED_VALUE"""),260620)</f>
        <v>260620</v>
      </c>
      <c r="D640" s="1" t="str">
        <f ca="1">IFERROR(__xludf.DUMMYFUNCTION("""COMPUTED_VALUE"""),"MSGTLPS")</f>
        <v>MSGTLPS</v>
      </c>
      <c r="E640" s="1" t="str">
        <f ca="1">IFERROR(__xludf.DUMMYFUNCTION("""COMPUTED_VALUE"""),"MOSESGTEJ")</f>
        <v>MOSESGTEJ</v>
      </c>
      <c r="F640" s="1">
        <f ca="1">IFERROR(__xludf.DUMMYFUNCTION("""COMPUTED_VALUE"""),31612)</f>
        <v>31612</v>
      </c>
    </row>
    <row r="641" spans="1:6" x14ac:dyDescent="0.3">
      <c r="A641" s="1" t="str">
        <f ca="1">IFERROR(__xludf.DUMMYFUNCTION("""COMPUTED_VALUE"""),"Mossband")</f>
        <v>Mossband</v>
      </c>
      <c r="B641" s="1"/>
      <c r="C641" s="1">
        <f ca="1">IFERROR(__xludf.DUMMYFUNCTION("""COMPUTED_VALUE"""),211804)</f>
        <v>211804</v>
      </c>
      <c r="D641" s="1" t="str">
        <f ca="1">IFERROR(__xludf.DUMMYFUNCTION("""COMPUTED_VALUE"""),"MSBD")</f>
        <v>MSBD</v>
      </c>
      <c r="E641" s="1" t="str">
        <f ca="1">IFERROR(__xludf.DUMMYFUNCTION("""COMPUTED_VALUE"""),"MOSSBAND")</f>
        <v>MOSSBAND</v>
      </c>
      <c r="F641" s="1">
        <f ca="1">IFERROR(__xludf.DUMMYFUNCTION("""COMPUTED_VALUE"""),9097)</f>
        <v>9097</v>
      </c>
    </row>
    <row r="642" spans="1:6" x14ac:dyDescent="0.3">
      <c r="A642" s="1" t="str">
        <f ca="1">IFERROR(__xludf.DUMMYFUNCTION("""COMPUTED_VALUE"""),"Mossend")</f>
        <v>Mossend</v>
      </c>
      <c r="B642" s="1" t="str">
        <f ca="1">IFERROR(__xludf.DUMMYFUNCTION("""COMPUTED_VALUE"""),"MSE")</f>
        <v>MSE</v>
      </c>
      <c r="C642" s="1">
        <f ca="1">IFERROR(__xludf.DUMMYFUNCTION("""COMPUTED_VALUE"""),970600)</f>
        <v>970600</v>
      </c>
      <c r="D642" s="1" t="str">
        <f ca="1">IFERROR(__xludf.DUMMYFUNCTION("""COMPUTED_VALUE"""),"MOSSEND MOSEND")</f>
        <v>MOSSEND MOSEND</v>
      </c>
      <c r="E642" s="1"/>
      <c r="F642" s="1"/>
    </row>
    <row r="643" spans="1:6" x14ac:dyDescent="0.3">
      <c r="A643" s="1" t="str">
        <f ca="1">IFERROR(__xludf.DUMMYFUNCTION("""COMPUTED_VALUE"""),"Mossend Advenza")</f>
        <v>Mossend Advenza</v>
      </c>
      <c r="B643" s="1"/>
      <c r="C643" s="1">
        <f ca="1">IFERROR(__xludf.DUMMYFUNCTION("""COMPUTED_VALUE"""),972975)</f>
        <v>972975</v>
      </c>
      <c r="D643" s="1" t="str">
        <f ca="1">IFERROR(__xludf.DUMMYFUNCTION("""COMPUTED_VALUE"""),"MOSEADV")</f>
        <v>MOSEADV</v>
      </c>
      <c r="E643" s="1" t="str">
        <f ca="1">IFERROR(__xludf.DUMMYFUNCTION("""COMPUTED_VALUE"""),"MOSSNDTMD")</f>
        <v>MOSSNDTMD</v>
      </c>
      <c r="F643" s="1">
        <f ca="1">IFERROR(__xludf.DUMMYFUNCTION("""COMPUTED_VALUE"""),7364)</f>
        <v>7364</v>
      </c>
    </row>
    <row r="644" spans="1:6" x14ac:dyDescent="0.3">
      <c r="A644" s="1" t="str">
        <f ca="1">IFERROR(__xludf.DUMMYFUNCTION("""COMPUTED_VALUE"""),"Mossend Anglo Coal/Delta Coal")</f>
        <v>Mossend Anglo Coal/Delta Coal</v>
      </c>
      <c r="B644" s="1"/>
      <c r="C644" s="1">
        <f ca="1">IFERROR(__xludf.DUMMYFUNCTION("""COMPUTED_VALUE"""),972913)</f>
        <v>972913</v>
      </c>
      <c r="D644" s="1" t="str">
        <f ca="1">IFERROR(__xludf.DUMMYFUNCTION("""COMPUTED_VALUE"""),"MOSEDCE")</f>
        <v>MOSEDCE</v>
      </c>
      <c r="E644" s="1" t="str">
        <f ca="1">IFERROR(__xludf.DUMMYFUNCTION("""COMPUTED_VALUE"""),"MOSSENDAN")</f>
        <v>MOSSENDAN</v>
      </c>
      <c r="F644" s="1">
        <f ca="1">IFERROR(__xludf.DUMMYFUNCTION("""COMPUTED_VALUE"""),7363)</f>
        <v>7363</v>
      </c>
    </row>
    <row r="645" spans="1:6" x14ac:dyDescent="0.3">
      <c r="A645" s="1" t="str">
        <f ca="1">IFERROR(__xludf.DUMMYFUNCTION("""COMPUTED_VALUE"""),"Mossend Civil Engineer's Sidings")</f>
        <v>Mossend Civil Engineer's Sidings</v>
      </c>
      <c r="B645" s="1"/>
      <c r="C645" s="1">
        <f ca="1">IFERROR(__xludf.DUMMYFUNCTION("""COMPUTED_VALUE"""),972912)</f>
        <v>972912</v>
      </c>
      <c r="D645" s="1" t="str">
        <f ca="1">IFERROR(__xludf.DUMMYFUNCTION("""COMPUTED_VALUE"""),"MOSECE")</f>
        <v>MOSECE</v>
      </c>
      <c r="E645" s="1" t="str">
        <f ca="1">IFERROR(__xludf.DUMMYFUNCTION("""COMPUTED_VALUE"""),"MOSSENDMR")</f>
        <v>MOSSENDMR</v>
      </c>
      <c r="F645" s="1" t="str">
        <f ca="1">IFERROR(__xludf.DUMMYFUNCTION("""COMPUTED_VALUE"""),"07366*")</f>
        <v>07366*</v>
      </c>
    </row>
    <row r="646" spans="1:6" x14ac:dyDescent="0.3">
      <c r="A646" s="1" t="str">
        <f ca="1">IFERROR(__xludf.DUMMYFUNCTION("""COMPUTED_VALUE"""),"Mossend Down Goods Loop")</f>
        <v>Mossend Down Goods Loop</v>
      </c>
      <c r="B646" s="1"/>
      <c r="C646" s="1">
        <f ca="1">IFERROR(__xludf.DUMMYFUNCTION("""COMPUTED_VALUE"""),972929)</f>
        <v>972929</v>
      </c>
      <c r="D646" s="1" t="str">
        <f ca="1">IFERROR(__xludf.DUMMYFUNCTION("""COMPUTED_VALUE"""),"MOSEDGL")</f>
        <v>MOSEDGL</v>
      </c>
      <c r="E646" s="1" t="str">
        <f ca="1">IFERROR(__xludf.DUMMYFUNCTION("""COMPUTED_VALUE"""),"MOSSENDGL")</f>
        <v>MOSSENDGL</v>
      </c>
      <c r="F646" s="1">
        <f ca="1">IFERROR(__xludf.DUMMYFUNCTION("""COMPUTED_VALUE"""),7367)</f>
        <v>7367</v>
      </c>
    </row>
    <row r="647" spans="1:6" x14ac:dyDescent="0.3">
      <c r="A647" s="1" t="str">
        <f ca="1">IFERROR(__xludf.DUMMYFUNCTION("""COMPUTED_VALUE"""),"Mossend Down Yard")</f>
        <v>Mossend Down Yard</v>
      </c>
      <c r="B647" s="1"/>
      <c r="C647" s="1" t="str">
        <f ca="1">IFERROR(__xludf.DUMMYFUNCTION("""COMPUTED_VALUE"""),"972921 972930")</f>
        <v>972921 972930</v>
      </c>
      <c r="D647" s="1" t="str">
        <f ca="1">IFERROR(__xludf.DUMMYFUNCTION("""COMPUTED_VALUE"""),"MOSEDNY")</f>
        <v>MOSEDNY</v>
      </c>
      <c r="E647" s="1" t="str">
        <f ca="1">IFERROR(__xludf.DUMMYFUNCTION("""COMPUTED_VALUE"""),"MOSSND DY")</f>
        <v>MOSSND DY</v>
      </c>
      <c r="F647" s="1">
        <f ca="1">IFERROR(__xludf.DUMMYFUNCTION("""COMPUTED_VALUE"""),7360)</f>
        <v>7360</v>
      </c>
    </row>
    <row r="648" spans="1:6" x14ac:dyDescent="0.3">
      <c r="A648" s="1" t="str">
        <f ca="1">IFERROR(__xludf.DUMMYFUNCTION("""COMPUTED_VALUE"""),"Mossend Down Yard Freightliner Heavy Haul")</f>
        <v>Mossend Down Yard Freightliner Heavy Haul</v>
      </c>
      <c r="B648" s="1"/>
      <c r="C648" s="1">
        <f ca="1">IFERROR(__xludf.DUMMYFUNCTION("""COMPUTED_VALUE"""),972916)</f>
        <v>972916</v>
      </c>
      <c r="D648" s="1" t="str">
        <f ca="1">IFERROR(__xludf.DUMMYFUNCTION("""COMPUTED_VALUE"""),"MOSEDFH")</f>
        <v>MOSEDFH</v>
      </c>
      <c r="E648" s="1" t="str">
        <f ca="1">IFERROR(__xludf.DUMMYFUNCTION("""COMPUTED_VALUE"""),"MOSSDNSDG")</f>
        <v>MOSSDNSDG</v>
      </c>
      <c r="F648" s="1">
        <f ca="1">IFERROR(__xludf.DUMMYFUNCTION("""COMPUTED_VALUE"""),7356)</f>
        <v>7356</v>
      </c>
    </row>
    <row r="649" spans="1:6" x14ac:dyDescent="0.3">
      <c r="A649" s="1" t="str">
        <f ca="1">IFERROR(__xludf.DUMMYFUNCTION("""COMPUTED_VALUE"""),"Mossend Down Yard GB Railfreight✖Earlier code set")</f>
        <v>Mossend Down Yard GB Railfreight✖Earlier code set</v>
      </c>
      <c r="B649" s="1"/>
      <c r="C649" s="1">
        <f ca="1">IFERROR(__xludf.DUMMYFUNCTION("""COMPUTED_VALUE"""),972918)</f>
        <v>972918</v>
      </c>
      <c r="D649" s="1" t="str">
        <f ca="1">IFERROR(__xludf.DUMMYFUNCTION("""COMPUTED_VALUE"""),"MSSNDET")</f>
        <v>MSSNDET</v>
      </c>
      <c r="E649" s="1" t="str">
        <f ca="1">IFERROR(__xludf.DUMMYFUNCTION("""COMPUTED_VALUE"""),"MOSSENDDN")</f>
        <v>MOSSENDDN</v>
      </c>
      <c r="F649" s="1">
        <f ca="1">IFERROR(__xludf.DUMMYFUNCTION("""COMPUTED_VALUE"""),7362)</f>
        <v>7362</v>
      </c>
    </row>
    <row r="650" spans="1:6" x14ac:dyDescent="0.3">
      <c r="A650" s="1" t="str">
        <f ca="1">IFERROR(__xludf.DUMMYFUNCTION("""COMPUTED_VALUE"""),"Mossend Down Yard GB Railfreight✖Later code set")</f>
        <v>Mossend Down Yard GB Railfreight✖Later code set</v>
      </c>
      <c r="B650" s="1"/>
      <c r="C650" s="1">
        <f ca="1">IFERROR(__xludf.DUMMYFUNCTION("""COMPUTED_VALUE"""),972906)</f>
        <v>972906</v>
      </c>
      <c r="D650" s="1" t="str">
        <f ca="1">IFERROR(__xludf.DUMMYFUNCTION("""COMPUTED_VALUE"""),"MOSEDGB")</f>
        <v>MOSEDGB</v>
      </c>
      <c r="E650" s="1"/>
      <c r="F650" s="1">
        <f ca="1">IFERROR(__xludf.DUMMYFUNCTION("""COMPUTED_VALUE"""),7376)</f>
        <v>7376</v>
      </c>
    </row>
    <row r="651" spans="1:6" x14ac:dyDescent="0.3">
      <c r="A651" s="1" t="str">
        <f ca="1">IFERROR(__xludf.DUMMYFUNCTION("""COMPUTED_VALUE"""),"Mossend East Junction")</f>
        <v>Mossend East Junction</v>
      </c>
      <c r="B651" s="1"/>
      <c r="C651" s="1">
        <f ca="1">IFERROR(__xludf.DUMMYFUNCTION("""COMPUTED_VALUE"""),972970)</f>
        <v>972970</v>
      </c>
      <c r="D651" s="1" t="str">
        <f ca="1">IFERROR(__xludf.DUMMYFUNCTION("""COMPUTED_VALUE"""),"MOSENDE")</f>
        <v>MOSENDE</v>
      </c>
      <c r="E651" s="1" t="str">
        <f ca="1">IFERROR(__xludf.DUMMYFUNCTION("""COMPUTED_VALUE"""),"MOSENDEJN")</f>
        <v>MOSENDEJN</v>
      </c>
      <c r="F651" s="1">
        <f ca="1">IFERROR(__xludf.DUMMYFUNCTION("""COMPUTED_VALUE"""),7377)</f>
        <v>7377</v>
      </c>
    </row>
    <row r="652" spans="1:6" x14ac:dyDescent="0.3">
      <c r="A652" s="1" t="str">
        <f ca="1">IFERROR(__xludf.DUMMYFUNCTION("""COMPUTED_VALUE"""),"Mossend Euroterminal GB Railfreight")</f>
        <v>Mossend Euroterminal GB Railfreight</v>
      </c>
      <c r="B652" s="1"/>
      <c r="C652" s="1">
        <f ca="1">IFERROR(__xludf.DUMMYFUNCTION("""COMPUTED_VALUE"""),972926)</f>
        <v>972926</v>
      </c>
      <c r="D652" s="1" t="str">
        <f ca="1">IFERROR(__xludf.DUMMYFUNCTION("""COMPUTED_VALUE"""),"MOSEGBR")</f>
        <v>MOSEGBR</v>
      </c>
      <c r="E652" s="1" t="str">
        <f ca="1">IFERROR(__xludf.DUMMYFUNCTION("""COMPUTED_VALUE"""),"MOSEURTGB")</f>
        <v>MOSEURTGB</v>
      </c>
      <c r="F652" s="1">
        <f ca="1">IFERROR(__xludf.DUMMYFUNCTION("""COMPUTED_VALUE"""),7392)</f>
        <v>7392</v>
      </c>
    </row>
    <row r="653" spans="1:6" x14ac:dyDescent="0.3">
      <c r="A653" s="1" t="str">
        <f ca="1">IFERROR(__xludf.DUMMYFUNCTION("""COMPUTED_VALUE"""),"Mossend Euroterminal RfD Auto")</f>
        <v>Mossend Euroterminal RfD Auto</v>
      </c>
      <c r="B653" s="1"/>
      <c r="C653" s="1">
        <f ca="1">IFERROR(__xludf.DUMMYFUNCTION("""COMPUTED_VALUE"""),972923)</f>
        <v>972923</v>
      </c>
      <c r="D653" s="1" t="str">
        <f ca="1">IFERROR(__xludf.DUMMYFUNCTION("""COMPUTED_VALUE"""),"MSSNDAU")</f>
        <v>MSSNDAU</v>
      </c>
      <c r="E653" s="1" t="str">
        <f ca="1">IFERROR(__xludf.DUMMYFUNCTION("""COMPUTED_VALUE"""),"MOSSENDET")</f>
        <v>MOSSENDET</v>
      </c>
      <c r="F653" s="1">
        <f ca="1">IFERROR(__xludf.DUMMYFUNCTION("""COMPUTED_VALUE"""),7391)</f>
        <v>7391</v>
      </c>
    </row>
    <row r="654" spans="1:6" x14ac:dyDescent="0.3">
      <c r="A654" s="1" t="str">
        <f ca="1">IFERROR(__xludf.DUMMYFUNCTION("""COMPUTED_VALUE"""),"Mossend Euroterminal RfD Europe")</f>
        <v>Mossend Euroterminal RfD Europe</v>
      </c>
      <c r="B654" s="1"/>
      <c r="C654" s="1">
        <f ca="1">IFERROR(__xludf.DUMMYFUNCTION("""COMPUTED_VALUE"""),972922)</f>
        <v>972922</v>
      </c>
      <c r="D654" s="1" t="str">
        <f ca="1">IFERROR(__xludf.DUMMYFUNCTION("""COMPUTED_VALUE"""),"MOSEURT")</f>
        <v>MOSEURT</v>
      </c>
      <c r="E654" s="1" t="str">
        <f ca="1">IFERROR(__xludf.DUMMYFUNCTION("""COMPUTED_VALUE"""),"MOSSEND")</f>
        <v>MOSSEND</v>
      </c>
      <c r="F654" s="1">
        <f ca="1">IFERROR(__xludf.DUMMYFUNCTION("""COMPUTED_VALUE"""),7390)</f>
        <v>7390</v>
      </c>
    </row>
    <row r="655" spans="1:6" x14ac:dyDescent="0.3">
      <c r="A655" s="1" t="str">
        <f ca="1">IFERROR(__xludf.DUMMYFUNCTION("""COMPUTED_VALUE"""),"Mossend Loco Holding Sidings")</f>
        <v>Mossend Loco Holding Sidings</v>
      </c>
      <c r="B655" s="1"/>
      <c r="C655" s="1">
        <f ca="1">IFERROR(__xludf.DUMMYFUNCTION("""COMPUTED_VALUE"""),972910)</f>
        <v>972910</v>
      </c>
      <c r="D655" s="1" t="str">
        <f ca="1">IFERROR(__xludf.DUMMYFUNCTION("""COMPUTED_VALUE"""),"MOSELHS")</f>
        <v>MOSELHS</v>
      </c>
      <c r="E655" s="1" t="str">
        <f ca="1">IFERROR(__xludf.DUMMYFUNCTION("""COMPUTED_VALUE"""),"MOSSNDLHS")</f>
        <v>MOSSNDLHS</v>
      </c>
      <c r="F655" s="1">
        <f ca="1">IFERROR(__xludf.DUMMYFUNCTION("""COMPUTED_VALUE"""),7358)</f>
        <v>7358</v>
      </c>
    </row>
    <row r="656" spans="1:6" x14ac:dyDescent="0.3">
      <c r="A656" s="1" t="str">
        <f ca="1">IFERROR(__xludf.DUMMYFUNCTION("""COMPUTED_VALUE"""),"Mossend MG Gas Products")</f>
        <v>Mossend MG Gas Products</v>
      </c>
      <c r="B656" s="1"/>
      <c r="C656" s="1">
        <f ca="1">IFERROR(__xludf.DUMMYFUNCTION("""COMPUTED_VALUE"""),972919)</f>
        <v>972919</v>
      </c>
      <c r="D656" s="1" t="str">
        <f ca="1">IFERROR(__xludf.DUMMYFUNCTION("""COMPUTED_VALUE"""),"MOSEGAS")</f>
        <v>MOSEGAS</v>
      </c>
      <c r="E656" s="1" t="str">
        <f ca="1">IFERROR(__xludf.DUMMYFUNCTION("""COMPUTED_VALUE"""),"MOSSENDGL")</f>
        <v>MOSSENDGL</v>
      </c>
      <c r="F656" s="1">
        <f ca="1">IFERROR(__xludf.DUMMYFUNCTION("""COMPUTED_VALUE"""),7367)</f>
        <v>7367</v>
      </c>
    </row>
    <row r="657" spans="1:6" x14ac:dyDescent="0.3">
      <c r="A657" s="1" t="str">
        <f ca="1">IFERROR(__xludf.DUMMYFUNCTION("""COMPUTED_VALUE"""),"Mossend North Exit")</f>
        <v>Mossend North Exit</v>
      </c>
      <c r="B657" s="1"/>
      <c r="C657" s="1">
        <f ca="1">IFERROR(__xludf.DUMMYFUNCTION("""COMPUTED_VALUE"""),972901)</f>
        <v>972901</v>
      </c>
      <c r="D657" s="1" t="str">
        <f ca="1">IFERROR(__xludf.DUMMYFUNCTION("""COMPUTED_VALUE"""),"MOSENXT")</f>
        <v>MOSENXT</v>
      </c>
      <c r="E657" s="1" t="str">
        <f ca="1">IFERROR(__xludf.DUMMYFUNCTION("""COMPUTED_VALUE"""),"MOSENDNEX")</f>
        <v>MOSENDNEX</v>
      </c>
      <c r="F657" s="1">
        <f ca="1">IFERROR(__xludf.DUMMYFUNCTION("""COMPUTED_VALUE"""),7372)</f>
        <v>7372</v>
      </c>
    </row>
    <row r="658" spans="1:6" x14ac:dyDescent="0.3">
      <c r="A658" s="1" t="str">
        <f ca="1">IFERROR(__xludf.DUMMYFUNCTION("""COMPUTED_VALUE"""),"Mossend North Junction")</f>
        <v>Mossend North Junction</v>
      </c>
      <c r="B658" s="1"/>
      <c r="C658" s="1">
        <f ca="1">IFERROR(__xludf.DUMMYFUNCTION("""COMPUTED_VALUE"""),972971)</f>
        <v>972971</v>
      </c>
      <c r="D658" s="1" t="str">
        <f ca="1">IFERROR(__xludf.DUMMYFUNCTION("""COMPUTED_VALUE"""),"MOSENDN")</f>
        <v>MOSENDN</v>
      </c>
      <c r="E658" s="1" t="str">
        <f ca="1">IFERROR(__xludf.DUMMYFUNCTION("""COMPUTED_VALUE"""),"MOSENDNJN")</f>
        <v>MOSENDNJN</v>
      </c>
      <c r="F658" s="1">
        <f ca="1">IFERROR(__xludf.DUMMYFUNCTION("""COMPUTED_VALUE"""),7371)</f>
        <v>7371</v>
      </c>
    </row>
    <row r="659" spans="1:6" x14ac:dyDescent="0.3">
      <c r="A659" s="1" t="str">
        <f ca="1">IFERROR(__xludf.DUMMYFUNCTION("""COMPUTED_VALUE"""),"Mossend Parcels Terminal")</f>
        <v>Mossend Parcels Terminal</v>
      </c>
      <c r="B659" s="1"/>
      <c r="C659" s="1">
        <f ca="1">IFERROR(__xludf.DUMMYFUNCTION("""COMPUTED_VALUE"""),972927)</f>
        <v>972927</v>
      </c>
      <c r="D659" s="1" t="str">
        <f ca="1">IFERROR(__xludf.DUMMYFUNCTION("""COMPUTED_VALUE"""),"MOSEPCT")</f>
        <v>MOSEPCT</v>
      </c>
      <c r="E659" s="1" t="str">
        <f ca="1">IFERROR(__xludf.DUMMYFUNCTION("""COMPUTED_VALUE"""),"MOSSENDPT")</f>
        <v>MOSSENDPT</v>
      </c>
      <c r="F659" s="1">
        <f ca="1">IFERROR(__xludf.DUMMYFUNCTION("""COMPUTED_VALUE"""),7365)</f>
        <v>7365</v>
      </c>
    </row>
    <row r="660" spans="1:6" x14ac:dyDescent="0.3">
      <c r="A660" s="1" t="str">
        <f ca="1">IFERROR(__xludf.DUMMYFUNCTION("""COMPUTED_VALUE"""),"Mossend PD Stirling Freightliner Heavy Haul")</f>
        <v>Mossend PD Stirling Freightliner Heavy Haul</v>
      </c>
      <c r="B660" s="1"/>
      <c r="C660" s="1">
        <f ca="1">IFERROR(__xludf.DUMMYFUNCTION("""COMPUTED_VALUE"""),972905)</f>
        <v>972905</v>
      </c>
      <c r="D660" s="1" t="str">
        <f ca="1">IFERROR(__xludf.DUMMYFUNCTION("""COMPUTED_VALUE"""),"MOSEPDF")</f>
        <v>MOSEPDF</v>
      </c>
      <c r="E660" s="1" t="str">
        <f ca="1">IFERROR(__xludf.DUMMYFUNCTION("""COMPUTED_VALUE"""),"MOSEPDSFL")</f>
        <v>MOSEPDSFL</v>
      </c>
      <c r="F660" s="1">
        <f ca="1">IFERROR(__xludf.DUMMYFUNCTION("""COMPUTED_VALUE"""),7374)</f>
        <v>7374</v>
      </c>
    </row>
    <row r="661" spans="1:6" x14ac:dyDescent="0.3">
      <c r="A661" s="1" t="str">
        <f ca="1">IFERROR(__xludf.DUMMYFUNCTION("""COMPUTED_VALUE"""),"Mossend PD Stirling GB Railfreight")</f>
        <v>Mossend PD Stirling GB Railfreight</v>
      </c>
      <c r="B661" s="1"/>
      <c r="C661" s="1">
        <f ca="1">IFERROR(__xludf.DUMMYFUNCTION("""COMPUTED_VALUE"""),972903)</f>
        <v>972903</v>
      </c>
      <c r="D661" s="1" t="str">
        <f ca="1">IFERROR(__xludf.DUMMYFUNCTION("""COMPUTED_VALUE"""),"MOSEPDS")</f>
        <v>MOSEPDS</v>
      </c>
      <c r="E661" s="1" t="str">
        <f ca="1">IFERROR(__xludf.DUMMYFUNCTION("""COMPUTED_VALUE"""),"MOSEPDSGB")</f>
        <v>MOSEPDSGB</v>
      </c>
      <c r="F661" s="1" t="str">
        <f ca="1">IFERROR(__xludf.DUMMYFUNCTION("""COMPUTED_VALUE"""),"07370 03832")</f>
        <v>07370 03832</v>
      </c>
    </row>
    <row r="662" spans="1:6" x14ac:dyDescent="0.3">
      <c r="A662" s="1" t="str">
        <f ca="1">IFERROR(__xludf.DUMMYFUNCTION("""COMPUTED_VALUE"""),"Mossend Shunt &amp; Marshalling")</f>
        <v>Mossend Shunt &amp; Marshalling</v>
      </c>
      <c r="B662" s="1"/>
      <c r="C662" s="1">
        <f ca="1">IFERROR(__xludf.DUMMYFUNCTION("""COMPUTED_VALUE"""),972915)</f>
        <v>972915</v>
      </c>
      <c r="D662" s="1" t="str">
        <f ca="1">IFERROR(__xludf.DUMMYFUNCTION("""COMPUTED_VALUE"""),"MOSESTR")</f>
        <v>MOSESTR</v>
      </c>
      <c r="E662" s="1" t="str">
        <f ca="1">IFERROR(__xludf.DUMMYFUNCTION("""COMPUTED_VALUE"""),"MOSSENDPD")</f>
        <v>MOSSENDPD</v>
      </c>
      <c r="F662" s="1">
        <f ca="1">IFERROR(__xludf.DUMMYFUNCTION("""COMPUTED_VALUE"""),7361)</f>
        <v>7361</v>
      </c>
    </row>
    <row r="663" spans="1:6" x14ac:dyDescent="0.3">
      <c r="A663" s="1" t="str">
        <f ca="1">IFERROR(__xludf.DUMMYFUNCTION("""COMPUTED_VALUE"""),"Mossend Signal M311")</f>
        <v>Mossend Signal M311</v>
      </c>
      <c r="B663" s="1"/>
      <c r="C663" s="1">
        <f ca="1">IFERROR(__xludf.DUMMYFUNCTION("""COMPUTED_VALUE"""),972974)</f>
        <v>972974</v>
      </c>
      <c r="D663" s="1" t="str">
        <f ca="1">IFERROR(__xludf.DUMMYFUNCTION("""COMPUTED_VALUE"""),"MOSE311")</f>
        <v>MOSE311</v>
      </c>
      <c r="E663" s="1"/>
      <c r="F663" s="1" t="str">
        <f ca="1">IFERROR(__xludf.DUMMYFUNCTION("""COMPUTED_VALUE"""),"07371*")</f>
        <v>07371*</v>
      </c>
    </row>
    <row r="664" spans="1:6" x14ac:dyDescent="0.3">
      <c r="A664" s="1" t="str">
        <f ca="1">IFERROR(__xludf.DUMMYFUNCTION("""COMPUTED_VALUE"""),"Mossend South Junction")</f>
        <v>Mossend South Junction</v>
      </c>
      <c r="B664" s="1"/>
      <c r="C664" s="1">
        <f ca="1">IFERROR(__xludf.DUMMYFUNCTION("""COMPUTED_VALUE"""),972972)</f>
        <v>972972</v>
      </c>
      <c r="D664" s="1" t="str">
        <f ca="1">IFERROR(__xludf.DUMMYFUNCTION("""COMPUTED_VALUE"""),"MOSENDS")</f>
        <v>MOSENDS</v>
      </c>
      <c r="E664" s="1" t="str">
        <f ca="1">IFERROR(__xludf.DUMMYFUNCTION("""COMPUTED_VALUE"""),"MOSENDSJN")</f>
        <v>MOSENDSJN</v>
      </c>
      <c r="F664" s="1">
        <f ca="1">IFERROR(__xludf.DUMMYFUNCTION("""COMPUTED_VALUE"""),7375)</f>
        <v>7375</v>
      </c>
    </row>
    <row r="665" spans="1:6" x14ac:dyDescent="0.3">
      <c r="A665" s="1" t="str">
        <f ca="1">IFERROR(__xludf.DUMMYFUNCTION("""COMPUTED_VALUE"""),"Mossend Traction Maintenance Depot")</f>
        <v>Mossend Traction Maintenance Depot</v>
      </c>
      <c r="B665" s="1"/>
      <c r="C665" s="1">
        <f ca="1">IFERROR(__xludf.DUMMYFUNCTION("""COMPUTED_VALUE"""),972917)</f>
        <v>972917</v>
      </c>
      <c r="D665" s="1" t="str">
        <f ca="1">IFERROR(__xludf.DUMMYFUNCTION("""COMPUTED_VALUE"""),"MOSETMD")</f>
        <v>MOSETMD</v>
      </c>
      <c r="E665" s="1" t="str">
        <f ca="1">IFERROR(__xludf.DUMMYFUNCTION("""COMPUTED_VALUE"""),"MOSSNDTMD")</f>
        <v>MOSSNDTMD</v>
      </c>
      <c r="F665" s="1">
        <f ca="1">IFERROR(__xludf.DUMMYFUNCTION("""COMPUTED_VALUE"""),7364)</f>
        <v>7364</v>
      </c>
    </row>
    <row r="666" spans="1:6" x14ac:dyDescent="0.3">
      <c r="A666" s="1" t="str">
        <f ca="1">IFERROR(__xludf.DUMMYFUNCTION("""COMPUTED_VALUE"""),"Mossend Up Reception")</f>
        <v>Mossend Up Reception</v>
      </c>
      <c r="B666" s="1"/>
      <c r="C666" s="1">
        <f ca="1">IFERROR(__xludf.DUMMYFUNCTION("""COMPUTED_VALUE"""),972902)</f>
        <v>972902</v>
      </c>
      <c r="D666" s="1" t="str">
        <f ca="1">IFERROR(__xludf.DUMMYFUNCTION("""COMPUTED_VALUE"""),"MOSEUFH")</f>
        <v>MOSEUFH</v>
      </c>
      <c r="E666" s="1" t="str">
        <f ca="1">IFERROR(__xludf.DUMMYFUNCTION("""COMPUTED_VALUE"""),"MOSSDUREC")</f>
        <v>MOSSDUREC</v>
      </c>
      <c r="F666" s="1">
        <f ca="1">IFERROR(__xludf.DUMMYFUNCTION("""COMPUTED_VALUE"""),7354)</f>
        <v>7354</v>
      </c>
    </row>
    <row r="667" spans="1:6" x14ac:dyDescent="0.3">
      <c r="A667" s="1" t="str">
        <f ca="1">IFERROR(__xludf.DUMMYFUNCTION("""COMPUTED_VALUE"""),"Mossend Up Side HS")</f>
        <v>Mossend Up Side HS</v>
      </c>
      <c r="B667" s="1"/>
      <c r="C667" s="1">
        <f ca="1">IFERROR(__xludf.DUMMYFUNCTION("""COMPUTED_VALUE"""),972924)</f>
        <v>972924</v>
      </c>
      <c r="D667" s="1" t="str">
        <f ca="1">IFERROR(__xludf.DUMMYFUNCTION("""COMPUTED_VALUE"""),"MOSEUHS")</f>
        <v>MOSEUHS</v>
      </c>
      <c r="E667" s="1" t="str">
        <f ca="1">IFERROR(__xludf.DUMMYFUNCTION("""COMPUTED_VALUE"""),"MOSSDW1RP")</f>
        <v>MOSSDW1RP</v>
      </c>
      <c r="F667" s="1">
        <f ca="1">IFERROR(__xludf.DUMMYFUNCTION("""COMPUTED_VALUE"""),7368)</f>
        <v>7368</v>
      </c>
    </row>
    <row r="668" spans="1:6" x14ac:dyDescent="0.3">
      <c r="A668" s="1" t="str">
        <f ca="1">IFERROR(__xludf.DUMMYFUNCTION("""COMPUTED_VALUE"""),"Mossend Up Yard")</f>
        <v>Mossend Up Yard</v>
      </c>
      <c r="B668" s="1"/>
      <c r="C668" s="1">
        <f ca="1">IFERROR(__xludf.DUMMYFUNCTION("""COMPUTED_VALUE"""),972920)</f>
        <v>972920</v>
      </c>
      <c r="D668" s="1" t="str">
        <f ca="1">IFERROR(__xludf.DUMMYFUNCTION("""COMPUTED_VALUE"""),"MOSEUPY")</f>
        <v>MOSEUPY</v>
      </c>
      <c r="E668" s="1" t="str">
        <f ca="1">IFERROR(__xludf.DUMMYFUNCTION("""COMPUTED_VALUE"""),"MOSSUPREC")</f>
        <v>MOSSUPREC</v>
      </c>
      <c r="F668" s="1">
        <f ca="1">IFERROR(__xludf.DUMMYFUNCTION("""COMPUTED_VALUE"""),7357)</f>
        <v>7357</v>
      </c>
    </row>
    <row r="669" spans="1:6" x14ac:dyDescent="0.3">
      <c r="A669" s="1" t="str">
        <f ca="1">IFERROR(__xludf.DUMMYFUNCTION("""COMPUTED_VALUE"""),"Mossend West Junction")</f>
        <v>Mossend West Junction</v>
      </c>
      <c r="B669" s="1"/>
      <c r="C669" s="1">
        <f ca="1">IFERROR(__xludf.DUMMYFUNCTION("""COMPUTED_VALUE"""),972973)</f>
        <v>972973</v>
      </c>
      <c r="D669" s="1" t="str">
        <f ca="1">IFERROR(__xludf.DUMMYFUNCTION("""COMPUTED_VALUE"""),"MOSENDW")</f>
        <v>MOSENDW</v>
      </c>
      <c r="E669" s="1" t="str">
        <f ca="1">IFERROR(__xludf.DUMMYFUNCTION("""COMPUTED_VALUE"""),"MOSENDWJN")</f>
        <v>MOSENDWJN</v>
      </c>
      <c r="F669" s="1">
        <f ca="1">IFERROR(__xludf.DUMMYFUNCTION("""COMPUTED_VALUE"""),7373)</f>
        <v>7373</v>
      </c>
    </row>
    <row r="670" spans="1:6" x14ac:dyDescent="0.3">
      <c r="A670" s="1" t="str">
        <f ca="1">IFERROR(__xludf.DUMMYFUNCTION("""COMPUTED_VALUE"""),"Mossend Yard")</f>
        <v>Mossend Yard</v>
      </c>
      <c r="B670" s="1" t="str">
        <f ca="1">IFERROR(__xludf.DUMMYFUNCTION("""COMPUTED_VALUE"""),"XMS")</f>
        <v>XMS</v>
      </c>
      <c r="C670" s="1">
        <f ca="1">IFERROR(__xludf.DUMMYFUNCTION("""COMPUTED_VALUE"""),972900)</f>
        <v>972900</v>
      </c>
      <c r="D670" s="1" t="str">
        <f ca="1">IFERROR(__xludf.DUMMYFUNCTION("""COMPUTED_VALUE"""),"MOSENY")</f>
        <v>MOSENY</v>
      </c>
      <c r="E670" s="1" t="str">
        <f ca="1">IFERROR(__xludf.DUMMYFUNCTION("""COMPUTED_VALUE"""),"MOSSND ML")</f>
        <v>MOSSND ML</v>
      </c>
      <c r="F670" s="1">
        <f ca="1">IFERROR(__xludf.DUMMYFUNCTION("""COMPUTED_VALUE"""),7359)</f>
        <v>7359</v>
      </c>
    </row>
    <row r="671" spans="1:6" x14ac:dyDescent="0.3">
      <c r="A671" s="1" t="str">
        <f ca="1">IFERROR(__xludf.DUMMYFUNCTION("""COMPUTED_VALUE"""),"Mossend Yard DRS")</f>
        <v>Mossend Yard DRS</v>
      </c>
      <c r="B671" s="1"/>
      <c r="C671" s="1">
        <f ca="1">IFERROR(__xludf.DUMMYFUNCTION("""COMPUTED_VALUE"""),972976)</f>
        <v>972976</v>
      </c>
      <c r="D671" s="1" t="str">
        <f ca="1">IFERROR(__xludf.DUMMYFUNCTION("""COMPUTED_VALUE"""),"MOSEDRS")</f>
        <v>MOSEDRS</v>
      </c>
      <c r="E671" s="1" t="str">
        <f ca="1">IFERROR(__xludf.DUMMYFUNCTION("""COMPUTED_VALUE"""),"MOSDNYDRS")</f>
        <v>MOSDNYDRS</v>
      </c>
      <c r="F671" s="1">
        <f ca="1">IFERROR(__xludf.DUMMYFUNCTION("""COMPUTED_VALUE"""),7369)</f>
        <v>7369</v>
      </c>
    </row>
    <row r="672" spans="1:6" x14ac:dyDescent="0.3">
      <c r="A672" s="1" t="str">
        <f ca="1">IFERROR(__xludf.DUMMYFUNCTION("""COMPUTED_VALUE"""),"Mossend Yard Locomotive Holding Sidings DB Schenker")</f>
        <v>Mossend Yard Locomotive Holding Sidings DB Schenker</v>
      </c>
      <c r="B672" s="1"/>
      <c r="C672" s="1">
        <f ca="1">IFERROR(__xludf.DUMMYFUNCTION("""COMPUTED_VALUE"""),972904)</f>
        <v>972904</v>
      </c>
      <c r="D672" s="1" t="str">
        <f ca="1">IFERROR(__xludf.DUMMYFUNCTION("""COMPUTED_VALUE"""),"MOSELDB")</f>
        <v>MOSELDB</v>
      </c>
      <c r="E672" s="1" t="str">
        <f ca="1">IFERROR(__xludf.DUMMYFUNCTION("""COMPUTED_VALUE"""),"MOSSHS DB")</f>
        <v>MOSSHS DB</v>
      </c>
      <c r="F672" s="1" t="str">
        <f ca="1">IFERROR(__xludf.DUMMYFUNCTION("""COMPUTED_VALUE"""),"07353 03819")</f>
        <v>07353 03819</v>
      </c>
    </row>
    <row r="673" spans="1:6" x14ac:dyDescent="0.3">
      <c r="A673" s="1" t="str">
        <f ca="1">IFERROR(__xludf.DUMMYFUNCTION("""COMPUTED_VALUE"""),"Mossley Hill")</f>
        <v>Mossley Hill</v>
      </c>
      <c r="B673" s="1" t="str">
        <f ca="1">IFERROR(__xludf.DUMMYFUNCTION("""COMPUTED_VALUE"""),"MSH")</f>
        <v>MSH</v>
      </c>
      <c r="C673" s="1">
        <f ca="1">IFERROR(__xludf.DUMMYFUNCTION("""COMPUTED_VALUE"""),217100)</f>
        <v>217100</v>
      </c>
      <c r="D673" s="1" t="str">
        <f ca="1">IFERROR(__xludf.DUMMYFUNCTION("""COMPUTED_VALUE"""),"MSLH")</f>
        <v>MSLH</v>
      </c>
      <c r="E673" s="1" t="str">
        <f ca="1">IFERROR(__xludf.DUMMYFUNCTION("""COMPUTED_VALUE"""),"MOSSLYHIL")</f>
        <v>MOSSLYHIL</v>
      </c>
      <c r="F673" s="1">
        <f ca="1">IFERROR(__xludf.DUMMYFUNCTION("""COMPUTED_VALUE"""),36185)</f>
        <v>36185</v>
      </c>
    </row>
    <row r="674" spans="1:6" x14ac:dyDescent="0.3">
      <c r="A674" s="1" t="str">
        <f ca="1">IFERROR(__xludf.DUMMYFUNCTION("""COMPUTED_VALUE"""),"Mossley (Manchester)")</f>
        <v>Mossley (Manchester)</v>
      </c>
      <c r="B674" s="1" t="str">
        <f ca="1">IFERROR(__xludf.DUMMYFUNCTION("""COMPUTED_VALUE"""),"MSL")</f>
        <v>MSL</v>
      </c>
      <c r="C674" s="1">
        <f ca="1">IFERROR(__xludf.DUMMYFUNCTION("""COMPUTED_VALUE"""),290300)</f>
        <v>290300</v>
      </c>
      <c r="D674" s="1" t="str">
        <f ca="1">IFERROR(__xludf.DUMMYFUNCTION("""COMPUTED_VALUE"""),"MOSSLEY")</f>
        <v>MOSSLEY</v>
      </c>
      <c r="E674" s="1" t="str">
        <f ca="1">IFERROR(__xludf.DUMMYFUNCTION("""COMPUTED_VALUE"""),"MOSSLEY")</f>
        <v>MOSSLEY</v>
      </c>
      <c r="F674" s="1">
        <f ca="1">IFERROR(__xludf.DUMMYFUNCTION("""COMPUTED_VALUE"""),32109)</f>
        <v>32109</v>
      </c>
    </row>
    <row r="675" spans="1:6" x14ac:dyDescent="0.3">
      <c r="A675" s="1" t="str">
        <f ca="1">IFERROR(__xludf.DUMMYFUNCTION("""COMPUTED_VALUE"""),"Mosspark")</f>
        <v>Mosspark</v>
      </c>
      <c r="B675" s="1" t="str">
        <f ca="1">IFERROR(__xludf.DUMMYFUNCTION("""COMPUTED_VALUE"""),"MPK")</f>
        <v>MPK</v>
      </c>
      <c r="C675" s="1">
        <f ca="1">IFERROR(__xludf.DUMMYFUNCTION("""COMPUTED_VALUE"""),963200)</f>
        <v>963200</v>
      </c>
      <c r="D675" s="1" t="str">
        <f ca="1">IFERROR(__xludf.DUMMYFUNCTION("""COMPUTED_VALUE"""),"MSSPARK")</f>
        <v>MSSPARK</v>
      </c>
      <c r="E675" s="1" t="str">
        <f ca="1">IFERROR(__xludf.DUMMYFUNCTION("""COMPUTED_VALUE"""),"MOSSPARK")</f>
        <v>MOSSPARK</v>
      </c>
      <c r="F675" s="1">
        <f ca="1">IFERROR(__xludf.DUMMYFUNCTION("""COMPUTED_VALUE"""),7119)</f>
        <v>7119</v>
      </c>
    </row>
    <row r="676" spans="1:6" x14ac:dyDescent="0.3">
      <c r="A676" s="1" t="str">
        <f ca="1">IFERROR(__xludf.DUMMYFUNCTION("""COMPUTED_VALUE"""),"Mosspark West")</f>
        <v>Mosspark West</v>
      </c>
      <c r="B676" s="1"/>
      <c r="C676" s="1">
        <f ca="1">IFERROR(__xludf.DUMMYFUNCTION("""COMPUTED_VALUE"""),967800)</f>
        <v>967800</v>
      </c>
      <c r="D676" s="1" t="str">
        <f ca="1">IFERROR(__xludf.DUMMYFUNCTION("""COMPUTED_VALUE"""),"MOSSPK")</f>
        <v>MOSSPK</v>
      </c>
      <c r="E676" s="1"/>
      <c r="F676" s="1" t="str">
        <f ca="1">IFERROR(__xludf.DUMMYFUNCTION("""COMPUTED_VALUE"""),"-")</f>
        <v>-</v>
      </c>
    </row>
    <row r="677" spans="1:6" x14ac:dyDescent="0.3">
      <c r="A677" s="1" t="str">
        <f ca="1">IFERROR(__xludf.DUMMYFUNCTION("""COMPUTED_VALUE"""),"Moss Side")</f>
        <v>Moss Side</v>
      </c>
      <c r="B677" s="1" t="str">
        <f ca="1">IFERROR(__xludf.DUMMYFUNCTION("""COMPUTED_VALUE"""),"MOS")</f>
        <v>MOS</v>
      </c>
      <c r="C677" s="1">
        <f ca="1">IFERROR(__xludf.DUMMYFUNCTION("""COMPUTED_VALUE"""),267500)</f>
        <v>267500</v>
      </c>
      <c r="D677" s="1" t="str">
        <f ca="1">IFERROR(__xludf.DUMMYFUNCTION("""COMPUTED_VALUE"""),"MSSD")</f>
        <v>MSSD</v>
      </c>
      <c r="E677" s="1" t="str">
        <f ca="1">IFERROR(__xludf.DUMMYFUNCTION("""COMPUTED_VALUE"""),"MOSS SIDE")</f>
        <v>MOSS SIDE</v>
      </c>
      <c r="F677" s="1">
        <f ca="1">IFERROR(__xludf.DUMMYFUNCTION("""COMPUTED_VALUE"""),30039)</f>
        <v>30039</v>
      </c>
    </row>
    <row r="678" spans="1:6" x14ac:dyDescent="0.3">
      <c r="A678" s="1" t="str">
        <f ca="1">IFERROR(__xludf.DUMMYFUNCTION("""COMPUTED_VALUE"""),"Moston")</f>
        <v>Moston</v>
      </c>
      <c r="B678" s="1" t="str">
        <f ca="1">IFERROR(__xludf.DUMMYFUNCTION("""COMPUTED_VALUE"""),"MSO")</f>
        <v>MSO</v>
      </c>
      <c r="C678" s="1">
        <f ca="1">IFERROR(__xludf.DUMMYFUNCTION("""COMPUTED_VALUE"""),297300)</f>
        <v>297300</v>
      </c>
      <c r="D678" s="1" t="str">
        <f ca="1">IFERROR(__xludf.DUMMYFUNCTION("""COMPUTED_VALUE"""),"MSTN")</f>
        <v>MSTN</v>
      </c>
      <c r="E678" s="1" t="str">
        <f ca="1">IFERROR(__xludf.DUMMYFUNCTION("""COMPUTED_VALUE"""),"MOSTON")</f>
        <v>MOSTON</v>
      </c>
      <c r="F678" s="1">
        <f ca="1">IFERROR(__xludf.DUMMYFUNCTION("""COMPUTED_VALUE"""),31303)</f>
        <v>31303</v>
      </c>
    </row>
    <row r="679" spans="1:6" x14ac:dyDescent="0.3">
      <c r="A679" s="1" t="str">
        <f ca="1">IFERROR(__xludf.DUMMYFUNCTION("""COMPUTED_VALUE"""),"Mostrim (Edgworthstown)")</f>
        <v>Mostrim (Edgworthstown)</v>
      </c>
      <c r="B679" s="1" t="str">
        <f ca="1">IFERROR(__xludf.DUMMYFUNCTION("""COMPUTED_VALUE"""),"MOM")</f>
        <v>MOM</v>
      </c>
      <c r="C679" s="1">
        <f ca="1">IFERROR(__xludf.DUMMYFUNCTION("""COMPUTED_VALUE"""),163700)</f>
        <v>163700</v>
      </c>
      <c r="D679" s="1" t="str">
        <f ca="1">IFERROR(__xludf.DUMMYFUNCTION("""COMPUTED_VALUE"""),"CATZMOM")</f>
        <v>CATZMOM</v>
      </c>
      <c r="E679" s="1"/>
      <c r="F679" s="1"/>
    </row>
    <row r="680" spans="1:6" x14ac:dyDescent="0.3">
      <c r="A680" s="1" t="str">
        <f ca="1">IFERROR(__xludf.DUMMYFUNCTION("""COMPUTED_VALUE"""),"Mostyn Docks English Welsh &amp; Scottish Railway")</f>
        <v>Mostyn Docks English Welsh &amp; Scottish Railway</v>
      </c>
      <c r="B680" s="1"/>
      <c r="C680" s="1">
        <f ca="1">IFERROR(__xludf.DUMMYFUNCTION("""COMPUTED_VALUE"""),251800)</f>
        <v>251800</v>
      </c>
      <c r="D680" s="1" t="str">
        <f ca="1">IFERROR(__xludf.DUMMYFUNCTION("""COMPUTED_VALUE"""),"MOSTYN")</f>
        <v>MOSTYN</v>
      </c>
      <c r="E680" s="1" t="str">
        <f ca="1">IFERROR(__xludf.DUMMYFUNCTION("""COMPUTED_VALUE"""),"MSTNEXSDG")</f>
        <v>MSTNEXSDG</v>
      </c>
      <c r="F680" s="1">
        <f ca="1">IFERROR(__xludf.DUMMYFUNCTION("""COMPUTED_VALUE"""),40110)</f>
        <v>40110</v>
      </c>
    </row>
    <row r="681" spans="1:6" x14ac:dyDescent="0.3">
      <c r="A681" s="1" t="str">
        <f ca="1">IFERROR(__xludf.DUMMYFUNCTION("""COMPUTED_VALUE"""),"Mostyn Docks Freightliner")</f>
        <v>Mostyn Docks Freightliner</v>
      </c>
      <c r="B681" s="1"/>
      <c r="C681" s="1">
        <f ca="1">IFERROR(__xludf.DUMMYFUNCTION("""COMPUTED_VALUE"""),251801)</f>
        <v>251801</v>
      </c>
      <c r="D681" s="1" t="str">
        <f ca="1">IFERROR(__xludf.DUMMYFUNCTION("""COMPUTED_VALUE"""),"MOSTFLR")</f>
        <v>MOSTFLR</v>
      </c>
      <c r="E681" s="1" t="str">
        <f ca="1">IFERROR(__xludf.DUMMYFUNCTION("""COMPUTED_VALUE"""),"MOSTYNDKS")</f>
        <v>MOSTYNDKS</v>
      </c>
      <c r="F681" s="1">
        <f ca="1">IFERROR(__xludf.DUMMYFUNCTION("""COMPUTED_VALUE"""),40113)</f>
        <v>40113</v>
      </c>
    </row>
    <row r="682" spans="1:6" x14ac:dyDescent="0.3">
      <c r="A682" s="1" t="str">
        <f ca="1">IFERROR(__xludf.DUMMYFUNCTION("""COMPUTED_VALUE"""),"Mostyn East Junction")</f>
        <v>Mostyn East Junction</v>
      </c>
      <c r="B682" s="1"/>
      <c r="C682" s="1">
        <f ca="1">IFERROR(__xludf.DUMMYFUNCTION("""COMPUTED_VALUE"""),251802)</f>
        <v>251802</v>
      </c>
      <c r="D682" s="1" t="str">
        <f ca="1">IFERROR(__xludf.DUMMYFUNCTION("""COMPUTED_VALUE"""),"MOSTEJN")</f>
        <v>MOSTEJN</v>
      </c>
      <c r="E682" s="1" t="str">
        <f ca="1">IFERROR(__xludf.DUMMYFUNCTION("""COMPUTED_VALUE"""),"MOSTYNEJN")</f>
        <v>MOSTYNEJN</v>
      </c>
      <c r="F682" s="1">
        <f ca="1">IFERROR(__xludf.DUMMYFUNCTION("""COMPUTED_VALUE"""),40114)</f>
        <v>40114</v>
      </c>
    </row>
    <row r="683" spans="1:6" x14ac:dyDescent="0.3">
      <c r="A683" s="1" t="str">
        <f ca="1">IFERROR(__xludf.DUMMYFUNCTION("""COMPUTED_VALUE"""),"Mostyn Signal Box")</f>
        <v>Mostyn Signal Box</v>
      </c>
      <c r="B683" s="1"/>
      <c r="C683" s="1">
        <f ca="1">IFERROR(__xludf.DUMMYFUNCTION("""COMPUTED_VALUE"""),251805)</f>
        <v>251805</v>
      </c>
      <c r="D683" s="1" t="str">
        <f ca="1">IFERROR(__xludf.DUMMYFUNCTION("""COMPUTED_VALUE"""),"MOSTSB")</f>
        <v>MOSTSB</v>
      </c>
      <c r="E683" s="1" t="str">
        <f ca="1">IFERROR(__xludf.DUMMYFUNCTION("""COMPUTED_VALUE"""),"MOSTYN SB")</f>
        <v>MOSTYN SB</v>
      </c>
      <c r="F683" s="1">
        <f ca="1">IFERROR(__xludf.DUMMYFUNCTION("""COMPUTED_VALUE"""),40109)</f>
        <v>40109</v>
      </c>
    </row>
    <row r="684" spans="1:6" x14ac:dyDescent="0.3">
      <c r="A684" s="1" t="str">
        <f ca="1">IFERROR(__xludf.DUMMYFUNCTION("""COMPUTED_VALUE"""),"Mostyn Signal MN15")</f>
        <v>Mostyn Signal MN15</v>
      </c>
      <c r="B684" s="1"/>
      <c r="C684" s="1">
        <f ca="1">IFERROR(__xludf.DUMMYFUNCTION("""COMPUTED_VALUE"""),251806)</f>
        <v>251806</v>
      </c>
      <c r="D684" s="1" t="str">
        <f ca="1">IFERROR(__xludf.DUMMYFUNCTION("""COMPUTED_VALUE"""),"MOSTN15")</f>
        <v>MOSTN15</v>
      </c>
      <c r="E684" s="1" t="str">
        <f ca="1">IFERROR(__xludf.DUMMYFUNCTION("""COMPUTED_VALUE"""),"MOSTNMN15")</f>
        <v>MOSTNMN15</v>
      </c>
      <c r="F684" s="1">
        <f ca="1">IFERROR(__xludf.DUMMYFUNCTION("""COMPUTED_VALUE"""),40116)</f>
        <v>40116</v>
      </c>
    </row>
    <row r="685" spans="1:6" x14ac:dyDescent="0.3">
      <c r="A685" s="1" t="str">
        <f ca="1">IFERROR(__xludf.DUMMYFUNCTION("""COMPUTED_VALUE"""),"Mostyn Signal MN21")</f>
        <v>Mostyn Signal MN21</v>
      </c>
      <c r="B685" s="1"/>
      <c r="C685" s="1">
        <f ca="1">IFERROR(__xludf.DUMMYFUNCTION("""COMPUTED_VALUE"""),251807)</f>
        <v>251807</v>
      </c>
      <c r="D685" s="1" t="str">
        <f ca="1">IFERROR(__xludf.DUMMYFUNCTION("""COMPUTED_VALUE"""),"MOSTN21")</f>
        <v>MOSTN21</v>
      </c>
      <c r="E685" s="1" t="str">
        <f ca="1">IFERROR(__xludf.DUMMYFUNCTION("""COMPUTED_VALUE"""),"MOSTNMN21")</f>
        <v>MOSTNMN21</v>
      </c>
      <c r="F685" s="1">
        <f ca="1">IFERROR(__xludf.DUMMYFUNCTION("""COMPUTED_VALUE"""),40117)</f>
        <v>40117</v>
      </c>
    </row>
    <row r="686" spans="1:6" x14ac:dyDescent="0.3">
      <c r="A686" s="1" t="str">
        <f ca="1">IFERROR(__xludf.DUMMYFUNCTION("""COMPUTED_VALUE"""),"Mostyn Up Goods Loop")</f>
        <v>Mostyn Up Goods Loop</v>
      </c>
      <c r="B686" s="1"/>
      <c r="C686" s="1">
        <f ca="1">IFERROR(__xludf.DUMMYFUNCTION("""COMPUTED_VALUE"""),251804)</f>
        <v>251804</v>
      </c>
      <c r="D686" s="1" t="str">
        <f ca="1">IFERROR(__xludf.DUMMYFUNCTION("""COMPUTED_VALUE"""),"MOSTUGL")</f>
        <v>MOSTUGL</v>
      </c>
      <c r="E686" s="1" t="str">
        <f ca="1">IFERROR(__xludf.DUMMYFUNCTION("""COMPUTED_VALUE"""),"MOSTYNUGL")</f>
        <v>MOSTYNUGL</v>
      </c>
      <c r="F686" s="1">
        <f ca="1">IFERROR(__xludf.DUMMYFUNCTION("""COMPUTED_VALUE"""),40118)</f>
        <v>40118</v>
      </c>
    </row>
    <row r="687" spans="1:6" x14ac:dyDescent="0.3">
      <c r="A687" s="1" t="str">
        <f ca="1">IFERROR(__xludf.DUMMYFUNCTION("""COMPUTED_VALUE"""),"Mostyn West Junction")</f>
        <v>Mostyn West Junction</v>
      </c>
      <c r="B687" s="1"/>
      <c r="C687" s="1">
        <f ca="1">IFERROR(__xludf.DUMMYFUNCTION("""COMPUTED_VALUE"""),251803)</f>
        <v>251803</v>
      </c>
      <c r="D687" s="1" t="str">
        <f ca="1">IFERROR(__xludf.DUMMYFUNCTION("""COMPUTED_VALUE"""),"MOSTWJN")</f>
        <v>MOSTWJN</v>
      </c>
      <c r="E687" s="1" t="str">
        <f ca="1">IFERROR(__xludf.DUMMYFUNCTION("""COMPUTED_VALUE"""),"MOSTYNWJN")</f>
        <v>MOSTYNWJN</v>
      </c>
      <c r="F687" s="1">
        <f ca="1">IFERROR(__xludf.DUMMYFUNCTION("""COMPUTED_VALUE"""),40115)</f>
        <v>40115</v>
      </c>
    </row>
    <row r="688" spans="1:6" x14ac:dyDescent="0.3">
      <c r="A688" s="1" t="str">
        <f ca="1">IFERROR(__xludf.DUMMYFUNCTION("""COMPUTED_VALUE"""),"Motherwell")</f>
        <v>Motherwell</v>
      </c>
      <c r="B688" s="1" t="str">
        <f ca="1">IFERROR(__xludf.DUMMYFUNCTION("""COMPUTED_VALUE"""),"MTH")</f>
        <v>MTH</v>
      </c>
      <c r="C688" s="1">
        <f ca="1">IFERROR(__xludf.DUMMYFUNCTION("""COMPUTED_VALUE"""),969100)</f>
        <v>969100</v>
      </c>
      <c r="D688" s="1" t="str">
        <f ca="1">IFERROR(__xludf.DUMMYFUNCTION("""COMPUTED_VALUE"""),"MOTHRWL")</f>
        <v>MOTHRWL</v>
      </c>
      <c r="E688" s="1" t="str">
        <f ca="1">IFERROR(__xludf.DUMMYFUNCTION("""COMPUTED_VALUE"""),"MOTHERWEL")</f>
        <v>MOTHERWEL</v>
      </c>
      <c r="F688" s="1">
        <f ca="1">IFERROR(__xludf.DUMMYFUNCTION("""COMPUTED_VALUE"""),7466)</f>
        <v>7466</v>
      </c>
    </row>
    <row r="689" spans="1:6" x14ac:dyDescent="0.3">
      <c r="A689" s="1" t="str">
        <f ca="1">IFERROR(__xludf.DUMMYFUNCTION("""COMPUTED_VALUE"""),"Motherwell Bridge Sidings")</f>
        <v>Motherwell Bridge Sidings</v>
      </c>
      <c r="B689" s="1"/>
      <c r="C689" s="1">
        <f ca="1">IFERROR(__xludf.DUMMYFUNCTION("""COMPUTED_VALUE"""),969105)</f>
        <v>969105</v>
      </c>
      <c r="D689" s="1" t="str">
        <f ca="1">IFERROR(__xludf.DUMMYFUNCTION("""COMPUTED_VALUE"""),"MOTHBRS")</f>
        <v>MOTHBRS</v>
      </c>
      <c r="E689" s="1" t="str">
        <f ca="1">IFERROR(__xludf.DUMMYFUNCTION("""COMPUTED_VALUE"""),"MWELL BS")</f>
        <v>MWELL BS</v>
      </c>
      <c r="F689" s="1">
        <f ca="1">IFERROR(__xludf.DUMMYFUNCTION("""COMPUTED_VALUE"""),7463)</f>
        <v>7463</v>
      </c>
    </row>
    <row r="690" spans="1:6" x14ac:dyDescent="0.3">
      <c r="A690" s="1" t="str">
        <f ca="1">IFERROR(__xludf.DUMMYFUNCTION("""COMPUTED_VALUE"""),"Motherwell BOS")</f>
        <v>Motherwell BOS</v>
      </c>
      <c r="B690" s="1"/>
      <c r="C690" s="1">
        <f ca="1">IFERROR(__xludf.DUMMYFUNCTION("""COMPUTED_VALUE"""),969146)</f>
        <v>969146</v>
      </c>
      <c r="D690" s="1" t="str">
        <f ca="1">IFERROR(__xludf.DUMMYFUNCTION("""COMPUTED_VALUE"""),"MOTHBOS")</f>
        <v>MOTHBOS</v>
      </c>
      <c r="E690" s="1" t="str">
        <f ca="1">IFERROR(__xludf.DUMMYFUNCTION("""COMPUTED_VALUE"""),"MWELL BOS")</f>
        <v>MWELL BOS</v>
      </c>
      <c r="F690" s="1">
        <f ca="1">IFERROR(__xludf.DUMMYFUNCTION("""COMPUTED_VALUE"""),7475)</f>
        <v>7475</v>
      </c>
    </row>
    <row r="691" spans="1:6" x14ac:dyDescent="0.3">
      <c r="A691" s="1" t="str">
        <f ca="1">IFERROR(__xludf.DUMMYFUNCTION("""COMPUTED_VALUE"""),"Motherwell Derby Carriage Sidings")</f>
        <v>Motherwell Derby Carriage Sidings</v>
      </c>
      <c r="B691" s="1" t="str">
        <f ca="1">IFERROR(__xludf.DUMMYFUNCTION("""COMPUTED_VALUE"""),"XMW")</f>
        <v>XMW</v>
      </c>
      <c r="C691" s="1">
        <f ca="1">IFERROR(__xludf.DUMMYFUNCTION("""COMPUTED_VALUE"""),969147)</f>
        <v>969147</v>
      </c>
      <c r="D691" s="1" t="str">
        <f ca="1">IFERROR(__xludf.DUMMYFUNCTION("""COMPUTED_VALUE"""),"MOTHDCS")</f>
        <v>MOTHDCS</v>
      </c>
      <c r="E691" s="1" t="str">
        <f ca="1">IFERROR(__xludf.DUMMYFUNCTION("""COMPUTED_VALUE"""),"MWELL DCS")</f>
        <v>MWELL DCS</v>
      </c>
      <c r="F691" s="1">
        <f ca="1">IFERROR(__xludf.DUMMYFUNCTION("""COMPUTED_VALUE"""),7459)</f>
        <v>7459</v>
      </c>
    </row>
    <row r="692" spans="1:6" x14ac:dyDescent="0.3">
      <c r="A692" s="1" t="str">
        <f ca="1">IFERROR(__xludf.DUMMYFUNCTION("""COMPUTED_VALUE"""),"Motherwell Findlays Siding")</f>
        <v>Motherwell Findlays Siding</v>
      </c>
      <c r="B692" s="1"/>
      <c r="C692" s="1">
        <f ca="1">IFERROR(__xludf.DUMMYFUNCTION("""COMPUTED_VALUE"""),969127)</f>
        <v>969127</v>
      </c>
      <c r="D692" s="1" t="str">
        <f ca="1">IFERROR(__xludf.DUMMYFUNCTION("""COMPUTED_VALUE"""),"MOTHFDL")</f>
        <v>MOTHFDL</v>
      </c>
      <c r="E692" s="1" t="str">
        <f ca="1">IFERROR(__xludf.DUMMYFUNCTION("""COMPUTED_VALUE"""),"MWELLFINL")</f>
        <v>MWELLFINL</v>
      </c>
      <c r="F692" s="1">
        <f ca="1">IFERROR(__xludf.DUMMYFUNCTION("""COMPUTED_VALUE"""),7456)</f>
        <v>7456</v>
      </c>
    </row>
    <row r="693" spans="1:6" x14ac:dyDescent="0.3">
      <c r="A693" s="1" t="str">
        <f ca="1">IFERROR(__xludf.DUMMYFUNCTION("""COMPUTED_VALUE"""),"Motherwell Hamilton Goods Loop")</f>
        <v>Motherwell Hamilton Goods Loop</v>
      </c>
      <c r="B693" s="1"/>
      <c r="C693" s="1">
        <f ca="1">IFERROR(__xludf.DUMMYFUNCTION("""COMPUTED_VALUE"""),969128)</f>
        <v>969128</v>
      </c>
      <c r="D693" s="1" t="str">
        <f ca="1">IFERROR(__xludf.DUMMYFUNCTION("""COMPUTED_VALUE"""),"MOTHHGL")</f>
        <v>MOTHHGL</v>
      </c>
      <c r="E693" s="1" t="str">
        <f ca="1">IFERROR(__xludf.DUMMYFUNCTION("""COMPUTED_VALUE"""),"HAMLTN GL")</f>
        <v>HAMLTN GL</v>
      </c>
      <c r="F693" s="1">
        <f ca="1">IFERROR(__xludf.DUMMYFUNCTION("""COMPUTED_VALUE"""),7468)</f>
        <v>7468</v>
      </c>
    </row>
    <row r="694" spans="1:6" x14ac:dyDescent="0.3">
      <c r="A694" s="1" t="str">
        <f ca="1">IFERROR(__xludf.DUMMYFUNCTION("""COMPUTED_VALUE"""),"Motherwell Lower Civil Engineer's Sidings")</f>
        <v>Motherwell Lower Civil Engineer's Sidings</v>
      </c>
      <c r="B694" s="1"/>
      <c r="C694" s="1">
        <f ca="1">IFERROR(__xludf.DUMMYFUNCTION("""COMPUTED_VALUE"""),969163)</f>
        <v>969163</v>
      </c>
      <c r="D694" s="1" t="str">
        <f ca="1">IFERROR(__xludf.DUMMYFUNCTION("""COMPUTED_VALUE"""),"MOTHCE")</f>
        <v>MOTHCE</v>
      </c>
      <c r="E694" s="1" t="str">
        <f ca="1">IFERROR(__xludf.DUMMYFUNCTION("""COMPUTED_VALUE"""),"MWELL LWR")</f>
        <v>MWELL LWR</v>
      </c>
      <c r="F694" s="1">
        <f ca="1">IFERROR(__xludf.DUMMYFUNCTION("""COMPUTED_VALUE"""),7455)</f>
        <v>7455</v>
      </c>
    </row>
    <row r="695" spans="1:6" x14ac:dyDescent="0.3">
      <c r="A695" s="1" t="str">
        <f ca="1">IFERROR(__xludf.DUMMYFUNCTION("""COMPUTED_VALUE"""),"Motherwell Repair Point")</f>
        <v>Motherwell Repair Point</v>
      </c>
      <c r="B695" s="1"/>
      <c r="C695" s="1">
        <f ca="1">IFERROR(__xludf.DUMMYFUNCTION("""COMPUTED_VALUE"""),969109)</f>
        <v>969109</v>
      </c>
      <c r="D695" s="1" t="str">
        <f ca="1">IFERROR(__xludf.DUMMYFUNCTION("""COMPUTED_VALUE"""),"MOTHRPT")</f>
        <v>MOTHRPT</v>
      </c>
      <c r="E695" s="1" t="str">
        <f ca="1">IFERROR(__xludf.DUMMYFUNCTION("""COMPUTED_VALUE"""),"MWELDRSRP")</f>
        <v>MWELDRSRP</v>
      </c>
      <c r="F695" s="1">
        <f ca="1">IFERROR(__xludf.DUMMYFUNCTION("""COMPUTED_VALUE"""),7458)</f>
        <v>7458</v>
      </c>
    </row>
    <row r="696" spans="1:6" x14ac:dyDescent="0.3">
      <c r="A696" s="1" t="str">
        <f ca="1">IFERROR(__xludf.DUMMYFUNCTION("""COMPUTED_VALUE"""),"Motherwell Signal M185")</f>
        <v>Motherwell Signal M185</v>
      </c>
      <c r="B696" s="1"/>
      <c r="C696" s="1">
        <f ca="1">IFERROR(__xludf.DUMMYFUNCTION("""COMPUTED_VALUE"""),969108)</f>
        <v>969108</v>
      </c>
      <c r="D696" s="1" t="str">
        <f ca="1">IFERROR(__xludf.DUMMYFUNCTION("""COMPUTED_VALUE"""),"MOTH185")</f>
        <v>MOTH185</v>
      </c>
      <c r="E696" s="1" t="str">
        <f ca="1">IFERROR(__xludf.DUMMYFUNCTION("""COMPUTED_VALUE"""),"MWELL 185")</f>
        <v>MWELL 185</v>
      </c>
      <c r="F696" s="1">
        <f ca="1">IFERROR(__xludf.DUMMYFUNCTION("""COMPUTED_VALUE"""),7470)</f>
        <v>7470</v>
      </c>
    </row>
    <row r="697" spans="1:6" x14ac:dyDescent="0.3">
      <c r="A697" s="1" t="str">
        <f ca="1">IFERROR(__xludf.DUMMYFUNCTION("""COMPUTED_VALUE"""),"Motherwell Signal M267")</f>
        <v>Motherwell Signal M267</v>
      </c>
      <c r="B697" s="1"/>
      <c r="C697" s="1">
        <f ca="1">IFERROR(__xludf.DUMMYFUNCTION("""COMPUTED_VALUE"""),969107)</f>
        <v>969107</v>
      </c>
      <c r="D697" s="1" t="str">
        <f ca="1">IFERROR(__xludf.DUMMYFUNCTION("""COMPUTED_VALUE"""),"MOTH267")</f>
        <v>MOTH267</v>
      </c>
      <c r="E697" s="1" t="str">
        <f ca="1">IFERROR(__xludf.DUMMYFUNCTION("""COMPUTED_VALUE"""),"MWELL 267")</f>
        <v>MWELL 267</v>
      </c>
      <c r="F697" s="1">
        <f ca="1">IFERROR(__xludf.DUMMYFUNCTION("""COMPUTED_VALUE"""),7461)</f>
        <v>7461</v>
      </c>
    </row>
    <row r="698" spans="1:6" x14ac:dyDescent="0.3">
      <c r="A698" s="1" t="str">
        <f ca="1">IFERROR(__xludf.DUMMYFUNCTION("""COMPUTED_VALUE"""),"Motherwell Signal M368")</f>
        <v>Motherwell Signal M368</v>
      </c>
      <c r="B698" s="1"/>
      <c r="C698" s="1">
        <f ca="1">IFERROR(__xludf.DUMMYFUNCTION("""COMPUTED_VALUE"""),969111)</f>
        <v>969111</v>
      </c>
      <c r="D698" s="1" t="str">
        <f ca="1">IFERROR(__xludf.DUMMYFUNCTION("""COMPUTED_VALUE"""),"MOTH368")</f>
        <v>MOTH368</v>
      </c>
      <c r="E698" s="1" t="str">
        <f ca="1">IFERROR(__xludf.DUMMYFUNCTION("""COMPUTED_VALUE"""),"MWELL 368")</f>
        <v>MWELL 368</v>
      </c>
      <c r="F698" s="1">
        <f ca="1">IFERROR(__xludf.DUMMYFUNCTION("""COMPUTED_VALUE"""),7460)</f>
        <v>7460</v>
      </c>
    </row>
    <row r="699" spans="1:6" x14ac:dyDescent="0.3">
      <c r="A699" s="1" t="str">
        <f ca="1">IFERROR(__xludf.DUMMYFUNCTION("""COMPUTED_VALUE"""),"Motherwell Signal M372")</f>
        <v>Motherwell Signal M372</v>
      </c>
      <c r="B699" s="1"/>
      <c r="C699" s="1">
        <f ca="1">IFERROR(__xludf.DUMMYFUNCTION("""COMPUTED_VALUE"""),969106)</f>
        <v>969106</v>
      </c>
      <c r="D699" s="1" t="str">
        <f ca="1">IFERROR(__xludf.DUMMYFUNCTION("""COMPUTED_VALUE"""),"MOTH372")</f>
        <v>MOTH372</v>
      </c>
      <c r="E699" s="1" t="str">
        <f ca="1">IFERROR(__xludf.DUMMYFUNCTION("""COMPUTED_VALUE"""),"MWELL 372")</f>
        <v>MWELL 372</v>
      </c>
      <c r="F699" s="1">
        <f ca="1">IFERROR(__xludf.DUMMYFUNCTION("""COMPUTED_VALUE"""),7462)</f>
        <v>7462</v>
      </c>
    </row>
    <row r="700" spans="1:6" x14ac:dyDescent="0.3">
      <c r="A700" s="1" t="str">
        <f ca="1">IFERROR(__xludf.DUMMYFUNCTION("""COMPUTED_VALUE"""),"Motherwell Signal M374")</f>
        <v>Motherwell Signal M374</v>
      </c>
      <c r="B700" s="1"/>
      <c r="C700" s="1">
        <f ca="1">IFERROR(__xludf.DUMMYFUNCTION("""COMPUTED_VALUE"""),969112)</f>
        <v>969112</v>
      </c>
      <c r="D700" s="1" t="str">
        <f ca="1">IFERROR(__xludf.DUMMYFUNCTION("""COMPUTED_VALUE"""),"MOTH374")</f>
        <v>MOTH374</v>
      </c>
      <c r="E700" s="1" t="str">
        <f ca="1">IFERROR(__xludf.DUMMYFUNCTION("""COMPUTED_VALUE"""),"MWELL 374")</f>
        <v>MWELL 374</v>
      </c>
      <c r="F700" s="1">
        <f ca="1">IFERROR(__xludf.DUMMYFUNCTION("""COMPUTED_VALUE"""),7471)</f>
        <v>7471</v>
      </c>
    </row>
    <row r="701" spans="1:6" x14ac:dyDescent="0.3">
      <c r="A701" s="1" t="str">
        <f ca="1">IFERROR(__xludf.DUMMYFUNCTION("""COMPUTED_VALUE"""),"Motherwell Signal M402")</f>
        <v>Motherwell Signal M402</v>
      </c>
      <c r="B701" s="1"/>
      <c r="C701" s="1">
        <f ca="1">IFERROR(__xludf.DUMMYFUNCTION("""COMPUTED_VALUE"""),969103)</f>
        <v>969103</v>
      </c>
      <c r="D701" s="1" t="str">
        <f ca="1">IFERROR(__xludf.DUMMYFUNCTION("""COMPUTED_VALUE"""),"MOTH402")</f>
        <v>MOTH402</v>
      </c>
      <c r="E701" s="1" t="str">
        <f ca="1">IFERROR(__xludf.DUMMYFUNCTION("""COMPUTED_VALUE"""),"MWELL 402")</f>
        <v>MWELL 402</v>
      </c>
      <c r="F701" s="1">
        <f ca="1">IFERROR(__xludf.DUMMYFUNCTION("""COMPUTED_VALUE"""),7474)</f>
        <v>7474</v>
      </c>
    </row>
    <row r="702" spans="1:6" x14ac:dyDescent="0.3">
      <c r="A702" s="1" t="str">
        <f ca="1">IFERROR(__xludf.DUMMYFUNCTION("""COMPUTED_VALUE"""),"Motherwell Signal M408")</f>
        <v>Motherwell Signal M408</v>
      </c>
      <c r="B702" s="1"/>
      <c r="C702" s="1">
        <f ca="1">IFERROR(__xludf.DUMMYFUNCTION("""COMPUTED_VALUE"""),969102)</f>
        <v>969102</v>
      </c>
      <c r="D702" s="1" t="str">
        <f ca="1">IFERROR(__xludf.DUMMYFUNCTION("""COMPUTED_VALUE"""),"MOTH408")</f>
        <v>MOTH408</v>
      </c>
      <c r="E702" s="1" t="str">
        <f ca="1">IFERROR(__xludf.DUMMYFUNCTION("""COMPUTED_VALUE"""),"MWELL 408")</f>
        <v>MWELL 408</v>
      </c>
      <c r="F702" s="1">
        <f ca="1">IFERROR(__xludf.DUMMYFUNCTION("""COMPUTED_VALUE"""),7464)</f>
        <v>7464</v>
      </c>
    </row>
    <row r="703" spans="1:6" x14ac:dyDescent="0.3">
      <c r="A703" s="1" t="str">
        <f ca="1">IFERROR(__xludf.DUMMYFUNCTION("""COMPUTED_VALUE"""),"Motherwell Signal M444")</f>
        <v>Motherwell Signal M444</v>
      </c>
      <c r="B703" s="1"/>
      <c r="C703" s="1">
        <f ca="1">IFERROR(__xludf.DUMMYFUNCTION("""COMPUTED_VALUE"""),969123)</f>
        <v>969123</v>
      </c>
      <c r="D703" s="1" t="str">
        <f ca="1">IFERROR(__xludf.DUMMYFUNCTION("""COMPUTED_VALUE"""),"MOTH444")</f>
        <v>MOTH444</v>
      </c>
      <c r="E703" s="1"/>
      <c r="F703" s="1" t="str">
        <f ca="1">IFERROR(__xludf.DUMMYFUNCTION("""COMPUTED_VALUE"""),"07503*")</f>
        <v>07503*</v>
      </c>
    </row>
    <row r="704" spans="1:6" x14ac:dyDescent="0.3">
      <c r="A704" s="1" t="str">
        <f ca="1">IFERROR(__xludf.DUMMYFUNCTION("""COMPUTED_VALUE"""),"Motherwell Station Goods Loop")</f>
        <v>Motherwell Station Goods Loop</v>
      </c>
      <c r="B704" s="1"/>
      <c r="C704" s="1">
        <f ca="1">IFERROR(__xludf.DUMMYFUNCTION("""COMPUTED_VALUE"""),969110)</f>
        <v>969110</v>
      </c>
      <c r="D704" s="1" t="str">
        <f ca="1">IFERROR(__xludf.DUMMYFUNCTION("""COMPUTED_VALUE"""),"MOTHSGL")</f>
        <v>MOTHSGL</v>
      </c>
      <c r="E704" s="1" t="str">
        <f ca="1">IFERROR(__xludf.DUMMYFUNCTION("""COMPUTED_VALUE"""),"MWELLGDLP")</f>
        <v>MWELLGDLP</v>
      </c>
      <c r="F704" s="1">
        <f ca="1">IFERROR(__xludf.DUMMYFUNCTION("""COMPUTED_VALUE"""),7469)</f>
        <v>7469</v>
      </c>
    </row>
    <row r="705" spans="1:6" x14ac:dyDescent="0.3">
      <c r="A705" s="1" t="str">
        <f ca="1">IFERROR(__xludf.DUMMYFUNCTION("""COMPUTED_VALUE"""),"Motherwell Traction Maintenance Depot")</f>
        <v>Motherwell Traction Maintenance Depot</v>
      </c>
      <c r="B705" s="1"/>
      <c r="C705" s="1" t="str">
        <f ca="1">IFERROR(__xludf.DUMMYFUNCTION("""COMPUTED_VALUE"""),"969160 098920")</f>
        <v>969160 098920</v>
      </c>
      <c r="D705" s="1" t="str">
        <f ca="1">IFERROR(__xludf.DUMMYFUNCTION("""COMPUTED_VALUE"""),"MOTHTMD")</f>
        <v>MOTHTMD</v>
      </c>
      <c r="E705" s="1" t="str">
        <f ca="1">IFERROR(__xludf.DUMMYFUNCTION("""COMPUTED_VALUE"""),"MWELL TMD")</f>
        <v>MWELL TMD</v>
      </c>
      <c r="F705" s="1">
        <f ca="1">IFERROR(__xludf.DUMMYFUNCTION("""COMPUTED_VALUE"""),7452)</f>
        <v>7452</v>
      </c>
    </row>
    <row r="706" spans="1:6" x14ac:dyDescent="0.3">
      <c r="A706" s="1" t="str">
        <f ca="1">IFERROR(__xludf.DUMMYFUNCTION("""COMPUTED_VALUE"""),"Motherwell Traction Maintenance Depot Direct Rail Services")</f>
        <v>Motherwell Traction Maintenance Depot Direct Rail Services</v>
      </c>
      <c r="B706" s="1"/>
      <c r="C706" s="1">
        <f ca="1">IFERROR(__xludf.DUMMYFUNCTION("""COMPUTED_VALUE"""),969104)</f>
        <v>969104</v>
      </c>
      <c r="D706" s="1" t="str">
        <f ca="1">IFERROR(__xludf.DUMMYFUNCTION("""COMPUTED_VALUE"""),"MOTHDRS")</f>
        <v>MOTHDRS</v>
      </c>
      <c r="E706" s="1" t="str">
        <f ca="1">IFERROR(__xludf.DUMMYFUNCTION("""COMPUTED_VALUE"""),"MWELL DRS")</f>
        <v>MWELL DRS</v>
      </c>
      <c r="F706" s="1">
        <f ca="1">IFERROR(__xludf.DUMMYFUNCTION("""COMPUTED_VALUE"""),7457)</f>
        <v>7457</v>
      </c>
    </row>
    <row r="707" spans="1:6" x14ac:dyDescent="0.3">
      <c r="A707" s="1" t="str">
        <f ca="1">IFERROR(__xludf.DUMMYFUNCTION("""COMPUTED_VALUE"""),"Motherwell Up Civil Engineer's Sidings")</f>
        <v>Motherwell Up Civil Engineer's Sidings</v>
      </c>
      <c r="B707" s="1"/>
      <c r="C707" s="1">
        <f ca="1">IFERROR(__xludf.DUMMYFUNCTION("""COMPUTED_VALUE"""),969124)</f>
        <v>969124</v>
      </c>
      <c r="D707" s="1" t="str">
        <f ca="1">IFERROR(__xludf.DUMMYFUNCTION("""COMPUTED_VALUE"""),"MOTHUCE")</f>
        <v>MOTHUCE</v>
      </c>
      <c r="E707" s="1" t="str">
        <f ca="1">IFERROR(__xludf.DUMMYFUNCTION("""COMPUTED_VALUE"""),"MWELLUSDS")</f>
        <v>MWELLUSDS</v>
      </c>
      <c r="F707" s="1">
        <f ca="1">IFERROR(__xludf.DUMMYFUNCTION("""COMPUTED_VALUE"""),7465)</f>
        <v>7465</v>
      </c>
    </row>
    <row r="708" spans="1:6" x14ac:dyDescent="0.3">
      <c r="A708" s="1" t="str">
        <f ca="1">IFERROR(__xludf.DUMMYFUNCTION("""COMPUTED_VALUE"""),"Motherwell Up Goods Loop")</f>
        <v>Motherwell Up Goods Loop</v>
      </c>
      <c r="B708" s="1"/>
      <c r="C708" s="1">
        <f ca="1">IFERROR(__xludf.DUMMYFUNCTION("""COMPUTED_VALUE"""),969122)</f>
        <v>969122</v>
      </c>
      <c r="D708" s="1" t="str">
        <f ca="1">IFERROR(__xludf.DUMMYFUNCTION("""COMPUTED_VALUE"""),"MOTHUGL")</f>
        <v>MOTHUGL</v>
      </c>
      <c r="E708" s="1"/>
      <c r="F708" s="1" t="str">
        <f ca="1">IFERROR(__xludf.DUMMYFUNCTION("""COMPUTED_VALUE"""),"07503*")</f>
        <v>07503*</v>
      </c>
    </row>
    <row r="709" spans="1:6" x14ac:dyDescent="0.3">
      <c r="A709" s="1" t="str">
        <f ca="1">IFERROR(__xludf.DUMMYFUNCTION("""COMPUTED_VALUE"""),"Motherwell Wagon Repair Depot")</f>
        <v>Motherwell Wagon Repair Depot</v>
      </c>
      <c r="B709" s="1"/>
      <c r="C709" s="1" t="str">
        <f ca="1">IFERROR(__xludf.DUMMYFUNCTION("""COMPUTED_VALUE"""),"969162 969183")</f>
        <v>969162 969183</v>
      </c>
      <c r="D709" s="1" t="str">
        <f ca="1">IFERROR(__xludf.DUMMYFUNCTION("""COMPUTED_VALUE"""),"MOTHWRD")</f>
        <v>MOTHWRD</v>
      </c>
      <c r="E709" s="1" t="str">
        <f ca="1">IFERROR(__xludf.DUMMYFUNCTION("""COMPUTED_VALUE"""),"MWELL WRD")</f>
        <v>MWELL WRD</v>
      </c>
      <c r="F709" s="1">
        <f ca="1">IFERROR(__xludf.DUMMYFUNCTION("""COMPUTED_VALUE"""),7451)</f>
        <v>7451</v>
      </c>
    </row>
    <row r="710" spans="1:6" x14ac:dyDescent="0.3">
      <c r="A710" s="1" t="str">
        <f ca="1">IFERROR(__xludf.DUMMYFUNCTION("""COMPUTED_VALUE"""),"Motherwell Weighs Carriage Holding Sidings")</f>
        <v>Motherwell Weighs Carriage Holding Sidings</v>
      </c>
      <c r="B710" s="1" t="str">
        <f ca="1">IFERROR(__xludf.DUMMYFUNCTION("""COMPUTED_VALUE"""),"XMH")</f>
        <v>XMH</v>
      </c>
      <c r="C710" s="1">
        <f ca="1">IFERROR(__xludf.DUMMYFUNCTION("""COMPUTED_VALUE"""),969170)</f>
        <v>969170</v>
      </c>
      <c r="D710" s="1" t="str">
        <f ca="1">IFERROR(__xludf.DUMMYFUNCTION("""COMPUTED_VALUE"""),"MOTHWCS")</f>
        <v>MOTHWCS</v>
      </c>
      <c r="E710" s="1" t="str">
        <f ca="1">IFERROR(__xludf.DUMMYFUNCTION("""COMPUTED_VALUE"""),"MWELL WCS")</f>
        <v>MWELL WCS</v>
      </c>
      <c r="F710" s="1">
        <f ca="1">IFERROR(__xludf.DUMMYFUNCTION("""COMPUTED_VALUE"""),7467)</f>
        <v>7467</v>
      </c>
    </row>
    <row r="711" spans="1:6" x14ac:dyDescent="0.3">
      <c r="A711" s="1" t="str">
        <f ca="1">IFERROR(__xludf.DUMMYFUNCTION("""COMPUTED_VALUE"""),"Motspur Park")</f>
        <v>Motspur Park</v>
      </c>
      <c r="B711" s="1" t="str">
        <f ca="1">IFERROR(__xludf.DUMMYFUNCTION("""COMPUTED_VALUE"""),"MOT")</f>
        <v>MOT</v>
      </c>
      <c r="C711" s="1">
        <f ca="1">IFERROR(__xludf.DUMMYFUNCTION("""COMPUTED_VALUE"""),564500)</f>
        <v>564500</v>
      </c>
      <c r="D711" s="1" t="str">
        <f ca="1">IFERROR(__xludf.DUMMYFUNCTION("""COMPUTED_VALUE"""),"MOTSPRP")</f>
        <v>MOTSPRP</v>
      </c>
      <c r="E711" s="1" t="str">
        <f ca="1">IFERROR(__xludf.DUMMYFUNCTION("""COMPUTED_VALUE"""),"MOTSPURPK")</f>
        <v>MOTSPURPK</v>
      </c>
      <c r="F711" s="1">
        <f ca="1">IFERROR(__xludf.DUMMYFUNCTION("""COMPUTED_VALUE"""),87301)</f>
        <v>87301</v>
      </c>
    </row>
    <row r="712" spans="1:6" x14ac:dyDescent="0.3">
      <c r="A712" s="1" t="str">
        <f ca="1">IFERROR(__xludf.DUMMYFUNCTION("""COMPUTED_VALUE"""),"Motspur Park Junction")</f>
        <v>Motspur Park Junction</v>
      </c>
      <c r="B712" s="1"/>
      <c r="C712" s="1">
        <f ca="1">IFERROR(__xludf.DUMMYFUNCTION("""COMPUTED_VALUE"""),564515)</f>
        <v>564515</v>
      </c>
      <c r="D712" s="1" t="str">
        <f ca="1">IFERROR(__xludf.DUMMYFUNCTION("""COMPUTED_VALUE"""),"MOTSPJN MOTSPPJ✖Code not certain")</f>
        <v>MOTSPJN MOTSPPJ✖Code not certain</v>
      </c>
      <c r="E712" s="1" t="str">
        <f ca="1">IFERROR(__xludf.DUMMYFUNCTION("""COMPUTED_VALUE"""),"MOTSPURPJ")</f>
        <v>MOTSPURPJ</v>
      </c>
      <c r="F712" s="1">
        <f ca="1">IFERROR(__xludf.DUMMYFUNCTION("""COMPUTED_VALUE"""),87399)</f>
        <v>87399</v>
      </c>
    </row>
    <row r="713" spans="1:6" x14ac:dyDescent="0.3">
      <c r="A713" s="1" t="str">
        <f ca="1">IFERROR(__xludf.DUMMYFUNCTION("""COMPUTED_VALUE"""),"Mottingham")</f>
        <v>Mottingham</v>
      </c>
      <c r="B713" s="1" t="str">
        <f ca="1">IFERROR(__xludf.DUMMYFUNCTION("""COMPUTED_VALUE"""),"MTG")</f>
        <v>MTG</v>
      </c>
      <c r="C713" s="1">
        <f ca="1">IFERROR(__xludf.DUMMYFUNCTION("""COMPUTED_VALUE"""),511800)</f>
        <v>511800</v>
      </c>
      <c r="D713" s="1" t="str">
        <f ca="1">IFERROR(__xludf.DUMMYFUNCTION("""COMPUTED_VALUE"""),"MOTNGHM")</f>
        <v>MOTNGHM</v>
      </c>
      <c r="E713" s="1" t="str">
        <f ca="1">IFERROR(__xludf.DUMMYFUNCTION("""COMPUTED_VALUE"""),"MOTTINGHM")</f>
        <v>MOTTINGHM</v>
      </c>
      <c r="F713" s="1">
        <f ca="1">IFERROR(__xludf.DUMMYFUNCTION("""COMPUTED_VALUE"""),88457)</f>
        <v>88457</v>
      </c>
    </row>
    <row r="714" spans="1:6" x14ac:dyDescent="0.3">
      <c r="A714" s="1" t="str">
        <f ca="1">IFERROR(__xludf.DUMMYFUNCTION("""COMPUTED_VALUE"""),"Mottisfont &amp; Dunbridge*now Dunbridge*")</f>
        <v>Mottisfont &amp; Dunbridge*now Dunbridge*</v>
      </c>
      <c r="B714" s="1" t="str">
        <f ca="1">IFERROR(__xludf.DUMMYFUNCTION("""COMPUTED_VALUE"""),"MTD")</f>
        <v>MTD</v>
      </c>
      <c r="C714" s="1">
        <f ca="1">IFERROR(__xludf.DUMMYFUNCTION("""COMPUTED_VALUE"""),594400)</f>
        <v>594400</v>
      </c>
      <c r="D714" s="1" t="str">
        <f ca="1">IFERROR(__xludf.DUMMYFUNCTION("""COMPUTED_VALUE"""),"MOTFONT")</f>
        <v>MOTFONT</v>
      </c>
      <c r="E714" s="1" t="str">
        <f ca="1">IFERROR(__xludf.DUMMYFUNCTION("""COMPUTED_VALUE"""),"DUNBRIDGE")</f>
        <v>DUNBRIDGE</v>
      </c>
      <c r="F714" s="1">
        <f ca="1">IFERROR(__xludf.DUMMYFUNCTION("""COMPUTED_VALUE"""),86107)</f>
        <v>86107</v>
      </c>
    </row>
    <row r="715" spans="1:6" x14ac:dyDescent="0.3">
      <c r="A715" s="1" t="str">
        <f ca="1">IFERROR(__xludf.DUMMYFUNCTION("""COMPUTED_VALUE"""),"Mottram South Box")</f>
        <v>Mottram South Box</v>
      </c>
      <c r="B715" s="1"/>
      <c r="C715" s="1"/>
      <c r="D715" s="1" t="str">
        <f ca="1">IFERROR(__xludf.DUMMYFUNCTION("""COMPUTED_VALUE"""),"MTRMSB")</f>
        <v>MTRMSB</v>
      </c>
      <c r="E715" s="1"/>
      <c r="F715" s="1"/>
    </row>
    <row r="716" spans="1:6" x14ac:dyDescent="0.3">
      <c r="A716" s="1" t="str">
        <f ca="1">IFERROR(__xludf.DUMMYFUNCTION("""COMPUTED_VALUE"""),"Mottram Yard Staff Halt")</f>
        <v>Mottram Yard Staff Halt</v>
      </c>
      <c r="B716" s="1"/>
      <c r="C716" s="1">
        <f ca="1">IFERROR(__xludf.DUMMYFUNCTION("""COMPUTED_VALUE"""),289368)</f>
        <v>289368</v>
      </c>
      <c r="D716" s="1" t="str">
        <f ca="1">IFERROR(__xludf.DUMMYFUNCTION("""COMPUTED_VALUE"""),"MTRMYSH")</f>
        <v>MTRMYSH</v>
      </c>
      <c r="E716" s="1" t="str">
        <f ca="1">IFERROR(__xludf.DUMMYFUNCTION("""COMPUTED_VALUE"""),"MOTTMYDSH")</f>
        <v>MOTTMYDSH</v>
      </c>
      <c r="F716" s="1">
        <f ca="1">IFERROR(__xludf.DUMMYFUNCTION("""COMPUTED_VALUE"""),32235)</f>
        <v>32235</v>
      </c>
    </row>
    <row r="717" spans="1:6" x14ac:dyDescent="0.3">
      <c r="A717" s="1" t="str">
        <f ca="1">IFERROR(__xludf.DUMMYFUNCTION("""COMPUTED_VALUE"""),"Mouldsworth")</f>
        <v>Mouldsworth</v>
      </c>
      <c r="B717" s="1" t="str">
        <f ca="1">IFERROR(__xludf.DUMMYFUNCTION("""COMPUTED_VALUE"""),"MLD")</f>
        <v>MLD</v>
      </c>
      <c r="C717" s="1">
        <f ca="1">IFERROR(__xludf.DUMMYFUNCTION("""COMPUTED_VALUE"""),215800)</f>
        <v>215800</v>
      </c>
      <c r="D717" s="1" t="str">
        <f ca="1">IFERROR(__xludf.DUMMYFUNCTION("""COMPUTED_VALUE"""),"MLDSWTH")</f>
        <v>MLDSWTH</v>
      </c>
      <c r="E717" s="1" t="str">
        <f ca="1">IFERROR(__xludf.DUMMYFUNCTION("""COMPUTED_VALUE"""),"MLDSWORTH")</f>
        <v>MLDSWORTH</v>
      </c>
      <c r="F717" s="1">
        <f ca="1">IFERROR(__xludf.DUMMYFUNCTION("""COMPUTED_VALUE"""),37065)</f>
        <v>37065</v>
      </c>
    </row>
    <row r="718" spans="1:6" x14ac:dyDescent="0.3">
      <c r="A718" s="1" t="str">
        <f ca="1">IFERROR(__xludf.DUMMYFUNCTION("""COMPUTED_VALUE"""),"Mouldsworth Junction")</f>
        <v>Mouldsworth Junction</v>
      </c>
      <c r="B718" s="1"/>
      <c r="C718" s="1">
        <f ca="1">IFERROR(__xludf.DUMMYFUNCTION("""COMPUTED_VALUE"""),215801)</f>
        <v>215801</v>
      </c>
      <c r="D718" s="1" t="str">
        <f ca="1">IFERROR(__xludf.DUMMYFUNCTION("""COMPUTED_VALUE"""),"MLDSWTJ")</f>
        <v>MLDSWTJ</v>
      </c>
      <c r="E718" s="1"/>
      <c r="F718" s="1" t="str">
        <f ca="1">IFERROR(__xludf.DUMMYFUNCTION("""COMPUTED_VALUE"""),"37065*")</f>
        <v>37065*</v>
      </c>
    </row>
    <row r="719" spans="1:6" x14ac:dyDescent="0.3">
      <c r="A719" s="1" t="str">
        <f ca="1">IFERROR(__xludf.DUMMYFUNCTION("""COMPUTED_VALUE"""),"Moulsecoomb")</f>
        <v>Moulsecoomb</v>
      </c>
      <c r="B719" s="1" t="str">
        <f ca="1">IFERROR(__xludf.DUMMYFUNCTION("""COMPUTED_VALUE"""),"MCB")</f>
        <v>MCB</v>
      </c>
      <c r="C719" s="1">
        <f ca="1">IFERROR(__xludf.DUMMYFUNCTION("""COMPUTED_VALUE"""),531200)</f>
        <v>531200</v>
      </c>
      <c r="D719" s="1" t="str">
        <f ca="1">IFERROR(__xludf.DUMMYFUNCTION("""COMPUTED_VALUE"""),"MLSECMB")</f>
        <v>MLSECMB</v>
      </c>
      <c r="E719" s="1" t="str">
        <f ca="1">IFERROR(__xludf.DUMMYFUNCTION("""COMPUTED_VALUE"""),"MOULSCOOM")</f>
        <v>MOULSCOOM</v>
      </c>
      <c r="F719" s="1">
        <f ca="1">IFERROR(__xludf.DUMMYFUNCTION("""COMPUTED_VALUE"""),88161)</f>
        <v>88161</v>
      </c>
    </row>
    <row r="720" spans="1:6" x14ac:dyDescent="0.3">
      <c r="A720" s="1" t="str">
        <f ca="1">IFERROR(__xludf.DUMMYFUNCTION("""COMPUTED_VALUE"""),"Moulton")</f>
        <v>Moulton</v>
      </c>
      <c r="B720" s="1"/>
      <c r="C720" s="1">
        <f ca="1">IFERROR(__xludf.DUMMYFUNCTION("""COMPUTED_VALUE"""),734876)</f>
        <v>734876</v>
      </c>
      <c r="D720" s="1" t="str">
        <f ca="1">IFERROR(__xludf.DUMMYFUNCTION("""COMPUTED_VALUE"""),"MOULTON")</f>
        <v>MOULTON</v>
      </c>
      <c r="E720" s="1" t="str">
        <f ca="1">IFERROR(__xludf.DUMMYFUNCTION("""COMPUTED_VALUE"""),"MOULTON")</f>
        <v>MOULTON</v>
      </c>
      <c r="F720" s="1">
        <f ca="1">IFERROR(__xludf.DUMMYFUNCTION("""COMPUTED_VALUE"""),48997)</f>
        <v>48997</v>
      </c>
    </row>
    <row r="721" spans="1:6" x14ac:dyDescent="0.3">
      <c r="A721" s="1" t="str">
        <f ca="1">IFERROR(__xludf.DUMMYFUNCTION("""COMPUTED_VALUE"""),"Mountain Ash")</f>
        <v>Mountain Ash</v>
      </c>
      <c r="B721" s="1" t="str">
        <f ca="1">IFERROR(__xludf.DUMMYFUNCTION("""COMPUTED_VALUE"""),"MTA")</f>
        <v>MTA</v>
      </c>
      <c r="C721" s="1">
        <f ca="1">IFERROR(__xludf.DUMMYFUNCTION("""COMPUTED_VALUE"""),385900)</f>
        <v>385900</v>
      </c>
      <c r="D721" s="1" t="str">
        <f ca="1">IFERROR(__xludf.DUMMYFUNCTION("""COMPUTED_VALUE"""),"MASH")</f>
        <v>MASH</v>
      </c>
      <c r="E721" s="1" t="str">
        <f ca="1">IFERROR(__xludf.DUMMYFUNCTION("""COMPUTED_VALUE"""),"MOUNTNASH")</f>
        <v>MOUNTNASH</v>
      </c>
      <c r="F721" s="1">
        <f ca="1">IFERROR(__xludf.DUMMYFUNCTION("""COMPUTED_VALUE"""),78130)</f>
        <v>78130</v>
      </c>
    </row>
    <row r="722" spans="1:6" x14ac:dyDescent="0.3">
      <c r="A722" s="1" t="str">
        <f ca="1">IFERROR(__xludf.DUMMYFUNCTION("""COMPUTED_VALUE"""),"Mountfield Sidings")</f>
        <v>Mountfield Sidings</v>
      </c>
      <c r="B722" s="1" t="str">
        <f ca="1">IFERROR(__xludf.DUMMYFUNCTION("""COMPUTED_VALUE"""),"XMO")</f>
        <v>XMO</v>
      </c>
      <c r="C722" s="1">
        <f ca="1">IFERROR(__xludf.DUMMYFUNCTION("""COMPUTED_VALUE"""),521511)</f>
        <v>521511</v>
      </c>
      <c r="D722" s="1" t="str">
        <f ca="1">IFERROR(__xludf.DUMMYFUNCTION("""COMPUTED_VALUE"""),"MNTFLDS")</f>
        <v>MNTFLDS</v>
      </c>
      <c r="E722" s="1" t="str">
        <f ca="1">IFERROR(__xludf.DUMMYFUNCTION("""COMPUTED_VALUE"""),"MOUNTFDSD")</f>
        <v>MOUNTFDSD</v>
      </c>
      <c r="F722" s="1">
        <f ca="1">IFERROR(__xludf.DUMMYFUNCTION("""COMPUTED_VALUE"""),89397)</f>
        <v>89397</v>
      </c>
    </row>
    <row r="723" spans="1:6" x14ac:dyDescent="0.3">
      <c r="A723" s="1" t="str">
        <f ca="1">IFERROR(__xludf.DUMMYFUNCTION("""COMPUTED_VALUE"""),"Mountfield Sidings GB Railfreight")</f>
        <v>Mountfield Sidings GB Railfreight</v>
      </c>
      <c r="B723" s="1" t="str">
        <f ca="1">IFERROR(__xludf.DUMMYFUNCTION("""COMPUTED_VALUE"""),"XMX")</f>
        <v>XMX</v>
      </c>
      <c r="C723" s="1">
        <f ca="1">IFERROR(__xludf.DUMMYFUNCTION("""COMPUTED_VALUE"""),521512)</f>
        <v>521512</v>
      </c>
      <c r="D723" s="1" t="str">
        <f ca="1">IFERROR(__xludf.DUMMYFUNCTION("""COMPUTED_VALUE"""),"MNTFGBR")</f>
        <v>MNTFGBR</v>
      </c>
      <c r="E723" s="1" t="str">
        <f ca="1">IFERROR(__xludf.DUMMYFUNCTION("""COMPUTED_VALUE"""),"MOUNTFLD")</f>
        <v>MOUNTFLD</v>
      </c>
      <c r="F723" s="1">
        <f ca="1">IFERROR(__xludf.DUMMYFUNCTION("""COMPUTED_VALUE"""),89391)</f>
        <v>89391</v>
      </c>
    </row>
    <row r="724" spans="1:6" x14ac:dyDescent="0.3">
      <c r="A724" s="1" t="str">
        <f ca="1">IFERROR(__xludf.DUMMYFUNCTION("""COMPUTED_VALUE"""),"Mountfield Tunnel")</f>
        <v>Mountfield Tunnel</v>
      </c>
      <c r="B724" s="1"/>
      <c r="C724" s="1">
        <f ca="1">IFERROR(__xludf.DUMMYFUNCTION("""COMPUTED_VALUE"""),521563)</f>
        <v>521563</v>
      </c>
      <c r="D724" s="1" t="str">
        <f ca="1">IFERROR(__xludf.DUMMYFUNCTION("""COMPUTED_VALUE"""),"MNTFLDT")</f>
        <v>MNTFLDT</v>
      </c>
      <c r="E724" s="1" t="str">
        <f ca="1">IFERROR(__xludf.DUMMYFUNCTION("""COMPUTED_VALUE"""),"MOUNTFDTN")</f>
        <v>MOUNTFDTN</v>
      </c>
      <c r="F724" s="1">
        <f ca="1">IFERROR(__xludf.DUMMYFUNCTION("""COMPUTED_VALUE"""),89386)</f>
        <v>89386</v>
      </c>
    </row>
    <row r="725" spans="1:6" x14ac:dyDescent="0.3">
      <c r="A725" s="1" t="str">
        <f ca="1">IFERROR(__xludf.DUMMYFUNCTION("""COMPUTED_VALUE"""),"Mount Florida")</f>
        <v>Mount Florida</v>
      </c>
      <c r="B725" s="1" t="str">
        <f ca="1">IFERROR(__xludf.DUMMYFUNCTION("""COMPUTED_VALUE"""),"MFL")</f>
        <v>MFL</v>
      </c>
      <c r="C725" s="1">
        <f ca="1">IFERROR(__xludf.DUMMYFUNCTION("""COMPUTED_VALUE"""),981900)</f>
        <v>981900</v>
      </c>
      <c r="D725" s="1" t="str">
        <f ca="1">IFERROR(__xludf.DUMMYFUNCTION("""COMPUTED_VALUE"""),"MTFL")</f>
        <v>MTFL</v>
      </c>
      <c r="E725" s="1" t="str">
        <f ca="1">IFERROR(__xludf.DUMMYFUNCTION("""COMPUTED_VALUE"""),"MTFLORIDA")</f>
        <v>MTFLORIDA</v>
      </c>
      <c r="F725" s="1">
        <f ca="1">IFERROR(__xludf.DUMMYFUNCTION("""COMPUTED_VALUE"""),7236)</f>
        <v>7236</v>
      </c>
    </row>
    <row r="726" spans="1:6" x14ac:dyDescent="0.3">
      <c r="A726" s="1" t="str">
        <f ca="1">IFERROR(__xludf.DUMMYFUNCTION("""COMPUTED_VALUE"""),"Mount Gould Carriage Washer")</f>
        <v>Mount Gould Carriage Washer</v>
      </c>
      <c r="B726" s="1"/>
      <c r="C726" s="1">
        <f ca="1">IFERROR(__xludf.DUMMYFUNCTION("""COMPUTED_VALUE"""),357781)</f>
        <v>357781</v>
      </c>
      <c r="D726" s="1" t="str">
        <f ca="1">IFERROR(__xludf.DUMMYFUNCTION("""COMPUTED_VALUE"""),"MNTGLCW")</f>
        <v>MNTGLCW</v>
      </c>
      <c r="E726" s="1" t="str">
        <f ca="1">IFERROR(__xludf.DUMMYFUNCTION("""COMPUTED_VALUE"""),"MTGOULDCW")</f>
        <v>MTGOULDCW</v>
      </c>
      <c r="F726" s="1">
        <f ca="1">IFERROR(__xludf.DUMMYFUNCTION("""COMPUTED_VALUE"""),84096)</f>
        <v>84096</v>
      </c>
    </row>
    <row r="727" spans="1:6" x14ac:dyDescent="0.3">
      <c r="A727" s="1" t="str">
        <f ca="1">IFERROR(__xludf.DUMMYFUNCTION("""COMPUTED_VALUE"""),"Mount Gould Junction")</f>
        <v>Mount Gould Junction</v>
      </c>
      <c r="B727" s="1" t="str">
        <f ca="1">IFERROR(__xludf.DUMMYFUNCTION("""COMPUTED_VALUE"""),"XMG")</f>
        <v>XMG</v>
      </c>
      <c r="C727" s="1">
        <f ca="1">IFERROR(__xludf.DUMMYFUNCTION("""COMPUTED_VALUE"""),357772)</f>
        <v>357772</v>
      </c>
      <c r="D727" s="1" t="str">
        <f ca="1">IFERROR(__xludf.DUMMYFUNCTION("""COMPUTED_VALUE"""),"MNTGLDJ")</f>
        <v>MNTGLDJ</v>
      </c>
      <c r="E727" s="1" t="str">
        <f ca="1">IFERROR(__xludf.DUMMYFUNCTION("""COMPUTED_VALUE"""),"MTGOULDJN")</f>
        <v>MTGOULDJN</v>
      </c>
      <c r="F727" s="1">
        <f ca="1">IFERROR(__xludf.DUMMYFUNCTION("""COMPUTED_VALUE"""),84095)</f>
        <v>84095</v>
      </c>
    </row>
    <row r="728" spans="1:6" x14ac:dyDescent="0.3">
      <c r="A728" s="1" t="str">
        <f ca="1">IFERROR(__xludf.DUMMYFUNCTION("""COMPUTED_VALUE"""),"Mountnessing Junction")</f>
        <v>Mountnessing Junction</v>
      </c>
      <c r="B728" s="1"/>
      <c r="C728" s="1">
        <f ca="1">IFERROR(__xludf.DUMMYFUNCTION("""COMPUTED_VALUE"""),688874)</f>
        <v>688874</v>
      </c>
      <c r="D728" s="1" t="str">
        <f ca="1">IFERROR(__xludf.DUMMYFUNCTION("""COMPUTED_VALUE"""),"MNTNJN")</f>
        <v>MNTNJN</v>
      </c>
      <c r="E728" s="1" t="str">
        <f ca="1">IFERROR(__xludf.DUMMYFUNCTION("""COMPUTED_VALUE"""),"MTNESNGJN")</f>
        <v>MTNESNGJN</v>
      </c>
      <c r="F728" s="1">
        <f ca="1">IFERROR(__xludf.DUMMYFUNCTION("""COMPUTED_VALUE"""),50251)</f>
        <v>50251</v>
      </c>
    </row>
    <row r="729" spans="1:6" x14ac:dyDescent="0.3">
      <c r="A729" s="1" t="str">
        <f ca="1">IFERROR(__xludf.DUMMYFUNCTION("""COMPUTED_VALUE"""),"Mountsorrel GB Railfreight")</f>
        <v>Mountsorrel GB Railfreight</v>
      </c>
      <c r="B729" s="1"/>
      <c r="C729" s="1">
        <f ca="1">IFERROR(__xludf.DUMMYFUNCTION("""COMPUTED_VALUE"""),189810)</f>
        <v>189810</v>
      </c>
      <c r="D729" s="1" t="str">
        <f ca="1">IFERROR(__xludf.DUMMYFUNCTION("""COMPUTED_VALUE"""),"MOUNGBR")</f>
        <v>MOUNGBR</v>
      </c>
      <c r="E729" s="1" t="str">
        <f ca="1">IFERROR(__xludf.DUMMYFUNCTION("""COMPUTED_VALUE"""),"MNTSORREL")</f>
        <v>MNTSORREL</v>
      </c>
      <c r="F729" s="1">
        <f ca="1">IFERROR(__xludf.DUMMYFUNCTION("""COMPUTED_VALUE"""),59013)</f>
        <v>59013</v>
      </c>
    </row>
    <row r="730" spans="1:6" x14ac:dyDescent="0.3">
      <c r="A730" s="1" t="str">
        <f ca="1">IFERROR(__xludf.DUMMYFUNCTION("""COMPUTED_VALUE"""),"Mountsorrel Loco Servicing Road")</f>
        <v>Mountsorrel Loco Servicing Road</v>
      </c>
      <c r="B730" s="1"/>
      <c r="C730" s="1">
        <f ca="1">IFERROR(__xludf.DUMMYFUNCTION("""COMPUTED_VALUE"""),189813)</f>
        <v>189813</v>
      </c>
      <c r="D730" s="1" t="str">
        <f ca="1">IFERROR(__xludf.DUMMYFUNCTION("""COMPUTED_VALUE"""),"MOUNTSL")</f>
        <v>MOUNTSL</v>
      </c>
      <c r="E730" s="1" t="str">
        <f ca="1">IFERROR(__xludf.DUMMYFUNCTION("""COMPUTED_VALUE"""),"MNTSORLSR")</f>
        <v>MNTSORLSR</v>
      </c>
      <c r="F730" s="1">
        <f ca="1">IFERROR(__xludf.DUMMYFUNCTION("""COMPUTED_VALUE"""),59010)</f>
        <v>59010</v>
      </c>
    </row>
    <row r="731" spans="1:6" x14ac:dyDescent="0.3">
      <c r="A731" s="1" t="str">
        <f ca="1">IFERROR(__xludf.DUMMYFUNCTION("""COMPUTED_VALUE"""),"Mountsorrel RFS Engineering")</f>
        <v>Mountsorrel RFS Engineering</v>
      </c>
      <c r="B731" s="1"/>
      <c r="C731" s="1">
        <f ca="1">IFERROR(__xludf.DUMMYFUNCTION("""COMPUTED_VALUE"""),189812)</f>
        <v>189812</v>
      </c>
      <c r="D731" s="1" t="str">
        <f ca="1">IFERROR(__xludf.DUMMYFUNCTION("""COMPUTED_VALUE"""),"MOUNRFS")</f>
        <v>MOUNRFS</v>
      </c>
      <c r="E731" s="1"/>
      <c r="F731" s="1"/>
    </row>
    <row r="732" spans="1:6" x14ac:dyDescent="0.3">
      <c r="A732" s="1" t="str">
        <f ca="1">IFERROR(__xludf.DUMMYFUNCTION("""COMPUTED_VALUE"""),"Mountsorrel Sidings")</f>
        <v>Mountsorrel Sidings</v>
      </c>
      <c r="B732" s="1"/>
      <c r="C732" s="1">
        <f ca="1">IFERROR(__xludf.DUMMYFUNCTION("""COMPUTED_VALUE"""),189811)</f>
        <v>189811</v>
      </c>
      <c r="D732" s="1" t="str">
        <f ca="1">IFERROR(__xludf.DUMMYFUNCTION("""COMPUTED_VALUE"""),"MOUNTSS")</f>
        <v>MOUNTSS</v>
      </c>
      <c r="E732" s="1" t="str">
        <f ca="1">IFERROR(__xludf.DUMMYFUNCTION("""COMPUTED_VALUE"""),"MNTSOREL")</f>
        <v>MNTSOREL</v>
      </c>
      <c r="F732" s="1">
        <f ca="1">IFERROR(__xludf.DUMMYFUNCTION("""COMPUTED_VALUE"""),59011)</f>
        <v>59011</v>
      </c>
    </row>
    <row r="733" spans="1:6" x14ac:dyDescent="0.3">
      <c r="A733" s="1" t="str">
        <f ca="1">IFERROR(__xludf.DUMMYFUNCTION("""COMPUTED_VALUE"""),"Mountsorrel Tarmac Colas")</f>
        <v>Mountsorrel Tarmac Colas</v>
      </c>
      <c r="B733" s="1"/>
      <c r="C733" s="1">
        <f ca="1">IFERROR(__xludf.DUMMYFUNCTION("""COMPUTED_VALUE"""),189814)</f>
        <v>189814</v>
      </c>
      <c r="D733" s="1" t="str">
        <f ca="1">IFERROR(__xludf.DUMMYFUNCTION("""COMPUTED_VALUE"""),"MOUNTTC")</f>
        <v>MOUNTTC</v>
      </c>
      <c r="E733" s="1"/>
      <c r="F733" s="1">
        <f ca="1">IFERROR(__xludf.DUMMYFUNCTION("""COMPUTED_VALUE"""),59014)</f>
        <v>59014</v>
      </c>
    </row>
    <row r="734" spans="1:6" x14ac:dyDescent="0.3">
      <c r="A734" s="1" t="str">
        <f ca="1">IFERROR(__xludf.DUMMYFUNCTION("""COMPUTED_VALUE"""),"Mount Vernon")</f>
        <v>Mount Vernon</v>
      </c>
      <c r="B734" s="1" t="str">
        <f ca="1">IFERROR(__xludf.DUMMYFUNCTION("""COMPUTED_VALUE"""),"MTV")</f>
        <v>MTV</v>
      </c>
      <c r="C734" s="1">
        <f ca="1">IFERROR(__xludf.DUMMYFUNCTION("""COMPUTED_VALUE"""),977900)</f>
        <v>977900</v>
      </c>
      <c r="D734" s="1" t="str">
        <f ca="1">IFERROR(__xludf.DUMMYFUNCTION("""COMPUTED_VALUE"""),"MNTVRNN")</f>
        <v>MNTVRNN</v>
      </c>
      <c r="E734" s="1" t="str">
        <f ca="1">IFERROR(__xludf.DUMMYFUNCTION("""COMPUTED_VALUE"""),"MT VERNON")</f>
        <v>MT VERNON</v>
      </c>
      <c r="F734" s="1">
        <f ca="1">IFERROR(__xludf.DUMMYFUNCTION("""COMPUTED_VALUE"""),7295)</f>
        <v>7295</v>
      </c>
    </row>
    <row r="735" spans="1:6" x14ac:dyDescent="0.3">
      <c r="A735" s="1" t="str">
        <f ca="1">IFERROR(__xludf.DUMMYFUNCTION("""COMPUTED_VALUE"""),"Mouscron")</f>
        <v>Mouscron</v>
      </c>
      <c r="B735" s="1"/>
      <c r="C735" s="1">
        <f ca="1">IFERROR(__xludf.DUMMYFUNCTION("""COMPUTED_VALUE"""),81402)</f>
        <v>81402</v>
      </c>
      <c r="D735" s="1" t="str">
        <f ca="1">IFERROR(__xludf.DUMMYFUNCTION("""COMPUTED_VALUE"""),"MOUSCRN")</f>
        <v>MOUSCRN</v>
      </c>
      <c r="E735" s="1" t="str">
        <f ca="1">IFERROR(__xludf.DUMMYFUNCTION("""COMPUTED_VALUE"""),"MOUSCRON")</f>
        <v>MOUSCRON</v>
      </c>
      <c r="F735" s="1">
        <f ca="1">IFERROR(__xludf.DUMMYFUNCTION("""COMPUTED_VALUE"""),846)</f>
        <v>846</v>
      </c>
    </row>
    <row r="736" spans="1:6" x14ac:dyDescent="0.3">
      <c r="A736" s="1" t="str">
        <f ca="1">IFERROR(__xludf.DUMMYFUNCTION("""COMPUTED_VALUE"""),"Moy")</f>
        <v>Moy</v>
      </c>
      <c r="B736" s="1"/>
      <c r="C736" s="1">
        <f ca="1">IFERROR(__xludf.DUMMYFUNCTION("""COMPUTED_VALUE"""),866400)</f>
        <v>866400</v>
      </c>
      <c r="D736" s="1" t="str">
        <f ca="1">IFERROR(__xludf.DUMMYFUNCTION("""COMPUTED_VALUE"""),"MOYY")</f>
        <v>MOYY</v>
      </c>
      <c r="E736" s="1" t="str">
        <f ca="1">IFERROR(__xludf.DUMMYFUNCTION("""COMPUTED_VALUE"""),"MOY")</f>
        <v>MOY</v>
      </c>
      <c r="F736" s="1">
        <f ca="1">IFERROR(__xludf.DUMMYFUNCTION("""COMPUTED_VALUE"""),1133)</f>
        <v>1133</v>
      </c>
    </row>
    <row r="737" spans="1:6" x14ac:dyDescent="0.3">
      <c r="A737" s="1" t="str">
        <f ca="1">IFERROR(__xludf.DUMMYFUNCTION("""COMPUTED_VALUE"""),"Muck")</f>
        <v>Muck</v>
      </c>
      <c r="B737" s="1" t="str">
        <f ca="1">IFERROR(__xludf.DUMMYFUNCTION("""COMPUTED_VALUE"""),"MUK MUC✖Code not certain; conflicting raw data")</f>
        <v>MUK MUC✖Code not certain; conflicting raw data</v>
      </c>
      <c r="C737" s="1">
        <f ca="1">IFERROR(__xludf.DUMMYFUNCTION("""COMPUTED_VALUE"""),906100)</f>
        <v>906100</v>
      </c>
      <c r="D737" s="1" t="str">
        <f ca="1">IFERROR(__xludf.DUMMYFUNCTION("""COMPUTED_VALUE"""),"MUCK")</f>
        <v>MUCK</v>
      </c>
      <c r="E737" s="1"/>
      <c r="F737" s="1" t="str">
        <f ca="1">IFERROR(__xludf.DUMMYFUNCTION("""COMPUTED_VALUE"""),"-")</f>
        <v>-</v>
      </c>
    </row>
    <row r="738" spans="1:6" x14ac:dyDescent="0.3">
      <c r="A738" s="1" t="str">
        <f ca="1">IFERROR(__xludf.DUMMYFUNCTION("""COMPUTED_VALUE"""),"Muine Bheag")</f>
        <v>Muine Bheag</v>
      </c>
      <c r="B738" s="1" t="str">
        <f ca="1">IFERROR(__xludf.DUMMYFUNCTION("""COMPUTED_VALUE"""),"MBH")</f>
        <v>MBH</v>
      </c>
      <c r="C738" s="1">
        <f ca="1">IFERROR(__xludf.DUMMYFUNCTION("""COMPUTED_VALUE"""),163800)</f>
        <v>163800</v>
      </c>
      <c r="D738" s="1" t="str">
        <f ca="1">IFERROR(__xludf.DUMMYFUNCTION("""COMPUTED_VALUE"""),"CATZMBH")</f>
        <v>CATZMBH</v>
      </c>
      <c r="E738" s="1"/>
      <c r="F738" s="1"/>
    </row>
    <row r="739" spans="1:6" x14ac:dyDescent="0.3">
      <c r="A739" s="1" t="str">
        <f ca="1">IFERROR(__xludf.DUMMYFUNCTION("""COMPUTED_VALUE"""),"Muirend")</f>
        <v>Muirend</v>
      </c>
      <c r="B739" s="1" t="str">
        <f ca="1">IFERROR(__xludf.DUMMYFUNCTION("""COMPUTED_VALUE"""),"MUI")</f>
        <v>MUI</v>
      </c>
      <c r="C739" s="1">
        <f ca="1">IFERROR(__xludf.DUMMYFUNCTION("""COMPUTED_VALUE"""),960800)</f>
        <v>960800</v>
      </c>
      <c r="D739" s="1" t="str">
        <f ca="1">IFERROR(__xludf.DUMMYFUNCTION("""COMPUTED_VALUE"""),"MUIREND")</f>
        <v>MUIREND</v>
      </c>
      <c r="E739" s="1" t="str">
        <f ca="1">IFERROR(__xludf.DUMMYFUNCTION("""COMPUTED_VALUE"""),"MUIREND")</f>
        <v>MUIREND</v>
      </c>
      <c r="F739" s="1">
        <f ca="1">IFERROR(__xludf.DUMMYFUNCTION("""COMPUTED_VALUE"""),7567)</f>
        <v>7567</v>
      </c>
    </row>
    <row r="740" spans="1:6" x14ac:dyDescent="0.3">
      <c r="A740" s="1" t="str">
        <f ca="1">IFERROR(__xludf.DUMMYFUNCTION("""COMPUTED_VALUE"""),"Muirhouse Central Junction")</f>
        <v>Muirhouse Central Junction</v>
      </c>
      <c r="B740" s="1"/>
      <c r="C740" s="1">
        <f ca="1">IFERROR(__xludf.DUMMYFUNCTION("""COMPUTED_VALUE"""),982191)</f>
        <v>982191</v>
      </c>
      <c r="D740" s="1" t="str">
        <f ca="1">IFERROR(__xludf.DUMMYFUNCTION("""COMPUTED_VALUE"""),"MRHSCJ")</f>
        <v>MRHSCJ</v>
      </c>
      <c r="E740" s="1" t="str">
        <f ca="1">IFERROR(__xludf.DUMMYFUNCTION("""COMPUTED_VALUE"""),"MUIRHCENJ")</f>
        <v>MUIRHCENJ</v>
      </c>
      <c r="F740" s="1">
        <f ca="1">IFERROR(__xludf.DUMMYFUNCTION("""COMPUTED_VALUE"""),7241)</f>
        <v>7241</v>
      </c>
    </row>
    <row r="741" spans="1:6" x14ac:dyDescent="0.3">
      <c r="A741" s="1" t="str">
        <f ca="1">IFERROR(__xludf.DUMMYFUNCTION("""COMPUTED_VALUE"""),"Muirhouse North Junction")</f>
        <v>Muirhouse North Junction</v>
      </c>
      <c r="B741" s="1"/>
      <c r="C741" s="1">
        <f ca="1">IFERROR(__xludf.DUMMYFUNCTION("""COMPUTED_VALUE"""),982190)</f>
        <v>982190</v>
      </c>
      <c r="D741" s="1" t="str">
        <f ca="1">IFERROR(__xludf.DUMMYFUNCTION("""COMPUTED_VALUE"""),"MRHSNJ")</f>
        <v>MRHSNJ</v>
      </c>
      <c r="E741" s="1" t="str">
        <f ca="1">IFERROR(__xludf.DUMMYFUNCTION("""COMPUTED_VALUE"""),"MUIRHNTHJ")</f>
        <v>MUIRHNTHJ</v>
      </c>
      <c r="F741" s="1">
        <f ca="1">IFERROR(__xludf.DUMMYFUNCTION("""COMPUTED_VALUE"""),7242)</f>
        <v>7242</v>
      </c>
    </row>
    <row r="742" spans="1:6" x14ac:dyDescent="0.3">
      <c r="A742" s="1" t="str">
        <f ca="1">IFERROR(__xludf.DUMMYFUNCTION("""COMPUTED_VALUE"""),"Muirhouse South Junction")</f>
        <v>Muirhouse South Junction</v>
      </c>
      <c r="B742" s="1"/>
      <c r="C742" s="1">
        <f ca="1">IFERROR(__xludf.DUMMYFUNCTION("""COMPUTED_VALUE"""),982193)</f>
        <v>982193</v>
      </c>
      <c r="D742" s="1" t="str">
        <f ca="1">IFERROR(__xludf.DUMMYFUNCTION("""COMPUTED_VALUE"""),"MRHSSJ")</f>
        <v>MRHSSJ</v>
      </c>
      <c r="E742" s="1" t="str">
        <f ca="1">IFERROR(__xludf.DUMMYFUNCTION("""COMPUTED_VALUE"""),"MUIRHSTHJ")</f>
        <v>MUIRHSTHJ</v>
      </c>
      <c r="F742" s="1">
        <f ca="1">IFERROR(__xludf.DUMMYFUNCTION("""COMPUTED_VALUE"""),7240)</f>
        <v>7240</v>
      </c>
    </row>
    <row r="743" spans="1:6" x14ac:dyDescent="0.3">
      <c r="A743" s="1" t="str">
        <f ca="1">IFERROR(__xludf.DUMMYFUNCTION("""COMPUTED_VALUE"""),"Muirhouse Workshops")</f>
        <v>Muirhouse Workshops</v>
      </c>
      <c r="B743" s="1"/>
      <c r="C743" s="1">
        <f ca="1">IFERROR(__xludf.DUMMYFUNCTION("""COMPUTED_VALUE"""),982161)</f>
        <v>982161</v>
      </c>
      <c r="D743" s="1" t="str">
        <f ca="1">IFERROR(__xludf.DUMMYFUNCTION("""COMPUTED_VALUE"""),"MRHSWS")</f>
        <v>MRHSWS</v>
      </c>
      <c r="E743" s="1" t="str">
        <f ca="1">IFERROR(__xludf.DUMMYFUNCTION("""COMPUTED_VALUE"""),"MUIRHOUSE")</f>
        <v>MUIRHOUSE</v>
      </c>
      <c r="F743" s="1">
        <f ca="1">IFERROR(__xludf.DUMMYFUNCTION("""COMPUTED_VALUE"""),7239)</f>
        <v>7239</v>
      </c>
    </row>
    <row r="744" spans="1:6" x14ac:dyDescent="0.3">
      <c r="A744" s="1" t="str">
        <f ca="1">IFERROR(__xludf.DUMMYFUNCTION("""COMPUTED_VALUE"""),"Muir Of Ord")</f>
        <v>Muir Of Ord</v>
      </c>
      <c r="B744" s="1" t="str">
        <f ca="1">IFERROR(__xludf.DUMMYFUNCTION("""COMPUTED_VALUE"""),"MOO")</f>
        <v>MOO</v>
      </c>
      <c r="C744" s="1">
        <f ca="1">IFERROR(__xludf.DUMMYFUNCTION("""COMPUTED_VALUE"""),866500)</f>
        <v>866500</v>
      </c>
      <c r="D744" s="1" t="str">
        <f ca="1">IFERROR(__xludf.DUMMYFUNCTION("""COMPUTED_VALUE"""),"MUROORD")</f>
        <v>MUROORD</v>
      </c>
      <c r="E744" s="1" t="str">
        <f ca="1">IFERROR(__xludf.DUMMYFUNCTION("""COMPUTED_VALUE"""),"MUIROFORD")</f>
        <v>MUIROFORD</v>
      </c>
      <c r="F744" s="1">
        <f ca="1">IFERROR(__xludf.DUMMYFUNCTION("""COMPUTED_VALUE"""),1094)</f>
        <v>1094</v>
      </c>
    </row>
    <row r="745" spans="1:6" x14ac:dyDescent="0.3">
      <c r="A745" s="1" t="str">
        <f ca="1">IFERROR(__xludf.DUMMYFUNCTION("""COMPUTED_VALUE"""),"Muir Of Ord Down Siding DCL Cereals")</f>
        <v>Muir Of Ord Down Siding DCL Cereals</v>
      </c>
      <c r="B745" s="1"/>
      <c r="C745" s="1">
        <f ca="1">IFERROR(__xludf.DUMMYFUNCTION("""COMPUTED_VALUE"""),866501)</f>
        <v>866501</v>
      </c>
      <c r="D745" s="1" t="str">
        <f ca="1">IFERROR(__xludf.DUMMYFUNCTION("""COMPUTED_VALUE"""),"MURODS")</f>
        <v>MURODS</v>
      </c>
      <c r="E745" s="1" t="str">
        <f ca="1">IFERROR(__xludf.DUMMYFUNCTION("""COMPUTED_VALUE"""),"MUIRFD US")</f>
        <v>MUIRFD US</v>
      </c>
      <c r="F745" s="1">
        <f ca="1">IFERROR(__xludf.DUMMYFUNCTION("""COMPUTED_VALUE"""),1095)</f>
        <v>1095</v>
      </c>
    </row>
    <row r="746" spans="1:6" x14ac:dyDescent="0.3">
      <c r="A746" s="1" t="str">
        <f ca="1">IFERROR(__xludf.DUMMYFUNCTION("""COMPUTED_VALUE"""),"Muir Of Ord Up Siding")</f>
        <v>Muir Of Ord Up Siding</v>
      </c>
      <c r="B746" s="1"/>
      <c r="C746" s="1">
        <f ca="1">IFERROR(__xludf.DUMMYFUNCTION("""COMPUTED_VALUE"""),866502)</f>
        <v>866502</v>
      </c>
      <c r="D746" s="1" t="str">
        <f ca="1">IFERROR(__xludf.DUMMYFUNCTION("""COMPUTED_VALUE"""),"MUROUS")</f>
        <v>MUROUS</v>
      </c>
      <c r="E746" s="1" t="str">
        <f ca="1">IFERROR(__xludf.DUMMYFUNCTION("""COMPUTED_VALUE"""),"MUIRFD DS")</f>
        <v>MUIRFD DS</v>
      </c>
      <c r="F746" s="1">
        <f ca="1">IFERROR(__xludf.DUMMYFUNCTION("""COMPUTED_VALUE"""),1096)</f>
        <v>1096</v>
      </c>
    </row>
    <row r="747" spans="1:6" x14ac:dyDescent="0.3">
      <c r="A747" s="1" t="str">
        <f ca="1">IFERROR(__xludf.DUMMYFUNCTION("""COMPUTED_VALUE"""),"Muizen")</f>
        <v>Muizen</v>
      </c>
      <c r="B747" s="1"/>
      <c r="C747" s="1">
        <f ca="1">IFERROR(__xludf.DUMMYFUNCTION("""COMPUTED_VALUE"""),81406)</f>
        <v>81406</v>
      </c>
      <c r="D747" s="1" t="str">
        <f ca="1">IFERROR(__xludf.DUMMYFUNCTION("""COMPUTED_VALUE"""),"MUIZEN")</f>
        <v>MUIZEN</v>
      </c>
      <c r="E747" s="1" t="str">
        <f ca="1">IFERROR(__xludf.DUMMYFUNCTION("""COMPUTED_VALUE"""),"MUIZEN")</f>
        <v>MUIZEN</v>
      </c>
      <c r="F747" s="1">
        <f ca="1">IFERROR(__xludf.DUMMYFUNCTION("""COMPUTED_VALUE"""),857)</f>
        <v>857</v>
      </c>
    </row>
    <row r="748" spans="1:6" x14ac:dyDescent="0.3">
      <c r="A748" s="1" t="str">
        <f ca="1">IFERROR(__xludf.DUMMYFUNCTION("""COMPUTED_VALUE"""),"Mulben")</f>
        <v>Mulben</v>
      </c>
      <c r="B748" s="1"/>
      <c r="C748" s="1">
        <f ca="1">IFERROR(__xludf.DUMMYFUNCTION("""COMPUTED_VALUE"""),892510)</f>
        <v>892510</v>
      </c>
      <c r="D748" s="1" t="str">
        <f ca="1">IFERROR(__xludf.DUMMYFUNCTION("""COMPUTED_VALUE"""),"MULBEN")</f>
        <v>MULBEN</v>
      </c>
      <c r="E748" s="1" t="str">
        <f ca="1">IFERROR(__xludf.DUMMYFUNCTION("""COMPUTED_VALUE"""),"MULBEN")</f>
        <v>MULBEN</v>
      </c>
      <c r="F748" s="1">
        <f ca="1">IFERROR(__xludf.DUMMYFUNCTION("""COMPUTED_VALUE"""),2010)</f>
        <v>2010</v>
      </c>
    </row>
    <row r="749" spans="1:6" x14ac:dyDescent="0.3">
      <c r="A749" s="1" t="str">
        <f ca="1">IFERROR(__xludf.DUMMYFUNCTION("""COMPUTED_VALUE"""),"Mulhouse Ile Napolean Gar")</f>
        <v>Mulhouse Ile Napolean Gar</v>
      </c>
      <c r="B749" s="1"/>
      <c r="C749" s="1">
        <f ca="1">IFERROR(__xludf.DUMMYFUNCTION("""COMPUTED_VALUE"""),873502)</f>
        <v>873502</v>
      </c>
      <c r="D749" s="1" t="str">
        <f ca="1">IFERROR(__xludf.DUMMYFUNCTION("""COMPUTED_VALUE"""),"MULHING")</f>
        <v>MULHING</v>
      </c>
      <c r="E749" s="1" t="str">
        <f ca="1">IFERROR(__xludf.DUMMYFUNCTION("""COMPUTED_VALUE"""),"MULHOUS G")</f>
        <v>MULHOUS G</v>
      </c>
      <c r="F749" s="1">
        <f ca="1">IFERROR(__xludf.DUMMYFUNCTION("""COMPUTED_VALUE"""),778)</f>
        <v>778</v>
      </c>
    </row>
    <row r="750" spans="1:6" x14ac:dyDescent="0.3">
      <c r="A750" s="1" t="str">
        <f ca="1">IFERROR(__xludf.DUMMYFUNCTION("""COMPUTED_VALUE"""),"Mulhouse Nord")</f>
        <v>Mulhouse Nord</v>
      </c>
      <c r="B750" s="1"/>
      <c r="C750" s="1">
        <f ca="1">IFERROR(__xludf.DUMMYFUNCTION("""COMPUTED_VALUE"""),873501)</f>
        <v>873501</v>
      </c>
      <c r="D750" s="1" t="str">
        <f ca="1">IFERROR(__xludf.DUMMYFUNCTION("""COMPUTED_VALUE"""),"MULHNRD")</f>
        <v>MULHNRD</v>
      </c>
      <c r="E750" s="1" t="str">
        <f ca="1">IFERROR(__xludf.DUMMYFUNCTION("""COMPUTED_VALUE"""),"MULHOUS N")</f>
        <v>MULHOUS N</v>
      </c>
      <c r="F750" s="1">
        <f ca="1">IFERROR(__xludf.DUMMYFUNCTION("""COMPUTED_VALUE"""),777)</f>
        <v>777</v>
      </c>
    </row>
    <row r="751" spans="1:6" x14ac:dyDescent="0.3">
      <c r="A751" s="1" t="str">
        <f ca="1">IFERROR(__xludf.DUMMYFUNCTION("""COMPUTED_VALUE"""),"Mullingar")</f>
        <v>Mullingar</v>
      </c>
      <c r="B751" s="1" t="str">
        <f ca="1">IFERROR(__xludf.DUMMYFUNCTION("""COMPUTED_VALUE"""),"MUL")</f>
        <v>MUL</v>
      </c>
      <c r="C751" s="1">
        <f ca="1">IFERROR(__xludf.DUMMYFUNCTION("""COMPUTED_VALUE"""),29700)</f>
        <v>29700</v>
      </c>
      <c r="D751" s="1" t="str">
        <f ca="1">IFERROR(__xludf.DUMMYFUNCTION("""COMPUTED_VALUE"""),"CATZMUL")</f>
        <v>CATZMUL</v>
      </c>
      <c r="E751" s="1"/>
      <c r="F751" s="1"/>
    </row>
    <row r="752" spans="1:6" x14ac:dyDescent="0.3">
      <c r="A752" s="1" t="str">
        <f ca="1">IFERROR(__xludf.DUMMYFUNCTION("""COMPUTED_VALUE"""),"Muncaster Mill")</f>
        <v>Muncaster Mill</v>
      </c>
      <c r="B752" s="1"/>
      <c r="C752" s="1">
        <f ca="1">IFERROR(__xludf.DUMMYFUNCTION("""COMPUTED_VALUE"""),192161)</f>
        <v>192161</v>
      </c>
      <c r="D752" s="1" t="str">
        <f ca="1">IFERROR(__xludf.DUMMYFUNCTION("""COMPUTED_VALUE"""),"MNCSTRM")</f>
        <v>MNCSTRM</v>
      </c>
      <c r="E752" s="1"/>
      <c r="F752" s="1" t="str">
        <f ca="1">IFERROR(__xludf.DUMMYFUNCTION("""COMPUTED_VALUE"""),"-")</f>
        <v>-</v>
      </c>
    </row>
    <row r="753" spans="1:6" x14ac:dyDescent="0.3">
      <c r="A753" s="1" t="str">
        <f ca="1">IFERROR(__xludf.DUMMYFUNCTION("""COMPUTED_VALUE"""),"Munchen")</f>
        <v>Munchen</v>
      </c>
      <c r="B753" s="1"/>
      <c r="C753" s="1">
        <f ca="1">IFERROR(__xludf.DUMMYFUNCTION("""COMPUTED_VALUE"""),81609)</f>
        <v>81609</v>
      </c>
      <c r="D753" s="1" t="str">
        <f ca="1">IFERROR(__xludf.DUMMYFUNCTION("""COMPUTED_VALUE"""),"MUNCHEN")</f>
        <v>MUNCHEN</v>
      </c>
      <c r="E753" s="1" t="str">
        <f ca="1">IFERROR(__xludf.DUMMYFUNCTION("""COMPUTED_VALUE"""),"MUNICH")</f>
        <v>MUNICH</v>
      </c>
      <c r="F753" s="1">
        <f ca="1">IFERROR(__xludf.DUMMYFUNCTION("""COMPUTED_VALUE"""),65)</f>
        <v>65</v>
      </c>
    </row>
    <row r="754" spans="1:6" x14ac:dyDescent="0.3">
      <c r="A754" s="1" t="str">
        <f ca="1">IFERROR(__xludf.DUMMYFUNCTION("""COMPUTED_VALUE"""),"Murthly")</f>
        <v>Murthly</v>
      </c>
      <c r="B754" s="1"/>
      <c r="C754" s="1">
        <f ca="1">IFERROR(__xludf.DUMMYFUNCTION("""COMPUTED_VALUE"""),879300)</f>
        <v>879300</v>
      </c>
      <c r="D754" s="1" t="str">
        <f ca="1">IFERROR(__xludf.DUMMYFUNCTION("""COMPUTED_VALUE"""),"MURTHLY")</f>
        <v>MURTHLY</v>
      </c>
      <c r="E754" s="1" t="str">
        <f ca="1">IFERROR(__xludf.DUMMYFUNCTION("""COMPUTED_VALUE"""),"MURTHLY")</f>
        <v>MURTHLY</v>
      </c>
      <c r="F754" s="1">
        <f ca="1">IFERROR(__xludf.DUMMYFUNCTION("""COMPUTED_VALUE"""),3108)</f>
        <v>3108</v>
      </c>
    </row>
    <row r="755" spans="1:6" x14ac:dyDescent="0.3">
      <c r="A755" s="1" t="str">
        <f ca="1">IFERROR(__xludf.DUMMYFUNCTION("""COMPUTED_VALUE"""),"Musselburgh")</f>
        <v>Musselburgh</v>
      </c>
      <c r="B755" s="1" t="str">
        <f ca="1">IFERROR(__xludf.DUMMYFUNCTION("""COMPUTED_VALUE"""),"MUB")</f>
        <v>MUB</v>
      </c>
      <c r="C755" s="1">
        <f ca="1">IFERROR(__xludf.DUMMYFUNCTION("""COMPUTED_VALUE"""),930400)</f>
        <v>930400</v>
      </c>
      <c r="D755" s="1" t="str">
        <f ca="1">IFERROR(__xludf.DUMMYFUNCTION("""COMPUTED_VALUE"""),"MSELBGH")</f>
        <v>MSELBGH</v>
      </c>
      <c r="E755" s="1" t="str">
        <f ca="1">IFERROR(__xludf.DUMMYFUNCTION("""COMPUTED_VALUE"""),"MUSSELBGH")</f>
        <v>MUSSELBGH</v>
      </c>
      <c r="F755" s="1">
        <f ca="1">IFERROR(__xludf.DUMMYFUNCTION("""COMPUTED_VALUE"""),4803)</f>
        <v>4803</v>
      </c>
    </row>
    <row r="756" spans="1:6" x14ac:dyDescent="0.3">
      <c r="A756" s="1" t="str">
        <f ca="1">IFERROR(__xludf.DUMMYFUNCTION("""COMPUTED_VALUE"""),"Mytholmroyd")</f>
        <v>Mytholmroyd</v>
      </c>
      <c r="B756" s="1" t="str">
        <f ca="1">IFERROR(__xludf.DUMMYFUNCTION("""COMPUTED_VALUE"""),"MYT")</f>
        <v>MYT</v>
      </c>
      <c r="C756" s="1">
        <f ca="1">IFERROR(__xludf.DUMMYFUNCTION("""COMPUTED_VALUE"""),852600)</f>
        <v>852600</v>
      </c>
      <c r="D756" s="1" t="str">
        <f ca="1">IFERROR(__xludf.DUMMYFUNCTION("""COMPUTED_VALUE"""),"MYTHLMR")</f>
        <v>MYTHLMR</v>
      </c>
      <c r="E756" s="1" t="str">
        <f ca="1">IFERROR(__xludf.DUMMYFUNCTION("""COMPUTED_VALUE"""),"MYTHROYD")</f>
        <v>MYTHROYD</v>
      </c>
      <c r="F756" s="1">
        <f ca="1">IFERROR(__xludf.DUMMYFUNCTION("""COMPUTED_VALUE"""),18451)</f>
        <v>18451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Casey</cp:lastModifiedBy>
  <dcterms:created xsi:type="dcterms:W3CDTF">2023-02-13T10:09:01Z</dcterms:created>
  <dcterms:modified xsi:type="dcterms:W3CDTF">2023-02-13T10:13:47Z</dcterms:modified>
</cp:coreProperties>
</file>