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_Masses" sheetId="1" r:id="rId4"/>
    <sheet state="visible" name="Processed_data" sheetId="2" r:id="rId5"/>
    <sheet state="visible" name="Raw_data" sheetId="3" r:id="rId6"/>
    <sheet state="visible" name="Raw_rerun_data" sheetId="4" r:id="rId7"/>
    <sheet state="visible" name="Final_data" sheetId="5" r:id="rId8"/>
  </sheets>
  <definedNames/>
  <calcPr/>
  <extLst>
    <ext uri="GoogleSheetsCustomDataVersion1">
      <go:sheetsCustomData xmlns:go="http://customooxmlschemas.google.com/" r:id="rId9" roundtripDataSignature="AMtx7mhmsGD94H5A0Cjc0UqGqPJivF94H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1">
      <text>
        <t xml:space="preserve">======
ID#AAAAnQZnU5Q
Dylan Baker    (2023-01-17 19:05:24)
Moved this down one cell to correct the issue</t>
      </text>
    </comment>
  </commentList>
  <extLst>
    <ext uri="GoogleSheetsCustomDataVersion1">
      <go:sheetsCustomData xmlns:go="http://customooxmlschemas.google.com/" r:id="rId1" roundtripDataSignature="AMtx7mh5Se62Gp/akaT0MC2oQE2ORp4F1Q=="/>
    </ext>
  </extLst>
</comments>
</file>

<file path=xl/sharedStrings.xml><?xml version="1.0" encoding="utf-8"?>
<sst xmlns="http://schemas.openxmlformats.org/spreadsheetml/2006/main" count="541" uniqueCount="156">
  <si>
    <t xml:space="preserve">Particulate P Filter Weights </t>
  </si>
  <si>
    <t>*measured two filter pieces from same filter</t>
  </si>
  <si>
    <t>Sample ID</t>
  </si>
  <si>
    <t>Whole Filter Weight (g)</t>
  </si>
  <si>
    <t>PP Filter Piece #1 Weight (g)</t>
  </si>
  <si>
    <t>PP Filter Piece #2 Weight (g)</t>
  </si>
  <si>
    <t>1/21/22 FOR</t>
  </si>
  <si>
    <t>1/21/22 axenic MVT</t>
  </si>
  <si>
    <t>1/21/22 axenic NIES</t>
  </si>
  <si>
    <t>1/21/22 axenic pcc</t>
  </si>
  <si>
    <t>1/21/22 axenic WT</t>
  </si>
  <si>
    <t>1/21/22 xenic MVT</t>
  </si>
  <si>
    <t>1/21/22 xenic NIES</t>
  </si>
  <si>
    <t>1/21/22 xenic pcc</t>
  </si>
  <si>
    <t>1/21/22 xenic WT</t>
  </si>
  <si>
    <t>1/21/22 EOR</t>
  </si>
  <si>
    <t>Analyst</t>
  </si>
  <si>
    <t>Kelly McCabe</t>
  </si>
  <si>
    <t>Prep date</t>
  </si>
  <si>
    <t>Run date</t>
  </si>
  <si>
    <t>AQ400 Filename(s)</t>
  </si>
  <si>
    <t>22_12_06_Dylan_22Winter_Cultures_PP</t>
  </si>
  <si>
    <t>Method Description</t>
  </si>
  <si>
    <r>
      <rPr>
        <rFont val="Arial"/>
        <color theme="0"/>
        <sz val="12.0"/>
      </rPr>
      <t>This was a run of PP samples on the AQ400. PP samples were digested</t>
    </r>
    <r>
      <rPr>
        <rFont val="Arial"/>
        <b/>
        <color theme="0"/>
        <sz val="12.0"/>
        <u/>
      </rPr>
      <t xml:space="preserve"> w/ a solution of 50g/L potassium persulfate and 0.45 N sulfruic acid (10g/L persulfate and 0.09N H2SO4 in sample)</t>
    </r>
    <r>
      <rPr>
        <rFont val="Arial"/>
        <color theme="0"/>
        <sz val="12.0"/>
      </rPr>
      <t xml:space="preserve"> with a standard appropriate for the Seal oP method range. </t>
    </r>
  </si>
  <si>
    <t>A 400uL aliquot of the 2mL PP digest was diluted to 2 mL with Type 1 water (df = 5). This diluted sample was run on the AQ400. Standards were prepared in same way as samples (orginal extraction conc. of 1000 ug/L that runs as 200 ug/L with dilution)</t>
  </si>
  <si>
    <t xml:space="preserve">Samples and standards were run using the oP reagent described by the Seal's AQ400 oP method. </t>
  </si>
  <si>
    <t>Standard Curve</t>
  </si>
  <si>
    <t>Standard ID/Conc. (ug/L)</t>
  </si>
  <si>
    <t>Absorbance</t>
  </si>
  <si>
    <t>Meas Conc. (ug/L)</t>
  </si>
  <si>
    <t>Residuals</t>
  </si>
  <si>
    <t>Difference (%)</t>
  </si>
  <si>
    <t>Pipette Calibration</t>
  </si>
  <si>
    <t>QC Check</t>
  </si>
  <si>
    <t>w/o Spike Standard Curve Information</t>
  </si>
  <si>
    <t>Aliquot Vol (mL)</t>
  </si>
  <si>
    <t>Diluent Vol (mL)</t>
  </si>
  <si>
    <t>Extract Vol (mL)</t>
  </si>
  <si>
    <t>ID</t>
  </si>
  <si>
    <t>Calc Conc. (ug/L)</t>
  </si>
  <si>
    <t>Meas. Conc. (ug/L)</t>
  </si>
  <si>
    <t>QC Aliquot Vol (mL)</t>
  </si>
  <si>
    <t>Corrected Concentration (ug/L)</t>
  </si>
  <si>
    <t>Recovery (%)</t>
  </si>
  <si>
    <t>slope</t>
  </si>
  <si>
    <t>y-intercept</t>
  </si>
  <si>
    <t>QC-1</t>
  </si>
  <si>
    <t>QC-2</t>
  </si>
  <si>
    <t>r2</t>
  </si>
  <si>
    <t>Standard error of y-est</t>
  </si>
  <si>
    <t>F-stat</t>
  </si>
  <si>
    <t>df</t>
  </si>
  <si>
    <t xml:space="preserve">Regression sum of squares </t>
  </si>
  <si>
    <t>Residual sum of squares</t>
  </si>
  <si>
    <t>Average</t>
  </si>
  <si>
    <t>T-stat</t>
  </si>
  <si>
    <t>MDL of the day</t>
  </si>
  <si>
    <t>Test MDL</t>
  </si>
  <si>
    <t>OK</t>
  </si>
  <si>
    <t>ATP Check</t>
  </si>
  <si>
    <t>Spinach Leaves Check</t>
  </si>
  <si>
    <t>Marine Sediment Check</t>
  </si>
  <si>
    <t>ATP Aliquot Vol (mL)</t>
  </si>
  <si>
    <t>MS Aliquot Vol (mL)</t>
  </si>
  <si>
    <t>ATP-1</t>
  </si>
  <si>
    <t>SL-1</t>
  </si>
  <si>
    <t>MS-1</t>
  </si>
  <si>
    <t>ATP-2</t>
  </si>
  <si>
    <t>SL-2</t>
  </si>
  <si>
    <t>MS-2</t>
  </si>
  <si>
    <t>Samples</t>
  </si>
  <si>
    <t>Zero/Blank Checks</t>
  </si>
  <si>
    <t>Measured conc [ug/L]</t>
  </si>
  <si>
    <t>Blank Corrected Conc. [ug/L]</t>
  </si>
  <si>
    <t>Sample Aliquot Vol (mL)</t>
  </si>
  <si>
    <t>Mass P on filter piece (ug)</t>
  </si>
  <si>
    <t>Blank ID</t>
  </si>
  <si>
    <t>Blank Aliquot Vol (mL)</t>
  </si>
  <si>
    <t>1/21/22 AX MVT</t>
  </si>
  <si>
    <t>0-1</t>
  </si>
  <si>
    <t>0-2</t>
  </si>
  <si>
    <t>1/21/22 AX NIES</t>
  </si>
  <si>
    <t>1/21/22 AX pcc</t>
  </si>
  <si>
    <t>1/21/22 AX WT</t>
  </si>
  <si>
    <t>1-21 FOR-1</t>
  </si>
  <si>
    <t>1-21 FOR-2</t>
  </si>
  <si>
    <t>1/21/22 XE MVT</t>
  </si>
  <si>
    <t>1-21 EOR-1</t>
  </si>
  <si>
    <t>1-21 EOR-2</t>
  </si>
  <si>
    <t>1/21/22 XE NIES</t>
  </si>
  <si>
    <t>0-3</t>
  </si>
  <si>
    <t>Rerun Zero/Blank Data</t>
  </si>
  <si>
    <t>0-4</t>
  </si>
  <si>
    <t>1/21/22 XE pcc</t>
  </si>
  <si>
    <t>1/21/22 XE WT</t>
  </si>
  <si>
    <t>1/21/22 AX WT rerun</t>
  </si>
  <si>
    <t>Stdev</t>
  </si>
  <si>
    <t>Zeros</t>
  </si>
  <si>
    <t>Blank</t>
  </si>
  <si>
    <t>Sample Details</t>
  </si>
  <si>
    <t>Test</t>
  </si>
  <si>
    <t>Results</t>
  </si>
  <si>
    <t>Units</t>
  </si>
  <si>
    <t>QC Pro result</t>
  </si>
  <si>
    <t>Operator</t>
  </si>
  <si>
    <t>Man Dil Factor</t>
  </si>
  <si>
    <t>Auto Dil Factor</t>
  </si>
  <si>
    <t>Date and Time</t>
  </si>
  <si>
    <t>Standard 1</t>
  </si>
  <si>
    <t>PP w_oP Reagent</t>
  </si>
  <si>
    <t>ug P/L</t>
  </si>
  <si>
    <t xml:space="preserve"> </t>
  </si>
  <si>
    <t>CIGLR</t>
  </si>
  <si>
    <t>Standard 90</t>
  </si>
  <si>
    <t>Standard 91</t>
  </si>
  <si>
    <t>Standard 92</t>
  </si>
  <si>
    <t>Standard 93</t>
  </si>
  <si>
    <t>Standard 94</t>
  </si>
  <si>
    <t>Standard 95</t>
  </si>
  <si>
    <t>Standard 96</t>
  </si>
  <si>
    <t>Standard 97</t>
  </si>
  <si>
    <t>Standard 0</t>
  </si>
  <si>
    <t>ICB</t>
  </si>
  <si>
    <t>CCB</t>
  </si>
  <si>
    <t>ICV</t>
  </si>
  <si>
    <t>CCV</t>
  </si>
  <si>
    <t>Control 1</t>
  </si>
  <si>
    <t>Control 2</t>
  </si>
  <si>
    <t>1-21 AX MVT-1</t>
  </si>
  <si>
    <t>1-21 AX MVT-2</t>
  </si>
  <si>
    <t>1-21 AX NIES-1</t>
  </si>
  <si>
    <t>1-21 AX NIES-2</t>
  </si>
  <si>
    <t>1-21 AX pcc-1</t>
  </si>
  <si>
    <t>1-21 AX pcc-2</t>
  </si>
  <si>
    <t>1-21 AX WT-1</t>
  </si>
  <si>
    <t>1-21 AX WT-2</t>
  </si>
  <si>
    <t>1-21 XE MVT-1</t>
  </si>
  <si>
    <t>1-21 XE MVT-2</t>
  </si>
  <si>
    <t>1-21 XE NIES-1</t>
  </si>
  <si>
    <t>1-21 XE NIES-2</t>
  </si>
  <si>
    <t>1-21 XE pcc-1</t>
  </si>
  <si>
    <t>1-21 XE pcc-2</t>
  </si>
  <si>
    <t>1-21 XE WT-1</t>
  </si>
  <si>
    <t>1-21 XE WT-2</t>
  </si>
  <si>
    <t>Control 3</t>
  </si>
  <si>
    <t>Control 4</t>
  </si>
  <si>
    <t>Control 5</t>
  </si>
  <si>
    <t>Control 6</t>
  </si>
  <si>
    <t>PP on filter piece (ug)</t>
  </si>
  <si>
    <t>PP on full filter (ug)</t>
  </si>
  <si>
    <t>Vol. Filtered (mL)</t>
  </si>
  <si>
    <t>PP Conc. (ug/L)</t>
  </si>
  <si>
    <t>Average Conc. of Dups (ug/L)</t>
  </si>
  <si>
    <t>%RSD</t>
  </si>
  <si>
    <t>P-value</t>
  </si>
  <si>
    <t>Rerun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</si>
</sst>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%"/>
    <numFmt numFmtId="165" formatCode="0.0000"/>
    <numFmt numFmtId="166" formatCode="0.0"/>
    <numFmt numFmtId="167" formatCode="0.000"/>
  </numFmts>
  <fonts count="11">
    <font>
      <sz val="12.0"/>
      <color theme="1"/>
      <name val="Calibri"/>
      <scheme val="minor"/>
    </font>
    <font>
      <b/>
      <sz val="12.0"/>
      <color theme="1"/>
      <name val="Calibri"/>
    </font>
    <font/>
    <font>
      <color theme="1"/>
      <name val="Calibri"/>
      <scheme val="minor"/>
    </font>
    <font>
      <sz val="12.0"/>
      <color theme="1"/>
      <name val="Calibri"/>
    </font>
    <font>
      <sz val="12.0"/>
      <color theme="1"/>
      <name val="Arial"/>
    </font>
    <font>
      <sz val="12.0"/>
      <color theme="0"/>
      <name val="Arial"/>
    </font>
    <font>
      <b/>
      <sz val="12.0"/>
      <color theme="1"/>
      <name val="Arial"/>
    </font>
    <font>
      <b/>
      <sz val="12.0"/>
      <color theme="0"/>
      <name val="Arial"/>
    </font>
    <font>
      <sz val="12.0"/>
      <color rgb="FFFF0000"/>
      <name val="Calibri"/>
    </font>
    <font>
      <sz val="12.0"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theme="8"/>
        <bgColor theme="8"/>
      </patternFill>
    </fill>
    <fill>
      <patternFill patternType="solid">
        <fgColor rgb="FFD0CECE"/>
        <bgColor rgb="FFD0CECE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rgb="FF00B0F0"/>
      </patternFill>
    </fill>
    <fill>
      <patternFill patternType="solid">
        <fgColor rgb="FFDEEAF6"/>
        <bgColor rgb="FFDEEAF6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 style="medium">
        <color rgb="FF000000"/>
      </bottom>
    </border>
    <border>
      <left/>
      <right/>
      <top/>
      <bottom/>
    </border>
    <border>
      <left style="medium">
        <color rgb="FFCCCCCC"/>
      </left>
      <top/>
      <bottom style="medium">
        <color rgb="FFCCCCCC"/>
      </bottom>
    </border>
    <border>
      <top/>
      <bottom style="medium">
        <color rgb="FFCCCCCC"/>
      </bottom>
    </border>
    <border>
      <right/>
      <top/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/>
      <top/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000000"/>
      </bottom>
    </border>
    <border>
      <bottom style="medium">
        <color rgb="FFCCCCCC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 shrinkToFit="0" wrapText="1"/>
    </xf>
    <xf borderId="0" fillId="0" fontId="4" numFmtId="0" xfId="0" applyFont="1"/>
    <xf borderId="0" fillId="0" fontId="5" numFmtId="0" xfId="0" applyFont="1"/>
    <xf borderId="0" fillId="0" fontId="5" numFmtId="14" xfId="0" applyFont="1" applyNumberFormat="1"/>
    <xf borderId="5" fillId="3" fontId="6" numFmtId="0" xfId="0" applyBorder="1" applyFill="1" applyFont="1"/>
    <xf borderId="0" fillId="0" fontId="6" numFmtId="0" xfId="0" applyFont="1"/>
    <xf borderId="0" fillId="0" fontId="7" numFmtId="0" xfId="0" applyFont="1"/>
    <xf borderId="6" fillId="4" fontId="5" numFmtId="0" xfId="0" applyAlignment="1" applyBorder="1" applyFill="1" applyFont="1">
      <alignment horizontal="center" shrinkToFit="0" wrapText="1"/>
    </xf>
    <xf borderId="7" fillId="0" fontId="2" numFmtId="0" xfId="0" applyBorder="1" applyFont="1"/>
    <xf borderId="8" fillId="0" fontId="2" numFmtId="0" xfId="0" applyBorder="1" applyFont="1"/>
    <xf borderId="9" fillId="4" fontId="5" numFmtId="0" xfId="0" applyAlignment="1" applyBorder="1" applyFont="1">
      <alignment horizontal="center" shrinkToFit="0" wrapText="1"/>
    </xf>
    <xf borderId="0" fillId="0" fontId="5" numFmtId="164" xfId="0" applyFont="1" applyNumberFormat="1"/>
    <xf borderId="0" fillId="0" fontId="5" numFmtId="2" xfId="0" applyAlignment="1" applyFont="1" applyNumberFormat="1">
      <alignment horizontal="right"/>
    </xf>
    <xf borderId="0" fillId="0" fontId="5" numFmtId="164" xfId="0" applyAlignment="1" applyFont="1" applyNumberFormat="1">
      <alignment horizontal="center"/>
    </xf>
    <xf borderId="10" fillId="4" fontId="5" numFmtId="0" xfId="0" applyAlignment="1" applyBorder="1" applyFont="1">
      <alignment horizontal="center"/>
    </xf>
    <xf borderId="11" fillId="4" fontId="5" numFmtId="0" xfId="0" applyAlignment="1" applyBorder="1" applyFont="1">
      <alignment horizontal="center" shrinkToFit="0" wrapText="1"/>
    </xf>
    <xf borderId="12" fillId="0" fontId="2" numFmtId="0" xfId="0" applyBorder="1" applyFont="1"/>
    <xf borderId="13" fillId="0" fontId="2" numFmtId="0" xfId="0" applyBorder="1" applyFont="1"/>
    <xf borderId="5" fillId="4" fontId="5" numFmtId="0" xfId="0" applyAlignment="1" applyBorder="1" applyFont="1">
      <alignment horizontal="right"/>
    </xf>
    <xf borderId="5" fillId="4" fontId="5" numFmtId="0" xfId="0" applyBorder="1" applyFont="1"/>
    <xf borderId="0" fillId="0" fontId="4" numFmtId="165" xfId="0" applyFont="1" applyNumberFormat="1"/>
    <xf borderId="0" fillId="0" fontId="4" numFmtId="166" xfId="0" applyFont="1" applyNumberFormat="1"/>
    <xf borderId="0" fillId="0" fontId="5" numFmtId="9" xfId="0" applyFont="1" applyNumberFormat="1"/>
    <xf borderId="0" fillId="0" fontId="5" numFmtId="0" xfId="0" applyAlignment="1" applyFont="1">
      <alignment horizontal="right"/>
    </xf>
    <xf borderId="5" fillId="4" fontId="5" numFmtId="0" xfId="0" applyAlignment="1" applyBorder="1" applyFont="1">
      <alignment horizontal="center" shrinkToFit="0" wrapText="1"/>
    </xf>
    <xf borderId="5" fillId="5" fontId="8" numFmtId="2" xfId="0" applyBorder="1" applyFill="1" applyFont="1" applyNumberFormat="1"/>
    <xf borderId="5" fillId="6" fontId="8" numFmtId="0" xfId="0" applyBorder="1" applyFill="1" applyFont="1"/>
    <xf borderId="0" fillId="0" fontId="9" numFmtId="0" xfId="0" applyFont="1"/>
    <xf borderId="0" fillId="0" fontId="10" numFmtId="0" xfId="0" applyFont="1"/>
    <xf borderId="5" fillId="7" fontId="7" numFmtId="0" xfId="0" applyBorder="1" applyFill="1" applyFont="1"/>
    <xf borderId="5" fillId="7" fontId="7" numFmtId="9" xfId="0" applyBorder="1" applyFont="1" applyNumberFormat="1"/>
    <xf borderId="0" fillId="0" fontId="5" numFmtId="2" xfId="0" applyFont="1" applyNumberFormat="1"/>
    <xf borderId="0" fillId="0" fontId="4" numFmtId="167" xfId="0" applyFont="1" applyNumberFormat="1"/>
    <xf borderId="14" fillId="0" fontId="5" numFmtId="0" xfId="0" applyAlignment="1" applyBorder="1" applyFont="1">
      <alignment horizontal="center"/>
    </xf>
    <xf borderId="14" fillId="0" fontId="2" numFmtId="0" xfId="0" applyBorder="1" applyFont="1"/>
    <xf borderId="0" fillId="0" fontId="5" numFmtId="167" xfId="0" applyFont="1" applyNumberFormat="1"/>
    <xf borderId="0" fillId="0" fontId="5" numFmtId="165" xfId="0" applyFont="1" applyNumberFormat="1"/>
    <xf borderId="15" fillId="0" fontId="4" numFmtId="0" xfId="0" applyBorder="1" applyFont="1"/>
    <xf borderId="15" fillId="0" fontId="4" numFmtId="165" xfId="0" applyBorder="1" applyFont="1" applyNumberFormat="1"/>
    <xf borderId="15" fillId="0" fontId="5" numFmtId="2" xfId="0" applyBorder="1" applyFont="1" applyNumberFormat="1"/>
    <xf borderId="15" fillId="0" fontId="5" numFmtId="165" xfId="0" applyBorder="1" applyFont="1" applyNumberFormat="1"/>
    <xf borderId="15" fillId="0" fontId="4" numFmtId="167" xfId="0" applyBorder="1" applyFont="1" applyNumberFormat="1"/>
    <xf borderId="0" fillId="0" fontId="4" numFmtId="1" xfId="0" applyAlignment="1" applyFont="1" applyNumberFormat="1">
      <alignment horizontal="center"/>
    </xf>
    <xf borderId="0" fillId="0" fontId="5" numFmtId="166" xfId="0" applyFont="1" applyNumberFormat="1"/>
    <xf borderId="5" fillId="7" fontId="7" numFmtId="0" xfId="0" applyAlignment="1" applyBorder="1" applyFont="1">
      <alignment horizontal="center"/>
    </xf>
    <xf borderId="5" fillId="7" fontId="7" numFmtId="167" xfId="0" applyBorder="1" applyFont="1" applyNumberFormat="1"/>
    <xf borderId="5" fillId="7" fontId="7" numFmtId="2" xfId="0" applyAlignment="1" applyBorder="1" applyFont="1" applyNumberFormat="1">
      <alignment horizontal="center"/>
    </xf>
    <xf borderId="15" fillId="0" fontId="4" numFmtId="1" xfId="0" applyAlignment="1" applyBorder="1" applyFont="1" applyNumberFormat="1">
      <alignment horizontal="center"/>
    </xf>
    <xf borderId="15" fillId="0" fontId="5" numFmtId="0" xfId="0" applyBorder="1" applyFont="1"/>
    <xf borderId="0" fillId="0" fontId="4" numFmtId="22" xfId="0" applyFont="1" applyNumberFormat="1"/>
    <xf borderId="0" fillId="0" fontId="3" numFmtId="0" xfId="0" applyAlignment="1" applyFont="1">
      <alignment readingOrder="0"/>
    </xf>
    <xf borderId="0" fillId="0" fontId="4" numFmtId="2" xfId="0" applyFont="1" applyNumberFormat="1"/>
    <xf borderId="0" fillId="0" fontId="4" numFmtId="9" xfId="0" applyFont="1" applyNumberFormat="1"/>
    <xf borderId="15" fillId="0" fontId="4" numFmtId="166" xfId="0" applyBorder="1" applyFont="1" applyNumberFormat="1"/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229299510918127"/>
          <c:y val="0.11708809935576522"/>
          <c:w val="0.7909115279885591"/>
          <c:h val="0.664713937518331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Processed_data!$A$12:$A$20</c:f>
            </c:numRef>
          </c:xVal>
          <c:yVal>
            <c:numRef>
              <c:f>Processed_data!$B$12:$B$20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86861"/>
        <c:axId val="133203052"/>
      </c:scatterChart>
      <c:valAx>
        <c:axId val="1192986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P Conc. [ug/L]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Arial"/>
              </a:defRPr>
            </a:pPr>
          </a:p>
        </c:txPr>
        <c:crossAx val="133203052"/>
      </c:valAx>
      <c:valAx>
        <c:axId val="1332030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Absorbance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Arial"/>
              </a:defRPr>
            </a:pPr>
          </a:p>
        </c:txPr>
        <c:crossAx val="1192986861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229299510918127"/>
          <c:y val="0.11708809935576522"/>
          <c:w val="0.7909115279885591"/>
          <c:h val="0.664713937518331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Processed_data!$A$12:$A$20</c:f>
            </c:numRef>
          </c:xVal>
          <c:yVal>
            <c:numRef>
              <c:f>Processed_data!$D$12:$D$20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29958"/>
        <c:axId val="369740519"/>
      </c:scatterChart>
      <c:valAx>
        <c:axId val="192529958"/>
        <c:scaling>
          <c:orientation val="minMax"/>
          <c:max val="2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P Conc. [ug/L]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Arial"/>
              </a:defRPr>
            </a:pPr>
          </a:p>
        </c:txPr>
        <c:crossAx val="369740519"/>
      </c:valAx>
      <c:valAx>
        <c:axId val="369740519"/>
        <c:scaling>
          <c:orientation val="minMax"/>
          <c:min val="-2.5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Arial"/>
              </a:defRPr>
            </a:pPr>
          </a:p>
        </c:txPr>
        <c:crossAx val="192529958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</xdr:colOff>
      <xdr:row>8</xdr:row>
      <xdr:rowOff>180975</xdr:rowOff>
    </xdr:from>
    <xdr:ext cx="4943475" cy="2219325"/>
    <xdr:graphicFrame>
      <xdr:nvGraphicFramePr>
        <xdr:cNvPr id="137283137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133350</xdr:colOff>
      <xdr:row>8</xdr:row>
      <xdr:rowOff>161925</xdr:rowOff>
    </xdr:from>
    <xdr:ext cx="4905375" cy="2247900"/>
    <xdr:graphicFrame>
      <xdr:nvGraphicFramePr>
        <xdr:cNvPr id="103681996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6" width="10.44"/>
  </cols>
  <sheetData>
    <row r="1" ht="15.75" customHeight="1">
      <c r="A1" s="1" t="s">
        <v>0</v>
      </c>
      <c r="B1" s="2"/>
      <c r="C1" s="2"/>
      <c r="D1" s="3"/>
      <c r="E1" s="4" t="s">
        <v>1</v>
      </c>
    </row>
    <row r="2" ht="15.75" customHeight="1">
      <c r="A2" s="5" t="s">
        <v>2</v>
      </c>
      <c r="B2" s="6" t="s">
        <v>3</v>
      </c>
      <c r="C2" s="6" t="s">
        <v>4</v>
      </c>
      <c r="D2" s="6" t="s">
        <v>5</v>
      </c>
    </row>
    <row r="3" ht="15.75" customHeight="1">
      <c r="A3" s="7" t="s">
        <v>6</v>
      </c>
      <c r="B3" s="7">
        <v>0.03712</v>
      </c>
      <c r="C3" s="7">
        <v>0.00957</v>
      </c>
      <c r="D3" s="7">
        <v>0.00855</v>
      </c>
    </row>
    <row r="4" ht="15.75" customHeight="1">
      <c r="A4" s="7" t="s">
        <v>7</v>
      </c>
      <c r="B4" s="7">
        <v>0.03854</v>
      </c>
      <c r="C4" s="7">
        <v>0.0095</v>
      </c>
      <c r="D4" s="7">
        <v>0.00895</v>
      </c>
    </row>
    <row r="5" ht="15.75" customHeight="1">
      <c r="A5" s="7" t="s">
        <v>8</v>
      </c>
      <c r="B5" s="7">
        <v>0.03789</v>
      </c>
      <c r="C5" s="7">
        <v>0.01036</v>
      </c>
      <c r="D5" s="7">
        <v>0.00853</v>
      </c>
    </row>
    <row r="6" ht="15.75" customHeight="1">
      <c r="A6" s="7" t="s">
        <v>9</v>
      </c>
      <c r="B6" s="7">
        <v>0.03856</v>
      </c>
      <c r="C6" s="7">
        <v>0.00988</v>
      </c>
      <c r="D6" s="7">
        <v>0.00843</v>
      </c>
    </row>
    <row r="7" ht="15.75" customHeight="1">
      <c r="A7" s="7" t="s">
        <v>10</v>
      </c>
      <c r="B7" s="7">
        <v>0.03864</v>
      </c>
      <c r="C7" s="7">
        <v>0.01107</v>
      </c>
      <c r="D7" s="7">
        <v>0.01004</v>
      </c>
    </row>
    <row r="8" ht="15.75" customHeight="1">
      <c r="A8" s="7" t="s">
        <v>11</v>
      </c>
      <c r="B8" s="7">
        <v>0.03789</v>
      </c>
      <c r="C8" s="7">
        <v>0.00957</v>
      </c>
      <c r="D8" s="7">
        <v>0.00873</v>
      </c>
    </row>
    <row r="9" ht="15.75" customHeight="1">
      <c r="A9" s="7" t="s">
        <v>12</v>
      </c>
      <c r="B9" s="7">
        <v>0.03784</v>
      </c>
      <c r="C9" s="7">
        <v>0.00878</v>
      </c>
      <c r="D9" s="7">
        <v>0.01038</v>
      </c>
    </row>
    <row r="10" ht="15.75" customHeight="1">
      <c r="A10" s="7" t="s">
        <v>13</v>
      </c>
      <c r="B10" s="7">
        <v>0.03781</v>
      </c>
      <c r="C10" s="7">
        <v>0.00933</v>
      </c>
      <c r="D10" s="7">
        <v>0.00935</v>
      </c>
    </row>
    <row r="11" ht="15.75" customHeight="1">
      <c r="A11" s="7" t="s">
        <v>14</v>
      </c>
      <c r="B11" s="7">
        <v>0.03812</v>
      </c>
      <c r="C11" s="7">
        <v>0.00907</v>
      </c>
      <c r="D11" s="7">
        <v>0.01039</v>
      </c>
    </row>
    <row r="12" ht="15.75" customHeight="1">
      <c r="A12" s="7" t="s">
        <v>15</v>
      </c>
      <c r="B12" s="7">
        <v>0.03734</v>
      </c>
      <c r="C12" s="7">
        <v>0.00969</v>
      </c>
      <c r="D12" s="7">
        <v>0.0095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0"/>
    <col customWidth="1" min="2" max="2" width="13.78"/>
    <col customWidth="1" min="3" max="3" width="12.67"/>
    <col customWidth="1" min="4" max="4" width="15.11"/>
    <col customWidth="1" min="5" max="5" width="16.0"/>
    <col customWidth="1" min="6" max="6" width="19.11"/>
    <col customWidth="1" min="7" max="8" width="13.78"/>
    <col customWidth="1" min="9" max="9" width="11.0"/>
    <col customWidth="1" min="10" max="10" width="17.33"/>
    <col customWidth="1" min="11" max="11" width="14.11"/>
    <col customWidth="1" min="12" max="12" width="14.0"/>
    <col customWidth="1" min="13" max="13" width="15.44"/>
    <col customWidth="1" min="14" max="14" width="20.67"/>
    <col customWidth="1" min="15" max="15" width="12.0"/>
    <col customWidth="1" min="16" max="16" width="16.78"/>
    <col customWidth="1" min="17" max="17" width="16.67"/>
    <col customWidth="1" min="18" max="18" width="20.44"/>
    <col customWidth="1" min="19" max="19" width="11.44"/>
    <col customWidth="1" min="20" max="20" width="9.0"/>
    <col customWidth="1" min="21" max="21" width="11.67"/>
    <col customWidth="1" min="22" max="22" width="12.0"/>
    <col customWidth="1" min="23" max="23" width="18.78"/>
    <col customWidth="1" min="24" max="24" width="12.33"/>
    <col customWidth="1" min="25" max="25" width="16.78"/>
    <col customWidth="1" min="26" max="26" width="14.44"/>
    <col customWidth="1" min="27" max="27" width="13.11"/>
  </cols>
  <sheetData>
    <row r="1" ht="15.0" customHeight="1">
      <c r="A1" s="8" t="s">
        <v>16</v>
      </c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0" customHeight="1">
      <c r="A2" s="8" t="s">
        <v>18</v>
      </c>
      <c r="B2" s="9">
        <v>44900.0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0" customHeight="1">
      <c r="A3" s="8" t="s">
        <v>19</v>
      </c>
      <c r="B3" s="9">
        <v>44901.0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0" customHeight="1">
      <c r="A4" s="8" t="s">
        <v>20</v>
      </c>
      <c r="B4" s="8" t="s">
        <v>21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5.0" customHeight="1">
      <c r="A5" s="8" t="s">
        <v>22</v>
      </c>
      <c r="B5" s="10" t="s">
        <v>23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8"/>
      <c r="S5" s="8"/>
      <c r="T5" s="8"/>
      <c r="U5" s="8"/>
      <c r="V5" s="8"/>
      <c r="W5" s="8"/>
      <c r="X5" s="8"/>
      <c r="Y5" s="8"/>
      <c r="Z5" s="8"/>
      <c r="AA5" s="8"/>
    </row>
    <row r="6" ht="15.0" customHeight="1">
      <c r="A6" s="8"/>
      <c r="B6" s="10" t="s">
        <v>24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8"/>
      <c r="S6" s="8"/>
      <c r="T6" s="8"/>
      <c r="U6" s="8"/>
      <c r="V6" s="8"/>
      <c r="W6" s="8"/>
      <c r="X6" s="8"/>
      <c r="Y6" s="8"/>
      <c r="Z6" s="8"/>
      <c r="AA6" s="8"/>
    </row>
    <row r="7" ht="15.0" customHeight="1">
      <c r="A7" s="8"/>
      <c r="B7" s="10" t="s">
        <v>25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8"/>
      <c r="S7" s="8"/>
      <c r="T7" s="8"/>
      <c r="U7" s="8"/>
      <c r="V7" s="8"/>
      <c r="W7" s="8"/>
      <c r="X7" s="8"/>
      <c r="Y7" s="8"/>
      <c r="Z7" s="8"/>
      <c r="AA7" s="8"/>
    </row>
    <row r="8" ht="15.0" customHeight="1">
      <c r="A8" s="8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0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2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6.5" customHeight="1">
      <c r="A10" s="13" t="s">
        <v>26</v>
      </c>
      <c r="B10" s="14"/>
      <c r="C10" s="14"/>
      <c r="D10" s="14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>
      <c r="A11" s="16" t="s">
        <v>27</v>
      </c>
      <c r="B11" s="16" t="s">
        <v>28</v>
      </c>
      <c r="C11" s="16" t="s">
        <v>29</v>
      </c>
      <c r="D11" s="16" t="s">
        <v>30</v>
      </c>
      <c r="E11" s="16" t="s">
        <v>31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22.5" customHeight="1">
      <c r="A12" s="7">
        <v>0.0</v>
      </c>
      <c r="B12" s="7">
        <v>9.31E-4</v>
      </c>
      <c r="C12" s="7">
        <v>2.802</v>
      </c>
      <c r="D12" s="8">
        <f t="shared" ref="D12:D20" si="1">A12-C12</f>
        <v>-2.802</v>
      </c>
      <c r="E12" s="17" t="str">
        <f t="shared" ref="E12:E20" si="2">ABS(C12-A12)/A12</f>
        <v>#DIV/0!</v>
      </c>
      <c r="F12" s="8"/>
      <c r="G12" s="8"/>
      <c r="H12" s="8"/>
      <c r="I12" s="8"/>
      <c r="J12" s="8"/>
      <c r="K12" s="8"/>
      <c r="L12" s="8"/>
      <c r="M12" s="8"/>
      <c r="P12" s="18"/>
      <c r="Q12" s="18"/>
      <c r="R12" s="19"/>
      <c r="S12" s="8"/>
      <c r="T12" s="8"/>
      <c r="U12" s="8"/>
      <c r="V12" s="8"/>
      <c r="W12" s="8"/>
      <c r="X12" s="8"/>
      <c r="Y12" s="8"/>
      <c r="Z12" s="8"/>
      <c r="AA12" s="8"/>
    </row>
    <row r="13" ht="19.5" customHeight="1">
      <c r="A13" s="7">
        <f>0.02*200</f>
        <v>4</v>
      </c>
      <c r="B13" s="7">
        <v>0.002496</v>
      </c>
      <c r="C13" s="7">
        <v>5.38</v>
      </c>
      <c r="D13" s="8">
        <f t="shared" si="1"/>
        <v>-1.38</v>
      </c>
      <c r="E13" s="17">
        <f t="shared" si="2"/>
        <v>0.345</v>
      </c>
      <c r="F13" s="8"/>
      <c r="G13" s="8"/>
      <c r="H13" s="8"/>
      <c r="I13" s="8"/>
      <c r="J13" s="8"/>
      <c r="K13" s="8"/>
      <c r="L13" s="8"/>
      <c r="M13" s="8"/>
      <c r="P13" s="18"/>
      <c r="Q13" s="18"/>
      <c r="R13" s="19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>
      <c r="A14" s="7">
        <f>0.05*200</f>
        <v>10</v>
      </c>
      <c r="B14" s="7">
        <v>0.005506</v>
      </c>
      <c r="C14" s="7">
        <v>10.338</v>
      </c>
      <c r="D14" s="8">
        <f t="shared" si="1"/>
        <v>-0.338</v>
      </c>
      <c r="E14" s="17">
        <f t="shared" si="2"/>
        <v>0.0338</v>
      </c>
      <c r="F14" s="8"/>
      <c r="G14" s="8"/>
      <c r="H14" s="8"/>
      <c r="I14" s="8"/>
      <c r="J14" s="8"/>
      <c r="K14" s="8"/>
      <c r="L14" s="8"/>
      <c r="M14" s="8"/>
      <c r="P14" s="18"/>
      <c r="Q14" s="18"/>
      <c r="R14" s="19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>
      <c r="A15" s="7">
        <f>0.1*200</f>
        <v>20</v>
      </c>
      <c r="B15" s="7">
        <v>0.010642</v>
      </c>
      <c r="C15" s="7">
        <v>18.8</v>
      </c>
      <c r="D15" s="8">
        <f t="shared" si="1"/>
        <v>1.2</v>
      </c>
      <c r="E15" s="17">
        <f t="shared" si="2"/>
        <v>0.06</v>
      </c>
      <c r="F15" s="8"/>
      <c r="G15" s="8"/>
      <c r="H15" s="8"/>
      <c r="I15" s="8"/>
      <c r="J15" s="8"/>
      <c r="K15" s="8"/>
      <c r="L15" s="8"/>
      <c r="M15" s="8"/>
      <c r="P15" s="18"/>
      <c r="Q15" s="18"/>
      <c r="R15" s="19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>
      <c r="A16" s="7">
        <f>0.2*200</f>
        <v>40</v>
      </c>
      <c r="B16" s="7">
        <v>0.022075</v>
      </c>
      <c r="C16" s="7">
        <v>37.631</v>
      </c>
      <c r="D16" s="8">
        <f t="shared" si="1"/>
        <v>2.369</v>
      </c>
      <c r="E16" s="17">
        <f t="shared" si="2"/>
        <v>0.059225</v>
      </c>
      <c r="H16" s="8"/>
      <c r="I16" s="8"/>
      <c r="J16" s="8"/>
      <c r="K16" s="8"/>
      <c r="L16" s="8"/>
      <c r="M16" s="8"/>
      <c r="P16" s="18"/>
      <c r="Q16" s="18"/>
      <c r="R16" s="19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>
      <c r="A17" s="7">
        <f>0.4*200</f>
        <v>80</v>
      </c>
      <c r="B17" s="7">
        <v>0.046197</v>
      </c>
      <c r="C17" s="7">
        <v>77.365</v>
      </c>
      <c r="D17" s="8">
        <f t="shared" si="1"/>
        <v>2.635</v>
      </c>
      <c r="E17" s="17">
        <f t="shared" si="2"/>
        <v>0.0329375</v>
      </c>
      <c r="F17" s="8"/>
      <c r="G17" s="8"/>
      <c r="H17" s="8"/>
      <c r="I17" s="8"/>
      <c r="J17" s="8"/>
      <c r="K17" s="8"/>
      <c r="L17" s="8"/>
      <c r="M17" s="8"/>
      <c r="N17" s="8"/>
      <c r="P17" s="18"/>
      <c r="Q17" s="18"/>
      <c r="R17" s="19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>
      <c r="A18" s="7">
        <f>0.6*200</f>
        <v>120</v>
      </c>
      <c r="B18" s="7">
        <v>0.072137</v>
      </c>
      <c r="C18" s="7">
        <v>120.095</v>
      </c>
      <c r="D18" s="8">
        <f t="shared" si="1"/>
        <v>-0.095</v>
      </c>
      <c r="E18" s="17">
        <f t="shared" si="2"/>
        <v>0.0007916666667</v>
      </c>
      <c r="F18" s="8"/>
      <c r="G18" s="8"/>
      <c r="H18" s="8"/>
      <c r="I18" s="8"/>
      <c r="J18" s="8"/>
      <c r="K18" s="8"/>
      <c r="L18" s="8"/>
      <c r="M18" s="8"/>
      <c r="P18" s="18"/>
      <c r="Q18" s="18"/>
      <c r="R18" s="19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>
      <c r="A19" s="7">
        <f>0.8*200</f>
        <v>160</v>
      </c>
      <c r="B19" s="7">
        <v>0.096491</v>
      </c>
      <c r="C19" s="7">
        <v>160.21</v>
      </c>
      <c r="D19" s="8">
        <f t="shared" si="1"/>
        <v>-0.21</v>
      </c>
      <c r="E19" s="17">
        <f t="shared" si="2"/>
        <v>0.0013125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>
      <c r="A20" s="7">
        <f>1*200</f>
        <v>200</v>
      </c>
      <c r="B20" s="7">
        <v>0.121483</v>
      </c>
      <c r="C20" s="7">
        <v>201.378</v>
      </c>
      <c r="D20" s="8">
        <f t="shared" si="1"/>
        <v>-1.378</v>
      </c>
      <c r="E20" s="17">
        <f t="shared" si="2"/>
        <v>0.00689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B21" s="8"/>
      <c r="C21" s="8"/>
      <c r="D21" s="8"/>
      <c r="E21" s="1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C22" s="8"/>
      <c r="D22" s="1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C23" s="8"/>
      <c r="D23" s="1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8"/>
      <c r="B24" s="7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20" t="s">
        <v>32</v>
      </c>
      <c r="R24" s="14"/>
      <c r="S24" s="15"/>
      <c r="T24" s="8"/>
      <c r="U24" s="8"/>
      <c r="V24" s="8"/>
      <c r="W24" s="8"/>
      <c r="X24" s="8"/>
      <c r="Y24" s="8"/>
      <c r="Z24" s="8"/>
      <c r="AA24" s="8"/>
    </row>
    <row r="25" ht="34.5" customHeight="1">
      <c r="A25" s="13" t="s">
        <v>33</v>
      </c>
      <c r="B25" s="14"/>
      <c r="C25" s="14"/>
      <c r="D25" s="14"/>
      <c r="E25" s="14"/>
      <c r="F25" s="14"/>
      <c r="G25" s="14"/>
      <c r="H25" s="15"/>
      <c r="I25" s="8"/>
      <c r="J25" s="21" t="s">
        <v>34</v>
      </c>
      <c r="K25" s="22"/>
      <c r="L25" s="22"/>
      <c r="M25" s="23"/>
      <c r="N25" s="8"/>
      <c r="O25" s="8"/>
      <c r="P25" s="8"/>
      <c r="Q25" s="16" t="s">
        <v>35</v>
      </c>
      <c r="R25" s="16" t="s">
        <v>36</v>
      </c>
      <c r="S25" s="16" t="s">
        <v>37</v>
      </c>
      <c r="T25" s="8"/>
      <c r="U25" s="8"/>
      <c r="V25" s="8"/>
      <c r="W25" s="8"/>
      <c r="X25" s="8"/>
      <c r="Y25" s="8"/>
      <c r="Z25" s="8"/>
      <c r="AA25" s="8"/>
    </row>
    <row r="26" ht="15.75" customHeight="1">
      <c r="A26" s="16" t="s">
        <v>38</v>
      </c>
      <c r="B26" s="16" t="s">
        <v>39</v>
      </c>
      <c r="C26" s="16" t="s">
        <v>40</v>
      </c>
      <c r="D26" s="16" t="s">
        <v>41</v>
      </c>
      <c r="E26" s="16" t="s">
        <v>36</v>
      </c>
      <c r="F26" s="16" t="s">
        <v>37</v>
      </c>
      <c r="G26" s="16" t="s">
        <v>42</v>
      </c>
      <c r="H26" s="16" t="s">
        <v>43</v>
      </c>
      <c r="I26" s="8"/>
      <c r="J26" s="24" t="s">
        <v>44</v>
      </c>
      <c r="K26" s="8">
        <f t="array" ref="K26:L30">LINEST(B12:B20,A12:A20,TRUE,TRUE)</f>
        <v>0.0006070841373</v>
      </c>
      <c r="L26" s="8">
        <v>-7.703714528944176E-4</v>
      </c>
      <c r="M26" s="25" t="s">
        <v>45</v>
      </c>
      <c r="N26" s="25"/>
      <c r="O26" s="8"/>
      <c r="P26" s="24">
        <v>1.0</v>
      </c>
      <c r="Q26" s="8">
        <v>0.39798</v>
      </c>
      <c r="R26" s="8">
        <v>1.59465</v>
      </c>
      <c r="S26" s="8">
        <f>2.00273</f>
        <v>2.00273</v>
      </c>
      <c r="T26" s="8"/>
      <c r="U26" s="8"/>
      <c r="V26" s="8"/>
      <c r="W26" s="8"/>
      <c r="X26" s="8"/>
      <c r="Y26" s="8"/>
      <c r="Z26" s="8"/>
      <c r="AA26" s="8"/>
    </row>
    <row r="27" ht="15.75" customHeight="1">
      <c r="A27" s="7" t="s">
        <v>46</v>
      </c>
      <c r="B27" s="8">
        <v>500.0</v>
      </c>
      <c r="C27" s="8">
        <v>86.152</v>
      </c>
      <c r="D27" s="26">
        <f t="shared" ref="D27:D36" si="3">$Q$31</f>
        <v>0.397544</v>
      </c>
      <c r="E27" s="26">
        <f t="shared" ref="E27:E36" si="4">$R$31</f>
        <v>1.595102</v>
      </c>
      <c r="F27" s="26">
        <f t="shared" ref="F27:F36" si="5">$S$31</f>
        <v>1.99703</v>
      </c>
      <c r="G27" s="27">
        <f t="shared" ref="G27:G36" si="6">C27*(D27+E27)/D27</f>
        <v>431.8275164</v>
      </c>
      <c r="H27" s="28">
        <f t="shared" ref="H27:H36" si="7">G27/B27</f>
        <v>0.8636550329</v>
      </c>
      <c r="I27" s="8"/>
      <c r="J27" s="29"/>
      <c r="K27" s="8">
        <v>5.567753700428399E-6</v>
      </c>
      <c r="L27" s="8">
        <v>5.521659865550113E-4</v>
      </c>
      <c r="M27" s="8"/>
      <c r="N27" s="8"/>
      <c r="O27" s="8"/>
      <c r="P27" s="24">
        <v>2.0</v>
      </c>
      <c r="Q27" s="8">
        <f>0.7954-Q26</f>
        <v>0.39742</v>
      </c>
      <c r="R27" s="8">
        <f>3.18914-R26</f>
        <v>1.59449</v>
      </c>
      <c r="S27" s="8">
        <f>4.01541-S26</f>
        <v>2.01268</v>
      </c>
      <c r="T27" s="8"/>
      <c r="U27" s="8"/>
      <c r="V27" s="8"/>
      <c r="W27" s="8"/>
      <c r="X27" s="8"/>
      <c r="Y27" s="8"/>
      <c r="Z27" s="8"/>
      <c r="AA27" s="8"/>
    </row>
    <row r="28" ht="15.75" customHeight="1">
      <c r="A28" s="7" t="s">
        <v>47</v>
      </c>
      <c r="B28" s="8">
        <v>500.0</v>
      </c>
      <c r="C28" s="8">
        <v>93.973</v>
      </c>
      <c r="D28" s="26">
        <f t="shared" si="3"/>
        <v>0.397544</v>
      </c>
      <c r="E28" s="26">
        <f t="shared" si="4"/>
        <v>1.595102</v>
      </c>
      <c r="F28" s="26">
        <f t="shared" si="5"/>
        <v>1.99703</v>
      </c>
      <c r="G28" s="27">
        <f t="shared" si="6"/>
        <v>471.0294271</v>
      </c>
      <c r="H28" s="28">
        <f t="shared" si="7"/>
        <v>0.9420588542</v>
      </c>
      <c r="I28" s="8"/>
      <c r="J28" s="24" t="s">
        <v>48</v>
      </c>
      <c r="K28" s="8">
        <v>0.999411556639372</v>
      </c>
      <c r="L28" s="8">
        <v>0.0011659655578177195</v>
      </c>
      <c r="M28" s="25" t="s">
        <v>49</v>
      </c>
      <c r="N28" s="25"/>
      <c r="O28" s="8"/>
      <c r="P28" s="24">
        <v>3.0</v>
      </c>
      <c r="Q28" s="8">
        <f>1.19327-SUM(Q26:Q27)</f>
        <v>0.39787</v>
      </c>
      <c r="R28" s="8">
        <f>4.7846-SUM(R26:R27)</f>
        <v>1.59546</v>
      </c>
      <c r="S28" s="8">
        <f>6.00737-SUM(S26:S27)</f>
        <v>1.99196</v>
      </c>
      <c r="T28" s="8"/>
      <c r="U28" s="8"/>
      <c r="V28" s="8"/>
      <c r="W28" s="8"/>
      <c r="X28" s="8"/>
      <c r="Y28" s="8"/>
      <c r="Z28" s="8"/>
      <c r="AA28" s="8"/>
    </row>
    <row r="29" ht="15.75" customHeight="1">
      <c r="A29" s="7" t="s">
        <v>46</v>
      </c>
      <c r="B29" s="8">
        <v>500.0</v>
      </c>
      <c r="C29" s="8">
        <v>84.94</v>
      </c>
      <c r="D29" s="26">
        <f t="shared" si="3"/>
        <v>0.397544</v>
      </c>
      <c r="E29" s="26">
        <f t="shared" si="4"/>
        <v>1.595102</v>
      </c>
      <c r="F29" s="26">
        <f t="shared" si="5"/>
        <v>1.99703</v>
      </c>
      <c r="G29" s="27">
        <f t="shared" si="6"/>
        <v>425.7524984</v>
      </c>
      <c r="H29" s="28">
        <f t="shared" si="7"/>
        <v>0.8515049969</v>
      </c>
      <c r="I29" s="8"/>
      <c r="J29" s="24" t="s">
        <v>50</v>
      </c>
      <c r="K29" s="8">
        <v>11888.792302811904</v>
      </c>
      <c r="L29" s="8">
        <v>7.0</v>
      </c>
      <c r="M29" s="25" t="s">
        <v>51</v>
      </c>
      <c r="N29" s="25"/>
      <c r="O29" s="8"/>
      <c r="P29" s="24">
        <v>4.0</v>
      </c>
      <c r="Q29" s="8">
        <f>1.59093-SUM(Q26:Q28)</f>
        <v>0.39766</v>
      </c>
      <c r="R29" s="8">
        <f>6.38129-SUM(R26:R28)</f>
        <v>1.59669</v>
      </c>
      <c r="S29" s="8">
        <f>8.00525-SUM(S26:S28)</f>
        <v>1.99788</v>
      </c>
      <c r="T29" s="8"/>
      <c r="U29" s="8"/>
      <c r="V29" s="8"/>
      <c r="W29" s="8"/>
      <c r="X29" s="8"/>
      <c r="Y29" s="8"/>
      <c r="Z29" s="8"/>
      <c r="AA29" s="8"/>
    </row>
    <row r="30" ht="15.75" customHeight="1">
      <c r="A30" s="7" t="s">
        <v>47</v>
      </c>
      <c r="B30" s="8">
        <v>500.0</v>
      </c>
      <c r="C30" s="8">
        <v>91.531</v>
      </c>
      <c r="D30" s="26">
        <f t="shared" si="3"/>
        <v>0.397544</v>
      </c>
      <c r="E30" s="26">
        <f t="shared" si="4"/>
        <v>1.595102</v>
      </c>
      <c r="F30" s="26">
        <f t="shared" si="5"/>
        <v>1.99703</v>
      </c>
      <c r="G30" s="27">
        <f t="shared" si="6"/>
        <v>458.7891681</v>
      </c>
      <c r="H30" s="28">
        <f t="shared" si="7"/>
        <v>0.9175783361</v>
      </c>
      <c r="I30" s="8"/>
      <c r="J30" s="24" t="s">
        <v>52</v>
      </c>
      <c r="K30" s="4">
        <v>0.01616252402422588</v>
      </c>
      <c r="L30" s="8">
        <v>9.516329774120299E-6</v>
      </c>
      <c r="M30" s="25" t="s">
        <v>53</v>
      </c>
      <c r="N30" s="25"/>
      <c r="O30" s="8"/>
      <c r="P30" s="24">
        <v>5.0</v>
      </c>
      <c r="Q30" s="8">
        <f>1.98772-SUM(Q26:Q29)</f>
        <v>0.39679</v>
      </c>
      <c r="R30" s="8">
        <f>7.97551-SUM(R26:R29)</f>
        <v>1.59422</v>
      </c>
      <c r="S30" s="8">
        <f>9.98515-SUM(S26:S29)</f>
        <v>1.9799</v>
      </c>
      <c r="T30" s="8"/>
      <c r="U30" s="8"/>
      <c r="V30" s="8"/>
      <c r="W30" s="8"/>
      <c r="X30" s="8"/>
      <c r="Y30" s="8"/>
      <c r="Z30" s="8"/>
      <c r="AA30" s="8"/>
    </row>
    <row r="31" ht="15.75" customHeight="1">
      <c r="A31" s="7" t="s">
        <v>46</v>
      </c>
      <c r="B31" s="8">
        <v>500.0</v>
      </c>
      <c r="C31" s="8">
        <v>86.312</v>
      </c>
      <c r="D31" s="26">
        <f t="shared" si="3"/>
        <v>0.397544</v>
      </c>
      <c r="E31" s="26">
        <f t="shared" si="4"/>
        <v>1.595102</v>
      </c>
      <c r="F31" s="26">
        <f t="shared" si="5"/>
        <v>1.99703</v>
      </c>
      <c r="G31" s="27">
        <f t="shared" si="6"/>
        <v>432.629499</v>
      </c>
      <c r="H31" s="28">
        <f t="shared" si="7"/>
        <v>0.865258998</v>
      </c>
      <c r="I31" s="8"/>
      <c r="J31" s="24"/>
      <c r="K31" s="8">
        <f>MAX(K26:K29)</f>
        <v>11888.7923</v>
      </c>
      <c r="L31" s="8"/>
      <c r="M31" s="25"/>
      <c r="N31" s="25"/>
      <c r="O31" s="8"/>
      <c r="P31" s="24" t="s">
        <v>54</v>
      </c>
      <c r="Q31" s="8">
        <f t="shared" ref="Q31:S31" si="8">AVERAGE(Q26:Q30)</f>
        <v>0.397544</v>
      </c>
      <c r="R31" s="8">
        <f t="shared" si="8"/>
        <v>1.595102</v>
      </c>
      <c r="S31" s="8">
        <f t="shared" si="8"/>
        <v>1.99703</v>
      </c>
      <c r="T31" s="8"/>
      <c r="U31" s="8"/>
      <c r="V31" s="8"/>
      <c r="W31" s="8"/>
      <c r="X31" s="8"/>
      <c r="Y31" s="8"/>
      <c r="Z31" s="8"/>
      <c r="AA31" s="8"/>
    </row>
    <row r="32" ht="15.75" customHeight="1">
      <c r="A32" s="7" t="s">
        <v>47</v>
      </c>
      <c r="B32" s="8">
        <v>500.0</v>
      </c>
      <c r="C32" s="8">
        <v>91.917</v>
      </c>
      <c r="D32" s="26">
        <f t="shared" si="3"/>
        <v>0.397544</v>
      </c>
      <c r="E32" s="26">
        <f t="shared" si="4"/>
        <v>1.595102</v>
      </c>
      <c r="F32" s="26">
        <f t="shared" si="5"/>
        <v>1.99703</v>
      </c>
      <c r="G32" s="27">
        <f t="shared" si="6"/>
        <v>460.723951</v>
      </c>
      <c r="H32" s="28">
        <f t="shared" si="7"/>
        <v>0.921447902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7" t="s">
        <v>46</v>
      </c>
      <c r="B33" s="8">
        <v>500.0</v>
      </c>
      <c r="C33" s="7">
        <v>82.237</v>
      </c>
      <c r="D33" s="26">
        <f t="shared" si="3"/>
        <v>0.397544</v>
      </c>
      <c r="E33" s="26">
        <f t="shared" si="4"/>
        <v>1.595102</v>
      </c>
      <c r="F33" s="26">
        <f t="shared" si="5"/>
        <v>1.99703</v>
      </c>
      <c r="G33" s="27">
        <f t="shared" si="6"/>
        <v>412.2040053</v>
      </c>
      <c r="H33" s="28">
        <f t="shared" si="7"/>
        <v>0.8244080107</v>
      </c>
      <c r="I33" s="8"/>
      <c r="J33" s="8"/>
      <c r="K33" s="28">
        <v>0.95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7" t="s">
        <v>47</v>
      </c>
      <c r="B34" s="8">
        <v>500.0</v>
      </c>
      <c r="C34" s="7">
        <v>91.132</v>
      </c>
      <c r="D34" s="26">
        <f t="shared" si="3"/>
        <v>0.397544</v>
      </c>
      <c r="E34" s="26">
        <f t="shared" si="4"/>
        <v>1.595102</v>
      </c>
      <c r="F34" s="26">
        <f t="shared" si="5"/>
        <v>1.99703</v>
      </c>
      <c r="G34" s="27">
        <f t="shared" si="6"/>
        <v>456.789224</v>
      </c>
      <c r="H34" s="28">
        <f t="shared" si="7"/>
        <v>0.913578448</v>
      </c>
      <c r="I34" s="8"/>
      <c r="J34" s="30" t="s">
        <v>55</v>
      </c>
      <c r="K34" s="8">
        <v>2.26217</v>
      </c>
      <c r="L34" s="30" t="s">
        <v>56</v>
      </c>
      <c r="M34" s="31">
        <f>M72+(N72*K34)</f>
        <v>5.178844928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7" t="s">
        <v>46</v>
      </c>
      <c r="B35" s="8">
        <v>500.0</v>
      </c>
      <c r="C35" s="7">
        <v>84.485</v>
      </c>
      <c r="D35" s="26">
        <f t="shared" si="3"/>
        <v>0.397544</v>
      </c>
      <c r="E35" s="26">
        <f t="shared" si="4"/>
        <v>1.595102</v>
      </c>
      <c r="F35" s="26">
        <f t="shared" si="5"/>
        <v>1.99703</v>
      </c>
      <c r="G35" s="27">
        <f t="shared" si="6"/>
        <v>423.4718605</v>
      </c>
      <c r="H35" s="28">
        <f t="shared" si="7"/>
        <v>0.846943721</v>
      </c>
      <c r="I35" s="8"/>
      <c r="J35" s="8"/>
      <c r="K35" s="8"/>
      <c r="L35" s="30" t="s">
        <v>57</v>
      </c>
      <c r="M35" s="32">
        <v>3.02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7" t="s">
        <v>47</v>
      </c>
      <c r="B36" s="8">
        <v>500.0</v>
      </c>
      <c r="C36" s="7">
        <v>89.094</v>
      </c>
      <c r="D36" s="26">
        <f t="shared" si="3"/>
        <v>0.397544</v>
      </c>
      <c r="E36" s="26">
        <f t="shared" si="4"/>
        <v>1.595102</v>
      </c>
      <c r="F36" s="26">
        <f t="shared" si="5"/>
        <v>1.99703</v>
      </c>
      <c r="G36" s="27">
        <f t="shared" si="6"/>
        <v>446.573971</v>
      </c>
      <c r="H36" s="28">
        <f t="shared" si="7"/>
        <v>0.893147942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33"/>
      <c r="B37" s="34"/>
      <c r="C37" s="33"/>
      <c r="D37" s="33"/>
      <c r="E37" s="33"/>
      <c r="F37" s="33"/>
      <c r="G37" s="35" t="s">
        <v>54</v>
      </c>
      <c r="H37" s="36">
        <f>AVERAGE(H27:H36)</f>
        <v>0.8839582242</v>
      </c>
      <c r="I37" s="8" t="s">
        <v>58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B38" s="8"/>
      <c r="C38" s="8"/>
      <c r="D38" s="8"/>
      <c r="E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6.5" customHeight="1">
      <c r="A39" s="13" t="s">
        <v>59</v>
      </c>
      <c r="B39" s="14"/>
      <c r="C39" s="14"/>
      <c r="D39" s="14"/>
      <c r="E39" s="14"/>
      <c r="F39" s="14"/>
      <c r="G39" s="14"/>
      <c r="H39" s="15"/>
      <c r="I39" s="8"/>
      <c r="J39" s="8"/>
      <c r="K39" s="13" t="s">
        <v>60</v>
      </c>
      <c r="L39" s="14"/>
      <c r="M39" s="14"/>
      <c r="N39" s="14"/>
      <c r="O39" s="14"/>
      <c r="P39" s="14"/>
      <c r="Q39" s="14"/>
      <c r="R39" s="15"/>
      <c r="S39" s="8"/>
      <c r="T39" s="13" t="s">
        <v>61</v>
      </c>
      <c r="U39" s="14"/>
      <c r="V39" s="14"/>
      <c r="W39" s="14"/>
      <c r="X39" s="14"/>
      <c r="Y39" s="14"/>
      <c r="Z39" s="14"/>
      <c r="AA39" s="15"/>
    </row>
    <row r="40" ht="51.75" customHeight="1">
      <c r="A40" s="16" t="s">
        <v>38</v>
      </c>
      <c r="B40" s="16" t="s">
        <v>39</v>
      </c>
      <c r="C40" s="16" t="s">
        <v>40</v>
      </c>
      <c r="D40" s="16" t="s">
        <v>62</v>
      </c>
      <c r="E40" s="16" t="s">
        <v>36</v>
      </c>
      <c r="F40" s="16" t="s">
        <v>37</v>
      </c>
      <c r="G40" s="16" t="s">
        <v>42</v>
      </c>
      <c r="H40" s="16" t="s">
        <v>43</v>
      </c>
      <c r="I40" s="8"/>
      <c r="J40" s="8"/>
      <c r="K40" s="16" t="s">
        <v>38</v>
      </c>
      <c r="L40" s="16" t="s">
        <v>39</v>
      </c>
      <c r="M40" s="16" t="s">
        <v>40</v>
      </c>
      <c r="N40" s="16" t="s">
        <v>62</v>
      </c>
      <c r="O40" s="16" t="s">
        <v>36</v>
      </c>
      <c r="P40" s="16" t="s">
        <v>37</v>
      </c>
      <c r="Q40" s="16" t="s">
        <v>42</v>
      </c>
      <c r="R40" s="16" t="s">
        <v>43</v>
      </c>
      <c r="S40" s="8"/>
      <c r="T40" s="16" t="s">
        <v>38</v>
      </c>
      <c r="U40" s="16" t="s">
        <v>39</v>
      </c>
      <c r="V40" s="16" t="s">
        <v>40</v>
      </c>
      <c r="W40" s="16" t="s">
        <v>63</v>
      </c>
      <c r="X40" s="16" t="s">
        <v>36</v>
      </c>
      <c r="Y40" s="16" t="s">
        <v>37</v>
      </c>
      <c r="Z40" s="16" t="s">
        <v>42</v>
      </c>
      <c r="AA40" s="16" t="s">
        <v>43</v>
      </c>
    </row>
    <row r="41" ht="15.75" customHeight="1">
      <c r="A41" s="7" t="s">
        <v>64</v>
      </c>
      <c r="B41" s="37">
        <v>500.0</v>
      </c>
      <c r="C41" s="7">
        <v>86.221</v>
      </c>
      <c r="D41" s="26">
        <f t="shared" ref="D41:D48" si="9">$Q$31</f>
        <v>0.397544</v>
      </c>
      <c r="E41" s="26">
        <f t="shared" ref="E41:E48" si="10">$R$31</f>
        <v>1.595102</v>
      </c>
      <c r="F41" s="26">
        <f t="shared" ref="F41:F48" si="11">$S$31</f>
        <v>1.99703</v>
      </c>
      <c r="G41" s="37">
        <f t="shared" ref="G41:G48" si="12">C41*(D41+E41)/D41</f>
        <v>432.1733714</v>
      </c>
      <c r="H41" s="28">
        <f t="shared" ref="H41:H48" si="13">G41/B41</f>
        <v>0.8643467428</v>
      </c>
      <c r="I41" s="8"/>
      <c r="J41" s="8"/>
      <c r="K41" s="8" t="s">
        <v>65</v>
      </c>
      <c r="L41" s="8">
        <f t="shared" ref="L41:L44" si="14">2112*1/5</f>
        <v>422.4</v>
      </c>
      <c r="M41" s="7">
        <v>60.732</v>
      </c>
      <c r="N41" s="26">
        <f t="shared" ref="N41:N44" si="15">$Q$31</f>
        <v>0.397544</v>
      </c>
      <c r="O41" s="26">
        <f t="shared" ref="O41:O44" si="16">$R$31</f>
        <v>1.595102</v>
      </c>
      <c r="P41" s="26">
        <f t="shared" ref="P41:P44" si="17">$S$31</f>
        <v>1.99703</v>
      </c>
      <c r="Q41" s="38">
        <f t="shared" ref="Q41:Q44" si="18">M41*(N41+O41)/N41</f>
        <v>304.4125351</v>
      </c>
      <c r="R41" s="28">
        <f t="shared" ref="R41:R44" si="19">Q41/L41</f>
        <v>0.7206736154</v>
      </c>
      <c r="S41" s="8"/>
      <c r="T41" s="8" t="s">
        <v>66</v>
      </c>
      <c r="U41" s="8">
        <f t="shared" ref="U41:U44" si="20">3949*1/5</f>
        <v>789.8</v>
      </c>
      <c r="V41" s="7">
        <v>106.522</v>
      </c>
      <c r="W41" s="26">
        <f t="shared" ref="W41:W44" si="21">$Q$31</f>
        <v>0.397544</v>
      </c>
      <c r="X41" s="26">
        <f t="shared" ref="X41:X44" si="22">$R$31</f>
        <v>1.595102</v>
      </c>
      <c r="Y41" s="26">
        <f t="shared" ref="Y41:Y44" si="23">$S$31</f>
        <v>1.99703</v>
      </c>
      <c r="Z41" s="38">
        <f t="shared" ref="Z41:Z44" si="24">V41*(W41+X41)/W41</f>
        <v>533.9299228</v>
      </c>
      <c r="AA41" s="28">
        <f t="shared" ref="AA41:AA44" si="25">Z41/U41</f>
        <v>0.676031809</v>
      </c>
    </row>
    <row r="42" ht="15.75" customHeight="1">
      <c r="A42" s="7" t="s">
        <v>67</v>
      </c>
      <c r="B42" s="37">
        <v>500.0</v>
      </c>
      <c r="C42" s="7">
        <v>81.708</v>
      </c>
      <c r="D42" s="26">
        <f t="shared" si="9"/>
        <v>0.397544</v>
      </c>
      <c r="E42" s="26">
        <f t="shared" si="10"/>
        <v>1.595102</v>
      </c>
      <c r="F42" s="26">
        <f t="shared" si="11"/>
        <v>1.99703</v>
      </c>
      <c r="G42" s="37">
        <f t="shared" si="12"/>
        <v>409.5524505</v>
      </c>
      <c r="H42" s="28">
        <f t="shared" si="13"/>
        <v>0.8191049009</v>
      </c>
      <c r="I42" s="8"/>
      <c r="J42" s="8"/>
      <c r="K42" s="8" t="s">
        <v>68</v>
      </c>
      <c r="L42" s="8">
        <f t="shared" si="14"/>
        <v>422.4</v>
      </c>
      <c r="M42" s="7">
        <v>69.507</v>
      </c>
      <c r="N42" s="26">
        <f t="shared" si="15"/>
        <v>0.397544</v>
      </c>
      <c r="O42" s="26">
        <f t="shared" si="16"/>
        <v>1.595102</v>
      </c>
      <c r="P42" s="26">
        <f t="shared" si="17"/>
        <v>1.99703</v>
      </c>
      <c r="Q42" s="38">
        <f t="shared" si="18"/>
        <v>348.3962669</v>
      </c>
      <c r="R42" s="28">
        <f t="shared" si="19"/>
        <v>0.8248017682</v>
      </c>
      <c r="S42" s="8"/>
      <c r="T42" s="8" t="s">
        <v>69</v>
      </c>
      <c r="U42" s="8">
        <f t="shared" si="20"/>
        <v>789.8</v>
      </c>
      <c r="V42" s="7">
        <v>85.919</v>
      </c>
      <c r="W42" s="26">
        <f t="shared" si="21"/>
        <v>0.397544</v>
      </c>
      <c r="X42" s="26">
        <f t="shared" si="22"/>
        <v>1.595102</v>
      </c>
      <c r="Y42" s="26">
        <f t="shared" si="23"/>
        <v>1.99703</v>
      </c>
      <c r="Z42" s="38">
        <f t="shared" si="24"/>
        <v>430.6596293</v>
      </c>
      <c r="AA42" s="28">
        <f t="shared" si="25"/>
        <v>0.545276816</v>
      </c>
    </row>
    <row r="43" ht="15.75" customHeight="1">
      <c r="A43" s="7" t="s">
        <v>64</v>
      </c>
      <c r="B43" s="37">
        <v>500.0</v>
      </c>
      <c r="C43" s="7">
        <v>87.109</v>
      </c>
      <c r="D43" s="26">
        <f t="shared" si="9"/>
        <v>0.397544</v>
      </c>
      <c r="E43" s="26">
        <f t="shared" si="10"/>
        <v>1.595102</v>
      </c>
      <c r="F43" s="26">
        <f t="shared" si="11"/>
        <v>1.99703</v>
      </c>
      <c r="G43" s="37">
        <f t="shared" si="12"/>
        <v>436.6243747</v>
      </c>
      <c r="H43" s="28">
        <f t="shared" si="13"/>
        <v>0.8732487494</v>
      </c>
      <c r="I43" s="8"/>
      <c r="J43" s="8"/>
      <c r="K43" s="8" t="s">
        <v>65</v>
      </c>
      <c r="L43" s="8">
        <f t="shared" si="14"/>
        <v>422.4</v>
      </c>
      <c r="M43" s="7">
        <v>60.349</v>
      </c>
      <c r="N43" s="26">
        <f t="shared" si="15"/>
        <v>0.397544</v>
      </c>
      <c r="O43" s="26">
        <f t="shared" si="16"/>
        <v>1.595102</v>
      </c>
      <c r="P43" s="26">
        <f t="shared" si="17"/>
        <v>1.99703</v>
      </c>
      <c r="Q43" s="38">
        <f t="shared" si="18"/>
        <v>302.4927894</v>
      </c>
      <c r="R43" s="28">
        <f t="shared" si="19"/>
        <v>0.7161287627</v>
      </c>
      <c r="S43" s="8"/>
      <c r="T43" s="8" t="s">
        <v>66</v>
      </c>
      <c r="U43" s="8">
        <f t="shared" si="20"/>
        <v>789.8</v>
      </c>
      <c r="V43" s="7">
        <v>115.743</v>
      </c>
      <c r="W43" s="26">
        <f t="shared" si="21"/>
        <v>0.397544</v>
      </c>
      <c r="X43" s="26">
        <f t="shared" si="22"/>
        <v>1.595102</v>
      </c>
      <c r="Y43" s="26">
        <f t="shared" si="23"/>
        <v>1.99703</v>
      </c>
      <c r="Z43" s="38">
        <f t="shared" si="24"/>
        <v>580.1491809</v>
      </c>
      <c r="AA43" s="28">
        <f t="shared" si="25"/>
        <v>0.7345520143</v>
      </c>
    </row>
    <row r="44" ht="15.75" customHeight="1">
      <c r="A44" s="7" t="s">
        <v>67</v>
      </c>
      <c r="B44" s="37">
        <v>500.0</v>
      </c>
      <c r="C44" s="7">
        <v>81.071</v>
      </c>
      <c r="D44" s="26">
        <f t="shared" si="9"/>
        <v>0.397544</v>
      </c>
      <c r="E44" s="26">
        <f t="shared" si="10"/>
        <v>1.595102</v>
      </c>
      <c r="F44" s="26">
        <f t="shared" si="11"/>
        <v>1.99703</v>
      </c>
      <c r="G44" s="37">
        <f t="shared" si="12"/>
        <v>406.3595573</v>
      </c>
      <c r="H44" s="28">
        <f t="shared" si="13"/>
        <v>0.8127191147</v>
      </c>
      <c r="I44" s="8"/>
      <c r="J44" s="8"/>
      <c r="K44" s="8" t="s">
        <v>68</v>
      </c>
      <c r="L44" s="8">
        <f t="shared" si="14"/>
        <v>422.4</v>
      </c>
      <c r="M44" s="7">
        <v>71.168</v>
      </c>
      <c r="N44" s="26">
        <f t="shared" si="15"/>
        <v>0.397544</v>
      </c>
      <c r="O44" s="26">
        <f t="shared" si="16"/>
        <v>1.595102</v>
      </c>
      <c r="P44" s="26">
        <f t="shared" si="17"/>
        <v>1.99703</v>
      </c>
      <c r="Q44" s="38">
        <f t="shared" si="18"/>
        <v>356.7218485</v>
      </c>
      <c r="R44" s="28">
        <f t="shared" si="19"/>
        <v>0.8445119519</v>
      </c>
      <c r="S44" s="8"/>
      <c r="T44" s="8" t="s">
        <v>69</v>
      </c>
      <c r="U44" s="8">
        <f t="shared" si="20"/>
        <v>789.8</v>
      </c>
      <c r="V44" s="7">
        <v>89.447</v>
      </c>
      <c r="W44" s="26">
        <f t="shared" si="21"/>
        <v>0.397544</v>
      </c>
      <c r="X44" s="26">
        <f t="shared" si="22"/>
        <v>1.595102</v>
      </c>
      <c r="Y44" s="26">
        <f t="shared" si="23"/>
        <v>1.99703</v>
      </c>
      <c r="Z44" s="38">
        <f t="shared" si="24"/>
        <v>448.343345</v>
      </c>
      <c r="AA44" s="28">
        <f t="shared" si="25"/>
        <v>0.5676669347</v>
      </c>
    </row>
    <row r="45" ht="15.75" customHeight="1">
      <c r="A45" s="7" t="s">
        <v>64</v>
      </c>
      <c r="B45" s="37">
        <v>500.0</v>
      </c>
      <c r="C45" s="7">
        <v>85.945</v>
      </c>
      <c r="D45" s="26">
        <f t="shared" si="9"/>
        <v>0.397544</v>
      </c>
      <c r="E45" s="26">
        <f t="shared" si="10"/>
        <v>1.595102</v>
      </c>
      <c r="F45" s="26">
        <f t="shared" si="11"/>
        <v>1.99703</v>
      </c>
      <c r="G45" s="37">
        <f t="shared" si="12"/>
        <v>430.7899515</v>
      </c>
      <c r="H45" s="28">
        <f t="shared" si="13"/>
        <v>0.861579903</v>
      </c>
      <c r="I45" s="8"/>
      <c r="J45" s="8"/>
      <c r="K45" s="8"/>
      <c r="L45" s="8"/>
      <c r="M45" s="8"/>
      <c r="N45" s="26"/>
      <c r="O45" s="26"/>
      <c r="P45" s="26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7" t="s">
        <v>67</v>
      </c>
      <c r="B46" s="37">
        <v>500.0</v>
      </c>
      <c r="C46" s="7">
        <v>79.411</v>
      </c>
      <c r="D46" s="26">
        <f t="shared" si="9"/>
        <v>0.397544</v>
      </c>
      <c r="E46" s="26">
        <f t="shared" si="10"/>
        <v>1.595102</v>
      </c>
      <c r="F46" s="26">
        <f t="shared" si="11"/>
        <v>1.99703</v>
      </c>
      <c r="G46" s="37">
        <f t="shared" si="12"/>
        <v>398.0389882</v>
      </c>
      <c r="H46" s="28">
        <f t="shared" si="13"/>
        <v>0.7960779763</v>
      </c>
      <c r="I46" s="8"/>
      <c r="J46" s="8"/>
      <c r="K46" s="8"/>
      <c r="L46" s="8"/>
      <c r="M46" s="8"/>
      <c r="N46" s="26"/>
      <c r="O46" s="26"/>
      <c r="P46" s="26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7" t="s">
        <v>64</v>
      </c>
      <c r="B47" s="37">
        <v>500.0</v>
      </c>
      <c r="C47" s="7">
        <v>86.214</v>
      </c>
      <c r="D47" s="26">
        <f t="shared" si="9"/>
        <v>0.397544</v>
      </c>
      <c r="E47" s="26">
        <f t="shared" si="10"/>
        <v>1.595102</v>
      </c>
      <c r="F47" s="26">
        <f t="shared" si="11"/>
        <v>1.99703</v>
      </c>
      <c r="G47" s="37">
        <f t="shared" si="12"/>
        <v>432.1382847</v>
      </c>
      <c r="H47" s="28">
        <f t="shared" si="13"/>
        <v>0.8642765694</v>
      </c>
      <c r="I47" s="8"/>
      <c r="J47" s="8"/>
      <c r="K47" s="8"/>
      <c r="L47" s="8"/>
      <c r="M47" s="8"/>
      <c r="N47" s="26"/>
      <c r="O47" s="26"/>
      <c r="P47" s="26"/>
      <c r="Q47" s="35" t="s">
        <v>54</v>
      </c>
      <c r="R47" s="36">
        <f>AVERAGE(R41:R42)</f>
        <v>0.7727376918</v>
      </c>
      <c r="S47" s="8" t="s">
        <v>58</v>
      </c>
      <c r="T47" s="8"/>
      <c r="U47" s="8"/>
      <c r="V47" s="8"/>
      <c r="W47" s="8"/>
      <c r="X47" s="8"/>
      <c r="Y47" s="8"/>
      <c r="Z47" s="35" t="s">
        <v>54</v>
      </c>
      <c r="AA47" s="36">
        <f>AVERAGE(AA41:AA44)</f>
        <v>0.6308818935</v>
      </c>
    </row>
    <row r="48" ht="15.75" customHeight="1">
      <c r="A48" s="7" t="s">
        <v>67</v>
      </c>
      <c r="B48" s="37">
        <v>500.0</v>
      </c>
      <c r="C48" s="7">
        <v>81.203</v>
      </c>
      <c r="D48" s="26">
        <f t="shared" si="9"/>
        <v>0.397544</v>
      </c>
      <c r="E48" s="26">
        <f t="shared" si="10"/>
        <v>1.595102</v>
      </c>
      <c r="F48" s="26">
        <f t="shared" si="11"/>
        <v>1.99703</v>
      </c>
      <c r="G48" s="37">
        <f t="shared" si="12"/>
        <v>407.021193</v>
      </c>
      <c r="H48" s="28">
        <f t="shared" si="13"/>
        <v>0.8140423859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8"/>
      <c r="B49" s="8"/>
      <c r="C49" s="8"/>
      <c r="D49" s="26"/>
      <c r="E49" s="26"/>
      <c r="F49" s="26"/>
      <c r="G49" s="35" t="s">
        <v>54</v>
      </c>
      <c r="H49" s="36">
        <f>AVERAGE(H41:H48)</f>
        <v>0.8381745428</v>
      </c>
      <c r="I49" s="8" t="s">
        <v>58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39" t="s">
        <v>70</v>
      </c>
      <c r="B51" s="40"/>
      <c r="C51" s="40"/>
      <c r="D51" s="40"/>
      <c r="E51" s="40"/>
      <c r="F51" s="40"/>
      <c r="G51" s="40"/>
      <c r="H51" s="40"/>
      <c r="I51" s="41"/>
      <c r="J51" s="8"/>
      <c r="K51" s="39" t="s">
        <v>71</v>
      </c>
      <c r="L51" s="40"/>
      <c r="M51" s="40"/>
      <c r="N51" s="40"/>
      <c r="O51" s="40"/>
      <c r="P51" s="40"/>
      <c r="Q51" s="40"/>
      <c r="R51" s="40"/>
      <c r="S51" s="8"/>
      <c r="T51" s="8"/>
      <c r="U51" s="8"/>
      <c r="V51" s="8"/>
      <c r="W51" s="8"/>
      <c r="X51" s="8"/>
      <c r="Y51" s="8"/>
      <c r="Z51" s="8"/>
      <c r="AA51" s="8"/>
    </row>
    <row r="52" ht="70.5" customHeight="1">
      <c r="A52" s="16" t="s">
        <v>2</v>
      </c>
      <c r="B52" s="16" t="s">
        <v>28</v>
      </c>
      <c r="C52" s="16" t="s">
        <v>72</v>
      </c>
      <c r="D52" s="16" t="s">
        <v>73</v>
      </c>
      <c r="E52" s="16" t="s">
        <v>74</v>
      </c>
      <c r="F52" s="16" t="s">
        <v>36</v>
      </c>
      <c r="G52" s="16" t="s">
        <v>37</v>
      </c>
      <c r="H52" s="16" t="s">
        <v>42</v>
      </c>
      <c r="I52" s="16" t="s">
        <v>75</v>
      </c>
      <c r="J52" s="8"/>
      <c r="K52" s="16" t="s">
        <v>76</v>
      </c>
      <c r="L52" s="16" t="s">
        <v>28</v>
      </c>
      <c r="M52" s="16" t="s">
        <v>72</v>
      </c>
      <c r="N52" s="16" t="s">
        <v>77</v>
      </c>
      <c r="O52" s="16" t="s">
        <v>36</v>
      </c>
      <c r="P52" s="16" t="s">
        <v>37</v>
      </c>
      <c r="Q52" s="16" t="s">
        <v>42</v>
      </c>
      <c r="R52" s="16" t="s">
        <v>75</v>
      </c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7" t="s">
        <v>78</v>
      </c>
      <c r="B53" s="7">
        <v>0.028498</v>
      </c>
      <c r="C53" s="7">
        <v>48.212</v>
      </c>
      <c r="D53" s="38">
        <f t="shared" ref="D53:D70" si="26">(B53-$L$73)/$K$26</f>
        <v>43.99760817</v>
      </c>
      <c r="E53" s="26">
        <f t="shared" ref="E53:E70" si="27">$Q$31</f>
        <v>0.397544</v>
      </c>
      <c r="F53" s="26">
        <f t="shared" ref="F53:F70" si="28">$R$31</f>
        <v>1.595102</v>
      </c>
      <c r="G53" s="26">
        <f t="shared" ref="G53:G70" si="29">$S$31</f>
        <v>1.99703</v>
      </c>
      <c r="H53" s="37">
        <f t="shared" ref="H53:H70" si="30">D53*(E53+F53)/E53</f>
        <v>220.5332188</v>
      </c>
      <c r="I53" s="42">
        <f t="shared" ref="I53:I70" si="31">H53*G53/1000</f>
        <v>0.4404114539</v>
      </c>
      <c r="J53" s="8"/>
      <c r="K53" s="7" t="s">
        <v>79</v>
      </c>
      <c r="L53" s="7">
        <v>0.001726</v>
      </c>
      <c r="M53" s="7">
        <v>4.112</v>
      </c>
      <c r="N53" s="26">
        <f t="shared" ref="N53:N70" si="32">$Q$31</f>
        <v>0.397544</v>
      </c>
      <c r="O53" s="26">
        <f t="shared" ref="O53:O70" si="33">$R$31</f>
        <v>1.595102</v>
      </c>
      <c r="P53" s="26">
        <f t="shared" ref="P53:P70" si="34">$S$31</f>
        <v>1.99703</v>
      </c>
      <c r="Q53" s="37">
        <f t="shared" ref="Q53:Q70" si="35">M53*(N53+O53)/N53</f>
        <v>20.61095213</v>
      </c>
      <c r="R53" s="42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7" t="s">
        <v>78</v>
      </c>
      <c r="B54" s="7">
        <v>0.028152</v>
      </c>
      <c r="C54" s="7">
        <v>47.641</v>
      </c>
      <c r="D54" s="38">
        <f t="shared" si="26"/>
        <v>43.42767069</v>
      </c>
      <c r="E54" s="26">
        <f t="shared" si="27"/>
        <v>0.397544</v>
      </c>
      <c r="F54" s="26">
        <f t="shared" si="28"/>
        <v>1.595102</v>
      </c>
      <c r="G54" s="26">
        <f t="shared" si="29"/>
        <v>1.99703</v>
      </c>
      <c r="H54" s="37">
        <f t="shared" si="30"/>
        <v>217.6764693</v>
      </c>
      <c r="I54" s="42">
        <f t="shared" si="31"/>
        <v>0.4347064394</v>
      </c>
      <c r="J54" s="8"/>
      <c r="K54" s="7" t="s">
        <v>80</v>
      </c>
      <c r="L54" s="7">
        <v>0.001036</v>
      </c>
      <c r="M54" s="7">
        <v>2.976</v>
      </c>
      <c r="N54" s="26">
        <f t="shared" si="32"/>
        <v>0.397544</v>
      </c>
      <c r="O54" s="26">
        <f t="shared" si="33"/>
        <v>1.595102</v>
      </c>
      <c r="P54" s="26">
        <f t="shared" si="34"/>
        <v>1.99703</v>
      </c>
      <c r="Q54" s="37">
        <f t="shared" si="35"/>
        <v>14.91687586</v>
      </c>
      <c r="R54" s="42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7" t="s">
        <v>81</v>
      </c>
      <c r="B55" s="7">
        <v>0.040465</v>
      </c>
      <c r="C55" s="7">
        <v>67.923</v>
      </c>
      <c r="D55" s="38">
        <f t="shared" si="26"/>
        <v>63.70986758</v>
      </c>
      <c r="E55" s="26">
        <f t="shared" si="27"/>
        <v>0.397544</v>
      </c>
      <c r="F55" s="26">
        <f t="shared" si="28"/>
        <v>1.595102</v>
      </c>
      <c r="G55" s="26">
        <f t="shared" si="29"/>
        <v>1.99703</v>
      </c>
      <c r="H55" s="37">
        <f t="shared" si="30"/>
        <v>319.338772</v>
      </c>
      <c r="I55" s="42">
        <f t="shared" si="31"/>
        <v>0.6377291079</v>
      </c>
      <c r="J55" s="8"/>
      <c r="K55" s="7" t="s">
        <v>79</v>
      </c>
      <c r="L55" s="7">
        <v>0.001921</v>
      </c>
      <c r="M55" s="7">
        <v>4.433</v>
      </c>
      <c r="N55" s="26">
        <f t="shared" si="32"/>
        <v>0.397544</v>
      </c>
      <c r="O55" s="26">
        <f t="shared" si="33"/>
        <v>1.595102</v>
      </c>
      <c r="P55" s="26">
        <f t="shared" si="34"/>
        <v>1.99703</v>
      </c>
      <c r="Q55" s="37">
        <f t="shared" si="35"/>
        <v>22.21992966</v>
      </c>
      <c r="R55" s="42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7" t="s">
        <v>81</v>
      </c>
      <c r="B56" s="7">
        <v>0.029103</v>
      </c>
      <c r="C56" s="7">
        <v>49.207</v>
      </c>
      <c r="D56" s="38">
        <f t="shared" si="26"/>
        <v>44.99417514</v>
      </c>
      <c r="E56" s="26">
        <f t="shared" si="27"/>
        <v>0.397544</v>
      </c>
      <c r="F56" s="26">
        <f t="shared" si="28"/>
        <v>1.595102</v>
      </c>
      <c r="G56" s="26">
        <f t="shared" si="29"/>
        <v>1.99703</v>
      </c>
      <c r="H56" s="37">
        <f t="shared" si="30"/>
        <v>225.5284022</v>
      </c>
      <c r="I56" s="42">
        <f t="shared" si="31"/>
        <v>0.450386985</v>
      </c>
      <c r="J56" s="8"/>
      <c r="K56" s="7" t="s">
        <v>80</v>
      </c>
      <c r="L56" s="7">
        <v>0.001127</v>
      </c>
      <c r="M56" s="7">
        <v>3.126</v>
      </c>
      <c r="N56" s="26">
        <f t="shared" si="32"/>
        <v>0.397544</v>
      </c>
      <c r="O56" s="26">
        <f t="shared" si="33"/>
        <v>1.595102</v>
      </c>
      <c r="P56" s="26">
        <f t="shared" si="34"/>
        <v>1.99703</v>
      </c>
      <c r="Q56" s="37">
        <f t="shared" si="35"/>
        <v>15.66873452</v>
      </c>
      <c r="R56" s="42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7" t="s">
        <v>82</v>
      </c>
      <c r="B57" s="7">
        <v>0.040183</v>
      </c>
      <c r="C57" s="7">
        <v>67.459</v>
      </c>
      <c r="D57" s="38">
        <f t="shared" si="26"/>
        <v>63.24535207</v>
      </c>
      <c r="E57" s="26">
        <f t="shared" si="27"/>
        <v>0.397544</v>
      </c>
      <c r="F57" s="26">
        <f t="shared" si="28"/>
        <v>1.595102</v>
      </c>
      <c r="G57" s="26">
        <f t="shared" si="29"/>
        <v>1.99703</v>
      </c>
      <c r="H57" s="37">
        <f t="shared" si="30"/>
        <v>317.0104386</v>
      </c>
      <c r="I57" s="42">
        <f t="shared" si="31"/>
        <v>0.6330793562</v>
      </c>
      <c r="J57" s="8"/>
      <c r="K57" s="7" t="s">
        <v>79</v>
      </c>
      <c r="L57" s="7">
        <v>0.001839</v>
      </c>
      <c r="M57" s="7">
        <v>4.298</v>
      </c>
      <c r="N57" s="26">
        <f t="shared" si="32"/>
        <v>0.397544</v>
      </c>
      <c r="O57" s="26">
        <f t="shared" si="33"/>
        <v>1.595102</v>
      </c>
      <c r="P57" s="26">
        <f t="shared" si="34"/>
        <v>1.99703</v>
      </c>
      <c r="Q57" s="37">
        <f t="shared" si="35"/>
        <v>21.54325687</v>
      </c>
      <c r="R57" s="42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7" t="s">
        <v>82</v>
      </c>
      <c r="B58" s="7">
        <v>0.033304</v>
      </c>
      <c r="C58" s="7">
        <v>56.128</v>
      </c>
      <c r="D58" s="38">
        <f t="shared" si="26"/>
        <v>51.91413852</v>
      </c>
      <c r="E58" s="26">
        <f t="shared" si="27"/>
        <v>0.397544</v>
      </c>
      <c r="F58" s="26">
        <f t="shared" si="28"/>
        <v>1.595102</v>
      </c>
      <c r="G58" s="26">
        <f t="shared" si="29"/>
        <v>1.99703</v>
      </c>
      <c r="H58" s="37">
        <f t="shared" si="30"/>
        <v>260.2139649</v>
      </c>
      <c r="I58" s="42">
        <f t="shared" si="31"/>
        <v>0.5196550944</v>
      </c>
      <c r="J58" s="8"/>
      <c r="K58" s="7" t="s">
        <v>80</v>
      </c>
      <c r="L58" s="7">
        <v>0.001177</v>
      </c>
      <c r="M58" s="7">
        <v>3.209</v>
      </c>
      <c r="N58" s="26">
        <f t="shared" si="32"/>
        <v>0.397544</v>
      </c>
      <c r="O58" s="26">
        <f t="shared" si="33"/>
        <v>1.595102</v>
      </c>
      <c r="P58" s="26">
        <f t="shared" si="34"/>
        <v>1.99703</v>
      </c>
      <c r="Q58" s="37">
        <f t="shared" si="35"/>
        <v>16.08476298</v>
      </c>
      <c r="R58" s="42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7" t="s">
        <v>83</v>
      </c>
      <c r="B59" s="7">
        <v>0.012657</v>
      </c>
      <c r="C59" s="7">
        <v>22.118</v>
      </c>
      <c r="D59" s="38">
        <f t="shared" si="26"/>
        <v>17.9040257</v>
      </c>
      <c r="E59" s="26">
        <f t="shared" si="27"/>
        <v>0.397544</v>
      </c>
      <c r="F59" s="26">
        <f t="shared" si="28"/>
        <v>1.595102</v>
      </c>
      <c r="G59" s="26">
        <f t="shared" si="29"/>
        <v>1.99703</v>
      </c>
      <c r="H59" s="37">
        <f t="shared" si="30"/>
        <v>89.74197876</v>
      </c>
      <c r="I59" s="42">
        <f t="shared" si="31"/>
        <v>0.1792174238</v>
      </c>
      <c r="J59" s="8"/>
      <c r="K59" s="7" t="s">
        <v>84</v>
      </c>
      <c r="L59" s="7">
        <v>0.001709</v>
      </c>
      <c r="M59" s="7">
        <v>4.084</v>
      </c>
      <c r="N59" s="26">
        <f t="shared" si="32"/>
        <v>0.397544</v>
      </c>
      <c r="O59" s="26">
        <f t="shared" si="33"/>
        <v>1.595102</v>
      </c>
      <c r="P59" s="26">
        <f t="shared" si="34"/>
        <v>1.99703</v>
      </c>
      <c r="Q59" s="37">
        <f t="shared" si="35"/>
        <v>20.47060518</v>
      </c>
      <c r="R59" s="42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7" t="s">
        <v>83</v>
      </c>
      <c r="B60" s="7">
        <v>0.020301</v>
      </c>
      <c r="C60" s="7">
        <v>34.709</v>
      </c>
      <c r="D60" s="38">
        <f t="shared" si="26"/>
        <v>30.49536112</v>
      </c>
      <c r="E60" s="26">
        <f t="shared" si="27"/>
        <v>0.397544</v>
      </c>
      <c r="F60" s="26">
        <f t="shared" si="28"/>
        <v>1.595102</v>
      </c>
      <c r="G60" s="26">
        <f t="shared" si="29"/>
        <v>1.99703</v>
      </c>
      <c r="H60" s="37">
        <f t="shared" si="30"/>
        <v>152.8546761</v>
      </c>
      <c r="I60" s="42">
        <f t="shared" si="31"/>
        <v>0.3052553738</v>
      </c>
      <c r="J60" s="41"/>
      <c r="K60" s="7" t="s">
        <v>85</v>
      </c>
      <c r="L60" s="7">
        <v>0.001503</v>
      </c>
      <c r="M60" s="7">
        <v>3.746</v>
      </c>
      <c r="N60" s="26">
        <f t="shared" si="32"/>
        <v>0.397544</v>
      </c>
      <c r="O60" s="26">
        <f t="shared" si="33"/>
        <v>1.595102</v>
      </c>
      <c r="P60" s="26">
        <f t="shared" si="34"/>
        <v>1.99703</v>
      </c>
      <c r="Q60" s="37">
        <f t="shared" si="35"/>
        <v>18.77641699</v>
      </c>
      <c r="R60" s="42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7" t="s">
        <v>86</v>
      </c>
      <c r="B61" s="7">
        <v>0.022971</v>
      </c>
      <c r="C61" s="7">
        <v>39.107</v>
      </c>
      <c r="D61" s="38">
        <f t="shared" si="26"/>
        <v>34.89343354</v>
      </c>
      <c r="E61" s="26">
        <f t="shared" si="27"/>
        <v>0.397544</v>
      </c>
      <c r="F61" s="26">
        <f t="shared" si="28"/>
        <v>1.595102</v>
      </c>
      <c r="G61" s="26">
        <f t="shared" si="29"/>
        <v>1.99703</v>
      </c>
      <c r="H61" s="37">
        <f t="shared" si="30"/>
        <v>174.8995351</v>
      </c>
      <c r="I61" s="42">
        <f t="shared" si="31"/>
        <v>0.3492796185</v>
      </c>
      <c r="J61" s="41"/>
      <c r="K61" s="7" t="s">
        <v>87</v>
      </c>
      <c r="L61" s="7">
        <v>0.002216</v>
      </c>
      <c r="M61" s="7">
        <v>4.92</v>
      </c>
      <c r="N61" s="26">
        <f t="shared" si="32"/>
        <v>0.397544</v>
      </c>
      <c r="O61" s="26">
        <f t="shared" si="33"/>
        <v>1.595102</v>
      </c>
      <c r="P61" s="26">
        <f t="shared" si="34"/>
        <v>1.99703</v>
      </c>
      <c r="Q61" s="37">
        <f t="shared" si="35"/>
        <v>24.66096412</v>
      </c>
      <c r="R61" s="42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7" t="s">
        <v>86</v>
      </c>
      <c r="B62" s="7">
        <v>0.020209</v>
      </c>
      <c r="C62" s="7">
        <v>34.559</v>
      </c>
      <c r="D62" s="38">
        <f t="shared" si="26"/>
        <v>30.34381705</v>
      </c>
      <c r="E62" s="26">
        <f t="shared" si="27"/>
        <v>0.397544</v>
      </c>
      <c r="F62" s="26">
        <f t="shared" si="28"/>
        <v>1.595102</v>
      </c>
      <c r="G62" s="26">
        <f t="shared" si="29"/>
        <v>1.99703</v>
      </c>
      <c r="H62" s="37">
        <f t="shared" si="30"/>
        <v>152.095078</v>
      </c>
      <c r="I62" s="42">
        <f t="shared" si="31"/>
        <v>0.3037384336</v>
      </c>
      <c r="J62" s="8"/>
      <c r="K62" s="43" t="s">
        <v>88</v>
      </c>
      <c r="L62" s="43">
        <v>0.001723</v>
      </c>
      <c r="M62" s="43">
        <v>4.108</v>
      </c>
      <c r="N62" s="44">
        <f t="shared" si="32"/>
        <v>0.397544</v>
      </c>
      <c r="O62" s="44">
        <f t="shared" si="33"/>
        <v>1.595102</v>
      </c>
      <c r="P62" s="44">
        <f t="shared" si="34"/>
        <v>1.99703</v>
      </c>
      <c r="Q62" s="45">
        <f t="shared" si="35"/>
        <v>20.59090256</v>
      </c>
      <c r="R62" s="46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7" t="s">
        <v>89</v>
      </c>
      <c r="B63" s="7">
        <v>0.03066</v>
      </c>
      <c r="C63" s="7">
        <v>51.773</v>
      </c>
      <c r="D63" s="38">
        <f t="shared" si="26"/>
        <v>47.55889377</v>
      </c>
      <c r="E63" s="26">
        <f t="shared" si="27"/>
        <v>0.397544</v>
      </c>
      <c r="F63" s="26">
        <f t="shared" si="28"/>
        <v>1.595102</v>
      </c>
      <c r="G63" s="26">
        <f t="shared" si="29"/>
        <v>1.99703</v>
      </c>
      <c r="H63" s="37">
        <f t="shared" si="30"/>
        <v>238.383775</v>
      </c>
      <c r="I63" s="42">
        <f t="shared" si="31"/>
        <v>0.4760595502</v>
      </c>
      <c r="K63" s="7" t="s">
        <v>90</v>
      </c>
      <c r="L63" s="7">
        <v>0.001129</v>
      </c>
      <c r="M63" s="7">
        <v>3.13</v>
      </c>
      <c r="N63" s="26">
        <f t="shared" si="32"/>
        <v>0.397544</v>
      </c>
      <c r="O63" s="26">
        <f t="shared" si="33"/>
        <v>1.595102</v>
      </c>
      <c r="P63" s="26">
        <f t="shared" si="34"/>
        <v>1.99703</v>
      </c>
      <c r="Q63" s="37">
        <f t="shared" si="35"/>
        <v>15.68878408</v>
      </c>
      <c r="R63" s="8"/>
      <c r="S63" s="8" t="s">
        <v>91</v>
      </c>
      <c r="T63" s="8"/>
      <c r="U63" s="8"/>
      <c r="V63" s="8"/>
      <c r="W63" s="8"/>
      <c r="X63" s="8"/>
      <c r="Y63" s="8"/>
      <c r="Z63" s="8"/>
      <c r="AA63" s="8"/>
    </row>
    <row r="64" ht="15.75" customHeight="1">
      <c r="A64" s="7" t="s">
        <v>89</v>
      </c>
      <c r="B64" s="7">
        <v>0.032228</v>
      </c>
      <c r="C64" s="7">
        <v>54.355</v>
      </c>
      <c r="D64" s="38">
        <f t="shared" si="26"/>
        <v>50.14173181</v>
      </c>
      <c r="E64" s="26">
        <f t="shared" si="27"/>
        <v>0.397544</v>
      </c>
      <c r="F64" s="26">
        <f t="shared" si="28"/>
        <v>1.595102</v>
      </c>
      <c r="G64" s="26">
        <f t="shared" si="29"/>
        <v>1.99703</v>
      </c>
      <c r="H64" s="37">
        <f t="shared" si="30"/>
        <v>251.3299693</v>
      </c>
      <c r="I64" s="42">
        <f t="shared" si="31"/>
        <v>0.5019134886</v>
      </c>
      <c r="K64" s="7" t="s">
        <v>92</v>
      </c>
      <c r="L64" s="7">
        <v>0.002673</v>
      </c>
      <c r="M64" s="7">
        <v>5.672</v>
      </c>
      <c r="N64" s="26">
        <f t="shared" si="32"/>
        <v>0.397544</v>
      </c>
      <c r="O64" s="26">
        <f t="shared" si="33"/>
        <v>1.595102</v>
      </c>
      <c r="P64" s="26">
        <f t="shared" si="34"/>
        <v>1.99703</v>
      </c>
      <c r="Q64" s="37">
        <f t="shared" si="35"/>
        <v>28.43028221</v>
      </c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7" t="s">
        <v>93</v>
      </c>
      <c r="B65" s="7">
        <v>0.063215</v>
      </c>
      <c r="C65" s="7">
        <v>105.398</v>
      </c>
      <c r="D65" s="38">
        <f t="shared" si="26"/>
        <v>101.1840801</v>
      </c>
      <c r="E65" s="26">
        <f t="shared" si="27"/>
        <v>0.397544</v>
      </c>
      <c r="F65" s="26">
        <f t="shared" si="28"/>
        <v>1.595102</v>
      </c>
      <c r="G65" s="26">
        <f t="shared" si="29"/>
        <v>1.99703</v>
      </c>
      <c r="H65" s="37">
        <f t="shared" si="30"/>
        <v>507.1741808</v>
      </c>
      <c r="I65" s="42">
        <f t="shared" si="31"/>
        <v>1.012842054</v>
      </c>
      <c r="K65" s="7" t="s">
        <v>90</v>
      </c>
      <c r="L65" s="7">
        <v>0.001416</v>
      </c>
      <c r="M65" s="7">
        <v>3.601</v>
      </c>
      <c r="N65" s="26">
        <f t="shared" si="32"/>
        <v>0.397544</v>
      </c>
      <c r="O65" s="26">
        <f t="shared" si="33"/>
        <v>1.595102</v>
      </c>
      <c r="P65" s="26">
        <f t="shared" si="34"/>
        <v>1.99703</v>
      </c>
      <c r="Q65" s="37">
        <f t="shared" si="35"/>
        <v>18.04962028</v>
      </c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7" t="s">
        <v>93</v>
      </c>
      <c r="B66" s="7">
        <v>0.068384</v>
      </c>
      <c r="C66" s="7">
        <v>113.913</v>
      </c>
      <c r="D66" s="38">
        <f t="shared" si="26"/>
        <v>109.6985507</v>
      </c>
      <c r="E66" s="26">
        <f t="shared" si="27"/>
        <v>0.397544</v>
      </c>
      <c r="F66" s="26">
        <f t="shared" si="28"/>
        <v>1.595102</v>
      </c>
      <c r="G66" s="26">
        <f t="shared" si="29"/>
        <v>1.99703</v>
      </c>
      <c r="H66" s="37">
        <f t="shared" si="30"/>
        <v>549.852037</v>
      </c>
      <c r="I66" s="42">
        <f t="shared" si="31"/>
        <v>1.098071013</v>
      </c>
      <c r="K66" s="8" t="s">
        <v>92</v>
      </c>
      <c r="L66" s="7">
        <v>0.002931</v>
      </c>
      <c r="M66" s="7">
        <v>6.098</v>
      </c>
      <c r="N66" s="26">
        <f t="shared" si="32"/>
        <v>0.397544</v>
      </c>
      <c r="O66" s="26">
        <f t="shared" si="33"/>
        <v>1.595102</v>
      </c>
      <c r="P66" s="26">
        <f t="shared" si="34"/>
        <v>1.99703</v>
      </c>
      <c r="Q66" s="37">
        <f t="shared" si="35"/>
        <v>30.56556081</v>
      </c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7" t="s">
        <v>94</v>
      </c>
      <c r="B67" s="7">
        <v>0.02642</v>
      </c>
      <c r="C67" s="7">
        <v>44.788</v>
      </c>
      <c r="D67" s="38">
        <f t="shared" si="26"/>
        <v>40.57468889</v>
      </c>
      <c r="E67" s="26">
        <f t="shared" si="27"/>
        <v>0.397544</v>
      </c>
      <c r="F67" s="26">
        <f t="shared" si="28"/>
        <v>1.595102</v>
      </c>
      <c r="G67" s="26">
        <f t="shared" si="29"/>
        <v>1.99703</v>
      </c>
      <c r="H67" s="37">
        <f t="shared" si="30"/>
        <v>203.3762087</v>
      </c>
      <c r="I67" s="42">
        <f t="shared" si="31"/>
        <v>0.40614839</v>
      </c>
      <c r="K67" s="7" t="s">
        <v>84</v>
      </c>
      <c r="L67" s="7">
        <v>0.00139</v>
      </c>
      <c r="M67" s="7">
        <v>3.559</v>
      </c>
      <c r="N67" s="26">
        <f t="shared" si="32"/>
        <v>0.397544</v>
      </c>
      <c r="O67" s="26">
        <f t="shared" si="33"/>
        <v>1.595102</v>
      </c>
      <c r="P67" s="26">
        <f t="shared" si="34"/>
        <v>1.99703</v>
      </c>
      <c r="Q67" s="37">
        <f t="shared" si="35"/>
        <v>17.83909986</v>
      </c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43" t="s">
        <v>94</v>
      </c>
      <c r="B68" s="43">
        <v>0.028398</v>
      </c>
      <c r="C68" s="43">
        <v>48.046</v>
      </c>
      <c r="D68" s="47">
        <f t="shared" si="26"/>
        <v>43.83288635</v>
      </c>
      <c r="E68" s="44">
        <f t="shared" si="27"/>
        <v>0.397544</v>
      </c>
      <c r="F68" s="44">
        <f t="shared" si="28"/>
        <v>1.595102</v>
      </c>
      <c r="G68" s="44">
        <f t="shared" si="29"/>
        <v>1.99703</v>
      </c>
      <c r="H68" s="45">
        <f t="shared" si="30"/>
        <v>219.7075686</v>
      </c>
      <c r="I68" s="46">
        <f t="shared" si="31"/>
        <v>0.4387626058</v>
      </c>
      <c r="K68" s="7" t="s">
        <v>85</v>
      </c>
      <c r="L68" s="7">
        <v>0.001379</v>
      </c>
      <c r="M68" s="7">
        <v>3.54</v>
      </c>
      <c r="N68" s="26">
        <f t="shared" si="32"/>
        <v>0.397544</v>
      </c>
      <c r="O68" s="26">
        <f t="shared" si="33"/>
        <v>1.595102</v>
      </c>
      <c r="P68" s="26">
        <f t="shared" si="34"/>
        <v>1.99703</v>
      </c>
      <c r="Q68" s="37">
        <f t="shared" si="35"/>
        <v>17.74386443</v>
      </c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7" t="s">
        <v>95</v>
      </c>
      <c r="B69" s="7">
        <v>0.012275</v>
      </c>
      <c r="C69" s="7">
        <v>21.488</v>
      </c>
      <c r="D69" s="38">
        <f t="shared" si="26"/>
        <v>17.27478838</v>
      </c>
      <c r="E69" s="26">
        <f t="shared" si="27"/>
        <v>0.397544</v>
      </c>
      <c r="F69" s="26">
        <f t="shared" si="28"/>
        <v>1.595102</v>
      </c>
      <c r="G69" s="26">
        <f t="shared" si="29"/>
        <v>1.99703</v>
      </c>
      <c r="H69" s="37">
        <f t="shared" si="30"/>
        <v>86.58799519</v>
      </c>
      <c r="I69" s="42">
        <f t="shared" si="31"/>
        <v>0.172918824</v>
      </c>
      <c r="K69" s="7" t="s">
        <v>87</v>
      </c>
      <c r="L69" s="7">
        <v>0.001913</v>
      </c>
      <c r="M69" s="7">
        <v>4.421</v>
      </c>
      <c r="N69" s="26">
        <f t="shared" si="32"/>
        <v>0.397544</v>
      </c>
      <c r="O69" s="26">
        <f t="shared" si="33"/>
        <v>1.595102</v>
      </c>
      <c r="P69" s="26">
        <f t="shared" si="34"/>
        <v>1.99703</v>
      </c>
      <c r="Q69" s="37">
        <f t="shared" si="35"/>
        <v>22.15978097</v>
      </c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7" t="s">
        <v>95</v>
      </c>
      <c r="B70" s="7">
        <v>0.020434</v>
      </c>
      <c r="C70" s="7">
        <v>34.929</v>
      </c>
      <c r="D70" s="38">
        <f t="shared" si="26"/>
        <v>30.71444113</v>
      </c>
      <c r="E70" s="26">
        <f t="shared" si="27"/>
        <v>0.397544</v>
      </c>
      <c r="F70" s="26">
        <f t="shared" si="28"/>
        <v>1.595102</v>
      </c>
      <c r="G70" s="26">
        <f t="shared" si="29"/>
        <v>1.99703</v>
      </c>
      <c r="H70" s="37">
        <f t="shared" si="30"/>
        <v>153.9527908</v>
      </c>
      <c r="I70" s="42">
        <f t="shared" si="31"/>
        <v>0.3074483418</v>
      </c>
      <c r="K70" s="7" t="s">
        <v>88</v>
      </c>
      <c r="L70" s="7">
        <v>0.001254</v>
      </c>
      <c r="M70" s="7">
        <v>3.335</v>
      </c>
      <c r="N70" s="26">
        <f t="shared" si="32"/>
        <v>0.397544</v>
      </c>
      <c r="O70" s="26">
        <f t="shared" si="33"/>
        <v>1.595102</v>
      </c>
      <c r="P70" s="26">
        <f t="shared" si="34"/>
        <v>1.99703</v>
      </c>
      <c r="Q70" s="37">
        <f t="shared" si="35"/>
        <v>16.71632426</v>
      </c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C71" s="48"/>
      <c r="D71" s="38"/>
      <c r="E71" s="49"/>
      <c r="F71" s="49"/>
      <c r="G71" s="8"/>
      <c r="H71" s="8"/>
      <c r="I71" s="8"/>
      <c r="J71" s="8"/>
      <c r="K71" s="8"/>
      <c r="L71" s="50" t="s">
        <v>54</v>
      </c>
      <c r="M71" s="50" t="s">
        <v>54</v>
      </c>
      <c r="N71" s="50" t="s">
        <v>96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C72" s="48"/>
      <c r="D72" s="38"/>
      <c r="E72" s="49"/>
      <c r="F72" s="49"/>
      <c r="G72" s="8"/>
      <c r="H72" s="8"/>
      <c r="I72" s="8"/>
      <c r="J72" s="8"/>
      <c r="K72" s="35" t="s">
        <v>97</v>
      </c>
      <c r="L72" s="51">
        <f t="shared" ref="L72:M72" si="36">AVERAGE(L53:L58)</f>
        <v>0.001471</v>
      </c>
      <c r="M72" s="52">
        <f t="shared" si="36"/>
        <v>3.692333333</v>
      </c>
      <c r="N72" s="52">
        <f>STDEV(M53:M58)</f>
        <v>0.657117544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C73" s="48"/>
      <c r="D73" s="38"/>
      <c r="E73" s="49"/>
      <c r="F73" s="49"/>
      <c r="G73" s="8"/>
      <c r="H73" s="8"/>
      <c r="I73" s="8"/>
      <c r="J73" s="8"/>
      <c r="K73" s="35" t="s">
        <v>98</v>
      </c>
      <c r="L73" s="51">
        <f t="shared" ref="L73:M73" si="37">AVERAGE(L59:L62)</f>
        <v>0.00178775</v>
      </c>
      <c r="M73" s="52">
        <f t="shared" si="37"/>
        <v>4.2145</v>
      </c>
      <c r="N73" s="52">
        <f>STDEV(M59:M62)</f>
        <v>0.4985295043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C74" s="48"/>
      <c r="D74" s="38"/>
      <c r="E74" s="49"/>
      <c r="F74" s="4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C75" s="48"/>
      <c r="D75" s="38"/>
      <c r="E75" s="49"/>
      <c r="F75" s="49"/>
      <c r="G75" s="8"/>
      <c r="H75" s="8"/>
      <c r="I75" s="8"/>
      <c r="J75" s="8"/>
      <c r="K75" s="8"/>
      <c r="L75" s="50" t="s">
        <v>54</v>
      </c>
      <c r="M75" s="50" t="s">
        <v>54</v>
      </c>
      <c r="N75" s="50" t="s">
        <v>96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C76" s="48"/>
      <c r="D76" s="38"/>
      <c r="E76" s="49"/>
      <c r="F76" s="49"/>
      <c r="G76" s="8"/>
      <c r="H76" s="8"/>
      <c r="I76" s="8"/>
      <c r="J76" s="8"/>
      <c r="K76" s="35" t="s">
        <v>97</v>
      </c>
      <c r="L76" s="51">
        <f t="shared" ref="L76:M76" si="38">AVERAGE(L63:L66)</f>
        <v>0.00203725</v>
      </c>
      <c r="M76" s="52">
        <f t="shared" si="38"/>
        <v>4.62525</v>
      </c>
      <c r="N76" s="52">
        <f>STDEV(M63:M66)</f>
        <v>1.477558656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C77" s="48"/>
      <c r="D77" s="38"/>
      <c r="E77" s="49"/>
      <c r="F77" s="49"/>
      <c r="G77" s="8"/>
      <c r="H77" s="8"/>
      <c r="I77" s="8"/>
      <c r="J77" s="8"/>
      <c r="K77" s="35" t="s">
        <v>98</v>
      </c>
      <c r="L77" s="51">
        <f t="shared" ref="L77:M77" si="39">AVERAGE(L67:L70)</f>
        <v>0.001484</v>
      </c>
      <c r="M77" s="52">
        <f t="shared" si="39"/>
        <v>3.71375</v>
      </c>
      <c r="N77" s="52">
        <f>STDEV(M67:M70)</f>
        <v>0.4822830255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C78" s="48"/>
      <c r="D78" s="38"/>
      <c r="E78" s="49"/>
      <c r="F78" s="4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C79" s="48"/>
      <c r="D79" s="38"/>
      <c r="E79" s="49"/>
      <c r="F79" s="4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C80" s="48"/>
      <c r="D80" s="38"/>
      <c r="E80" s="49"/>
      <c r="F80" s="4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C81" s="48"/>
      <c r="D81" s="38"/>
      <c r="E81" s="49"/>
      <c r="F81" s="4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C82" s="48"/>
      <c r="D82" s="38"/>
      <c r="E82" s="49"/>
      <c r="F82" s="4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C83" s="48"/>
      <c r="D83" s="38"/>
      <c r="E83" s="49"/>
      <c r="F83" s="4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C84" s="48"/>
      <c r="D84" s="8"/>
      <c r="E84" s="49"/>
      <c r="F84" s="4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C85" s="48"/>
      <c r="D85" s="8"/>
      <c r="E85" s="49"/>
      <c r="F85" s="4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C86" s="48"/>
      <c r="D86" s="8"/>
      <c r="E86" s="49"/>
      <c r="F86" s="4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C87" s="48"/>
      <c r="D87" s="8"/>
      <c r="E87" s="49"/>
      <c r="F87" s="4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C88" s="48"/>
      <c r="D88" s="8"/>
      <c r="E88" s="49"/>
      <c r="F88" s="4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C89" s="48"/>
      <c r="D89" s="8"/>
      <c r="E89" s="49"/>
      <c r="F89" s="4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C90" s="48"/>
      <c r="D90" s="8"/>
      <c r="E90" s="49"/>
      <c r="F90" s="4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C91" s="48"/>
      <c r="D91" s="8"/>
      <c r="E91" s="49"/>
      <c r="F91" s="4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C92" s="48"/>
      <c r="D92" s="8"/>
      <c r="E92" s="49"/>
      <c r="F92" s="4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C93" s="48"/>
      <c r="D93" s="8"/>
      <c r="E93" s="49"/>
      <c r="F93" s="4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C94" s="48"/>
      <c r="D94" s="8"/>
      <c r="E94" s="49"/>
      <c r="F94" s="4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C95" s="48"/>
      <c r="D95" s="8"/>
      <c r="E95" s="49"/>
      <c r="F95" s="4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C96" s="48"/>
      <c r="D96" s="8"/>
      <c r="E96" s="49"/>
      <c r="F96" s="4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C97" s="48"/>
      <c r="D97" s="8"/>
      <c r="E97" s="49"/>
      <c r="F97" s="4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C98" s="48"/>
      <c r="D98" s="8"/>
      <c r="E98" s="49"/>
      <c r="F98" s="4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C99" s="48"/>
      <c r="D99" s="8"/>
      <c r="E99" s="49"/>
      <c r="F99" s="4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C100" s="48"/>
      <c r="D100" s="8"/>
      <c r="E100" s="49"/>
      <c r="F100" s="4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C101" s="48"/>
      <c r="D101" s="8"/>
      <c r="E101" s="49"/>
      <c r="F101" s="4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B102" s="43"/>
      <c r="C102" s="48"/>
      <c r="D102" s="8"/>
      <c r="E102" s="49"/>
      <c r="F102" s="4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43"/>
      <c r="C103" s="53"/>
      <c r="D103" s="54"/>
      <c r="E103" s="49"/>
      <c r="F103" s="4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C104" s="4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C105" s="4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C106" s="4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C107" s="4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C108" s="4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C109" s="4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C110" s="4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C111" s="4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C112" s="4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C113" s="4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C114" s="4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C115" s="4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C116" s="4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C117" s="4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B118" s="43"/>
      <c r="C118" s="4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43"/>
      <c r="C119" s="53"/>
      <c r="D119" s="5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C120" s="4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C121" s="4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C122" s="4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C123" s="4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C124" s="4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C125" s="4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C126" s="4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C127" s="4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C128" s="4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C129" s="4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C130" s="4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C131" s="4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C132" s="4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C133" s="4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C134" s="4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C135" s="4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C136" s="4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C137" s="4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C138" s="4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C139" s="4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C140" s="4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C141" s="4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C142" s="4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B143" s="8"/>
      <c r="C143" s="4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15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ht="15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</sheetData>
  <mergeCells count="9">
    <mergeCell ref="A51:H51"/>
    <mergeCell ref="K51:R51"/>
    <mergeCell ref="A10:E10"/>
    <mergeCell ref="Q24:S24"/>
    <mergeCell ref="A25:H25"/>
    <mergeCell ref="J25:M25"/>
    <mergeCell ref="A39:H39"/>
    <mergeCell ref="K39:R39"/>
    <mergeCell ref="T39:AA39"/>
  </mergeCells>
  <conditionalFormatting sqref="H27:H36">
    <cfRule type="cellIs" dxfId="0" priority="1" operator="greaterThan">
      <formula>1.2</formula>
    </cfRule>
  </conditionalFormatting>
  <conditionalFormatting sqref="H27:H36">
    <cfRule type="cellIs" dxfId="1" priority="2" operator="greaterThan">
      <formula>1.1</formula>
    </cfRule>
  </conditionalFormatting>
  <conditionalFormatting sqref="H27:H36">
    <cfRule type="cellIs" dxfId="0" priority="3" operator="lessThan">
      <formula>0.8</formula>
    </cfRule>
  </conditionalFormatting>
  <conditionalFormatting sqref="H27:H36">
    <cfRule type="cellIs" dxfId="1" priority="4" operator="lessThan">
      <formula>0.9</formula>
    </cfRule>
  </conditionalFormatting>
  <conditionalFormatting sqref="H41:H48">
    <cfRule type="cellIs" dxfId="0" priority="5" operator="greaterThan">
      <formula>1.2</formula>
    </cfRule>
  </conditionalFormatting>
  <conditionalFormatting sqref="H41:H48">
    <cfRule type="cellIs" dxfId="1" priority="6" operator="greaterThan">
      <formula>1.1</formula>
    </cfRule>
  </conditionalFormatting>
  <conditionalFormatting sqref="H41:H48">
    <cfRule type="cellIs" dxfId="0" priority="7" operator="lessThan">
      <formula>0.8</formula>
    </cfRule>
  </conditionalFormatting>
  <conditionalFormatting sqref="H41:H48">
    <cfRule type="cellIs" dxfId="1" priority="8" operator="lessThan">
      <formula>0.9</formula>
    </cfRule>
  </conditionalFormatting>
  <conditionalFormatting sqref="R41:R44">
    <cfRule type="cellIs" dxfId="0" priority="9" operator="greaterThan">
      <formula>1.2</formula>
    </cfRule>
  </conditionalFormatting>
  <conditionalFormatting sqref="R41:R44">
    <cfRule type="cellIs" dxfId="1" priority="10" operator="greaterThan">
      <formula>1.1</formula>
    </cfRule>
  </conditionalFormatting>
  <conditionalFormatting sqref="R41:R44">
    <cfRule type="cellIs" dxfId="0" priority="11" operator="lessThan">
      <formula>0.8</formula>
    </cfRule>
  </conditionalFormatting>
  <conditionalFormatting sqref="R41:R44">
    <cfRule type="cellIs" dxfId="1" priority="12" operator="lessThan">
      <formula>0.9</formula>
    </cfRule>
  </conditionalFormatting>
  <conditionalFormatting sqref="AA41:AA44">
    <cfRule type="cellIs" dxfId="0" priority="13" operator="greaterThan">
      <formula>1.2</formula>
    </cfRule>
  </conditionalFormatting>
  <conditionalFormatting sqref="AA41:AA44">
    <cfRule type="cellIs" dxfId="1" priority="14" operator="greaterThan">
      <formula>1.1</formula>
    </cfRule>
  </conditionalFormatting>
  <conditionalFormatting sqref="AA41:AA44">
    <cfRule type="cellIs" dxfId="0" priority="15" operator="lessThan">
      <formula>0.8</formula>
    </cfRule>
  </conditionalFormatting>
  <conditionalFormatting sqref="AA41:AA44">
    <cfRule type="cellIs" dxfId="1" priority="16" operator="lessThan">
      <formula>0.9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</cols>
  <sheetData>
    <row r="1" ht="15.75" customHeight="1">
      <c r="A1" s="7" t="s">
        <v>2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28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</row>
    <row r="2" ht="15.75" customHeight="1">
      <c r="A2" s="7" t="s">
        <v>108</v>
      </c>
      <c r="C2" s="7" t="s">
        <v>109</v>
      </c>
      <c r="D2" s="7">
        <v>2.802</v>
      </c>
      <c r="E2" s="7" t="s">
        <v>110</v>
      </c>
      <c r="F2" s="7">
        <v>9.31E-4</v>
      </c>
      <c r="G2" s="7" t="s">
        <v>111</v>
      </c>
      <c r="H2" s="7" t="s">
        <v>112</v>
      </c>
      <c r="I2" s="7">
        <v>1.0</v>
      </c>
      <c r="J2" s="7">
        <v>1.0</v>
      </c>
      <c r="K2" s="55">
        <v>44901.51907407407</v>
      </c>
    </row>
    <row r="3" ht="15.75" customHeight="1">
      <c r="A3" s="7" t="s">
        <v>113</v>
      </c>
      <c r="C3" s="7" t="s">
        <v>109</v>
      </c>
      <c r="D3" s="7">
        <v>5.38</v>
      </c>
      <c r="E3" s="7" t="s">
        <v>110</v>
      </c>
      <c r="F3" s="7">
        <v>0.002496</v>
      </c>
      <c r="G3" s="7" t="s">
        <v>111</v>
      </c>
      <c r="H3" s="7" t="s">
        <v>112</v>
      </c>
      <c r="I3" s="7">
        <v>1.0</v>
      </c>
      <c r="J3" s="7">
        <v>1.0</v>
      </c>
      <c r="K3" s="55">
        <v>44901.51944444444</v>
      </c>
    </row>
    <row r="4" ht="15.75" customHeight="1">
      <c r="A4" s="7" t="s">
        <v>114</v>
      </c>
      <c r="C4" s="7" t="s">
        <v>109</v>
      </c>
      <c r="D4" s="7">
        <v>10.338</v>
      </c>
      <c r="E4" s="7" t="s">
        <v>110</v>
      </c>
      <c r="F4" s="7">
        <v>0.005506</v>
      </c>
      <c r="G4" s="7" t="s">
        <v>111</v>
      </c>
      <c r="H4" s="7" t="s">
        <v>112</v>
      </c>
      <c r="I4" s="7">
        <v>1.0</v>
      </c>
      <c r="J4" s="7">
        <v>1.0</v>
      </c>
      <c r="K4" s="55">
        <v>44901.519791666666</v>
      </c>
    </row>
    <row r="5" ht="15.75" customHeight="1">
      <c r="A5" s="7" t="s">
        <v>115</v>
      </c>
      <c r="C5" s="7" t="s">
        <v>109</v>
      </c>
      <c r="D5" s="7">
        <v>18.8</v>
      </c>
      <c r="E5" s="7" t="s">
        <v>110</v>
      </c>
      <c r="F5" s="7">
        <v>0.010642</v>
      </c>
      <c r="G5" s="7" t="s">
        <v>111</v>
      </c>
      <c r="H5" s="7" t="s">
        <v>112</v>
      </c>
      <c r="I5" s="7">
        <v>1.0</v>
      </c>
      <c r="J5" s="7">
        <v>1.0</v>
      </c>
      <c r="K5" s="55">
        <v>44901.520150462966</v>
      </c>
    </row>
    <row r="6" ht="15.75" customHeight="1">
      <c r="A6" s="7" t="s">
        <v>116</v>
      </c>
      <c r="C6" s="7" t="s">
        <v>109</v>
      </c>
      <c r="D6" s="7">
        <v>37.631</v>
      </c>
      <c r="E6" s="7" t="s">
        <v>110</v>
      </c>
      <c r="F6" s="7">
        <v>0.022075</v>
      </c>
      <c r="G6" s="7" t="s">
        <v>111</v>
      </c>
      <c r="H6" s="7" t="s">
        <v>112</v>
      </c>
      <c r="I6" s="7">
        <v>1.0</v>
      </c>
      <c r="J6" s="7">
        <v>1.0</v>
      </c>
      <c r="K6" s="55">
        <v>44901.52050925926</v>
      </c>
    </row>
    <row r="7" ht="15.75" customHeight="1">
      <c r="A7" s="7" t="s">
        <v>117</v>
      </c>
      <c r="C7" s="7" t="s">
        <v>109</v>
      </c>
      <c r="D7" s="7">
        <v>77.365</v>
      </c>
      <c r="E7" s="7" t="s">
        <v>110</v>
      </c>
      <c r="F7" s="7">
        <v>0.046197</v>
      </c>
      <c r="G7" s="7" t="s">
        <v>111</v>
      </c>
      <c r="H7" s="7" t="s">
        <v>112</v>
      </c>
      <c r="I7" s="7">
        <v>1.0</v>
      </c>
      <c r="J7" s="7">
        <v>1.0</v>
      </c>
      <c r="K7" s="55">
        <v>44901.52086805556</v>
      </c>
    </row>
    <row r="8" ht="15.75" customHeight="1">
      <c r="A8" s="7" t="s">
        <v>118</v>
      </c>
      <c r="C8" s="7" t="s">
        <v>109</v>
      </c>
      <c r="D8" s="7">
        <v>120.095</v>
      </c>
      <c r="E8" s="7" t="s">
        <v>110</v>
      </c>
      <c r="F8" s="7">
        <v>0.072137</v>
      </c>
      <c r="G8" s="7" t="s">
        <v>111</v>
      </c>
      <c r="H8" s="7" t="s">
        <v>112</v>
      </c>
      <c r="I8" s="7">
        <v>1.0</v>
      </c>
      <c r="J8" s="7">
        <v>1.0</v>
      </c>
      <c r="K8" s="55">
        <v>44901.52122685185</v>
      </c>
    </row>
    <row r="9" ht="15.75" customHeight="1">
      <c r="A9" s="7" t="s">
        <v>119</v>
      </c>
      <c r="C9" s="7" t="s">
        <v>109</v>
      </c>
      <c r="D9" s="7">
        <v>160.21</v>
      </c>
      <c r="E9" s="7" t="s">
        <v>110</v>
      </c>
      <c r="F9" s="7">
        <v>0.096491</v>
      </c>
      <c r="G9" s="7" t="s">
        <v>111</v>
      </c>
      <c r="H9" s="7" t="s">
        <v>112</v>
      </c>
      <c r="I9" s="7">
        <v>1.0</v>
      </c>
      <c r="J9" s="7">
        <v>1.0</v>
      </c>
      <c r="K9" s="55">
        <v>44901.521585648145</v>
      </c>
    </row>
    <row r="10" ht="15.75" customHeight="1">
      <c r="A10" s="7" t="s">
        <v>120</v>
      </c>
      <c r="C10" s="7" t="s">
        <v>109</v>
      </c>
      <c r="D10" s="7">
        <v>201.378</v>
      </c>
      <c r="E10" s="7" t="s">
        <v>110</v>
      </c>
      <c r="F10" s="7">
        <v>0.121483</v>
      </c>
      <c r="G10" s="7" t="s">
        <v>111</v>
      </c>
      <c r="H10" s="7" t="s">
        <v>112</v>
      </c>
      <c r="I10" s="7">
        <v>1.0</v>
      </c>
      <c r="J10" s="7">
        <v>1.0</v>
      </c>
      <c r="K10" s="55">
        <v>44901.52193287037</v>
      </c>
    </row>
    <row r="11" ht="15.75" customHeight="1">
      <c r="A11" s="7" t="s">
        <v>121</v>
      </c>
      <c r="C11" s="7" t="s">
        <v>109</v>
      </c>
      <c r="D11" s="7">
        <v>2.988</v>
      </c>
      <c r="E11" s="7" t="s">
        <v>110</v>
      </c>
      <c r="F11" s="7">
        <v>0.001043</v>
      </c>
      <c r="G11" s="7" t="s">
        <v>111</v>
      </c>
      <c r="H11" s="7" t="s">
        <v>112</v>
      </c>
      <c r="I11" s="7">
        <v>1.0</v>
      </c>
      <c r="J11" s="7">
        <v>1.0</v>
      </c>
      <c r="K11" s="55">
        <v>44901.52230324074</v>
      </c>
    </row>
    <row r="12" ht="15.75" customHeight="1">
      <c r="A12" s="7" t="s">
        <v>122</v>
      </c>
      <c r="C12" s="7" t="s">
        <v>109</v>
      </c>
      <c r="D12" s="7">
        <v>4.112</v>
      </c>
      <c r="E12" s="7" t="s">
        <v>110</v>
      </c>
      <c r="F12" s="7">
        <v>0.001726</v>
      </c>
      <c r="G12" s="7">
        <v>0.0</v>
      </c>
      <c r="H12" s="7" t="s">
        <v>112</v>
      </c>
      <c r="I12" s="7">
        <v>1.0</v>
      </c>
      <c r="J12" s="7">
        <v>1.0</v>
      </c>
      <c r="K12" s="55">
        <v>44901.52266203704</v>
      </c>
    </row>
    <row r="13" ht="15.75" customHeight="1">
      <c r="A13" s="7" t="s">
        <v>123</v>
      </c>
      <c r="C13" s="7" t="s">
        <v>109</v>
      </c>
      <c r="D13" s="7">
        <v>2.976</v>
      </c>
      <c r="E13" s="7" t="s">
        <v>110</v>
      </c>
      <c r="F13" s="7">
        <v>0.001036</v>
      </c>
      <c r="G13" s="7">
        <v>0.0</v>
      </c>
      <c r="H13" s="7" t="s">
        <v>112</v>
      </c>
      <c r="I13" s="7">
        <v>1.0</v>
      </c>
      <c r="J13" s="7">
        <v>1.0</v>
      </c>
      <c r="K13" s="55">
        <v>44901.52303240741</v>
      </c>
    </row>
    <row r="14" ht="15.75" customHeight="1">
      <c r="A14" s="7" t="s">
        <v>124</v>
      </c>
      <c r="C14" s="7" t="s">
        <v>109</v>
      </c>
      <c r="D14" s="7">
        <v>86.152</v>
      </c>
      <c r="E14" s="7" t="s">
        <v>110</v>
      </c>
      <c r="F14" s="7">
        <v>0.051531</v>
      </c>
      <c r="G14" s="7">
        <v>0.0</v>
      </c>
      <c r="H14" s="7" t="s">
        <v>112</v>
      </c>
      <c r="I14" s="7">
        <v>1.0</v>
      </c>
      <c r="J14" s="7">
        <v>1.0</v>
      </c>
      <c r="K14" s="55">
        <v>44901.5233912037</v>
      </c>
    </row>
    <row r="15" ht="15.75" customHeight="1">
      <c r="A15" s="7" t="s">
        <v>125</v>
      </c>
      <c r="C15" s="7" t="s">
        <v>109</v>
      </c>
      <c r="D15" s="7">
        <v>93.973</v>
      </c>
      <c r="E15" s="7" t="s">
        <v>110</v>
      </c>
      <c r="F15" s="7">
        <v>0.056279</v>
      </c>
      <c r="G15" s="7">
        <v>0.0</v>
      </c>
      <c r="H15" s="7" t="s">
        <v>112</v>
      </c>
      <c r="I15" s="7">
        <v>1.0</v>
      </c>
      <c r="J15" s="7">
        <v>1.0</v>
      </c>
      <c r="K15" s="55">
        <v>44901.52376157408</v>
      </c>
    </row>
    <row r="16" ht="15.75" customHeight="1">
      <c r="A16" s="7" t="s">
        <v>126</v>
      </c>
      <c r="C16" s="7" t="s">
        <v>109</v>
      </c>
      <c r="D16" s="7">
        <v>86.221</v>
      </c>
      <c r="E16" s="7" t="s">
        <v>110</v>
      </c>
      <c r="F16" s="7">
        <v>0.051573</v>
      </c>
      <c r="G16" s="7">
        <v>0.0</v>
      </c>
      <c r="H16" s="7" t="s">
        <v>112</v>
      </c>
      <c r="I16" s="7">
        <v>1.0</v>
      </c>
      <c r="J16" s="7">
        <v>1.0</v>
      </c>
      <c r="K16" s="55">
        <v>44901.52412037037</v>
      </c>
    </row>
    <row r="17" ht="15.75" customHeight="1">
      <c r="A17" s="7" t="s">
        <v>127</v>
      </c>
      <c r="C17" s="7" t="s">
        <v>109</v>
      </c>
      <c r="D17" s="7">
        <v>81.708</v>
      </c>
      <c r="E17" s="7" t="s">
        <v>110</v>
      </c>
      <c r="F17" s="7">
        <v>0.048833</v>
      </c>
      <c r="G17" s="7">
        <v>0.0</v>
      </c>
      <c r="H17" s="7" t="s">
        <v>112</v>
      </c>
      <c r="I17" s="7">
        <v>1.0</v>
      </c>
      <c r="J17" s="7">
        <v>1.0</v>
      </c>
      <c r="K17" s="55">
        <v>44901.52446759259</v>
      </c>
    </row>
    <row r="18" ht="15.75" customHeight="1">
      <c r="A18" s="7" t="s">
        <v>84</v>
      </c>
      <c r="C18" s="7" t="s">
        <v>109</v>
      </c>
      <c r="D18" s="7">
        <v>4.084</v>
      </c>
      <c r="E18" s="7" t="s">
        <v>110</v>
      </c>
      <c r="F18" s="7">
        <v>0.001709</v>
      </c>
      <c r="G18" s="7" t="s">
        <v>111</v>
      </c>
      <c r="H18" s="7" t="s">
        <v>112</v>
      </c>
      <c r="I18" s="7">
        <v>1.0</v>
      </c>
      <c r="J18" s="7">
        <v>1.0</v>
      </c>
      <c r="K18" s="55">
        <v>44901.524826388886</v>
      </c>
    </row>
    <row r="19" ht="15.75" customHeight="1">
      <c r="A19" s="7" t="s">
        <v>85</v>
      </c>
      <c r="C19" s="7" t="s">
        <v>109</v>
      </c>
      <c r="D19" s="7">
        <v>3.746</v>
      </c>
      <c r="E19" s="7" t="s">
        <v>110</v>
      </c>
      <c r="F19" s="7">
        <v>0.001503</v>
      </c>
      <c r="G19" s="7" t="s">
        <v>111</v>
      </c>
      <c r="H19" s="7" t="s">
        <v>112</v>
      </c>
      <c r="I19" s="7">
        <v>1.0</v>
      </c>
      <c r="J19" s="7">
        <v>1.0</v>
      </c>
      <c r="K19" s="55">
        <v>44901.525185185186</v>
      </c>
    </row>
    <row r="20" ht="15.75" customHeight="1">
      <c r="A20" s="7" t="s">
        <v>128</v>
      </c>
      <c r="C20" s="7" t="s">
        <v>109</v>
      </c>
      <c r="D20" s="7">
        <v>48.212</v>
      </c>
      <c r="E20" s="7" t="s">
        <v>110</v>
      </c>
      <c r="F20" s="7">
        <v>0.028498</v>
      </c>
      <c r="G20" s="7" t="s">
        <v>111</v>
      </c>
      <c r="H20" s="7" t="s">
        <v>112</v>
      </c>
      <c r="I20" s="7">
        <v>1.0</v>
      </c>
      <c r="J20" s="7">
        <v>1.0</v>
      </c>
      <c r="K20" s="55">
        <v>44901.52554398148</v>
      </c>
    </row>
    <row r="21" ht="15.75" customHeight="1">
      <c r="A21" s="7" t="s">
        <v>129</v>
      </c>
      <c r="C21" s="7" t="s">
        <v>109</v>
      </c>
      <c r="D21" s="7">
        <v>47.641</v>
      </c>
      <c r="E21" s="7" t="s">
        <v>110</v>
      </c>
      <c r="F21" s="7">
        <v>0.028152</v>
      </c>
      <c r="G21" s="7" t="s">
        <v>111</v>
      </c>
      <c r="H21" s="7" t="s">
        <v>112</v>
      </c>
      <c r="I21" s="7">
        <v>1.0</v>
      </c>
      <c r="J21" s="7">
        <v>1.0</v>
      </c>
      <c r="K21" s="55">
        <v>44901.52590277778</v>
      </c>
    </row>
    <row r="22" ht="15.75" customHeight="1">
      <c r="A22" s="7" t="s">
        <v>130</v>
      </c>
      <c r="C22" s="7" t="s">
        <v>109</v>
      </c>
      <c r="D22" s="7">
        <v>67.923</v>
      </c>
      <c r="E22" s="7" t="s">
        <v>110</v>
      </c>
      <c r="F22" s="7">
        <v>0.040465</v>
      </c>
      <c r="G22" s="7" t="s">
        <v>111</v>
      </c>
      <c r="H22" s="7" t="s">
        <v>112</v>
      </c>
      <c r="I22" s="7">
        <v>1.0</v>
      </c>
      <c r="J22" s="7">
        <v>1.0</v>
      </c>
    </row>
    <row r="23" ht="15.75" customHeight="1">
      <c r="A23" s="7" t="s">
        <v>131</v>
      </c>
      <c r="C23" s="7" t="s">
        <v>109</v>
      </c>
      <c r="D23" s="7">
        <v>49.207</v>
      </c>
      <c r="E23" s="7" t="s">
        <v>110</v>
      </c>
      <c r="F23" s="7">
        <v>0.029103</v>
      </c>
      <c r="G23" s="7" t="s">
        <v>111</v>
      </c>
      <c r="H23" s="7" t="s">
        <v>112</v>
      </c>
      <c r="I23" s="7">
        <v>1.0</v>
      </c>
      <c r="J23" s="7">
        <v>1.0</v>
      </c>
      <c r="K23" s="55">
        <v>44901.52663194444</v>
      </c>
    </row>
    <row r="24" ht="15.75" customHeight="1">
      <c r="A24" s="7" t="s">
        <v>132</v>
      </c>
      <c r="C24" s="7" t="s">
        <v>109</v>
      </c>
      <c r="D24" s="7">
        <v>67.459</v>
      </c>
      <c r="E24" s="7" t="s">
        <v>110</v>
      </c>
      <c r="F24" s="7">
        <v>0.040183</v>
      </c>
      <c r="G24" s="7" t="s">
        <v>111</v>
      </c>
      <c r="H24" s="7" t="s">
        <v>112</v>
      </c>
      <c r="I24" s="7">
        <v>1.0</v>
      </c>
      <c r="J24" s="7">
        <v>1.0</v>
      </c>
      <c r="K24" s="55">
        <v>44901.52700231481</v>
      </c>
    </row>
    <row r="25" ht="15.75" customHeight="1">
      <c r="A25" s="7" t="s">
        <v>133</v>
      </c>
      <c r="C25" s="7" t="s">
        <v>109</v>
      </c>
      <c r="D25" s="7">
        <v>56.128</v>
      </c>
      <c r="E25" s="7" t="s">
        <v>110</v>
      </c>
      <c r="F25" s="7">
        <v>0.033304</v>
      </c>
      <c r="G25" s="7" t="s">
        <v>111</v>
      </c>
      <c r="H25" s="7" t="s">
        <v>112</v>
      </c>
      <c r="I25" s="7">
        <v>1.0</v>
      </c>
      <c r="J25" s="7">
        <v>1.0</v>
      </c>
      <c r="K25" s="55">
        <v>44901.52736111111</v>
      </c>
    </row>
    <row r="26" ht="15.75" customHeight="1">
      <c r="A26" s="7" t="s">
        <v>134</v>
      </c>
      <c r="C26" s="7" t="s">
        <v>109</v>
      </c>
      <c r="D26" s="7">
        <v>22.118</v>
      </c>
      <c r="E26" s="7" t="s">
        <v>110</v>
      </c>
      <c r="F26" s="7">
        <v>0.012657</v>
      </c>
      <c r="G26" s="7" t="s">
        <v>111</v>
      </c>
      <c r="H26" s="7" t="s">
        <v>112</v>
      </c>
      <c r="I26" s="7">
        <v>1.0</v>
      </c>
      <c r="J26" s="7">
        <v>1.0</v>
      </c>
      <c r="K26" s="55">
        <v>44901.52773148148</v>
      </c>
    </row>
    <row r="27" ht="15.75" customHeight="1">
      <c r="A27" s="7" t="s">
        <v>135</v>
      </c>
      <c r="C27" s="7" t="s">
        <v>109</v>
      </c>
      <c r="D27" s="7">
        <v>34.709</v>
      </c>
      <c r="E27" s="7" t="s">
        <v>110</v>
      </c>
      <c r="F27" s="7">
        <v>0.020301</v>
      </c>
      <c r="G27" s="7" t="s">
        <v>111</v>
      </c>
      <c r="H27" s="7" t="s">
        <v>112</v>
      </c>
      <c r="I27" s="7">
        <v>1.0</v>
      </c>
      <c r="J27" s="7">
        <v>1.0</v>
      </c>
      <c r="K27" s="55">
        <v>44901.52809027778</v>
      </c>
    </row>
    <row r="28" ht="15.75" customHeight="1">
      <c r="A28" s="7" t="s">
        <v>136</v>
      </c>
      <c r="C28" s="7" t="s">
        <v>109</v>
      </c>
      <c r="D28" s="7">
        <v>39.107</v>
      </c>
      <c r="E28" s="7" t="s">
        <v>110</v>
      </c>
      <c r="F28" s="7">
        <v>0.022971</v>
      </c>
      <c r="G28" s="7" t="s">
        <v>111</v>
      </c>
      <c r="H28" s="7" t="s">
        <v>112</v>
      </c>
      <c r="I28" s="7">
        <v>1.0</v>
      </c>
      <c r="J28" s="7">
        <v>1.0</v>
      </c>
      <c r="K28" s="55">
        <v>44901.528449074074</v>
      </c>
    </row>
    <row r="29" ht="15.75" customHeight="1">
      <c r="A29" s="7" t="s">
        <v>137</v>
      </c>
      <c r="C29" s="7" t="s">
        <v>109</v>
      </c>
      <c r="D29" s="7">
        <v>34.559</v>
      </c>
      <c r="E29" s="7" t="s">
        <v>110</v>
      </c>
      <c r="F29" s="7">
        <v>0.020209</v>
      </c>
      <c r="G29" s="7" t="s">
        <v>111</v>
      </c>
      <c r="H29" s="7" t="s">
        <v>112</v>
      </c>
      <c r="I29" s="7">
        <v>1.0</v>
      </c>
      <c r="J29" s="7">
        <v>1.0</v>
      </c>
      <c r="K29" s="55">
        <v>44901.52880787037</v>
      </c>
    </row>
    <row r="30" ht="15.75" customHeight="1">
      <c r="A30" s="7" t="s">
        <v>138</v>
      </c>
      <c r="C30" s="7" t="s">
        <v>109</v>
      </c>
      <c r="D30" s="7">
        <v>51.773</v>
      </c>
      <c r="E30" s="7" t="s">
        <v>110</v>
      </c>
      <c r="F30" s="7">
        <v>0.03066</v>
      </c>
      <c r="G30" s="7" t="s">
        <v>111</v>
      </c>
      <c r="H30" s="7" t="s">
        <v>112</v>
      </c>
      <c r="I30" s="7">
        <v>1.0</v>
      </c>
      <c r="J30" s="7">
        <v>1.0</v>
      </c>
      <c r="K30" s="55">
        <v>44901.52916666667</v>
      </c>
    </row>
    <row r="31" ht="15.75" customHeight="1">
      <c r="A31" s="7" t="s">
        <v>139</v>
      </c>
      <c r="C31" s="7" t="s">
        <v>109</v>
      </c>
      <c r="D31" s="7">
        <v>54.355</v>
      </c>
      <c r="E31" s="7" t="s">
        <v>110</v>
      </c>
      <c r="F31" s="7">
        <v>0.032228</v>
      </c>
      <c r="G31" s="7" t="s">
        <v>111</v>
      </c>
      <c r="H31" s="7" t="s">
        <v>112</v>
      </c>
      <c r="I31" s="7">
        <v>1.0</v>
      </c>
      <c r="J31" s="7">
        <v>1.0</v>
      </c>
      <c r="K31" s="55">
        <v>44901.52952546296</v>
      </c>
    </row>
    <row r="32" ht="15.75" customHeight="1">
      <c r="A32" s="7" t="s">
        <v>140</v>
      </c>
      <c r="C32" s="7" t="s">
        <v>109</v>
      </c>
      <c r="D32" s="7">
        <v>105.398</v>
      </c>
      <c r="E32" s="7" t="s">
        <v>110</v>
      </c>
      <c r="F32" s="7">
        <v>0.063215</v>
      </c>
      <c r="G32" s="7" t="s">
        <v>111</v>
      </c>
      <c r="H32" s="7" t="s">
        <v>112</v>
      </c>
      <c r="I32" s="7">
        <v>1.0</v>
      </c>
      <c r="J32" s="7">
        <v>1.0</v>
      </c>
      <c r="K32" s="55">
        <v>44901.52988425926</v>
      </c>
    </row>
    <row r="33" ht="15.75" customHeight="1">
      <c r="A33" s="7" t="s">
        <v>122</v>
      </c>
      <c r="C33" s="7" t="s">
        <v>109</v>
      </c>
      <c r="D33" s="7">
        <v>4.433</v>
      </c>
      <c r="E33" s="7" t="s">
        <v>110</v>
      </c>
      <c r="F33" s="7">
        <v>0.001921</v>
      </c>
      <c r="G33" s="7">
        <v>0.0</v>
      </c>
      <c r="H33" s="7" t="s">
        <v>112</v>
      </c>
      <c r="I33" s="7">
        <v>1.0</v>
      </c>
      <c r="J33" s="7">
        <v>1.0</v>
      </c>
      <c r="K33" s="55">
        <v>44901.530185185184</v>
      </c>
    </row>
    <row r="34" ht="15.75" customHeight="1">
      <c r="A34" s="7" t="s">
        <v>123</v>
      </c>
      <c r="C34" s="7" t="s">
        <v>109</v>
      </c>
      <c r="D34" s="7">
        <v>3.126</v>
      </c>
      <c r="E34" s="7" t="s">
        <v>110</v>
      </c>
      <c r="F34" s="7">
        <v>0.001127</v>
      </c>
      <c r="G34" s="7">
        <v>0.0</v>
      </c>
      <c r="H34" s="7" t="s">
        <v>112</v>
      </c>
      <c r="I34" s="7">
        <v>1.0</v>
      </c>
      <c r="J34" s="7">
        <v>1.0</v>
      </c>
      <c r="K34" s="55">
        <v>44901.53050925926</v>
      </c>
    </row>
    <row r="35" ht="15.75" customHeight="1">
      <c r="A35" s="7" t="s">
        <v>124</v>
      </c>
      <c r="C35" s="7" t="s">
        <v>109</v>
      </c>
      <c r="D35" s="7">
        <v>84.94</v>
      </c>
      <c r="E35" s="7" t="s">
        <v>110</v>
      </c>
      <c r="F35" s="7">
        <v>0.050795</v>
      </c>
      <c r="G35" s="7">
        <v>0.0</v>
      </c>
      <c r="H35" s="7" t="s">
        <v>112</v>
      </c>
      <c r="I35" s="7">
        <v>1.0</v>
      </c>
      <c r="J35" s="7">
        <v>1.0</v>
      </c>
      <c r="K35" s="55">
        <v>44901.53082175926</v>
      </c>
    </row>
    <row r="36" ht="15.75" customHeight="1">
      <c r="A36" s="7" t="s">
        <v>125</v>
      </c>
      <c r="C36" s="7" t="s">
        <v>109</v>
      </c>
      <c r="D36" s="7">
        <v>91.531</v>
      </c>
      <c r="E36" s="7" t="s">
        <v>110</v>
      </c>
      <c r="F36" s="7">
        <v>0.054797</v>
      </c>
      <c r="G36" s="7">
        <v>0.0</v>
      </c>
      <c r="H36" s="7" t="s">
        <v>112</v>
      </c>
      <c r="I36" s="7">
        <v>1.0</v>
      </c>
      <c r="J36" s="7">
        <v>1.0</v>
      </c>
      <c r="K36" s="55">
        <v>44901.53115740741</v>
      </c>
    </row>
    <row r="37" ht="15.75" customHeight="1">
      <c r="A37" s="7" t="s">
        <v>141</v>
      </c>
      <c r="C37" s="7" t="s">
        <v>109</v>
      </c>
      <c r="D37" s="7">
        <v>113.913</v>
      </c>
      <c r="E37" s="7" t="s">
        <v>110</v>
      </c>
      <c r="F37" s="7">
        <v>0.068384</v>
      </c>
      <c r="G37" s="7" t="s">
        <v>111</v>
      </c>
      <c r="H37" s="7" t="s">
        <v>112</v>
      </c>
      <c r="I37" s="7">
        <v>1.0</v>
      </c>
      <c r="J37" s="7">
        <v>1.0</v>
      </c>
      <c r="K37" s="55">
        <v>44901.531481481485</v>
      </c>
    </row>
    <row r="38" ht="15.75" customHeight="1">
      <c r="A38" s="7" t="s">
        <v>142</v>
      </c>
      <c r="C38" s="7" t="s">
        <v>109</v>
      </c>
      <c r="D38" s="7">
        <v>44.788</v>
      </c>
      <c r="E38" s="7" t="s">
        <v>110</v>
      </c>
      <c r="F38" s="7">
        <v>0.02642</v>
      </c>
      <c r="G38" s="7" t="s">
        <v>111</v>
      </c>
      <c r="H38" s="7" t="s">
        <v>112</v>
      </c>
      <c r="I38" s="7">
        <v>1.0</v>
      </c>
      <c r="J38" s="7">
        <v>1.0</v>
      </c>
      <c r="K38" s="55">
        <v>44901.531793981485</v>
      </c>
    </row>
    <row r="39" ht="15.75" customHeight="1">
      <c r="A39" s="7" t="s">
        <v>143</v>
      </c>
      <c r="C39" s="7" t="s">
        <v>109</v>
      </c>
      <c r="D39" s="7">
        <v>48.046</v>
      </c>
      <c r="E39" s="7" t="s">
        <v>110</v>
      </c>
      <c r="F39" s="7">
        <v>0.028398</v>
      </c>
      <c r="G39" s="7" t="s">
        <v>111</v>
      </c>
      <c r="H39" s="7" t="s">
        <v>112</v>
      </c>
      <c r="I39" s="7">
        <v>1.0</v>
      </c>
      <c r="J39" s="7">
        <v>1.0</v>
      </c>
      <c r="K39" s="55">
        <v>44901.53212962963</v>
      </c>
    </row>
    <row r="40" ht="15.75" customHeight="1">
      <c r="A40" s="7" t="s">
        <v>87</v>
      </c>
      <c r="C40" s="7" t="s">
        <v>109</v>
      </c>
      <c r="D40" s="7">
        <v>4.92</v>
      </c>
      <c r="E40" s="7" t="s">
        <v>110</v>
      </c>
      <c r="F40" s="7">
        <v>0.002216</v>
      </c>
      <c r="G40" s="7" t="s">
        <v>111</v>
      </c>
      <c r="H40" s="7" t="s">
        <v>112</v>
      </c>
      <c r="I40" s="7">
        <v>1.0</v>
      </c>
      <c r="J40" s="7">
        <v>1.0</v>
      </c>
      <c r="K40" s="55">
        <v>44901.53244212963</v>
      </c>
    </row>
    <row r="41" ht="15.75" customHeight="1">
      <c r="A41" s="7" t="s">
        <v>88</v>
      </c>
      <c r="C41" s="7" t="s">
        <v>109</v>
      </c>
      <c r="D41" s="7">
        <v>4.108</v>
      </c>
      <c r="E41" s="7" t="s">
        <v>110</v>
      </c>
      <c r="F41" s="7">
        <v>0.001723</v>
      </c>
      <c r="G41" s="7" t="s">
        <v>111</v>
      </c>
      <c r="H41" s="7" t="s">
        <v>112</v>
      </c>
      <c r="I41" s="7">
        <v>1.0</v>
      </c>
      <c r="J41" s="7">
        <v>1.0</v>
      </c>
      <c r="K41" s="55">
        <v>44901.53277777778</v>
      </c>
    </row>
    <row r="42" ht="15.75" customHeight="1">
      <c r="A42" s="7" t="s">
        <v>144</v>
      </c>
      <c r="C42" s="7" t="s">
        <v>109</v>
      </c>
      <c r="D42" s="7">
        <v>60.732</v>
      </c>
      <c r="E42" s="7" t="s">
        <v>110</v>
      </c>
      <c r="F42" s="7">
        <v>0.036099</v>
      </c>
      <c r="G42" s="7">
        <v>0.0</v>
      </c>
      <c r="H42" s="7" t="s">
        <v>112</v>
      </c>
      <c r="I42" s="7">
        <v>1.0</v>
      </c>
      <c r="J42" s="7">
        <v>1.0</v>
      </c>
      <c r="K42" s="55">
        <v>44901.53309027778</v>
      </c>
    </row>
    <row r="43" ht="15.75" customHeight="1">
      <c r="A43" s="7" t="s">
        <v>145</v>
      </c>
      <c r="C43" s="7" t="s">
        <v>109</v>
      </c>
      <c r="D43" s="7">
        <v>69.507</v>
      </c>
      <c r="E43" s="7" t="s">
        <v>110</v>
      </c>
      <c r="F43" s="7">
        <v>0.041426</v>
      </c>
      <c r="G43" s="7">
        <v>0.0</v>
      </c>
      <c r="H43" s="7" t="s">
        <v>112</v>
      </c>
      <c r="I43" s="7">
        <v>1.0</v>
      </c>
      <c r="J43" s="7">
        <v>1.0</v>
      </c>
      <c r="K43" s="55">
        <v>44901.533425925925</v>
      </c>
    </row>
    <row r="44" ht="15.75" customHeight="1">
      <c r="A44" s="7" t="s">
        <v>146</v>
      </c>
      <c r="C44" s="7" t="s">
        <v>109</v>
      </c>
      <c r="D44" s="7">
        <v>106.522</v>
      </c>
      <c r="E44" s="7" t="s">
        <v>110</v>
      </c>
      <c r="F44" s="7">
        <v>0.063897</v>
      </c>
      <c r="G44" s="7">
        <v>0.0</v>
      </c>
      <c r="H44" s="7" t="s">
        <v>112</v>
      </c>
      <c r="I44" s="7">
        <v>1.0</v>
      </c>
      <c r="J44" s="7">
        <v>1.0</v>
      </c>
      <c r="K44" s="55">
        <v>44901.533738425926</v>
      </c>
    </row>
    <row r="45" ht="15.75" customHeight="1">
      <c r="A45" s="7" t="s">
        <v>147</v>
      </c>
      <c r="C45" s="7" t="s">
        <v>109</v>
      </c>
      <c r="D45" s="7">
        <v>85.919</v>
      </c>
      <c r="E45" s="7" t="s">
        <v>110</v>
      </c>
      <c r="F45" s="7">
        <v>0.05139</v>
      </c>
      <c r="G45" s="7">
        <v>0.0</v>
      </c>
      <c r="H45" s="7" t="s">
        <v>112</v>
      </c>
      <c r="I45" s="7">
        <v>1.0</v>
      </c>
      <c r="J45" s="7">
        <v>1.0</v>
      </c>
      <c r="K45" s="55">
        <v>44901.53407407407</v>
      </c>
    </row>
    <row r="46" ht="15.75" customHeight="1">
      <c r="A46" s="7" t="s">
        <v>122</v>
      </c>
      <c r="C46" s="7" t="s">
        <v>109</v>
      </c>
      <c r="D46" s="7">
        <v>4.298</v>
      </c>
      <c r="E46" s="7" t="s">
        <v>110</v>
      </c>
      <c r="F46" s="7">
        <v>0.001839</v>
      </c>
      <c r="G46" s="7">
        <v>0.0</v>
      </c>
      <c r="H46" s="7" t="s">
        <v>112</v>
      </c>
      <c r="I46" s="7">
        <v>1.0</v>
      </c>
      <c r="J46" s="7">
        <v>1.0</v>
      </c>
      <c r="K46" s="55">
        <v>44901.53438657407</v>
      </c>
    </row>
    <row r="47" ht="15.75" customHeight="1">
      <c r="A47" s="7" t="s">
        <v>123</v>
      </c>
      <c r="C47" s="7" t="s">
        <v>109</v>
      </c>
      <c r="D47" s="7">
        <v>3.209</v>
      </c>
      <c r="E47" s="7" t="s">
        <v>110</v>
      </c>
      <c r="F47" s="7">
        <v>0.001177</v>
      </c>
      <c r="G47" s="7">
        <v>0.0</v>
      </c>
      <c r="H47" s="7" t="s">
        <v>112</v>
      </c>
      <c r="I47" s="7">
        <v>1.0</v>
      </c>
      <c r="J47" s="7">
        <v>1.0</v>
      </c>
      <c r="K47" s="55">
        <v>44901.53472222222</v>
      </c>
    </row>
    <row r="48" ht="15.75" customHeight="1">
      <c r="A48" s="7" t="s">
        <v>124</v>
      </c>
      <c r="C48" s="7" t="s">
        <v>109</v>
      </c>
      <c r="D48" s="7">
        <v>86.312</v>
      </c>
      <c r="E48" s="7" t="s">
        <v>110</v>
      </c>
      <c r="F48" s="7">
        <v>0.051628</v>
      </c>
      <c r="G48" s="7">
        <v>0.0</v>
      </c>
      <c r="H48" s="7" t="s">
        <v>112</v>
      </c>
      <c r="I48" s="7">
        <v>1.0</v>
      </c>
      <c r="J48" s="7">
        <v>1.0</v>
      </c>
      <c r="K48" s="55">
        <v>44901.53503472222</v>
      </c>
    </row>
    <row r="49" ht="15.75" customHeight="1">
      <c r="A49" s="7" t="s">
        <v>125</v>
      </c>
      <c r="C49" s="7" t="s">
        <v>109</v>
      </c>
      <c r="D49" s="7">
        <v>91.917</v>
      </c>
      <c r="E49" s="7" t="s">
        <v>110</v>
      </c>
      <c r="F49" s="7">
        <v>0.055031</v>
      </c>
      <c r="G49" s="7">
        <v>0.0</v>
      </c>
      <c r="H49" s="7" t="s">
        <v>112</v>
      </c>
      <c r="I49" s="7">
        <v>1.0</v>
      </c>
      <c r="J49" s="7">
        <v>1.0</v>
      </c>
      <c r="K49" s="55">
        <v>44901.53537037037</v>
      </c>
    </row>
    <row r="50" ht="15.75" customHeight="1">
      <c r="A50" s="7" t="s">
        <v>126</v>
      </c>
      <c r="C50" s="7" t="s">
        <v>109</v>
      </c>
      <c r="D50" s="7">
        <v>87.109</v>
      </c>
      <c r="E50" s="7" t="s">
        <v>110</v>
      </c>
      <c r="F50" s="7">
        <v>0.052112</v>
      </c>
      <c r="G50" s="7">
        <v>0.0</v>
      </c>
      <c r="H50" s="7" t="s">
        <v>112</v>
      </c>
      <c r="I50" s="7">
        <v>1.0</v>
      </c>
      <c r="J50" s="7">
        <v>1.0</v>
      </c>
      <c r="K50" s="55">
        <v>44901.53568287037</v>
      </c>
    </row>
    <row r="51" ht="15.75" customHeight="1">
      <c r="A51" s="7" t="s">
        <v>127</v>
      </c>
      <c r="C51" s="7" t="s">
        <v>109</v>
      </c>
      <c r="D51" s="7">
        <v>81.071</v>
      </c>
      <c r="E51" s="7" t="s">
        <v>110</v>
      </c>
      <c r="F51" s="7">
        <v>0.048447</v>
      </c>
      <c r="G51" s="7">
        <v>0.0</v>
      </c>
      <c r="H51" s="7" t="s">
        <v>112</v>
      </c>
      <c r="I51" s="7">
        <v>1.0</v>
      </c>
      <c r="J51" s="7">
        <v>1.0</v>
      </c>
      <c r="K51" s="55">
        <v>44901.53601851852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78"/>
    <col customWidth="1" min="12" max="26" width="10.56"/>
  </cols>
  <sheetData>
    <row r="1" ht="15.75" customHeight="1">
      <c r="A1" s="7" t="s">
        <v>2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28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7" t="s">
        <v>122</v>
      </c>
      <c r="B2" s="7"/>
      <c r="C2" s="7" t="s">
        <v>109</v>
      </c>
      <c r="D2" s="7">
        <v>3.13</v>
      </c>
      <c r="E2" s="7" t="s">
        <v>110</v>
      </c>
      <c r="F2" s="7">
        <v>0.001129</v>
      </c>
      <c r="G2" s="7">
        <v>0.0</v>
      </c>
      <c r="H2" s="7" t="s">
        <v>112</v>
      </c>
      <c r="I2" s="7">
        <v>1.0</v>
      </c>
      <c r="J2" s="7">
        <v>1.0</v>
      </c>
      <c r="K2" s="55">
        <v>44904.4621412037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7" t="s">
        <v>123</v>
      </c>
      <c r="B3" s="7"/>
      <c r="C3" s="7" t="s">
        <v>109</v>
      </c>
      <c r="D3" s="7">
        <v>5.672</v>
      </c>
      <c r="E3" s="7" t="s">
        <v>110</v>
      </c>
      <c r="F3" s="7">
        <v>0.002673</v>
      </c>
      <c r="G3" s="7">
        <v>0.0</v>
      </c>
      <c r="H3" s="7" t="s">
        <v>112</v>
      </c>
      <c r="I3" s="7">
        <v>1.0</v>
      </c>
      <c r="J3" s="7">
        <v>1.0</v>
      </c>
      <c r="K3" s="55">
        <v>44904.46251157407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7" t="s">
        <v>124</v>
      </c>
      <c r="B4" s="7"/>
      <c r="C4" s="7" t="s">
        <v>109</v>
      </c>
      <c r="D4" s="7">
        <v>82.237</v>
      </c>
      <c r="E4" s="7" t="s">
        <v>110</v>
      </c>
      <c r="F4" s="7">
        <v>0.049154</v>
      </c>
      <c r="G4" s="7">
        <v>0.0</v>
      </c>
      <c r="H4" s="7" t="s">
        <v>112</v>
      </c>
      <c r="I4" s="7">
        <v>1.0</v>
      </c>
      <c r="J4" s="7">
        <v>1.0</v>
      </c>
      <c r="K4" s="55">
        <v>44904.46288194445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7" t="s">
        <v>125</v>
      </c>
      <c r="B5" s="7"/>
      <c r="C5" s="7" t="s">
        <v>109</v>
      </c>
      <c r="D5" s="7">
        <v>91.132</v>
      </c>
      <c r="E5" s="7" t="s">
        <v>110</v>
      </c>
      <c r="F5" s="7">
        <v>0.054554</v>
      </c>
      <c r="G5" s="7">
        <v>0.0</v>
      </c>
      <c r="H5" s="7" t="s">
        <v>112</v>
      </c>
      <c r="I5" s="7">
        <v>1.0</v>
      </c>
      <c r="J5" s="7">
        <v>1.0</v>
      </c>
      <c r="K5" s="55">
        <v>44904.46318287037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7" t="s">
        <v>126</v>
      </c>
      <c r="B6" s="7"/>
      <c r="C6" s="7" t="s">
        <v>109</v>
      </c>
      <c r="D6" s="7">
        <v>85.945</v>
      </c>
      <c r="E6" s="7" t="s">
        <v>110</v>
      </c>
      <c r="F6" s="7">
        <v>0.051405</v>
      </c>
      <c r="G6" s="7">
        <v>0.0</v>
      </c>
      <c r="H6" s="7" t="s">
        <v>112</v>
      </c>
      <c r="I6" s="7">
        <v>1.0</v>
      </c>
      <c r="J6" s="7">
        <v>1.0</v>
      </c>
      <c r="K6" s="55">
        <v>44904.46349537037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7" t="s">
        <v>127</v>
      </c>
      <c r="B7" s="7"/>
      <c r="C7" s="7" t="s">
        <v>109</v>
      </c>
      <c r="D7" s="7">
        <v>79.411</v>
      </c>
      <c r="E7" s="7" t="s">
        <v>110</v>
      </c>
      <c r="F7" s="7">
        <v>0.047438</v>
      </c>
      <c r="G7" s="7">
        <v>0.0</v>
      </c>
      <c r="H7" s="7" t="s">
        <v>112</v>
      </c>
      <c r="I7" s="7">
        <v>1.0</v>
      </c>
      <c r="J7" s="7">
        <v>1.0</v>
      </c>
      <c r="K7" s="55">
        <v>44904.46381944444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7" t="s">
        <v>84</v>
      </c>
      <c r="B8" s="7"/>
      <c r="C8" s="7" t="s">
        <v>109</v>
      </c>
      <c r="D8" s="7">
        <v>3.559</v>
      </c>
      <c r="E8" s="7" t="s">
        <v>110</v>
      </c>
      <c r="F8" s="7">
        <v>0.00139</v>
      </c>
      <c r="G8" s="7" t="s">
        <v>111</v>
      </c>
      <c r="H8" s="7" t="s">
        <v>112</v>
      </c>
      <c r="I8" s="7">
        <v>1.0</v>
      </c>
      <c r="J8" s="7">
        <v>1.0</v>
      </c>
      <c r="K8" s="55">
        <v>44904.46414351852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 t="s">
        <v>85</v>
      </c>
      <c r="B9" s="7"/>
      <c r="C9" s="7" t="s">
        <v>109</v>
      </c>
      <c r="D9" s="7">
        <v>3.54</v>
      </c>
      <c r="E9" s="7" t="s">
        <v>110</v>
      </c>
      <c r="F9" s="7">
        <v>0.001379</v>
      </c>
      <c r="G9" s="7" t="s">
        <v>111</v>
      </c>
      <c r="H9" s="7" t="s">
        <v>112</v>
      </c>
      <c r="I9" s="7">
        <v>1.0</v>
      </c>
      <c r="J9" s="7">
        <v>1.0</v>
      </c>
      <c r="K9" s="55">
        <v>44904.464467592596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 t="s">
        <v>134</v>
      </c>
      <c r="B10" s="7"/>
      <c r="C10" s="7" t="s">
        <v>109</v>
      </c>
      <c r="D10" s="7">
        <v>21.488</v>
      </c>
      <c r="E10" s="7" t="s">
        <v>110</v>
      </c>
      <c r="F10" s="7">
        <v>0.012275</v>
      </c>
      <c r="G10" s="7" t="s">
        <v>111</v>
      </c>
      <c r="H10" s="7" t="s">
        <v>112</v>
      </c>
      <c r="I10" s="7">
        <v>1.0</v>
      </c>
      <c r="J10" s="7">
        <v>1.0</v>
      </c>
      <c r="K10" s="55">
        <v>44904.464791666665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 t="s">
        <v>135</v>
      </c>
      <c r="B11" s="7"/>
      <c r="C11" s="7" t="s">
        <v>109</v>
      </c>
      <c r="D11" s="7">
        <v>34.929</v>
      </c>
      <c r="E11" s="7" t="s">
        <v>110</v>
      </c>
      <c r="F11" s="7">
        <v>0.020434</v>
      </c>
      <c r="G11" s="7" t="s">
        <v>111</v>
      </c>
      <c r="H11" s="7" t="s">
        <v>112</v>
      </c>
      <c r="I11" s="7">
        <v>1.0</v>
      </c>
      <c r="J11" s="7">
        <v>1.0</v>
      </c>
      <c r="K11" s="55">
        <v>44904.46511574074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 t="s">
        <v>87</v>
      </c>
      <c r="B12" s="7"/>
      <c r="C12" s="7" t="s">
        <v>109</v>
      </c>
      <c r="D12" s="7">
        <v>4.421</v>
      </c>
      <c r="E12" s="7" t="s">
        <v>110</v>
      </c>
      <c r="F12" s="7">
        <v>0.001913</v>
      </c>
      <c r="G12" s="7" t="s">
        <v>111</v>
      </c>
      <c r="H12" s="7" t="s">
        <v>112</v>
      </c>
      <c r="I12" s="7">
        <v>1.0</v>
      </c>
      <c r="J12" s="7">
        <v>1.0</v>
      </c>
      <c r="K12" s="55">
        <v>44904.46543981481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 t="s">
        <v>88</v>
      </c>
      <c r="B13" s="7"/>
      <c r="C13" s="7" t="s">
        <v>109</v>
      </c>
      <c r="D13" s="7">
        <v>3.335</v>
      </c>
      <c r="E13" s="7" t="s">
        <v>110</v>
      </c>
      <c r="F13" s="7">
        <v>0.001254</v>
      </c>
      <c r="G13" s="7" t="s">
        <v>111</v>
      </c>
      <c r="H13" s="7" t="s">
        <v>112</v>
      </c>
      <c r="I13" s="7">
        <v>1.0</v>
      </c>
      <c r="J13" s="7">
        <v>1.0</v>
      </c>
      <c r="K13" s="55">
        <v>44904.46576388889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 t="s">
        <v>144</v>
      </c>
      <c r="B14" s="7"/>
      <c r="C14" s="7" t="s">
        <v>109</v>
      </c>
      <c r="D14" s="7">
        <v>60.349</v>
      </c>
      <c r="E14" s="7" t="s">
        <v>110</v>
      </c>
      <c r="F14" s="7">
        <v>0.035867</v>
      </c>
      <c r="G14" s="7">
        <v>0.0</v>
      </c>
      <c r="H14" s="7" t="s">
        <v>112</v>
      </c>
      <c r="I14" s="7">
        <v>1.0</v>
      </c>
      <c r="J14" s="7">
        <v>1.0</v>
      </c>
      <c r="K14" s="55">
        <v>44904.46608796297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 t="s">
        <v>145</v>
      </c>
      <c r="B15" s="7"/>
      <c r="C15" s="7" t="s">
        <v>109</v>
      </c>
      <c r="D15" s="7">
        <v>71.168</v>
      </c>
      <c r="E15" s="7" t="s">
        <v>110</v>
      </c>
      <c r="F15" s="7">
        <v>0.042435</v>
      </c>
      <c r="G15" s="7">
        <v>0.0</v>
      </c>
      <c r="H15" s="7" t="s">
        <v>112</v>
      </c>
      <c r="I15" s="7">
        <v>1.0</v>
      </c>
      <c r="J15" s="7">
        <v>1.0</v>
      </c>
      <c r="K15" s="55">
        <v>44904.46642361111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 t="s">
        <v>146</v>
      </c>
      <c r="B16" s="7"/>
      <c r="C16" s="7" t="s">
        <v>109</v>
      </c>
      <c r="D16" s="7">
        <v>115.743</v>
      </c>
      <c r="E16" s="7" t="s">
        <v>110</v>
      </c>
      <c r="F16" s="7">
        <v>0.069495</v>
      </c>
      <c r="G16" s="7">
        <v>0.0</v>
      </c>
      <c r="H16" s="7" t="s">
        <v>112</v>
      </c>
      <c r="I16" s="7">
        <v>1.0</v>
      </c>
      <c r="J16" s="7">
        <v>1.0</v>
      </c>
      <c r="K16" s="55">
        <v>44904.46673611111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 t="s">
        <v>147</v>
      </c>
      <c r="B17" s="7"/>
      <c r="C17" s="7" t="s">
        <v>109</v>
      </c>
      <c r="D17" s="7">
        <v>89.447</v>
      </c>
      <c r="E17" s="7" t="s">
        <v>110</v>
      </c>
      <c r="F17" s="7">
        <v>0.053531</v>
      </c>
      <c r="G17" s="7">
        <v>0.0</v>
      </c>
      <c r="H17" s="7" t="s">
        <v>112</v>
      </c>
      <c r="I17" s="7">
        <v>1.0</v>
      </c>
      <c r="J17" s="7">
        <v>1.0</v>
      </c>
      <c r="K17" s="55">
        <v>44904.46706018518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 t="s">
        <v>122</v>
      </c>
      <c r="B18" s="7"/>
      <c r="C18" s="7" t="s">
        <v>109</v>
      </c>
      <c r="D18" s="7">
        <v>3.601</v>
      </c>
      <c r="E18" s="7" t="s">
        <v>110</v>
      </c>
      <c r="F18" s="7">
        <v>0.001416</v>
      </c>
      <c r="G18" s="7">
        <v>0.0</v>
      </c>
      <c r="H18" s="7" t="s">
        <v>112</v>
      </c>
      <c r="I18" s="7">
        <v>1.0</v>
      </c>
      <c r="J18" s="7">
        <v>1.0</v>
      </c>
      <c r="K18" s="55">
        <v>44904.46738425926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 t="s">
        <v>123</v>
      </c>
      <c r="B19" s="7"/>
      <c r="C19" s="7" t="s">
        <v>109</v>
      </c>
      <c r="D19" s="7">
        <v>6.098</v>
      </c>
      <c r="E19" s="7" t="s">
        <v>110</v>
      </c>
      <c r="F19" s="7">
        <v>0.002931</v>
      </c>
      <c r="G19" s="7">
        <v>0.0</v>
      </c>
      <c r="H19" s="7" t="s">
        <v>112</v>
      </c>
      <c r="I19" s="7">
        <v>1.0</v>
      </c>
      <c r="J19" s="7">
        <v>1.0</v>
      </c>
      <c r="K19" s="55">
        <v>44904.46770833333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 t="s">
        <v>124</v>
      </c>
      <c r="B20" s="7"/>
      <c r="C20" s="7" t="s">
        <v>109</v>
      </c>
      <c r="D20" s="7">
        <v>84.485</v>
      </c>
      <c r="E20" s="7" t="s">
        <v>110</v>
      </c>
      <c r="F20" s="7">
        <v>0.050519</v>
      </c>
      <c r="G20" s="7">
        <v>0.0</v>
      </c>
      <c r="H20" s="7" t="s">
        <v>112</v>
      </c>
      <c r="I20" s="7">
        <v>1.0</v>
      </c>
      <c r="J20" s="7">
        <v>1.0</v>
      </c>
      <c r="K20" s="55">
        <v>44904.468043981484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 t="s">
        <v>125</v>
      </c>
      <c r="B21" s="7"/>
      <c r="C21" s="7" t="s">
        <v>109</v>
      </c>
      <c r="D21" s="7">
        <v>89.094</v>
      </c>
      <c r="E21" s="7" t="s">
        <v>110</v>
      </c>
      <c r="F21" s="7">
        <v>0.053317</v>
      </c>
      <c r="G21" s="7">
        <v>0.0</v>
      </c>
      <c r="H21" s="7" t="s">
        <v>112</v>
      </c>
      <c r="I21" s="7">
        <v>1.0</v>
      </c>
      <c r="J21" s="7">
        <v>1.0</v>
      </c>
      <c r="K21" s="55">
        <v>44904.468356481484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 t="s">
        <v>126</v>
      </c>
      <c r="B22" s="7"/>
      <c r="C22" s="7" t="s">
        <v>109</v>
      </c>
      <c r="D22" s="7">
        <v>86.214</v>
      </c>
      <c r="E22" s="7" t="s">
        <v>110</v>
      </c>
      <c r="F22" s="7">
        <v>0.051569</v>
      </c>
      <c r="G22" s="7">
        <v>0.0</v>
      </c>
      <c r="H22" s="7" t="s">
        <v>112</v>
      </c>
      <c r="I22" s="7">
        <v>1.0</v>
      </c>
      <c r="J22" s="7">
        <v>1.0</v>
      </c>
      <c r="K22" s="55">
        <v>44904.468680555554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 t="s">
        <v>127</v>
      </c>
      <c r="B23" s="7"/>
      <c r="C23" s="7" t="s">
        <v>109</v>
      </c>
      <c r="D23" s="7">
        <v>81.203</v>
      </c>
      <c r="E23" s="7" t="s">
        <v>110</v>
      </c>
      <c r="F23" s="7">
        <v>0.048527</v>
      </c>
      <c r="G23" s="7">
        <v>0.0</v>
      </c>
      <c r="H23" s="7" t="s">
        <v>112</v>
      </c>
      <c r="I23" s="7">
        <v>1.0</v>
      </c>
      <c r="J23" s="7">
        <v>1.0</v>
      </c>
      <c r="K23" s="55">
        <v>44904.46900462963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78"/>
    <col customWidth="1" min="2" max="26" width="10.44"/>
  </cols>
  <sheetData>
    <row r="1" ht="15.75" customHeight="1">
      <c r="A1" s="16" t="s">
        <v>2</v>
      </c>
      <c r="B1" s="16" t="s">
        <v>148</v>
      </c>
      <c r="C1" s="16" t="s">
        <v>149</v>
      </c>
      <c r="D1" s="16" t="s">
        <v>150</v>
      </c>
      <c r="E1" s="16" t="s">
        <v>151</v>
      </c>
      <c r="F1" s="16" t="s">
        <v>152</v>
      </c>
      <c r="G1" s="16" t="s">
        <v>96</v>
      </c>
      <c r="H1" s="16" t="s">
        <v>153</v>
      </c>
      <c r="J1" s="56" t="s">
        <v>154</v>
      </c>
    </row>
    <row r="2" ht="15.75" customHeight="1">
      <c r="A2" s="7" t="str">
        <f>Processed_data!A53</f>
        <v>1/21/22 AX MVT</v>
      </c>
      <c r="B2" s="38">
        <f>Processed_data!I53</f>
        <v>0.4404114539</v>
      </c>
      <c r="C2" s="38">
        <f>B2*(Filter_Masses!B4/Filter_Masses!C4)</f>
        <v>1.78667973</v>
      </c>
      <c r="D2" s="7">
        <v>10.0</v>
      </c>
      <c r="E2" s="27">
        <f t="shared" ref="E2:E19" si="1">C2/D2*1000</f>
        <v>178.667973</v>
      </c>
      <c r="F2" s="27">
        <f>AVERAGE(E2:E3)</f>
        <v>182.92944</v>
      </c>
      <c r="G2" s="57">
        <f>STDEV(E2:E3)</f>
        <v>6.026624429</v>
      </c>
      <c r="H2" s="58">
        <f>G2/F2</f>
        <v>0.03294507669</v>
      </c>
      <c r="J2" s="4">
        <f>_xlfn.T.TEST(E10:E11,E2:E3,2,2)</f>
        <v>0.01224804752</v>
      </c>
      <c r="K2" s="4">
        <f>0.05/4</f>
        <v>0.0125</v>
      </c>
    </row>
    <row r="3" ht="15.75" customHeight="1">
      <c r="B3" s="38">
        <f>Processed_data!I54</f>
        <v>0.4347064394</v>
      </c>
      <c r="C3" s="38">
        <f>B3*(Filter_Masses!B4/Filter_Masses!D4)</f>
        <v>1.87190907</v>
      </c>
      <c r="D3" s="7">
        <v>10.0</v>
      </c>
      <c r="E3" s="27">
        <f t="shared" si="1"/>
        <v>187.190907</v>
      </c>
    </row>
    <row r="4" ht="15.75" customHeight="1">
      <c r="A4" s="7" t="str">
        <f>Processed_data!A55</f>
        <v>1/21/22 AX NIES</v>
      </c>
      <c r="B4" s="38">
        <f>Processed_data!I55</f>
        <v>0.6377291079</v>
      </c>
      <c r="C4" s="38">
        <f>B4*(Filter_Masses!B5/Filter_Masses!C5)</f>
        <v>2.332389566</v>
      </c>
      <c r="D4" s="7">
        <v>10.0</v>
      </c>
      <c r="E4" s="27">
        <f t="shared" si="1"/>
        <v>233.2389566</v>
      </c>
      <c r="F4" s="27">
        <f>AVERAGE(E4:E5)</f>
        <v>216.6497412</v>
      </c>
      <c r="G4" s="57">
        <f>STDEV(E4:E5)</f>
        <v>23.46069329</v>
      </c>
      <c r="H4" s="58">
        <f>G4/F4</f>
        <v>0.1082885821</v>
      </c>
      <c r="J4" s="4">
        <f>_xlfn.T.TEST(E12:E13,E4:E5,2,2)</f>
        <v>0.3753806196</v>
      </c>
    </row>
    <row r="5" ht="15.75" customHeight="1">
      <c r="B5" s="38">
        <f>Processed_data!I56</f>
        <v>0.450386985</v>
      </c>
      <c r="C5" s="38">
        <f>B5*(Filter_Masses!B5/Filter_Masses!D5)</f>
        <v>2.000605259</v>
      </c>
      <c r="D5" s="7">
        <v>10.0</v>
      </c>
      <c r="E5" s="27">
        <f t="shared" si="1"/>
        <v>200.0605259</v>
      </c>
    </row>
    <row r="6" ht="15.75" customHeight="1">
      <c r="A6" s="7" t="str">
        <f>Processed_data!A57</f>
        <v>1/21/22 AX pcc</v>
      </c>
      <c r="B6" s="38">
        <f>Processed_data!I57</f>
        <v>0.6330793562</v>
      </c>
      <c r="C6" s="38">
        <f>B6*(Filter_Masses!B6/Filter_Masses!C6)</f>
        <v>2.470803641</v>
      </c>
      <c r="D6" s="7">
        <v>20.0</v>
      </c>
      <c r="E6" s="27">
        <f t="shared" si="1"/>
        <v>123.5401821</v>
      </c>
      <c r="F6" s="27">
        <f>AVERAGE(E6:E7)</f>
        <v>121.1944696</v>
      </c>
      <c r="G6" s="57">
        <f>STDEV(E6:E7)</f>
        <v>3.317338447</v>
      </c>
      <c r="H6" s="58">
        <f>G6/F6</f>
        <v>0.02737202827</v>
      </c>
      <c r="J6" s="4">
        <f>_xlfn.T.TEST(E14:E15,E6:E7,2,2)</f>
        <v>0.008779848298</v>
      </c>
    </row>
    <row r="7" ht="15.75" customHeight="1">
      <c r="B7" s="38">
        <f>Processed_data!I58</f>
        <v>0.5196550944</v>
      </c>
      <c r="C7" s="38">
        <f>B7*(Filter_Masses!B6/Filter_Masses!D6)</f>
        <v>2.376975141</v>
      </c>
      <c r="D7" s="7">
        <v>20.0</v>
      </c>
      <c r="E7" s="27">
        <f t="shared" si="1"/>
        <v>118.848757</v>
      </c>
    </row>
    <row r="8" ht="15.75" customHeight="1">
      <c r="A8" s="7" t="str">
        <f>Processed_data!A59</f>
        <v>1/21/22 AX WT</v>
      </c>
      <c r="B8" s="38">
        <f>Processed_data!I59</f>
        <v>0.1792174238</v>
      </c>
      <c r="C8" s="38">
        <f>B8*(Filter_Masses!B7/Filter_Masses!C7)</f>
        <v>0.6255610892</v>
      </c>
      <c r="D8" s="7">
        <v>10.0</v>
      </c>
      <c r="E8" s="27">
        <f t="shared" si="1"/>
        <v>62.55610892</v>
      </c>
      <c r="F8" s="27">
        <f>AVERAGE(E8:E9)</f>
        <v>90.01843118</v>
      </c>
      <c r="G8" s="57">
        <f>STDEV(E8:E9)</f>
        <v>38.83758859</v>
      </c>
      <c r="H8" s="58">
        <f>G8/F8</f>
        <v>0.4314404071</v>
      </c>
    </row>
    <row r="9" ht="15.75" customHeight="1">
      <c r="B9" s="38">
        <f>Processed_data!I60</f>
        <v>0.3052553738</v>
      </c>
      <c r="C9" s="38">
        <f>B9*(Filter_Masses!B7/Filter_Masses!D7)</f>
        <v>1.174807534</v>
      </c>
      <c r="D9" s="7">
        <v>10.0</v>
      </c>
      <c r="E9" s="27">
        <f t="shared" si="1"/>
        <v>117.4807534</v>
      </c>
    </row>
    <row r="10" ht="15.75" customHeight="1">
      <c r="A10" s="7" t="str">
        <f>Processed_data!A61</f>
        <v>1/21/22 XE MVT</v>
      </c>
      <c r="B10" s="38">
        <f>Processed_data!I61</f>
        <v>0.3492796185</v>
      </c>
      <c r="C10" s="38">
        <f>B10*(Filter_Masses!B8/Filter_Masses!C8)</f>
        <v>1.382884508</v>
      </c>
      <c r="D10" s="7">
        <v>10.0</v>
      </c>
      <c r="E10" s="27">
        <f t="shared" si="1"/>
        <v>138.2884508</v>
      </c>
      <c r="F10" s="27">
        <f>AVERAGE(E10:E11)</f>
        <v>135.0585968</v>
      </c>
      <c r="G10" s="57">
        <f>STDEV(E10:E11)</f>
        <v>4.567703354</v>
      </c>
      <c r="H10" s="58">
        <f>G10/F10</f>
        <v>0.03382016</v>
      </c>
    </row>
    <row r="11" ht="15.75" customHeight="1">
      <c r="B11" s="38">
        <f>Processed_data!I62</f>
        <v>0.3037384336</v>
      </c>
      <c r="C11" s="38">
        <f>B11*(Filter_Masses!B8/Filter_Masses!D8)</f>
        <v>1.318287428</v>
      </c>
      <c r="D11" s="7">
        <v>10.0</v>
      </c>
      <c r="E11" s="27">
        <f t="shared" si="1"/>
        <v>131.8287428</v>
      </c>
    </row>
    <row r="12" ht="15.75" customHeight="1">
      <c r="A12" s="7" t="str">
        <f>Processed_data!A63</f>
        <v>1/21/22 XE NIES</v>
      </c>
      <c r="B12" s="38">
        <f>Processed_data!I63</f>
        <v>0.4760595502</v>
      </c>
      <c r="C12" s="38">
        <f>B12*(Filter_Masses!B9/Filter_Masses!C9)</f>
        <v>2.051719064</v>
      </c>
      <c r="D12" s="7">
        <v>10.0</v>
      </c>
      <c r="E12" s="27">
        <f t="shared" si="1"/>
        <v>205.1719064</v>
      </c>
      <c r="F12" s="27">
        <f>AVERAGE(E12:E13)</f>
        <v>194.0715332</v>
      </c>
      <c r="G12" s="57">
        <f>STDEV(E12:E13)</f>
        <v>15.69829829</v>
      </c>
      <c r="H12" s="58">
        <f>G12/F12</f>
        <v>0.08088923723</v>
      </c>
    </row>
    <row r="13" ht="15.75" customHeight="1">
      <c r="B13" s="38">
        <f>Processed_data!I64</f>
        <v>0.5019134886</v>
      </c>
      <c r="C13" s="38">
        <f>B13*(Filter_Masses!B9/Filter_Masses!D9)</f>
        <v>1.8297116</v>
      </c>
      <c r="D13" s="7">
        <v>10.0</v>
      </c>
      <c r="E13" s="27">
        <f t="shared" si="1"/>
        <v>182.97116</v>
      </c>
    </row>
    <row r="14" ht="15.75" customHeight="1">
      <c r="A14" s="7" t="str">
        <f>Processed_data!A65</f>
        <v>1/21/22 XE pcc</v>
      </c>
      <c r="B14" s="38">
        <f>Processed_data!I65</f>
        <v>1.012842054</v>
      </c>
      <c r="C14" s="38">
        <f>B14*(Filter_Masses!B10/Filter_Masses!C10)</f>
        <v>4.104561423</v>
      </c>
      <c r="D14" s="7">
        <v>20.0</v>
      </c>
      <c r="E14" s="27">
        <f t="shared" si="1"/>
        <v>205.2280711</v>
      </c>
      <c r="F14" s="27">
        <f>AVERAGE(E14:E15)</f>
        <v>213.6249046</v>
      </c>
      <c r="G14" s="57">
        <f>STDEV(E14:E15)</f>
        <v>11.87491577</v>
      </c>
      <c r="H14" s="58">
        <f>G14/F14</f>
        <v>0.05558769371</v>
      </c>
    </row>
    <row r="15" ht="15.75" customHeight="1">
      <c r="B15" s="38">
        <f>Processed_data!I66</f>
        <v>1.098071013</v>
      </c>
      <c r="C15" s="38">
        <f>B15*(Filter_Masses!B10/Filter_Masses!D10)</f>
        <v>4.440434761</v>
      </c>
      <c r="D15" s="7">
        <v>20.0</v>
      </c>
      <c r="E15" s="27">
        <f t="shared" si="1"/>
        <v>222.0217381</v>
      </c>
    </row>
    <row r="16" ht="15.75" customHeight="1">
      <c r="A16" s="7" t="str">
        <f>Processed_data!A67</f>
        <v>1/21/22 XE WT</v>
      </c>
      <c r="B16" s="38">
        <f>Processed_data!I67</f>
        <v>0.40614839</v>
      </c>
      <c r="C16" s="38">
        <f>B16*(Filter_Masses!B11/Filter_Masses!C11)</f>
        <v>1.7069875</v>
      </c>
      <c r="D16" s="7">
        <v>20.0</v>
      </c>
      <c r="E16" s="27">
        <f t="shared" si="1"/>
        <v>85.34937502</v>
      </c>
      <c r="F16" s="27">
        <f>AVERAGE(E16:E17)</f>
        <v>82.91922681</v>
      </c>
      <c r="G16" s="57">
        <f>STDEV(E16:E17)</f>
        <v>3.436748559</v>
      </c>
      <c r="H16" s="58">
        <f>G16/F16</f>
        <v>0.04144694411</v>
      </c>
    </row>
    <row r="17" ht="15.75" customHeight="1">
      <c r="A17" s="43"/>
      <c r="B17" s="47">
        <f>Processed_data!I68</f>
        <v>0.4387626058</v>
      </c>
      <c r="C17" s="47">
        <f>B17*(Filter_Masses!B11/Filter_Masses!D11)</f>
        <v>1.609781572</v>
      </c>
      <c r="D17" s="43">
        <v>20.0</v>
      </c>
      <c r="E17" s="59">
        <f t="shared" si="1"/>
        <v>80.4890786</v>
      </c>
      <c r="F17" s="43"/>
      <c r="G17" s="43"/>
      <c r="H17" s="43"/>
    </row>
    <row r="18" ht="15.75" customHeight="1">
      <c r="A18" s="4" t="str">
        <f>Processed_data!A69</f>
        <v>1/21/22 AX WT rerun</v>
      </c>
      <c r="B18" s="38">
        <f>Processed_data!I69</f>
        <v>0.172918824</v>
      </c>
      <c r="C18" s="38">
        <f>B18*(Filter_Masses!B7/Filter_Masses!C7)</f>
        <v>0.6035757327</v>
      </c>
      <c r="D18" s="4">
        <v>10.0</v>
      </c>
      <c r="E18" s="27">
        <f t="shared" si="1"/>
        <v>60.35757327</v>
      </c>
      <c r="F18" s="27">
        <f>AVERAGE(E18:E19)</f>
        <v>89.34115679</v>
      </c>
      <c r="G18" s="57">
        <f>STDEV(E18:E19)</f>
        <v>40.98897691</v>
      </c>
      <c r="H18" s="58">
        <f>G18/F18</f>
        <v>0.4587916519</v>
      </c>
      <c r="I18" s="4" t="s">
        <v>155</v>
      </c>
      <c r="J18" s="4">
        <f>_xlfn.t.test(E16:E17,E18:E21,2,2)</f>
        <v>0.7962437787</v>
      </c>
    </row>
    <row r="19" ht="15.75" customHeight="1">
      <c r="B19" s="38">
        <f>Processed_data!I70</f>
        <v>0.3074483418</v>
      </c>
      <c r="C19" s="38">
        <f>B19*(Filter_Masses!B7/Filter_Masses!D7)</f>
        <v>1.183247403</v>
      </c>
      <c r="D19" s="4">
        <v>10.0</v>
      </c>
      <c r="E19" s="27">
        <f t="shared" si="1"/>
        <v>118.3247403</v>
      </c>
    </row>
    <row r="20" ht="15.75" customHeight="1">
      <c r="A20" s="4" t="s">
        <v>83</v>
      </c>
      <c r="B20" s="38">
        <v>0.17921742384539627</v>
      </c>
      <c r="C20" s="4">
        <v>0.6255610891947707</v>
      </c>
      <c r="D20" s="4">
        <v>10.0</v>
      </c>
      <c r="E20" s="4">
        <v>62.556108919477076</v>
      </c>
      <c r="F20" s="4">
        <v>90.01843117689795</v>
      </c>
      <c r="G20" s="4">
        <v>38.83758859070512</v>
      </c>
      <c r="H20" s="4">
        <v>0.43144040706935</v>
      </c>
    </row>
    <row r="21" ht="15.75" customHeight="1">
      <c r="B21" s="38">
        <v>0.30525537383037293</v>
      </c>
      <c r="C21" s="4">
        <v>1.1748075343431883</v>
      </c>
      <c r="D21" s="4">
        <v>10.0</v>
      </c>
      <c r="E21" s="4">
        <v>117.48075343431883</v>
      </c>
    </row>
    <row r="22" ht="15.75" customHeight="1">
      <c r="B22" s="3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H2 H4 H6 H8 H10 H12 H14 H16">
    <cfRule type="cellIs" dxfId="0" priority="1" operator="greaterThan">
      <formula>0.2</formula>
    </cfRule>
  </conditionalFormatting>
  <conditionalFormatting sqref="H2 H4 H6 H8 H10 H12 H14 H16">
    <cfRule type="cellIs" dxfId="1" priority="2" operator="greaterThan">
      <formula>0.15</formula>
    </cfRule>
  </conditionalFormatting>
  <conditionalFormatting sqref="H18">
    <cfRule type="cellIs" dxfId="0" priority="3" operator="greaterThan">
      <formula>0.2</formula>
    </cfRule>
  </conditionalFormatting>
  <conditionalFormatting sqref="H18">
    <cfRule type="cellIs" dxfId="1" priority="4" operator="greaterThan">
      <formula>0.15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2022-12-07T19:24:19Z</dcterms:created>
  <dc:creator>Kelly McCabe</dc:creator>
</cp:coreProperties>
</file>