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2432" windowHeight="9288"/>
  </bookViews>
  <sheets>
    <sheet name="Problem Setup" sheetId="1" r:id="rId1"/>
    <sheet name="Problem Solution" sheetId="2" r:id="rId2"/>
  </sheets>
  <definedNames>
    <definedName name="solver_adj" localSheetId="1" hidden="1">'Problem Solution'!$A$5:$F$5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'Problem Solution'!$A$5</definedName>
    <definedName name="solver_lhs10" localSheetId="1" hidden="1">'Problem Solution'!$C$5</definedName>
    <definedName name="solver_lhs11" localSheetId="1" hidden="1">'Problem Solution'!$C$5</definedName>
    <definedName name="solver_lhs12" localSheetId="1" hidden="1">'Problem Solution'!$D$5</definedName>
    <definedName name="solver_lhs13" localSheetId="1" hidden="1">'Problem Solution'!$D$5</definedName>
    <definedName name="solver_lhs14" localSheetId="1" hidden="1">'Problem Solution'!$E$5</definedName>
    <definedName name="solver_lhs15" localSheetId="1" hidden="1">'Problem Solution'!$E$5</definedName>
    <definedName name="solver_lhs16" localSheetId="1" hidden="1">'Problem Solution'!$F$5</definedName>
    <definedName name="solver_lhs17" localSheetId="1" hidden="1">'Problem Solution'!$F$5</definedName>
    <definedName name="solver_lhs2" localSheetId="1" hidden="1">'Problem Solution'!$A$5</definedName>
    <definedName name="solver_lhs3" localSheetId="1" hidden="1">'Problem Solution'!$B$17</definedName>
    <definedName name="solver_lhs4" localSheetId="1" hidden="1">'Problem Solution'!$B$19</definedName>
    <definedName name="solver_lhs5" localSheetId="1" hidden="1">'Problem Solution'!$B$5</definedName>
    <definedName name="solver_lhs6" localSheetId="1" hidden="1">'Problem Solution'!$B$5</definedName>
    <definedName name="solver_lhs7" localSheetId="1" hidden="1">'Problem Solution'!$B$95</definedName>
    <definedName name="solver_lhs8" localSheetId="1" hidden="1">'Problem Solution'!$B$97</definedName>
    <definedName name="solver_lhs9" localSheetId="1" hidden="1">'Problem Solution'!$B$99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17</definedName>
    <definedName name="solver_nwt" localSheetId="1" hidden="1">1</definedName>
    <definedName name="solver_opt" localSheetId="1" hidden="1">'Problem Solution'!$B$105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1</definedName>
    <definedName name="solver_rel11" localSheetId="1" hidden="1">3</definedName>
    <definedName name="solver_rel12" localSheetId="1" hidden="1">1</definedName>
    <definedName name="solver_rel13" localSheetId="1" hidden="1">3</definedName>
    <definedName name="solver_rel14" localSheetId="1" hidden="1">1</definedName>
    <definedName name="solver_rel15" localSheetId="1" hidden="1">3</definedName>
    <definedName name="solver_rel16" localSheetId="1" hidden="1">1</definedName>
    <definedName name="solver_rel17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'Problem Solution'!$H$45</definedName>
    <definedName name="solver_rhs10" localSheetId="1" hidden="1">'Problem Solution'!$C$51</definedName>
    <definedName name="solver_rhs11" localSheetId="1" hidden="1">0</definedName>
    <definedName name="solver_rhs12" localSheetId="1" hidden="1">'Problem Solution'!$G$54</definedName>
    <definedName name="solver_rhs13" localSheetId="1" hidden="1">0</definedName>
    <definedName name="solver_rhs14" localSheetId="1" hidden="1">'Problem Solution'!$C$57</definedName>
    <definedName name="solver_rhs15" localSheetId="1" hidden="1">0</definedName>
    <definedName name="solver_rhs16" localSheetId="1" hidden="1">'Problem Solution'!$C$40</definedName>
    <definedName name="solver_rhs17" localSheetId="1" hidden="1">0</definedName>
    <definedName name="solver_rhs2" localSheetId="1" hidden="1">0</definedName>
    <definedName name="solver_rhs3" localSheetId="1" hidden="1">'Problem Solution'!$K$11</definedName>
    <definedName name="solver_rhs4" localSheetId="1" hidden="1">'Problem Solution'!$I$14</definedName>
    <definedName name="solver_rhs5" localSheetId="1" hidden="1">'Problem Solution'!$H$48</definedName>
    <definedName name="solver_rhs6" localSheetId="1" hidden="1">0</definedName>
    <definedName name="solver_rhs7" localSheetId="1" hidden="1">'Problem Solution'!$J$86</definedName>
    <definedName name="solver_rhs8" localSheetId="1" hidden="1">'Problem Solution'!$G$89</definedName>
    <definedName name="solver_rhs9" localSheetId="1" hidden="1">'Problem Solution'!$H$92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H6" i="2" l="1"/>
  <c r="H5" i="2"/>
  <c r="J4" i="2"/>
  <c r="A6" i="2"/>
  <c r="F108" i="2" l="1"/>
  <c r="F106" i="2"/>
  <c r="F105" i="2"/>
  <c r="F6" i="2"/>
  <c r="B6" i="2"/>
  <c r="D6" i="2"/>
  <c r="F107" i="2"/>
  <c r="J6" i="2" l="1"/>
  <c r="J5" i="2"/>
  <c r="C30" i="2"/>
  <c r="C41" i="2"/>
  <c r="C40" i="2"/>
  <c r="D39" i="2" s="1"/>
  <c r="C38" i="2"/>
  <c r="C35" i="2"/>
  <c r="C32" i="2"/>
  <c r="C29" i="2"/>
  <c r="B28" i="2"/>
  <c r="C27" i="2" s="1"/>
  <c r="C26" i="2"/>
  <c r="C93" i="2"/>
  <c r="D93" i="2" s="1"/>
  <c r="E93" i="2" s="1"/>
  <c r="F93" i="2" s="1"/>
  <c r="G93" i="2" s="1"/>
  <c r="H93" i="2" s="1"/>
  <c r="C90" i="2"/>
  <c r="D90" i="2" s="1"/>
  <c r="E90" i="2" s="1"/>
  <c r="F90" i="2" s="1"/>
  <c r="G90" i="2" s="1"/>
  <c r="C87" i="2"/>
  <c r="D87" i="2" s="1"/>
  <c r="E87" i="2" s="1"/>
  <c r="F87" i="2" s="1"/>
  <c r="G87" i="2" s="1"/>
  <c r="H87" i="2" s="1"/>
  <c r="I87" i="2" s="1"/>
  <c r="J87" i="2" s="1"/>
  <c r="H92" i="2"/>
  <c r="I91" i="2" s="1"/>
  <c r="G92" i="2"/>
  <c r="H91" i="2" s="1"/>
  <c r="F92" i="2"/>
  <c r="G91" i="2" s="1"/>
  <c r="E92" i="2"/>
  <c r="F91" i="2" s="1"/>
  <c r="D92" i="2"/>
  <c r="E91" i="2" s="1"/>
  <c r="C92" i="2"/>
  <c r="D91" i="2" s="1"/>
  <c r="B92" i="2"/>
  <c r="C91" i="2" s="1"/>
  <c r="G89" i="2"/>
  <c r="H88" i="2" s="1"/>
  <c r="F89" i="2"/>
  <c r="G88" i="2" s="1"/>
  <c r="E89" i="2"/>
  <c r="F88" i="2" s="1"/>
  <c r="D89" i="2"/>
  <c r="E88" i="2" s="1"/>
  <c r="C89" i="2"/>
  <c r="D88" i="2" s="1"/>
  <c r="B89" i="2"/>
  <c r="C88" i="2" s="1"/>
  <c r="J86" i="2"/>
  <c r="K85" i="2" s="1"/>
  <c r="I86" i="2"/>
  <c r="J85" i="2" s="1"/>
  <c r="H86" i="2"/>
  <c r="I85" i="2" s="1"/>
  <c r="G86" i="2"/>
  <c r="H85" i="2" s="1"/>
  <c r="F86" i="2"/>
  <c r="G85" i="2" s="1"/>
  <c r="E86" i="2"/>
  <c r="F85" i="2" s="1"/>
  <c r="D86" i="2"/>
  <c r="E85" i="2" s="1"/>
  <c r="C86" i="2"/>
  <c r="D85" i="2" s="1"/>
  <c r="B86" i="2"/>
  <c r="C85" i="2" s="1"/>
  <c r="H61" i="2"/>
  <c r="G61" i="2"/>
  <c r="F61" i="2"/>
  <c r="E61" i="2"/>
  <c r="D61" i="2"/>
  <c r="C61" i="2"/>
  <c r="H60" i="2"/>
  <c r="I59" i="2" s="1"/>
  <c r="G60" i="2"/>
  <c r="H59" i="2" s="1"/>
  <c r="F60" i="2"/>
  <c r="G59" i="2" s="1"/>
  <c r="E60" i="2"/>
  <c r="F59" i="2" s="1"/>
  <c r="D60" i="2"/>
  <c r="E59" i="2" s="1"/>
  <c r="C60" i="2"/>
  <c r="D59" i="2" s="1"/>
  <c r="B61" i="2"/>
  <c r="B60" i="2"/>
  <c r="C59" i="2" s="1"/>
  <c r="C58" i="2"/>
  <c r="C57" i="2"/>
  <c r="D56" i="2" s="1"/>
  <c r="B58" i="2"/>
  <c r="B57" i="2"/>
  <c r="C56" i="2" s="1"/>
  <c r="G55" i="2"/>
  <c r="F55" i="2"/>
  <c r="E55" i="2"/>
  <c r="D55" i="2"/>
  <c r="C55" i="2"/>
  <c r="G54" i="2"/>
  <c r="H53" i="2" s="1"/>
  <c r="F54" i="2"/>
  <c r="G53" i="2" s="1"/>
  <c r="E54" i="2"/>
  <c r="F53" i="2" s="1"/>
  <c r="D54" i="2"/>
  <c r="E53" i="2" s="1"/>
  <c r="C54" i="2"/>
  <c r="D53" i="2" s="1"/>
  <c r="B55" i="2"/>
  <c r="B54" i="2"/>
  <c r="C53" i="2" s="1"/>
  <c r="C52" i="2"/>
  <c r="C51" i="2"/>
  <c r="D50" i="2" s="1"/>
  <c r="B52" i="2"/>
  <c r="B51" i="2"/>
  <c r="C50" i="2" s="1"/>
  <c r="H49" i="2"/>
  <c r="H48" i="2"/>
  <c r="I47" i="2" s="1"/>
  <c r="G49" i="2"/>
  <c r="G48" i="2"/>
  <c r="H47" i="2" s="1"/>
  <c r="F49" i="2"/>
  <c r="F48" i="2"/>
  <c r="G47" i="2" s="1"/>
  <c r="E49" i="2"/>
  <c r="E48" i="2"/>
  <c r="F47" i="2" s="1"/>
  <c r="D49" i="2"/>
  <c r="D48" i="2"/>
  <c r="E47" i="2" s="1"/>
  <c r="C49" i="2"/>
  <c r="C48" i="2"/>
  <c r="D47" i="2" s="1"/>
  <c r="B49" i="2"/>
  <c r="B48" i="2"/>
  <c r="C47" i="2" s="1"/>
  <c r="H46" i="2"/>
  <c r="G46" i="2"/>
  <c r="F46" i="2"/>
  <c r="E46" i="2"/>
  <c r="D46" i="2"/>
  <c r="C46" i="2"/>
  <c r="H45" i="2"/>
  <c r="I44" i="2" s="1"/>
  <c r="G45" i="2"/>
  <c r="H44" i="2" s="1"/>
  <c r="F45" i="2"/>
  <c r="G44" i="2" s="1"/>
  <c r="E45" i="2"/>
  <c r="F44" i="2" s="1"/>
  <c r="D45" i="2"/>
  <c r="E44" i="2" s="1"/>
  <c r="C45" i="2"/>
  <c r="D44" i="2" s="1"/>
  <c r="B46" i="2"/>
  <c r="B45" i="2"/>
  <c r="C44" i="2" s="1"/>
  <c r="I14" i="2"/>
  <c r="J13" i="2" s="1"/>
  <c r="H14" i="2"/>
  <c r="I13" i="2" s="1"/>
  <c r="G14" i="2"/>
  <c r="H13" i="2" s="1"/>
  <c r="F14" i="2"/>
  <c r="G13" i="2" s="1"/>
  <c r="E14" i="2"/>
  <c r="F13" i="2" s="1"/>
  <c r="D14" i="2"/>
  <c r="E13" i="2" s="1"/>
  <c r="C14" i="2"/>
  <c r="D13" i="2" s="1"/>
  <c r="B14" i="2"/>
  <c r="C13" i="2" s="1"/>
  <c r="K11" i="2"/>
  <c r="L10" i="2" s="1"/>
  <c r="J11" i="2"/>
  <c r="K10" i="2" s="1"/>
  <c r="I11" i="2"/>
  <c r="J10" i="2" s="1"/>
  <c r="H11" i="2"/>
  <c r="I10" i="2" s="1"/>
  <c r="G11" i="2"/>
  <c r="H10" i="2" s="1"/>
  <c r="F11" i="2"/>
  <c r="G10" i="2" s="1"/>
  <c r="E11" i="2"/>
  <c r="F10" i="2" s="1"/>
  <c r="D11" i="2"/>
  <c r="E10" i="2" s="1"/>
  <c r="C11" i="2"/>
  <c r="D10" i="2" s="1"/>
  <c r="B11" i="2"/>
  <c r="C10" i="2" s="1"/>
  <c r="B40" i="2"/>
  <c r="C39" i="2" s="1"/>
  <c r="C37" i="2"/>
  <c r="D36" i="2" s="1"/>
  <c r="B37" i="2"/>
  <c r="C36" i="2" s="1"/>
  <c r="C34" i="2"/>
  <c r="D33" i="2" s="1"/>
  <c r="B34" i="2"/>
  <c r="C33" i="2" s="1"/>
  <c r="C31" i="2"/>
  <c r="D30" i="2" s="1"/>
  <c r="C28" i="2"/>
  <c r="D27" i="2" s="1"/>
  <c r="C25" i="2"/>
  <c r="D24" i="2" s="1"/>
  <c r="B25" i="2"/>
  <c r="C24" i="2" s="1"/>
  <c r="B78" i="2"/>
  <c r="E6" i="2"/>
  <c r="B75" i="2" s="1"/>
  <c r="B77" i="2" s="1"/>
  <c r="B72" i="2"/>
  <c r="C6" i="2"/>
  <c r="B69" i="2" s="1"/>
  <c r="B71" i="2" s="1"/>
  <c r="B66" i="2"/>
  <c r="B67" i="2" s="1"/>
  <c r="B63" i="2"/>
  <c r="B65" i="2" l="1"/>
  <c r="B68" i="2"/>
  <c r="B97" i="2" s="1"/>
  <c r="B98" i="2" s="1"/>
  <c r="B80" i="2"/>
  <c r="B99" i="2" s="1"/>
  <c r="B100" i="2" s="1"/>
  <c r="B74" i="2"/>
  <c r="B79" i="2"/>
  <c r="B73" i="2"/>
  <c r="B64" i="2"/>
  <c r="B70" i="2"/>
  <c r="B76" i="2"/>
  <c r="C15" i="2"/>
  <c r="D15" i="2" s="1"/>
  <c r="E15" i="2" s="1"/>
  <c r="F15" i="2" s="1"/>
  <c r="G15" i="2" s="1"/>
  <c r="H15" i="2" s="1"/>
  <c r="I15" i="2" s="1"/>
  <c r="C12" i="2"/>
  <c r="D12" i="2" s="1"/>
  <c r="E12" i="2" s="1"/>
  <c r="F12" i="2" s="1"/>
  <c r="G12" i="2" s="1"/>
  <c r="B17" i="2"/>
  <c r="B19" i="2"/>
  <c r="B51" i="1"/>
  <c r="B49" i="1"/>
  <c r="B47" i="1"/>
  <c r="B20" i="2" l="1"/>
  <c r="B95" i="2"/>
  <c r="B96" i="2" s="1"/>
  <c r="B101" i="2" s="1"/>
  <c r="H12" i="2"/>
  <c r="B81" i="2"/>
  <c r="I12" i="2"/>
  <c r="J12" i="2" s="1"/>
  <c r="K12" i="2" s="1"/>
  <c r="C132" i="1"/>
  <c r="B132" i="1"/>
  <c r="C131" i="1"/>
  <c r="B131" i="1"/>
  <c r="C129" i="1"/>
  <c r="B129" i="1"/>
  <c r="C128" i="1"/>
  <c r="B128" i="1"/>
  <c r="C126" i="1"/>
  <c r="B126" i="1"/>
  <c r="C125" i="1"/>
  <c r="B125" i="1"/>
  <c r="C123" i="1"/>
  <c r="B123" i="1"/>
  <c r="C122" i="1"/>
  <c r="B122" i="1"/>
  <c r="C120" i="1"/>
  <c r="B120" i="1"/>
  <c r="C119" i="1"/>
  <c r="B119" i="1"/>
  <c r="C117" i="1"/>
  <c r="B117" i="1"/>
  <c r="C116" i="1"/>
  <c r="B116" i="1"/>
  <c r="H54" i="1"/>
  <c r="H99" i="1" s="1"/>
  <c r="C77" i="1"/>
  <c r="C75" i="1"/>
  <c r="C73" i="1"/>
  <c r="C71" i="1"/>
  <c r="C69" i="1"/>
  <c r="C67" i="1"/>
  <c r="B77" i="1"/>
  <c r="B75" i="1"/>
  <c r="B73" i="1"/>
  <c r="B71" i="1"/>
  <c r="B69" i="1"/>
  <c r="B67" i="1"/>
  <c r="H114" i="1"/>
  <c r="H113" i="1"/>
  <c r="G113" i="1"/>
  <c r="F113" i="1"/>
  <c r="E113" i="1"/>
  <c r="D114" i="1"/>
  <c r="D113" i="1"/>
  <c r="C113" i="1"/>
  <c r="B113" i="1"/>
  <c r="C111" i="1"/>
  <c r="C110" i="1"/>
  <c r="B111" i="1"/>
  <c r="B110" i="1"/>
  <c r="G107" i="1"/>
  <c r="F107" i="1"/>
  <c r="E107" i="1"/>
  <c r="D108" i="1"/>
  <c r="D107" i="1"/>
  <c r="C107" i="1"/>
  <c r="B107" i="1"/>
  <c r="C105" i="1"/>
  <c r="C104" i="1"/>
  <c r="B105" i="1"/>
  <c r="B104" i="1"/>
  <c r="H101" i="1"/>
  <c r="G101" i="1"/>
  <c r="F101" i="1"/>
  <c r="E102" i="1"/>
  <c r="E101" i="1"/>
  <c r="D101" i="1"/>
  <c r="C101" i="1"/>
  <c r="B101" i="1"/>
  <c r="H98" i="1"/>
  <c r="G98" i="1"/>
  <c r="F98" i="1"/>
  <c r="E98" i="1"/>
  <c r="D98" i="1"/>
  <c r="C98" i="1"/>
  <c r="B98" i="1"/>
  <c r="H96" i="1"/>
  <c r="H95" i="1"/>
  <c r="G95" i="1"/>
  <c r="F95" i="1"/>
  <c r="E95" i="1"/>
  <c r="D95" i="1"/>
  <c r="C95" i="1"/>
  <c r="B95" i="1"/>
  <c r="G92" i="1"/>
  <c r="F93" i="1"/>
  <c r="F92" i="1"/>
  <c r="E92" i="1"/>
  <c r="D92" i="1"/>
  <c r="C92" i="1"/>
  <c r="B93" i="1"/>
  <c r="B92" i="1"/>
  <c r="J89" i="1"/>
  <c r="I89" i="1"/>
  <c r="H89" i="1"/>
  <c r="G89" i="1"/>
  <c r="F89" i="1"/>
  <c r="E89" i="1"/>
  <c r="D89" i="1"/>
  <c r="C89" i="1"/>
  <c r="B89" i="1"/>
  <c r="I87" i="1"/>
  <c r="I86" i="1"/>
  <c r="H87" i="1"/>
  <c r="H86" i="1"/>
  <c r="G87" i="1"/>
  <c r="G86" i="1"/>
  <c r="F87" i="1"/>
  <c r="F86" i="1"/>
  <c r="E87" i="1"/>
  <c r="E86" i="1"/>
  <c r="D87" i="1"/>
  <c r="D86" i="1"/>
  <c r="C87" i="1"/>
  <c r="C86" i="1"/>
  <c r="B87" i="1"/>
  <c r="B86" i="1"/>
  <c r="K84" i="1"/>
  <c r="K83" i="1"/>
  <c r="J84" i="1"/>
  <c r="J83" i="1"/>
  <c r="I84" i="1"/>
  <c r="I83" i="1"/>
  <c r="H84" i="1"/>
  <c r="H83" i="1"/>
  <c r="G84" i="1"/>
  <c r="G83" i="1"/>
  <c r="F84" i="1"/>
  <c r="F83" i="1"/>
  <c r="E84" i="1"/>
  <c r="E83" i="1"/>
  <c r="D84" i="1"/>
  <c r="D83" i="1"/>
  <c r="C84" i="1"/>
  <c r="C83" i="1"/>
  <c r="B84" i="1"/>
  <c r="B83" i="1"/>
  <c r="H64" i="1"/>
  <c r="G64" i="1"/>
  <c r="G114" i="1" s="1"/>
  <c r="F64" i="1"/>
  <c r="F114" i="1" s="1"/>
  <c r="E64" i="1"/>
  <c r="E114" i="1" s="1"/>
  <c r="D64" i="1"/>
  <c r="C64" i="1"/>
  <c r="C114" i="1" s="1"/>
  <c r="B64" i="1"/>
  <c r="B114" i="1" s="1"/>
  <c r="G60" i="1"/>
  <c r="G108" i="1" s="1"/>
  <c r="F60" i="1"/>
  <c r="F108" i="1" s="1"/>
  <c r="E60" i="1"/>
  <c r="E108" i="1" s="1"/>
  <c r="D60" i="1"/>
  <c r="C60" i="1"/>
  <c r="C108" i="1" s="1"/>
  <c r="B60" i="1"/>
  <c r="B108" i="1" s="1"/>
  <c r="H56" i="1"/>
  <c r="H102" i="1" s="1"/>
  <c r="G56" i="1"/>
  <c r="G102" i="1" s="1"/>
  <c r="F56" i="1"/>
  <c r="F102" i="1" s="1"/>
  <c r="E56" i="1"/>
  <c r="D56" i="1"/>
  <c r="D102" i="1" s="1"/>
  <c r="C56" i="1"/>
  <c r="C102" i="1" s="1"/>
  <c r="B56" i="1"/>
  <c r="B102" i="1" s="1"/>
  <c r="G54" i="1"/>
  <c r="G99" i="1" s="1"/>
  <c r="F54" i="1"/>
  <c r="F99" i="1" s="1"/>
  <c r="E54" i="1"/>
  <c r="E99" i="1" s="1"/>
  <c r="D54" i="1"/>
  <c r="D99" i="1" s="1"/>
  <c r="C54" i="1"/>
  <c r="C99" i="1" s="1"/>
  <c r="B54" i="1"/>
  <c r="B99" i="1" s="1"/>
  <c r="H51" i="1"/>
  <c r="G51" i="1"/>
  <c r="G96" i="1" s="1"/>
  <c r="F51" i="1"/>
  <c r="F96" i="1" s="1"/>
  <c r="E51" i="1"/>
  <c r="E96" i="1" s="1"/>
  <c r="D51" i="1"/>
  <c r="D96" i="1" s="1"/>
  <c r="C51" i="1"/>
  <c r="C96" i="1" s="1"/>
  <c r="B96" i="1"/>
  <c r="G49" i="1"/>
  <c r="G93" i="1" s="1"/>
  <c r="F49" i="1"/>
  <c r="E49" i="1"/>
  <c r="E93" i="1" s="1"/>
  <c r="D49" i="1"/>
  <c r="D93" i="1" s="1"/>
  <c r="C49" i="1"/>
  <c r="C93" i="1" s="1"/>
  <c r="J47" i="1"/>
  <c r="J90" i="1" s="1"/>
  <c r="I47" i="1"/>
  <c r="I90" i="1" s="1"/>
  <c r="H47" i="1"/>
  <c r="H90" i="1" s="1"/>
  <c r="G47" i="1"/>
  <c r="G90" i="1" s="1"/>
  <c r="F47" i="1"/>
  <c r="F90" i="1" s="1"/>
  <c r="E47" i="1"/>
  <c r="E90" i="1" s="1"/>
  <c r="D47" i="1"/>
  <c r="D90" i="1" s="1"/>
  <c r="C47" i="1"/>
  <c r="C90" i="1" s="1"/>
  <c r="B90" i="1"/>
  <c r="I44" i="1"/>
  <c r="H44" i="1"/>
  <c r="G44" i="1"/>
  <c r="F44" i="1"/>
  <c r="E44" i="1"/>
  <c r="D44" i="1"/>
  <c r="C44" i="1"/>
  <c r="B44" i="1"/>
  <c r="K42" i="1"/>
  <c r="J42" i="1"/>
  <c r="I42" i="1"/>
  <c r="H42" i="1"/>
  <c r="G42" i="1"/>
  <c r="F42" i="1"/>
  <c r="E42" i="1"/>
  <c r="D42" i="1"/>
  <c r="C42" i="1"/>
  <c r="B42" i="1"/>
  <c r="B18" i="2" l="1"/>
  <c r="B21" i="2" s="1"/>
  <c r="B103" i="2" s="1"/>
  <c r="B105" i="2" s="1"/>
</calcChain>
</file>

<file path=xl/comments1.xml><?xml version="1.0" encoding="utf-8"?>
<comments xmlns="http://schemas.openxmlformats.org/spreadsheetml/2006/main">
  <authors>
    <author>John</author>
  </authors>
  <commentList>
    <comment ref="K4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available water for supply node 1
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flow availability for supply node 2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water volume at Demand Node 1
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of water volume at Demand Node 2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Upper limit on water volume at Demand Node 3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1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2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1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H6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3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1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2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3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1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2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3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Ns = Number of Supply Nodes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Nd = Number of Demand Nodes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1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2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1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2</t>
        </r>
      </text>
    </comment>
    <comment ref="B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3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transportation costs from Supply node 1 to Demand node 1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</commentList>
</comments>
</file>

<file path=xl/sharedStrings.xml><?xml version="1.0" encoding="utf-8"?>
<sst xmlns="http://schemas.openxmlformats.org/spreadsheetml/2006/main" count="290" uniqueCount="222">
  <si>
    <t>The data input streams are:</t>
  </si>
  <si>
    <t>(1) - Number of supply nodes and number of demand nodes, NS and ND</t>
  </si>
  <si>
    <t>(3) - The marginal price function for the water demand nodes, enterred as ND arrays of Flows and Margincal Prices</t>
  </si>
  <si>
    <t>(2) - The marginal cost function for the water supply nodes, enterred as NS arrays of Flows and Marginal Costs</t>
  </si>
  <si>
    <t>(4) - The transportation losses associated with moving water from  a Supply Node to a Demand Node, enterred as an NS x ND array of flows from the Supply Node and an NS x ND array of flows arriving at the Demand Node</t>
  </si>
  <si>
    <t>(5) - The transportation costs associated with moving water from  a Supply Node to a Demand Node, enterred as an NS x ND array of flows from the Supply Node to the Demand Node and an NS x ND array of the related marginal costs for transportation</t>
  </si>
  <si>
    <t>The example below is for a simple two supply node and three demand node problem.</t>
  </si>
  <si>
    <t>The marginal cost functions used are simple exponential functions of the form MCS = a*exp(b*Q), where MCS = Marginal Cost of Supply, a and b are coefficients, and Q = the flow rate</t>
  </si>
  <si>
    <t>The marginal demand functions used are simple exponential decay functions of the form MCD = a*exp(-b*Q), where MCD = Marginal Price of Demand, c and d are coefficients, and Q = the flow rate</t>
  </si>
  <si>
    <t>Each of these functions is represented below as:</t>
  </si>
  <si>
    <t>Supply Node 1</t>
  </si>
  <si>
    <t>Supply Node 2</t>
  </si>
  <si>
    <t>Demand Node 1</t>
  </si>
  <si>
    <t>Demand Node 2</t>
  </si>
  <si>
    <t>Demand Node 3</t>
  </si>
  <si>
    <t>Transportation Loss</t>
  </si>
  <si>
    <t>SN 1 to DN 1</t>
  </si>
  <si>
    <t>SN 1 to DN 2</t>
  </si>
  <si>
    <t>SN 1 to DN 3</t>
  </si>
  <si>
    <t>SN 2 to DN 1</t>
  </si>
  <si>
    <t>SN 2 to DN 2</t>
  </si>
  <si>
    <t>SN 2 to DN 3</t>
  </si>
  <si>
    <t>Marginal Cost of Supplies</t>
  </si>
  <si>
    <t>Marginal Price of Demands</t>
  </si>
  <si>
    <t>Marginal Transportation Costs</t>
  </si>
  <si>
    <t>The resulting arrays for input to the Python Optimizer are:</t>
  </si>
  <si>
    <t>Flow Rate - Dnode 1</t>
  </si>
  <si>
    <t>MCD - Dnode 1</t>
  </si>
  <si>
    <t>Flow Rate - SNode 1</t>
  </si>
  <si>
    <t>MCS - SNode 1</t>
  </si>
  <si>
    <t>Flow Rate - SNode 2</t>
  </si>
  <si>
    <t>MCS - SNode 2</t>
  </si>
  <si>
    <t>Flow Rate - Dnode 2</t>
  </si>
  <si>
    <t>MCD - Dnode 2</t>
  </si>
  <si>
    <t>Flow Rate - Dnode 3</t>
  </si>
  <si>
    <t>MCD - Dnode 3</t>
  </si>
  <si>
    <t>Flow Rate - Snode 1</t>
  </si>
  <si>
    <t>Flow Rate - Snode 2</t>
  </si>
  <si>
    <t>Flow Rate - Snode 1 to Dnode 1</t>
  </si>
  <si>
    <t>The marginal transportation cost functions are set as a constant value for moving a given volume of water from the Supply Node to the Demand Node as MCT</t>
  </si>
  <si>
    <t>MCT - Snode 1 to Dnode 1</t>
  </si>
  <si>
    <t>Flow Rate - Snode 1 to Dnode 2</t>
  </si>
  <si>
    <t>MCT - Snode 1 to Dnode 2</t>
  </si>
  <si>
    <t>Flow Rate - Snode 1 to Dnode 3</t>
  </si>
  <si>
    <t>MCT - Snode 1 to Dnode 3</t>
  </si>
  <si>
    <t>Flow Rate - Snode 2 to Dnode 1</t>
  </si>
  <si>
    <t>MCT - Snode 2 to Dnode 1</t>
  </si>
  <si>
    <t>Flow Rate - Snode 2 to Dnode 2</t>
  </si>
  <si>
    <t>MCT - Snode 2 to Dnode 2</t>
  </si>
  <si>
    <t>Flow Rate - Snode 2 to Dnode 3</t>
  </si>
  <si>
    <t>MCT - Snode 2 to Dnode 3</t>
  </si>
  <si>
    <t>The resulting input data set would then look like:</t>
  </si>
  <si>
    <t>a =</t>
  </si>
  <si>
    <t>c =</t>
  </si>
  <si>
    <t>f =</t>
  </si>
  <si>
    <t>L =</t>
  </si>
  <si>
    <t>b =</t>
  </si>
  <si>
    <t>d =</t>
  </si>
  <si>
    <t xml:space="preserve">h = </t>
  </si>
  <si>
    <t xml:space="preserve">MCT = </t>
  </si>
  <si>
    <t>Q is in unites of Acre-ft</t>
  </si>
  <si>
    <t>The transportation loss functions are a logarithmic function with a fixed loss rate of the form QD = QS*(1.0-exp(-QS*h)) - L , where QD = flow arriving at the Demand node, h is a coefficient, L = the fixed loss rate, and QS = the flow from the Supply node</t>
  </si>
  <si>
    <t>These are the costs to move one additional acre-ft of water from a Supply Node to a demand Node</t>
  </si>
  <si>
    <t>These are the relationships between the volume of water released from a Supply Node and the volume of water arriving at a Demand Node (acre-ft)</t>
  </si>
  <si>
    <t>This is the value of using an additional acre-ft of water for each Demand Node</t>
  </si>
  <si>
    <t>This is the cost associated with providing an additional acre-ft of water for each Supply Node</t>
  </si>
  <si>
    <t>SNodes, DNodes</t>
  </si>
  <si>
    <t>NPs(Supply Node 1)</t>
  </si>
  <si>
    <t>NPs(Supply Node 2)</t>
  </si>
  <si>
    <t>NPd(Demand Node 1)</t>
  </si>
  <si>
    <t>NPd(Demand Node 2)</t>
  </si>
  <si>
    <t>NPd(Demand Node 3)</t>
  </si>
  <si>
    <t>QuantD(Demand Node 1)</t>
  </si>
  <si>
    <t>DCost(Demand Node 1)</t>
  </si>
  <si>
    <t>QuantD(Demand Node 2)</t>
  </si>
  <si>
    <t>DCost(Demand Node 2)</t>
  </si>
  <si>
    <t>QuantD(Demand Node 3)</t>
  </si>
  <si>
    <t>DCost(Demand Node 3)</t>
  </si>
  <si>
    <t>SCost(Supply Node 1)</t>
  </si>
  <si>
    <t>SCost(Supply Node 2)</t>
  </si>
  <si>
    <t>QuantS(Supply Node 1)</t>
  </si>
  <si>
    <t>QuantS(Supply Node 2)</t>
  </si>
  <si>
    <t>NPtr(SN1, DN1)</t>
  </si>
  <si>
    <t>Quant(SN1, DN1)</t>
  </si>
  <si>
    <t>TLoss(SN1, DN1)</t>
  </si>
  <si>
    <t>Quant(SN2, DN3)</t>
  </si>
  <si>
    <t>TLoss(SN2, DN3)</t>
  </si>
  <si>
    <t>Quant(SN2, DN2)</t>
  </si>
  <si>
    <t>TLoss(SN2, DN2)</t>
  </si>
  <si>
    <t>Quant(SN2, DN1)</t>
  </si>
  <si>
    <t>TLoss(SN2, DN1)</t>
  </si>
  <si>
    <t>TLoss(SN1, DN3)</t>
  </si>
  <si>
    <t>Quant(SN1, DN3)</t>
  </si>
  <si>
    <t>Quant(SN1, DN2)</t>
  </si>
  <si>
    <t>TLoss(SN1, DN2)</t>
  </si>
  <si>
    <t>NPtc(SN1, DN1)</t>
  </si>
  <si>
    <t>Quanc(SN1, DN1)</t>
  </si>
  <si>
    <t>TCost(SN1, DN1)</t>
  </si>
  <si>
    <t>NPtc(SN1, DN2)</t>
  </si>
  <si>
    <t>Quanc(SN1, DN2)</t>
  </si>
  <si>
    <t>TCost(SN1, DN2)</t>
  </si>
  <si>
    <t>NPtc(SN1, DN3)</t>
  </si>
  <si>
    <t>Quanc(SN1, DN3)</t>
  </si>
  <si>
    <t>TCost(SN1, DN3)</t>
  </si>
  <si>
    <t>NPtc(SN2, DN1)</t>
  </si>
  <si>
    <t>Quanc(SN2, DN1)</t>
  </si>
  <si>
    <t>TCost(SN2, DN1)</t>
  </si>
  <si>
    <t>NPtc(SN2, DN2)</t>
  </si>
  <si>
    <t>Quanc(SN2, DN2)</t>
  </si>
  <si>
    <t>TCost(SN2, DN2)</t>
  </si>
  <si>
    <t>NPtc(SN2, DN3)</t>
  </si>
  <si>
    <t>Quanc(SN2, DN3)</t>
  </si>
  <si>
    <t>TCost(SN2, DN3)</t>
  </si>
  <si>
    <t>Once this information is read by the Python Hydro$ense program, the following optimization problem is solved</t>
  </si>
  <si>
    <t>Maximize the sum of all of the Demand Values minus the sum of all of the Supply and Transportation Costs</t>
  </si>
  <si>
    <t>subject to:</t>
  </si>
  <si>
    <t>Supply availability limits</t>
  </si>
  <si>
    <t>Demand use limits</t>
  </si>
  <si>
    <t>Transportation Losses</t>
  </si>
  <si>
    <t>Currently under development</t>
  </si>
  <si>
    <t>This is the "text" data file that will be read into the Python Program for Solving the Hydro$ense Problem, The Python Code variables associated with each line are listed below in the shaded cells of the spreadsheet</t>
  </si>
  <si>
    <t>Step 1:  Develop integrated functions for Supply and Transportation Costs</t>
  </si>
  <si>
    <t>Total Supply Costs</t>
  </si>
  <si>
    <t>Total Transportation Costs</t>
  </si>
  <si>
    <t>Flow from each supply node to each demand node</t>
  </si>
  <si>
    <t>Step 2: Define decision variables and their initial values</t>
  </si>
  <si>
    <t>Step 3: Define the constraint sets</t>
  </si>
  <si>
    <t>Create equations to limit the amount of water taken from each Supply Node</t>
  </si>
  <si>
    <t>Create equations to limit the amount of water used at each Demand Node</t>
  </si>
  <si>
    <t>Create equations to associate flow relationships between Supply and Demand Nodes</t>
  </si>
  <si>
    <t>Step 4: Create Objective Functions and define Solver Parameters</t>
  </si>
  <si>
    <t>Define Objective Function</t>
  </si>
  <si>
    <t>Select Excel Solver Options</t>
  </si>
  <si>
    <t>NPtr(SN1, DN2)</t>
  </si>
  <si>
    <t>Estimates of Water Deliveries</t>
  </si>
  <si>
    <t>Q12</t>
  </si>
  <si>
    <t>Q11</t>
  </si>
  <si>
    <t>Q13</t>
  </si>
  <si>
    <t>Q21</t>
  </si>
  <si>
    <t>Q22</t>
  </si>
  <si>
    <t>Q23</t>
  </si>
  <si>
    <t>Supply 1 =</t>
  </si>
  <si>
    <t>Supply 2 =</t>
  </si>
  <si>
    <t xml:space="preserve">Supply 1 Cost = </t>
  </si>
  <si>
    <t xml:space="preserve">Supply 2 Cost = </t>
  </si>
  <si>
    <t xml:space="preserve">Total Supply Cost = </t>
  </si>
  <si>
    <t>Supply 1 Int Cost =</t>
  </si>
  <si>
    <t>Supply 2 Int Cost =</t>
  </si>
  <si>
    <t>Supply 1</t>
  </si>
  <si>
    <t>Supply 1 inc</t>
  </si>
  <si>
    <t>Supply 2 inc</t>
  </si>
  <si>
    <t>Supply 2</t>
  </si>
  <si>
    <t>Trans 1 to 1 inc</t>
  </si>
  <si>
    <t>Trans 1 to 1</t>
  </si>
  <si>
    <t>Trans 1 to 2 inc</t>
  </si>
  <si>
    <t>Trans 1 to 2</t>
  </si>
  <si>
    <t>Trans 1 to 3 inc</t>
  </si>
  <si>
    <t>Trans 1 to 3</t>
  </si>
  <si>
    <t>Trans 2 to 1 inc</t>
  </si>
  <si>
    <t>Trans 2 to 1</t>
  </si>
  <si>
    <t>Trans 2 to 2 inc</t>
  </si>
  <si>
    <t>Trans 2 to 2</t>
  </si>
  <si>
    <t>Trans 2 to 3 inc</t>
  </si>
  <si>
    <t>Trans 2 to 3</t>
  </si>
  <si>
    <t>Cost 1 to 1 =</t>
  </si>
  <si>
    <t>Quant 1 to 1 =</t>
  </si>
  <si>
    <t>Quant 1 to 2 =</t>
  </si>
  <si>
    <t>Cost 1 to 2 =</t>
  </si>
  <si>
    <t>Quant 1 to 3 =</t>
  </si>
  <si>
    <t>Cost 1 to 3 =</t>
  </si>
  <si>
    <t>Quant 2 to 1 =</t>
  </si>
  <si>
    <t>Cost 2 to 1 =</t>
  </si>
  <si>
    <t>Cost 2 to 2 =</t>
  </si>
  <si>
    <t>Quant 2 to 2 =</t>
  </si>
  <si>
    <t>Quant 2 to 3 =</t>
  </si>
  <si>
    <t xml:space="preserve">Cost 2 to 3 = </t>
  </si>
  <si>
    <t>Total Trans Cost =</t>
  </si>
  <si>
    <t>Total Demand Benefits</t>
  </si>
  <si>
    <t>Quant D 1 inc</t>
  </si>
  <si>
    <t>Quant D 1</t>
  </si>
  <si>
    <t>Quant D 2 inc</t>
  </si>
  <si>
    <t>Quant D 2</t>
  </si>
  <si>
    <t>Quant D 3 inc</t>
  </si>
  <si>
    <t>CSPS =</t>
  </si>
  <si>
    <t>Quant 1 to 1</t>
  </si>
  <si>
    <t>Quant 1 to 2</t>
  </si>
  <si>
    <t>Quant 1 to 3</t>
  </si>
  <si>
    <t>Quant 2 to 1</t>
  </si>
  <si>
    <t>Quant 2 to 2</t>
  </si>
  <si>
    <t>Quant 2 to 3</t>
  </si>
  <si>
    <t>Quant at D1 =</t>
  </si>
  <si>
    <t>Quant at D2 =</t>
  </si>
  <si>
    <t>Quant at D3 =</t>
  </si>
  <si>
    <t xml:space="preserve">Quant at D1 = </t>
  </si>
  <si>
    <t>Demand 1 =</t>
  </si>
  <si>
    <t>Benefit 1 =</t>
  </si>
  <si>
    <t>Demand 2 =</t>
  </si>
  <si>
    <t>Benefit 2 =</t>
  </si>
  <si>
    <t>Demand 3 =</t>
  </si>
  <si>
    <t>Benefit 3 =</t>
  </si>
  <si>
    <t>Total Benefits =</t>
  </si>
  <si>
    <t>Quant at 3 =</t>
  </si>
  <si>
    <t>Quant D 3</t>
  </si>
  <si>
    <t>Total Costs =</t>
  </si>
  <si>
    <t>Benefit 1 int</t>
  </si>
  <si>
    <t>Benefit 2 int</t>
  </si>
  <si>
    <t>Benefit 3 int</t>
  </si>
  <si>
    <t>Cost 1 to 1 int</t>
  </si>
  <si>
    <t>Cost 1 to 2 int</t>
  </si>
  <si>
    <t>Cost 1 to 3 int</t>
  </si>
  <si>
    <t>Cost 2 to 1 int</t>
  </si>
  <si>
    <t>Cost 2 to 2 int</t>
  </si>
  <si>
    <t>Cost 2 to 3 int</t>
  </si>
  <si>
    <t>Supply</t>
  </si>
  <si>
    <t xml:space="preserve">Supply 2 = </t>
  </si>
  <si>
    <t>Delta Q</t>
  </si>
  <si>
    <t>OF</t>
  </si>
  <si>
    <t>dOF</t>
  </si>
  <si>
    <t xml:space="preserve"> = dOF/dQ</t>
  </si>
  <si>
    <t xml:space="preserve"> = d2OF/dQ2</t>
  </si>
  <si>
    <t xml:space="preserve">Step = </t>
  </si>
  <si>
    <t xml:space="preserve">This spreadsheet provides two examples of the input format for the Optimization Program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</si>
</sst>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.0000000_);_(* \(#,##0.0000000\);_(* &quot;-&quot;??_);_(@_)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0" borderId="0" xfId="0" quotePrefix="1"/>
    <xf numFmtId="2" fontId="0" fillId="2" borderId="0" xfId="0" applyNumberFormat="1" applyFill="1"/>
    <xf numFmtId="0" fontId="6" fillId="0" borderId="0" xfId="0" applyFont="1"/>
    <xf numFmtId="0" fontId="8" fillId="0" borderId="0" xfId="0" applyFont="1" applyAlignment="1">
      <alignment horizontal="center"/>
    </xf>
    <xf numFmtId="43" fontId="0" fillId="0" borderId="0" xfId="1" applyFont="1"/>
    <xf numFmtId="0" fontId="0" fillId="0" borderId="0" xfId="1" applyNumberFormat="1" applyFont="1"/>
    <xf numFmtId="43" fontId="0" fillId="0" borderId="0" xfId="0" applyNumberFormat="1"/>
    <xf numFmtId="0" fontId="8" fillId="0" borderId="0" xfId="0" applyFont="1"/>
    <xf numFmtId="43" fontId="7" fillId="0" borderId="0" xfId="1" applyFont="1"/>
    <xf numFmtId="43" fontId="7" fillId="0" borderId="0" xfId="0" applyNumberFormat="1" applyFont="1"/>
    <xf numFmtId="0" fontId="2" fillId="0" borderId="1" xfId="0" applyFont="1" applyBorder="1"/>
    <xf numFmtId="43" fontId="2" fillId="0" borderId="1" xfId="0" applyNumberFormat="1" applyFont="1" applyBorder="1"/>
    <xf numFmtId="165" fontId="0" fillId="0" borderId="0" xfId="1" applyNumberFormat="1" applyFont="1"/>
    <xf numFmtId="0" fontId="0" fillId="0" borderId="0" xfId="0" applyFont="1" applyAlignment="1">
      <alignment horizontal="center"/>
    </xf>
    <xf numFmtId="43" fontId="2" fillId="0" borderId="0" xfId="1" applyFont="1"/>
    <xf numFmtId="166" fontId="0" fillId="0" borderId="0" xfId="0" applyNumberForma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0"/>
  <sheetViews>
    <sheetView tabSelected="1" zoomScale="90" zoomScaleNormal="90" workbookViewId="0">
      <selection sqref="A1:G1"/>
    </sheetView>
  </sheetViews>
  <sheetFormatPr defaultRowHeight="14.4" x14ac:dyDescent="0.3"/>
  <cols>
    <col min="1" max="1" width="28.109375" customWidth="1"/>
    <col min="2" max="2" width="10.33203125" bestFit="1" customWidth="1"/>
    <col min="3" max="3" width="9.5546875" bestFit="1" customWidth="1"/>
    <col min="4" max="8" width="10.5546875" bestFit="1" customWidth="1"/>
  </cols>
  <sheetData>
    <row r="1" spans="1:7" ht="32.25" customHeight="1" x14ac:dyDescent="0.3">
      <c r="A1" s="33" t="s">
        <v>221</v>
      </c>
      <c r="B1" s="33"/>
      <c r="C1" s="33"/>
      <c r="D1" s="33"/>
      <c r="E1" s="33"/>
      <c r="F1" s="33"/>
      <c r="G1" s="33"/>
    </row>
    <row r="3" spans="1:7" ht="15" x14ac:dyDescent="0.25">
      <c r="A3" s="1" t="s">
        <v>0</v>
      </c>
    </row>
    <row r="4" spans="1:7" ht="15" x14ac:dyDescent="0.25">
      <c r="A4" s="31" t="s">
        <v>1</v>
      </c>
      <c r="B4" s="31"/>
      <c r="C4" s="31"/>
      <c r="D4" s="31"/>
      <c r="E4" s="31"/>
      <c r="F4" s="31"/>
      <c r="G4" s="31"/>
    </row>
    <row r="5" spans="1:7" ht="30" customHeight="1" x14ac:dyDescent="0.25">
      <c r="A5" s="31" t="s">
        <v>3</v>
      </c>
      <c r="B5" s="31"/>
      <c r="C5" s="31"/>
      <c r="D5" s="31"/>
      <c r="E5" s="31"/>
      <c r="F5" s="31"/>
      <c r="G5" s="31"/>
    </row>
    <row r="6" spans="1:7" ht="30.75" customHeight="1" x14ac:dyDescent="0.25">
      <c r="A6" s="31" t="s">
        <v>2</v>
      </c>
      <c r="B6" s="31"/>
      <c r="C6" s="31"/>
      <c r="D6" s="31"/>
      <c r="E6" s="31"/>
      <c r="F6" s="31"/>
      <c r="G6" s="31"/>
    </row>
    <row r="7" spans="1:7" ht="50.25" customHeight="1" x14ac:dyDescent="0.25">
      <c r="A7" s="31" t="s">
        <v>4</v>
      </c>
      <c r="B7" s="31"/>
      <c r="C7" s="31"/>
      <c r="D7" s="31"/>
      <c r="E7" s="31"/>
      <c r="F7" s="31"/>
      <c r="G7" s="31"/>
    </row>
    <row r="8" spans="1:7" ht="57" customHeight="1" x14ac:dyDescent="0.25">
      <c r="A8" s="31" t="s">
        <v>5</v>
      </c>
      <c r="B8" s="31"/>
      <c r="C8" s="31"/>
      <c r="D8" s="31"/>
      <c r="E8" s="31"/>
      <c r="F8" s="31"/>
      <c r="G8" s="31"/>
    </row>
    <row r="10" spans="1:7" ht="28.5" customHeight="1" x14ac:dyDescent="0.25">
      <c r="A10" s="30" t="s">
        <v>6</v>
      </c>
      <c r="B10" s="30"/>
      <c r="C10" s="30"/>
      <c r="D10" s="30"/>
      <c r="E10" s="30"/>
      <c r="F10" s="30"/>
      <c r="G10" s="30"/>
    </row>
    <row r="11" spans="1:7" ht="47.25" customHeight="1" x14ac:dyDescent="0.25">
      <c r="A11" s="31" t="s">
        <v>7</v>
      </c>
      <c r="B11" s="32"/>
      <c r="C11" s="32"/>
      <c r="D11" s="32"/>
      <c r="E11" s="32"/>
      <c r="F11" s="32"/>
      <c r="G11" s="32"/>
    </row>
    <row r="12" spans="1:7" ht="46.5" customHeight="1" x14ac:dyDescent="0.25">
      <c r="A12" s="32" t="s">
        <v>8</v>
      </c>
      <c r="B12" s="32"/>
      <c r="C12" s="32"/>
      <c r="D12" s="32"/>
      <c r="E12" s="32"/>
      <c r="F12" s="32"/>
      <c r="G12" s="32"/>
    </row>
    <row r="13" spans="1:7" ht="60" customHeight="1" x14ac:dyDescent="0.25">
      <c r="A13" s="31" t="s">
        <v>61</v>
      </c>
      <c r="B13" s="31"/>
      <c r="C13" s="31"/>
      <c r="D13" s="31"/>
      <c r="E13" s="31"/>
      <c r="F13" s="31"/>
      <c r="G13" s="31"/>
    </row>
    <row r="14" spans="1:7" ht="33.75" customHeight="1" x14ac:dyDescent="0.25">
      <c r="A14" s="31" t="s">
        <v>39</v>
      </c>
      <c r="B14" s="31"/>
      <c r="C14" s="31"/>
      <c r="D14" s="31"/>
      <c r="E14" s="31"/>
      <c r="F14" s="31"/>
      <c r="G14" s="31"/>
    </row>
    <row r="16" spans="1:7" ht="15.6" x14ac:dyDescent="0.3">
      <c r="A16" s="15" t="s">
        <v>9</v>
      </c>
      <c r="B16" s="15"/>
      <c r="C16" s="15"/>
    </row>
    <row r="17" spans="1:10" x14ac:dyDescent="0.3">
      <c r="A17" s="1" t="s">
        <v>22</v>
      </c>
      <c r="B17" s="4" t="s">
        <v>60</v>
      </c>
      <c r="C17" s="3"/>
      <c r="F17" s="2"/>
    </row>
    <row r="18" spans="1:10" x14ac:dyDescent="0.3">
      <c r="A18" t="s">
        <v>10</v>
      </c>
      <c r="B18" s="2" t="s">
        <v>52</v>
      </c>
      <c r="C18" s="5">
        <v>3</v>
      </c>
      <c r="D18" s="2" t="s">
        <v>56</v>
      </c>
      <c r="E18">
        <v>1.0000000000000001E-5</v>
      </c>
      <c r="G18" s="6"/>
      <c r="H18" s="6"/>
      <c r="I18" s="6"/>
      <c r="J18" s="6"/>
    </row>
    <row r="19" spans="1:10" x14ac:dyDescent="0.3">
      <c r="A19" t="s">
        <v>11</v>
      </c>
      <c r="B19" s="2" t="s">
        <v>52</v>
      </c>
      <c r="C19" s="5">
        <v>1.5</v>
      </c>
      <c r="D19" s="2" t="s">
        <v>56</v>
      </c>
      <c r="E19">
        <v>3.0000000000000001E-5</v>
      </c>
      <c r="G19" s="6"/>
      <c r="H19" s="6"/>
      <c r="I19" s="6"/>
      <c r="J19" s="6"/>
    </row>
    <row r="20" spans="1:10" x14ac:dyDescent="0.3">
      <c r="A20" s="1" t="s">
        <v>23</v>
      </c>
      <c r="B20" s="3"/>
      <c r="C20" s="3"/>
      <c r="F20" s="2"/>
      <c r="H20" s="2"/>
      <c r="J20" s="2"/>
    </row>
    <row r="21" spans="1:10" x14ac:dyDescent="0.3">
      <c r="A21" t="s">
        <v>12</v>
      </c>
      <c r="B21" s="2" t="s">
        <v>53</v>
      </c>
      <c r="C21">
        <v>15</v>
      </c>
      <c r="D21" s="2" t="s">
        <v>57</v>
      </c>
      <c r="E21">
        <v>8.0000000000000007E-5</v>
      </c>
      <c r="G21" s="6"/>
      <c r="H21" s="6"/>
      <c r="I21" s="6"/>
      <c r="J21" s="6"/>
    </row>
    <row r="22" spans="1:10" x14ac:dyDescent="0.3">
      <c r="A22" t="s">
        <v>13</v>
      </c>
      <c r="B22" s="2" t="s">
        <v>53</v>
      </c>
      <c r="C22">
        <v>10</v>
      </c>
      <c r="D22" s="2" t="s">
        <v>57</v>
      </c>
      <c r="E22">
        <v>5.0000000000000002E-5</v>
      </c>
      <c r="G22" s="6"/>
      <c r="H22" s="6"/>
      <c r="I22" s="6"/>
      <c r="J22" s="6"/>
    </row>
    <row r="23" spans="1:10" x14ac:dyDescent="0.3">
      <c r="A23" t="s">
        <v>14</v>
      </c>
      <c r="B23" s="2" t="s">
        <v>53</v>
      </c>
      <c r="C23">
        <v>25</v>
      </c>
      <c r="D23" s="2" t="s">
        <v>57</v>
      </c>
      <c r="E23">
        <v>1E-4</v>
      </c>
      <c r="G23" s="6"/>
      <c r="H23" s="6"/>
      <c r="I23" s="6"/>
      <c r="J23" s="6"/>
    </row>
    <row r="24" spans="1:10" x14ac:dyDescent="0.3">
      <c r="A24" s="1" t="s">
        <v>15</v>
      </c>
      <c r="B24" s="3"/>
      <c r="C24" s="3"/>
      <c r="D24" s="3"/>
      <c r="F24" s="2"/>
    </row>
    <row r="25" spans="1:10" x14ac:dyDescent="0.3">
      <c r="A25" t="s">
        <v>16</v>
      </c>
      <c r="B25" s="2" t="s">
        <v>58</v>
      </c>
      <c r="C25">
        <v>2.0000000000000001E-4</v>
      </c>
      <c r="D25" s="2" t="s">
        <v>54</v>
      </c>
      <c r="E25">
        <v>1</v>
      </c>
      <c r="F25" s="2" t="s">
        <v>55</v>
      </c>
      <c r="G25">
        <v>500</v>
      </c>
    </row>
    <row r="26" spans="1:10" x14ac:dyDescent="0.3">
      <c r="A26" t="s">
        <v>17</v>
      </c>
      <c r="B26" s="2" t="s">
        <v>58</v>
      </c>
      <c r="C26">
        <v>1E-4</v>
      </c>
      <c r="D26" s="2" t="s">
        <v>54</v>
      </c>
      <c r="E26">
        <v>1</v>
      </c>
      <c r="F26" s="2" t="s">
        <v>55</v>
      </c>
      <c r="G26">
        <v>500</v>
      </c>
    </row>
    <row r="27" spans="1:10" x14ac:dyDescent="0.3">
      <c r="A27" t="s">
        <v>18</v>
      </c>
      <c r="B27" s="2" t="s">
        <v>58</v>
      </c>
      <c r="C27">
        <v>8.0000000000000007E-5</v>
      </c>
      <c r="D27" s="2" t="s">
        <v>54</v>
      </c>
      <c r="E27">
        <v>0</v>
      </c>
      <c r="F27" s="2" t="s">
        <v>55</v>
      </c>
      <c r="G27">
        <v>0</v>
      </c>
    </row>
    <row r="28" spans="1:10" x14ac:dyDescent="0.3">
      <c r="A28" t="s">
        <v>19</v>
      </c>
      <c r="B28" s="2" t="s">
        <v>58</v>
      </c>
      <c r="C28">
        <v>1.2999999999999999E-4</v>
      </c>
      <c r="D28" s="2" t="s">
        <v>54</v>
      </c>
      <c r="E28">
        <v>1</v>
      </c>
      <c r="F28" s="2" t="s">
        <v>55</v>
      </c>
      <c r="G28">
        <v>1000</v>
      </c>
    </row>
    <row r="29" spans="1:10" x14ac:dyDescent="0.3">
      <c r="A29" t="s">
        <v>20</v>
      </c>
      <c r="B29" s="2" t="s">
        <v>58</v>
      </c>
      <c r="C29">
        <v>6.0000000000000002E-5</v>
      </c>
      <c r="D29" s="2" t="s">
        <v>54</v>
      </c>
      <c r="E29">
        <v>0</v>
      </c>
      <c r="F29" s="2" t="s">
        <v>55</v>
      </c>
      <c r="G29">
        <v>0</v>
      </c>
    </row>
    <row r="30" spans="1:10" x14ac:dyDescent="0.3">
      <c r="A30" t="s">
        <v>21</v>
      </c>
      <c r="B30" s="2" t="s">
        <v>58</v>
      </c>
      <c r="C30">
        <v>1E-4</v>
      </c>
      <c r="D30" s="2" t="s">
        <v>54</v>
      </c>
      <c r="E30">
        <v>1</v>
      </c>
      <c r="F30" s="2" t="s">
        <v>55</v>
      </c>
      <c r="G30">
        <v>250</v>
      </c>
    </row>
    <row r="31" spans="1:10" x14ac:dyDescent="0.3">
      <c r="A31" s="1" t="s">
        <v>24</v>
      </c>
      <c r="B31" s="3"/>
    </row>
    <row r="32" spans="1:10" x14ac:dyDescent="0.3">
      <c r="A32" t="s">
        <v>16</v>
      </c>
      <c r="B32" s="2" t="s">
        <v>59</v>
      </c>
      <c r="C32" s="8">
        <v>1.5</v>
      </c>
    </row>
    <row r="33" spans="1:11" x14ac:dyDescent="0.3">
      <c r="A33" t="s">
        <v>17</v>
      </c>
      <c r="B33" s="2" t="s">
        <v>59</v>
      </c>
      <c r="C33" s="8">
        <v>1.25</v>
      </c>
    </row>
    <row r="34" spans="1:11" x14ac:dyDescent="0.3">
      <c r="A34" t="s">
        <v>18</v>
      </c>
      <c r="B34" s="2" t="s">
        <v>59</v>
      </c>
      <c r="C34" s="8">
        <v>100</v>
      </c>
    </row>
    <row r="35" spans="1:11" x14ac:dyDescent="0.3">
      <c r="A35" t="s">
        <v>19</v>
      </c>
      <c r="B35" s="2" t="s">
        <v>59</v>
      </c>
      <c r="C35" s="8">
        <v>0.75</v>
      </c>
    </row>
    <row r="36" spans="1:11" x14ac:dyDescent="0.3">
      <c r="A36" t="s">
        <v>20</v>
      </c>
      <c r="B36" s="2" t="s">
        <v>59</v>
      </c>
      <c r="C36" s="8">
        <v>100</v>
      </c>
    </row>
    <row r="37" spans="1:11" x14ac:dyDescent="0.3">
      <c r="A37" t="s">
        <v>21</v>
      </c>
      <c r="B37" s="2" t="s">
        <v>59</v>
      </c>
      <c r="C37" s="8">
        <v>1.3</v>
      </c>
    </row>
    <row r="39" spans="1:11" ht="15.6" x14ac:dyDescent="0.3">
      <c r="A39" s="15" t="s">
        <v>25</v>
      </c>
    </row>
    <row r="40" spans="1:11" x14ac:dyDescent="0.3">
      <c r="A40" s="1" t="s">
        <v>22</v>
      </c>
      <c r="B40" s="4" t="s">
        <v>65</v>
      </c>
    </row>
    <row r="41" spans="1:11" x14ac:dyDescent="0.3">
      <c r="A41" t="s">
        <v>28</v>
      </c>
      <c r="B41">
        <v>0</v>
      </c>
      <c r="C41">
        <v>2000</v>
      </c>
      <c r="D41">
        <v>4000</v>
      </c>
      <c r="E41">
        <v>5000</v>
      </c>
      <c r="F41">
        <v>7500</v>
      </c>
      <c r="G41">
        <v>10000</v>
      </c>
      <c r="H41">
        <v>20000</v>
      </c>
      <c r="I41">
        <v>30000</v>
      </c>
      <c r="J41">
        <v>50000</v>
      </c>
      <c r="K41">
        <v>65000</v>
      </c>
    </row>
    <row r="42" spans="1:11" x14ac:dyDescent="0.3">
      <c r="A42" t="s">
        <v>29</v>
      </c>
      <c r="B42" s="6">
        <f t="shared" ref="B42:K42" si="0">+$C$18*EXP($E$18*B$41)</f>
        <v>3</v>
      </c>
      <c r="C42" s="6">
        <f t="shared" si="0"/>
        <v>3.0606040200802673</v>
      </c>
      <c r="D42" s="6">
        <f t="shared" si="0"/>
        <v>3.1224323225771649</v>
      </c>
      <c r="E42" s="6">
        <f t="shared" si="0"/>
        <v>3.1538132891280721</v>
      </c>
      <c r="F42" s="6">
        <f t="shared" si="0"/>
        <v>3.2336524526538946</v>
      </c>
      <c r="G42" s="6">
        <f t="shared" si="0"/>
        <v>3.3155127542269431</v>
      </c>
      <c r="H42" s="6">
        <f t="shared" si="0"/>
        <v>3.6642082744805098</v>
      </c>
      <c r="I42" s="6">
        <f t="shared" si="0"/>
        <v>4.0495764227280091</v>
      </c>
      <c r="J42" s="6">
        <f t="shared" si="0"/>
        <v>4.9461638121003846</v>
      </c>
      <c r="K42" s="6">
        <f t="shared" si="0"/>
        <v>5.7466224870416891</v>
      </c>
    </row>
    <row r="43" spans="1:11" x14ac:dyDescent="0.3">
      <c r="A43" t="s">
        <v>30</v>
      </c>
      <c r="B43">
        <v>0</v>
      </c>
      <c r="C43">
        <v>1000</v>
      </c>
      <c r="D43">
        <v>2500</v>
      </c>
      <c r="E43">
        <v>5000</v>
      </c>
      <c r="F43">
        <v>8000</v>
      </c>
      <c r="G43">
        <v>10000</v>
      </c>
      <c r="H43">
        <v>15000</v>
      </c>
      <c r="I43">
        <v>25000</v>
      </c>
    </row>
    <row r="44" spans="1:11" x14ac:dyDescent="0.3">
      <c r="A44" t="s">
        <v>31</v>
      </c>
      <c r="B44" s="6">
        <f t="shared" ref="B44:I44" si="1">+$C$19*EXP($E$19*B$43)</f>
        <v>1.5</v>
      </c>
      <c r="C44" s="6">
        <f t="shared" si="1"/>
        <v>1.5456818009302755</v>
      </c>
      <c r="D44" s="6">
        <f t="shared" si="1"/>
        <v>1.6168262263269473</v>
      </c>
      <c r="E44" s="6">
        <f t="shared" si="1"/>
        <v>1.7427513640924246</v>
      </c>
      <c r="F44" s="6">
        <f t="shared" si="1"/>
        <v>1.9068737254821071</v>
      </c>
      <c r="G44" s="6">
        <f t="shared" si="1"/>
        <v>2.0247882113640046</v>
      </c>
      <c r="H44" s="6">
        <f t="shared" si="1"/>
        <v>2.3524682782352535</v>
      </c>
      <c r="I44" s="6">
        <f t="shared" si="1"/>
        <v>3.1755000249190122</v>
      </c>
    </row>
    <row r="45" spans="1:11" x14ac:dyDescent="0.3">
      <c r="A45" s="1" t="s">
        <v>23</v>
      </c>
      <c r="B45" t="s">
        <v>64</v>
      </c>
    </row>
    <row r="46" spans="1:11" x14ac:dyDescent="0.3">
      <c r="A46" t="s">
        <v>26</v>
      </c>
      <c r="B46">
        <v>0</v>
      </c>
      <c r="C46">
        <v>2000</v>
      </c>
      <c r="D46">
        <v>4000</v>
      </c>
      <c r="E46">
        <v>7500</v>
      </c>
      <c r="F46">
        <v>10000</v>
      </c>
      <c r="G46">
        <v>15000</v>
      </c>
      <c r="H46">
        <v>20000</v>
      </c>
      <c r="I46">
        <v>30000</v>
      </c>
      <c r="J46">
        <v>40000</v>
      </c>
    </row>
    <row r="47" spans="1:11" x14ac:dyDescent="0.3">
      <c r="A47" t="s">
        <v>27</v>
      </c>
      <c r="B47" s="6">
        <f t="shared" ref="B47:J47" si="2">+$C$21*EXP(-$E$21*B$46)</f>
        <v>15</v>
      </c>
      <c r="C47" s="6">
        <f t="shared" si="2"/>
        <v>12.78215683449317</v>
      </c>
      <c r="D47" s="6">
        <f t="shared" si="2"/>
        <v>10.892235556105364</v>
      </c>
      <c r="E47" s="6">
        <f t="shared" si="2"/>
        <v>8.2321745414103962</v>
      </c>
      <c r="F47" s="6">
        <f t="shared" si="2"/>
        <v>6.7399344617583239</v>
      </c>
      <c r="G47" s="6">
        <f t="shared" si="2"/>
        <v>4.5179131786830302</v>
      </c>
      <c r="H47" s="6">
        <f t="shared" si="2"/>
        <v>3.0284477699198309</v>
      </c>
      <c r="I47" s="6">
        <f t="shared" si="2"/>
        <v>1.3607692993411871</v>
      </c>
      <c r="J47" s="6">
        <f t="shared" si="2"/>
        <v>0.61143305967549322</v>
      </c>
    </row>
    <row r="48" spans="1:11" x14ac:dyDescent="0.3">
      <c r="A48" t="s">
        <v>32</v>
      </c>
      <c r="B48">
        <v>0</v>
      </c>
      <c r="C48">
        <v>3000</v>
      </c>
      <c r="D48">
        <v>7500</v>
      </c>
      <c r="E48">
        <v>12500</v>
      </c>
      <c r="F48">
        <v>20000</v>
      </c>
      <c r="G48">
        <v>30000</v>
      </c>
    </row>
    <row r="49" spans="1:8" x14ac:dyDescent="0.3">
      <c r="A49" t="s">
        <v>33</v>
      </c>
      <c r="B49" s="6">
        <f t="shared" ref="B49:G49" si="3">+$C$22*EXP(-$E$22*B$48)</f>
        <v>10</v>
      </c>
      <c r="C49" s="6">
        <f t="shared" si="3"/>
        <v>8.6070797642505781</v>
      </c>
      <c r="D49" s="6">
        <f t="shared" si="3"/>
        <v>6.8728927879097226</v>
      </c>
      <c r="E49" s="6">
        <f t="shared" si="3"/>
        <v>5.3526142851899028</v>
      </c>
      <c r="F49" s="6">
        <f t="shared" si="3"/>
        <v>3.6787944117144233</v>
      </c>
      <c r="G49" s="6">
        <f t="shared" si="3"/>
        <v>2.2313016014842981</v>
      </c>
    </row>
    <row r="50" spans="1:8" x14ac:dyDescent="0.3">
      <c r="A50" t="s">
        <v>34</v>
      </c>
      <c r="B50">
        <v>0</v>
      </c>
      <c r="C50">
        <v>2500</v>
      </c>
      <c r="D50">
        <v>5000</v>
      </c>
      <c r="E50">
        <v>10000</v>
      </c>
      <c r="F50">
        <v>15000</v>
      </c>
      <c r="G50">
        <v>25000</v>
      </c>
      <c r="H50">
        <v>35000</v>
      </c>
    </row>
    <row r="51" spans="1:8" x14ac:dyDescent="0.3">
      <c r="A51" t="s">
        <v>35</v>
      </c>
      <c r="B51" s="6">
        <f t="shared" ref="B51:H51" si="4">+$C$23*EXP(-$E$23*B$50)</f>
        <v>25</v>
      </c>
      <c r="C51" s="6">
        <f t="shared" si="4"/>
        <v>19.470019576785123</v>
      </c>
      <c r="D51" s="6">
        <f t="shared" si="4"/>
        <v>15.163266492815836</v>
      </c>
      <c r="E51" s="6">
        <f t="shared" si="4"/>
        <v>9.1969860292860588</v>
      </c>
      <c r="F51" s="6">
        <f t="shared" si="4"/>
        <v>5.5782540037107458</v>
      </c>
      <c r="G51" s="6">
        <f t="shared" si="4"/>
        <v>2.05212496559747</v>
      </c>
      <c r="H51" s="6">
        <f t="shared" si="4"/>
        <v>0.75493458555796256</v>
      </c>
    </row>
    <row r="52" spans="1:8" x14ac:dyDescent="0.3">
      <c r="A52" s="1" t="s">
        <v>15</v>
      </c>
      <c r="B52" t="s">
        <v>63</v>
      </c>
    </row>
    <row r="53" spans="1:8" x14ac:dyDescent="0.3">
      <c r="A53" t="s">
        <v>36</v>
      </c>
      <c r="B53" s="9">
        <v>0</v>
      </c>
      <c r="C53" s="9">
        <v>5000</v>
      </c>
      <c r="D53" s="9">
        <v>10000</v>
      </c>
      <c r="E53" s="9">
        <v>15000</v>
      </c>
      <c r="F53" s="9">
        <v>20000</v>
      </c>
      <c r="G53" s="9">
        <v>30000</v>
      </c>
      <c r="H53" s="9">
        <v>40000</v>
      </c>
    </row>
    <row r="54" spans="1:8" x14ac:dyDescent="0.3">
      <c r="A54" t="s">
        <v>26</v>
      </c>
      <c r="B54" s="9">
        <f t="shared" ref="B54:H54" si="5">+$E$25*B$53*(1-EXP(-$C$25*B$53))-$G$25</f>
        <v>-500</v>
      </c>
      <c r="C54" s="9">
        <f t="shared" si="5"/>
        <v>2660.6027941427883</v>
      </c>
      <c r="D54" s="9">
        <f t="shared" si="5"/>
        <v>8146.6471676338733</v>
      </c>
      <c r="E54" s="9">
        <f t="shared" si="5"/>
        <v>13753.193974482041</v>
      </c>
      <c r="F54" s="9">
        <f t="shared" si="5"/>
        <v>19133.687222225315</v>
      </c>
      <c r="G54" s="9">
        <f t="shared" si="5"/>
        <v>29425.637434700009</v>
      </c>
      <c r="H54" s="9">
        <f t="shared" si="5"/>
        <v>39486.581494883896</v>
      </c>
    </row>
    <row r="55" spans="1:8" x14ac:dyDescent="0.3">
      <c r="A55" t="s">
        <v>36</v>
      </c>
      <c r="B55" s="9">
        <v>0</v>
      </c>
      <c r="C55" s="9">
        <v>5000</v>
      </c>
      <c r="D55" s="9">
        <v>10000</v>
      </c>
      <c r="E55" s="9">
        <v>17500</v>
      </c>
      <c r="F55" s="9">
        <v>25000</v>
      </c>
      <c r="G55" s="9">
        <v>35000</v>
      </c>
      <c r="H55" s="9">
        <v>43000</v>
      </c>
    </row>
    <row r="56" spans="1:8" x14ac:dyDescent="0.3">
      <c r="A56" t="s">
        <v>32</v>
      </c>
      <c r="B56" s="7">
        <f t="shared" ref="B56:H56" si="6">+$E$26*B$55*(1-EXP(-$C$26*B$55))-$G$26</f>
        <v>-500</v>
      </c>
      <c r="C56" s="7">
        <f t="shared" si="6"/>
        <v>1467.346701436833</v>
      </c>
      <c r="D56" s="7">
        <f t="shared" si="6"/>
        <v>5821.2055882855766</v>
      </c>
      <c r="E56" s="7">
        <f t="shared" si="6"/>
        <v>13958.95598961721</v>
      </c>
      <c r="F56" s="7">
        <f t="shared" si="6"/>
        <v>22447.875034402528</v>
      </c>
      <c r="G56" s="7">
        <f t="shared" si="6"/>
        <v>33443.091580218854</v>
      </c>
      <c r="H56" s="7">
        <f t="shared" si="6"/>
        <v>41916.551962475365</v>
      </c>
    </row>
    <row r="57" spans="1:8" x14ac:dyDescent="0.3">
      <c r="A57" t="s">
        <v>36</v>
      </c>
      <c r="B57" s="7">
        <v>0</v>
      </c>
      <c r="C57" s="7">
        <v>50000</v>
      </c>
      <c r="D57" s="7"/>
      <c r="E57" s="7"/>
      <c r="F57" s="7"/>
      <c r="G57" s="7"/>
      <c r="H57" s="7"/>
    </row>
    <row r="58" spans="1:8" x14ac:dyDescent="0.3">
      <c r="A58" t="s">
        <v>34</v>
      </c>
      <c r="B58" s="7">
        <v>0</v>
      </c>
      <c r="C58" s="7">
        <v>0</v>
      </c>
      <c r="D58" s="7"/>
      <c r="E58" s="7"/>
      <c r="F58" s="7"/>
      <c r="G58" s="7"/>
      <c r="H58" s="7"/>
    </row>
    <row r="59" spans="1:8" x14ac:dyDescent="0.3">
      <c r="A59" t="s">
        <v>37</v>
      </c>
      <c r="B59" s="7">
        <v>0</v>
      </c>
      <c r="C59" s="7">
        <v>2500</v>
      </c>
      <c r="D59" s="7">
        <v>5000</v>
      </c>
      <c r="E59" s="7">
        <v>10000</v>
      </c>
      <c r="F59" s="7">
        <v>15000</v>
      </c>
      <c r="G59" s="7">
        <v>20000</v>
      </c>
      <c r="H59" s="7"/>
    </row>
    <row r="60" spans="1:8" x14ac:dyDescent="0.3">
      <c r="A60" t="s">
        <v>26</v>
      </c>
      <c r="B60" s="7">
        <f t="shared" ref="B60:G60" si="7">+$E$28*B$59*(1-EXP(-$C$28*B$59))-$G$28</f>
        <v>-1000</v>
      </c>
      <c r="C60" s="7">
        <f t="shared" si="7"/>
        <v>-306.31838410518048</v>
      </c>
      <c r="D60" s="7">
        <f t="shared" si="7"/>
        <v>1389.7711161949196</v>
      </c>
      <c r="E60" s="7">
        <f t="shared" si="7"/>
        <v>6274.6820696598734</v>
      </c>
      <c r="F60" s="7">
        <f t="shared" si="7"/>
        <v>11865.888926202295</v>
      </c>
      <c r="G60" s="7">
        <f t="shared" si="7"/>
        <v>17514.528435713321</v>
      </c>
      <c r="H60" s="7"/>
    </row>
    <row r="61" spans="1:8" x14ac:dyDescent="0.3">
      <c r="A61" t="s">
        <v>37</v>
      </c>
      <c r="B61">
        <v>0</v>
      </c>
      <c r="C61">
        <v>50000</v>
      </c>
    </row>
    <row r="62" spans="1:8" x14ac:dyDescent="0.3">
      <c r="A62" t="s">
        <v>32</v>
      </c>
      <c r="B62">
        <v>0</v>
      </c>
      <c r="C62">
        <v>0</v>
      </c>
    </row>
    <row r="63" spans="1:8" x14ac:dyDescent="0.3">
      <c r="A63" t="s">
        <v>37</v>
      </c>
      <c r="B63">
        <v>0</v>
      </c>
      <c r="C63">
        <v>2500</v>
      </c>
      <c r="D63">
        <v>5000</v>
      </c>
      <c r="E63">
        <v>7500</v>
      </c>
      <c r="F63">
        <v>10000</v>
      </c>
      <c r="G63">
        <v>15000</v>
      </c>
      <c r="H63">
        <v>17500</v>
      </c>
    </row>
    <row r="64" spans="1:8" x14ac:dyDescent="0.3">
      <c r="A64" t="s">
        <v>34</v>
      </c>
      <c r="B64" s="7">
        <f t="shared" ref="B64:H64" si="8">+$E$30*B$63*(1-EXP(-$C$30*B$63))-$G$30</f>
        <v>-250</v>
      </c>
      <c r="C64" s="7">
        <f t="shared" si="8"/>
        <v>302.99804232148779</v>
      </c>
      <c r="D64" s="7">
        <f t="shared" si="8"/>
        <v>1717.346701436833</v>
      </c>
      <c r="E64" s="7">
        <f t="shared" si="8"/>
        <v>3707.2508544423899</v>
      </c>
      <c r="F64" s="7">
        <f t="shared" si="8"/>
        <v>6071.2055882855766</v>
      </c>
      <c r="G64" s="7">
        <f t="shared" si="8"/>
        <v>11403.047597773553</v>
      </c>
      <c r="H64" s="7">
        <f t="shared" si="8"/>
        <v>14208.95598961721</v>
      </c>
    </row>
    <row r="65" spans="1:12" x14ac:dyDescent="0.3">
      <c r="A65" s="1" t="s">
        <v>24</v>
      </c>
      <c r="B65" t="s">
        <v>62</v>
      </c>
    </row>
    <row r="66" spans="1:12" x14ac:dyDescent="0.3">
      <c r="A66" t="s">
        <v>38</v>
      </c>
      <c r="B66">
        <v>0</v>
      </c>
      <c r="C66">
        <v>40000</v>
      </c>
    </row>
    <row r="67" spans="1:12" x14ac:dyDescent="0.3">
      <c r="A67" t="s">
        <v>40</v>
      </c>
      <c r="B67" s="8">
        <f>+$C$32</f>
        <v>1.5</v>
      </c>
      <c r="C67" s="8">
        <f>+$C$32</f>
        <v>1.5</v>
      </c>
    </row>
    <row r="68" spans="1:12" x14ac:dyDescent="0.3">
      <c r="A68" t="s">
        <v>41</v>
      </c>
      <c r="B68">
        <v>0</v>
      </c>
      <c r="C68">
        <v>43000</v>
      </c>
    </row>
    <row r="69" spans="1:12" x14ac:dyDescent="0.3">
      <c r="A69" t="s">
        <v>42</v>
      </c>
      <c r="B69" s="8">
        <f>+$C$33</f>
        <v>1.25</v>
      </c>
      <c r="C69" s="8">
        <f>+$C$33</f>
        <v>1.25</v>
      </c>
    </row>
    <row r="70" spans="1:12" x14ac:dyDescent="0.3">
      <c r="A70" t="s">
        <v>43</v>
      </c>
      <c r="B70">
        <v>0</v>
      </c>
      <c r="C70">
        <v>50000</v>
      </c>
    </row>
    <row r="71" spans="1:12" x14ac:dyDescent="0.3">
      <c r="A71" t="s">
        <v>44</v>
      </c>
      <c r="B71" s="8">
        <f>+$C$34</f>
        <v>100</v>
      </c>
      <c r="C71" s="8">
        <f>+$C$34</f>
        <v>100</v>
      </c>
    </row>
    <row r="72" spans="1:12" x14ac:dyDescent="0.3">
      <c r="A72" t="s">
        <v>45</v>
      </c>
      <c r="B72">
        <v>0</v>
      </c>
      <c r="C72">
        <v>20000</v>
      </c>
    </row>
    <row r="73" spans="1:12" x14ac:dyDescent="0.3">
      <c r="A73" t="s">
        <v>46</v>
      </c>
      <c r="B73" s="8">
        <f>+$C$35</f>
        <v>0.75</v>
      </c>
      <c r="C73" s="8">
        <f>+$C$35</f>
        <v>0.75</v>
      </c>
    </row>
    <row r="74" spans="1:12" x14ac:dyDescent="0.3">
      <c r="A74" t="s">
        <v>47</v>
      </c>
      <c r="B74">
        <v>0</v>
      </c>
      <c r="C74">
        <v>50000</v>
      </c>
    </row>
    <row r="75" spans="1:12" x14ac:dyDescent="0.3">
      <c r="A75" t="s">
        <v>48</v>
      </c>
      <c r="B75" s="8">
        <f>+$C$36</f>
        <v>100</v>
      </c>
      <c r="C75" s="8">
        <f>+$C$36</f>
        <v>100</v>
      </c>
    </row>
    <row r="76" spans="1:12" x14ac:dyDescent="0.3">
      <c r="A76" t="s">
        <v>49</v>
      </c>
      <c r="B76">
        <v>0</v>
      </c>
      <c r="C76">
        <v>17500</v>
      </c>
    </row>
    <row r="77" spans="1:12" x14ac:dyDescent="0.3">
      <c r="A77" t="s">
        <v>50</v>
      </c>
      <c r="B77" s="8">
        <f>+$C$37</f>
        <v>1.3</v>
      </c>
      <c r="C77" s="8">
        <f>+$C$37</f>
        <v>1.3</v>
      </c>
    </row>
    <row r="79" spans="1:12" ht="15.6" x14ac:dyDescent="0.3">
      <c r="A79" s="29" t="s">
        <v>51</v>
      </c>
      <c r="B79" s="29"/>
      <c r="C79" s="29"/>
    </row>
    <row r="80" spans="1:12" ht="30.75" customHeight="1" x14ac:dyDescent="0.3">
      <c r="B80" s="30" t="s">
        <v>120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</row>
    <row r="81" spans="1:12" x14ac:dyDescent="0.3">
      <c r="A81" s="13" t="s">
        <v>66</v>
      </c>
      <c r="B81" s="10">
        <v>2</v>
      </c>
      <c r="C81" s="10">
        <v>3</v>
      </c>
      <c r="D81" s="10"/>
      <c r="E81" s="10"/>
      <c r="F81" s="10"/>
      <c r="G81" s="10"/>
      <c r="H81" s="10"/>
      <c r="I81" s="10"/>
      <c r="J81" s="10"/>
      <c r="K81" s="10"/>
      <c r="L81" s="10"/>
    </row>
    <row r="82" spans="1:12" x14ac:dyDescent="0.3">
      <c r="A82" t="s">
        <v>67</v>
      </c>
      <c r="B82" s="10">
        <v>10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3">
      <c r="A83" t="s">
        <v>80</v>
      </c>
      <c r="B83" s="10">
        <f t="shared" ref="B83:K83" si="9">+B41</f>
        <v>0</v>
      </c>
      <c r="C83" s="10">
        <f t="shared" si="9"/>
        <v>2000</v>
      </c>
      <c r="D83" s="10">
        <f t="shared" si="9"/>
        <v>4000</v>
      </c>
      <c r="E83" s="10">
        <f t="shared" si="9"/>
        <v>5000</v>
      </c>
      <c r="F83" s="10">
        <f t="shared" si="9"/>
        <v>7500</v>
      </c>
      <c r="G83" s="10">
        <f t="shared" si="9"/>
        <v>10000</v>
      </c>
      <c r="H83" s="10">
        <f t="shared" si="9"/>
        <v>20000</v>
      </c>
      <c r="I83" s="10">
        <f t="shared" si="9"/>
        <v>30000</v>
      </c>
      <c r="J83" s="10">
        <f t="shared" si="9"/>
        <v>50000</v>
      </c>
      <c r="K83" s="10">
        <f t="shared" si="9"/>
        <v>65000</v>
      </c>
      <c r="L83" s="10"/>
    </row>
    <row r="84" spans="1:12" x14ac:dyDescent="0.3">
      <c r="A84" t="s">
        <v>78</v>
      </c>
      <c r="B84" s="11">
        <f t="shared" ref="B84:K84" si="10">+B42</f>
        <v>3</v>
      </c>
      <c r="C84" s="11">
        <f t="shared" si="10"/>
        <v>3.0606040200802673</v>
      </c>
      <c r="D84" s="11">
        <f t="shared" si="10"/>
        <v>3.1224323225771649</v>
      </c>
      <c r="E84" s="11">
        <f t="shared" si="10"/>
        <v>3.1538132891280721</v>
      </c>
      <c r="F84" s="11">
        <f t="shared" si="10"/>
        <v>3.2336524526538946</v>
      </c>
      <c r="G84" s="11">
        <f t="shared" si="10"/>
        <v>3.3155127542269431</v>
      </c>
      <c r="H84" s="11">
        <f t="shared" si="10"/>
        <v>3.6642082744805098</v>
      </c>
      <c r="I84" s="11">
        <f t="shared" si="10"/>
        <v>4.0495764227280091</v>
      </c>
      <c r="J84" s="11">
        <f t="shared" si="10"/>
        <v>4.9461638121003846</v>
      </c>
      <c r="K84" s="11">
        <f t="shared" si="10"/>
        <v>5.7466224870416891</v>
      </c>
      <c r="L84" s="10"/>
    </row>
    <row r="85" spans="1:12" x14ac:dyDescent="0.3">
      <c r="A85" t="s">
        <v>68</v>
      </c>
      <c r="B85" s="10">
        <v>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3">
      <c r="A86" t="s">
        <v>81</v>
      </c>
      <c r="B86" s="10">
        <f t="shared" ref="B86:I87" si="11">+B43</f>
        <v>0</v>
      </c>
      <c r="C86" s="10">
        <f t="shared" si="11"/>
        <v>1000</v>
      </c>
      <c r="D86" s="10">
        <f t="shared" si="11"/>
        <v>2500</v>
      </c>
      <c r="E86" s="10">
        <f t="shared" si="11"/>
        <v>5000</v>
      </c>
      <c r="F86" s="10">
        <f t="shared" si="11"/>
        <v>8000</v>
      </c>
      <c r="G86" s="10">
        <f t="shared" si="11"/>
        <v>10000</v>
      </c>
      <c r="H86" s="10">
        <f t="shared" si="11"/>
        <v>15000</v>
      </c>
      <c r="I86" s="10">
        <f t="shared" si="11"/>
        <v>25000</v>
      </c>
      <c r="J86" s="10"/>
      <c r="K86" s="10"/>
      <c r="L86" s="10"/>
    </row>
    <row r="87" spans="1:12" x14ac:dyDescent="0.3">
      <c r="A87" t="s">
        <v>79</v>
      </c>
      <c r="B87" s="11">
        <f t="shared" si="11"/>
        <v>1.5</v>
      </c>
      <c r="C87" s="11">
        <f t="shared" si="11"/>
        <v>1.5456818009302755</v>
      </c>
      <c r="D87" s="11">
        <f t="shared" si="11"/>
        <v>1.6168262263269473</v>
      </c>
      <c r="E87" s="11">
        <f t="shared" si="11"/>
        <v>1.7427513640924246</v>
      </c>
      <c r="F87" s="11">
        <f t="shared" si="11"/>
        <v>1.9068737254821071</v>
      </c>
      <c r="G87" s="11">
        <f t="shared" si="11"/>
        <v>2.0247882113640046</v>
      </c>
      <c r="H87" s="11">
        <f t="shared" si="11"/>
        <v>2.3524682782352535</v>
      </c>
      <c r="I87" s="11">
        <f t="shared" si="11"/>
        <v>3.1755000249190122</v>
      </c>
      <c r="J87" s="10"/>
      <c r="K87" s="10"/>
      <c r="L87" s="10"/>
    </row>
    <row r="88" spans="1:12" x14ac:dyDescent="0.3">
      <c r="A88" t="s">
        <v>69</v>
      </c>
      <c r="B88" s="10">
        <v>9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x14ac:dyDescent="0.3">
      <c r="A89" t="s">
        <v>72</v>
      </c>
      <c r="B89" s="10">
        <f t="shared" ref="B89:J89" si="12">+B46</f>
        <v>0</v>
      </c>
      <c r="C89" s="10">
        <f t="shared" si="12"/>
        <v>2000</v>
      </c>
      <c r="D89" s="10">
        <f t="shared" si="12"/>
        <v>4000</v>
      </c>
      <c r="E89" s="10">
        <f t="shared" si="12"/>
        <v>7500</v>
      </c>
      <c r="F89" s="10">
        <f t="shared" si="12"/>
        <v>10000</v>
      </c>
      <c r="G89" s="10">
        <f t="shared" si="12"/>
        <v>15000</v>
      </c>
      <c r="H89" s="10">
        <f t="shared" si="12"/>
        <v>20000</v>
      </c>
      <c r="I89" s="10">
        <f t="shared" si="12"/>
        <v>30000</v>
      </c>
      <c r="J89" s="10">
        <f t="shared" si="12"/>
        <v>40000</v>
      </c>
      <c r="K89" s="10"/>
      <c r="L89" s="10"/>
    </row>
    <row r="90" spans="1:12" x14ac:dyDescent="0.3">
      <c r="A90" t="s">
        <v>73</v>
      </c>
      <c r="B90" s="11">
        <f t="shared" ref="B90:J90" si="13">+B47</f>
        <v>15</v>
      </c>
      <c r="C90" s="11">
        <f t="shared" si="13"/>
        <v>12.78215683449317</v>
      </c>
      <c r="D90" s="11">
        <f t="shared" si="13"/>
        <v>10.892235556105364</v>
      </c>
      <c r="E90" s="11">
        <f t="shared" si="13"/>
        <v>8.2321745414103962</v>
      </c>
      <c r="F90" s="11">
        <f t="shared" si="13"/>
        <v>6.7399344617583239</v>
      </c>
      <c r="G90" s="11">
        <f t="shared" si="13"/>
        <v>4.5179131786830302</v>
      </c>
      <c r="H90" s="11">
        <f t="shared" si="13"/>
        <v>3.0284477699198309</v>
      </c>
      <c r="I90" s="11">
        <f t="shared" si="13"/>
        <v>1.3607692993411871</v>
      </c>
      <c r="J90" s="11">
        <f t="shared" si="13"/>
        <v>0.61143305967549322</v>
      </c>
      <c r="K90" s="10"/>
      <c r="L90" s="10"/>
    </row>
    <row r="91" spans="1:12" x14ac:dyDescent="0.3">
      <c r="A91" t="s">
        <v>70</v>
      </c>
      <c r="B91" s="10">
        <v>6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3">
      <c r="A92" t="s">
        <v>74</v>
      </c>
      <c r="B92" s="10">
        <f t="shared" ref="B92:G93" si="14">+B48</f>
        <v>0</v>
      </c>
      <c r="C92" s="10">
        <f t="shared" si="14"/>
        <v>3000</v>
      </c>
      <c r="D92" s="10">
        <f t="shared" si="14"/>
        <v>7500</v>
      </c>
      <c r="E92" s="10">
        <f t="shared" si="14"/>
        <v>12500</v>
      </c>
      <c r="F92" s="10">
        <f t="shared" si="14"/>
        <v>20000</v>
      </c>
      <c r="G92" s="10">
        <f t="shared" si="14"/>
        <v>30000</v>
      </c>
      <c r="H92" s="10"/>
      <c r="I92" s="10"/>
      <c r="J92" s="10"/>
      <c r="K92" s="10"/>
      <c r="L92" s="10"/>
    </row>
    <row r="93" spans="1:12" x14ac:dyDescent="0.3">
      <c r="A93" t="s">
        <v>75</v>
      </c>
      <c r="B93" s="11">
        <f t="shared" si="14"/>
        <v>10</v>
      </c>
      <c r="C93" s="11">
        <f t="shared" si="14"/>
        <v>8.6070797642505781</v>
      </c>
      <c r="D93" s="11">
        <f t="shared" si="14"/>
        <v>6.8728927879097226</v>
      </c>
      <c r="E93" s="11">
        <f t="shared" si="14"/>
        <v>5.3526142851899028</v>
      </c>
      <c r="F93" s="11">
        <f t="shared" si="14"/>
        <v>3.6787944117144233</v>
      </c>
      <c r="G93" s="11">
        <f t="shared" si="14"/>
        <v>2.2313016014842981</v>
      </c>
      <c r="H93" s="10"/>
      <c r="I93" s="10"/>
      <c r="J93" s="10"/>
      <c r="K93" s="10"/>
      <c r="L93" s="10"/>
    </row>
    <row r="94" spans="1:12" x14ac:dyDescent="0.3">
      <c r="A94" t="s">
        <v>71</v>
      </c>
      <c r="B94" s="10">
        <v>7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x14ac:dyDescent="0.3">
      <c r="A95" t="s">
        <v>76</v>
      </c>
      <c r="B95" s="10">
        <f t="shared" ref="B95:H96" si="15">+B50</f>
        <v>0</v>
      </c>
      <c r="C95" s="10">
        <f t="shared" si="15"/>
        <v>2500</v>
      </c>
      <c r="D95" s="10">
        <f t="shared" si="15"/>
        <v>5000</v>
      </c>
      <c r="E95" s="10">
        <f t="shared" si="15"/>
        <v>10000</v>
      </c>
      <c r="F95" s="10">
        <f t="shared" si="15"/>
        <v>15000</v>
      </c>
      <c r="G95" s="10">
        <f t="shared" si="15"/>
        <v>25000</v>
      </c>
      <c r="H95" s="10">
        <f t="shared" si="15"/>
        <v>35000</v>
      </c>
      <c r="I95" s="10"/>
      <c r="J95" s="10"/>
      <c r="K95" s="10"/>
      <c r="L95" s="10"/>
    </row>
    <row r="96" spans="1:12" x14ac:dyDescent="0.3">
      <c r="A96" t="s">
        <v>77</v>
      </c>
      <c r="B96" s="11">
        <f t="shared" si="15"/>
        <v>25</v>
      </c>
      <c r="C96" s="11">
        <f t="shared" si="15"/>
        <v>19.470019576785123</v>
      </c>
      <c r="D96" s="11">
        <f t="shared" si="15"/>
        <v>15.163266492815836</v>
      </c>
      <c r="E96" s="11">
        <f t="shared" si="15"/>
        <v>9.1969860292860588</v>
      </c>
      <c r="F96" s="11">
        <f t="shared" si="15"/>
        <v>5.5782540037107458</v>
      </c>
      <c r="G96" s="11">
        <f t="shared" si="15"/>
        <v>2.05212496559747</v>
      </c>
      <c r="H96" s="11">
        <f t="shared" si="15"/>
        <v>0.75493458555796256</v>
      </c>
      <c r="I96" s="10"/>
      <c r="J96" s="10"/>
      <c r="K96" s="10"/>
      <c r="L96" s="10"/>
    </row>
    <row r="97" spans="1:12" x14ac:dyDescent="0.3">
      <c r="A97" t="s">
        <v>82</v>
      </c>
      <c r="B97" s="10">
        <v>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x14ac:dyDescent="0.3">
      <c r="A98" t="s">
        <v>83</v>
      </c>
      <c r="B98" s="10">
        <f>+IF(B53&gt;0,B53,0)</f>
        <v>0</v>
      </c>
      <c r="C98" s="10">
        <f t="shared" ref="C98:H98" si="16">+IF(C53&gt;0,C53,0)</f>
        <v>5000</v>
      </c>
      <c r="D98" s="10">
        <f t="shared" si="16"/>
        <v>10000</v>
      </c>
      <c r="E98" s="10">
        <f t="shared" si="16"/>
        <v>15000</v>
      </c>
      <c r="F98" s="10">
        <f t="shared" si="16"/>
        <v>20000</v>
      </c>
      <c r="G98" s="10">
        <f t="shared" si="16"/>
        <v>30000</v>
      </c>
      <c r="H98" s="10">
        <f t="shared" si="16"/>
        <v>40000</v>
      </c>
      <c r="I98" s="10"/>
      <c r="J98" s="10"/>
      <c r="K98" s="10"/>
      <c r="L98" s="10"/>
    </row>
    <row r="99" spans="1:12" x14ac:dyDescent="0.3">
      <c r="A99" t="s">
        <v>84</v>
      </c>
      <c r="B99" s="12">
        <f>+IF(B54&gt;0,B54,0)</f>
        <v>0</v>
      </c>
      <c r="C99" s="12">
        <f t="shared" ref="C99:H99" si="17">+IF(C54&gt;0,C54,0)</f>
        <v>2660.6027941427883</v>
      </c>
      <c r="D99" s="12">
        <f t="shared" si="17"/>
        <v>8146.6471676338733</v>
      </c>
      <c r="E99" s="12">
        <f t="shared" si="17"/>
        <v>13753.193974482041</v>
      </c>
      <c r="F99" s="12">
        <f t="shared" si="17"/>
        <v>19133.687222225315</v>
      </c>
      <c r="G99" s="12">
        <f t="shared" si="17"/>
        <v>29425.637434700009</v>
      </c>
      <c r="H99" s="12">
        <f t="shared" si="17"/>
        <v>39486.581494883896</v>
      </c>
      <c r="I99" s="10"/>
      <c r="J99" s="10"/>
      <c r="K99" s="10"/>
      <c r="L99" s="10"/>
    </row>
    <row r="100" spans="1:12" x14ac:dyDescent="0.3">
      <c r="A100" t="s">
        <v>133</v>
      </c>
      <c r="B100" s="10">
        <v>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x14ac:dyDescent="0.3">
      <c r="A101" t="s">
        <v>93</v>
      </c>
      <c r="B101" s="10">
        <f t="shared" ref="B101:H102" si="18">+IF(B55&gt;0,B55,0)</f>
        <v>0</v>
      </c>
      <c r="C101" s="10">
        <f t="shared" si="18"/>
        <v>5000</v>
      </c>
      <c r="D101" s="10">
        <f t="shared" si="18"/>
        <v>10000</v>
      </c>
      <c r="E101" s="10">
        <f t="shared" si="18"/>
        <v>17500</v>
      </c>
      <c r="F101" s="10">
        <f t="shared" si="18"/>
        <v>25000</v>
      </c>
      <c r="G101" s="10">
        <f t="shared" si="18"/>
        <v>35000</v>
      </c>
      <c r="H101" s="10">
        <f t="shared" si="18"/>
        <v>43000</v>
      </c>
      <c r="I101" s="10"/>
      <c r="J101" s="10"/>
      <c r="K101" s="10"/>
      <c r="L101" s="10"/>
    </row>
    <row r="102" spans="1:12" x14ac:dyDescent="0.3">
      <c r="A102" t="s">
        <v>94</v>
      </c>
      <c r="B102" s="12">
        <f t="shared" si="18"/>
        <v>0</v>
      </c>
      <c r="C102" s="12">
        <f t="shared" si="18"/>
        <v>1467.346701436833</v>
      </c>
      <c r="D102" s="12">
        <f t="shared" si="18"/>
        <v>5821.2055882855766</v>
      </c>
      <c r="E102" s="12">
        <f t="shared" si="18"/>
        <v>13958.95598961721</v>
      </c>
      <c r="F102" s="12">
        <f t="shared" si="18"/>
        <v>22447.875034402528</v>
      </c>
      <c r="G102" s="12">
        <f t="shared" si="18"/>
        <v>33443.091580218854</v>
      </c>
      <c r="H102" s="12">
        <f t="shared" si="18"/>
        <v>41916.551962475365</v>
      </c>
      <c r="I102" s="10"/>
      <c r="J102" s="10"/>
      <c r="K102" s="10"/>
      <c r="L102" s="10"/>
    </row>
    <row r="103" spans="1:12" x14ac:dyDescent="0.3">
      <c r="A103" t="s">
        <v>82</v>
      </c>
      <c r="B103" s="10">
        <v>2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x14ac:dyDescent="0.3">
      <c r="A104" t="s">
        <v>92</v>
      </c>
      <c r="B104" s="10">
        <f>+IF(B57&gt;0,B57,0)</f>
        <v>0</v>
      </c>
      <c r="C104" s="10">
        <f>+IF(C57&gt;0,C57,0)</f>
        <v>50000</v>
      </c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x14ac:dyDescent="0.3">
      <c r="A105" t="s">
        <v>91</v>
      </c>
      <c r="B105" s="10">
        <f>+IF(B58&gt;0,B58,0)</f>
        <v>0</v>
      </c>
      <c r="C105" s="10">
        <f>+IF(C58&gt;0,C58,0)</f>
        <v>0</v>
      </c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x14ac:dyDescent="0.3">
      <c r="A106" t="s">
        <v>82</v>
      </c>
      <c r="B106" s="10">
        <v>6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x14ac:dyDescent="0.3">
      <c r="A107" t="s">
        <v>89</v>
      </c>
      <c r="B107" s="10">
        <f t="shared" ref="B107:G108" si="19">+IF(B59&gt;0,B59,0)</f>
        <v>0</v>
      </c>
      <c r="C107" s="10">
        <f t="shared" si="19"/>
        <v>2500</v>
      </c>
      <c r="D107" s="10">
        <f t="shared" si="19"/>
        <v>5000</v>
      </c>
      <c r="E107" s="10">
        <f t="shared" si="19"/>
        <v>10000</v>
      </c>
      <c r="F107" s="10">
        <f t="shared" si="19"/>
        <v>15000</v>
      </c>
      <c r="G107" s="10">
        <f t="shared" si="19"/>
        <v>20000</v>
      </c>
      <c r="H107" s="10"/>
      <c r="I107" s="10"/>
      <c r="J107" s="10"/>
      <c r="K107" s="10"/>
      <c r="L107" s="10"/>
    </row>
    <row r="108" spans="1:12" x14ac:dyDescent="0.3">
      <c r="A108" t="s">
        <v>90</v>
      </c>
      <c r="B108" s="12">
        <f t="shared" si="19"/>
        <v>0</v>
      </c>
      <c r="C108" s="12">
        <f t="shared" si="19"/>
        <v>0</v>
      </c>
      <c r="D108" s="12">
        <f t="shared" si="19"/>
        <v>1389.7711161949196</v>
      </c>
      <c r="E108" s="12">
        <f t="shared" si="19"/>
        <v>6274.6820696598734</v>
      </c>
      <c r="F108" s="12">
        <f t="shared" si="19"/>
        <v>11865.888926202295</v>
      </c>
      <c r="G108" s="12">
        <f t="shared" si="19"/>
        <v>17514.528435713321</v>
      </c>
      <c r="H108" s="10"/>
      <c r="I108" s="10"/>
      <c r="J108" s="10"/>
      <c r="K108" s="10"/>
      <c r="L108" s="10"/>
    </row>
    <row r="109" spans="1:12" x14ac:dyDescent="0.3">
      <c r="A109" t="s">
        <v>82</v>
      </c>
      <c r="B109" s="10">
        <v>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 x14ac:dyDescent="0.3">
      <c r="A110" t="s">
        <v>87</v>
      </c>
      <c r="B110" s="10">
        <f>+IF(B61&gt;0,B61,0)</f>
        <v>0</v>
      </c>
      <c r="C110" s="10">
        <f>+IF(C61&gt;0,C61,0)</f>
        <v>50000</v>
      </c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 x14ac:dyDescent="0.3">
      <c r="A111" t="s">
        <v>88</v>
      </c>
      <c r="B111" s="10">
        <f>+IF(B62&gt;0,B62,0)</f>
        <v>0</v>
      </c>
      <c r="C111" s="10">
        <f>+IF(C62&gt;0,C62,0)</f>
        <v>0</v>
      </c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 x14ac:dyDescent="0.3">
      <c r="A112" t="s">
        <v>82</v>
      </c>
      <c r="B112" s="10">
        <v>7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 x14ac:dyDescent="0.3">
      <c r="A113" t="s">
        <v>85</v>
      </c>
      <c r="B113" s="10">
        <f t="shared" ref="B113:H114" si="20">+IF(B63&gt;0,B63,0)</f>
        <v>0</v>
      </c>
      <c r="C113" s="10">
        <f t="shared" si="20"/>
        <v>2500</v>
      </c>
      <c r="D113" s="10">
        <f t="shared" si="20"/>
        <v>5000</v>
      </c>
      <c r="E113" s="10">
        <f t="shared" si="20"/>
        <v>7500</v>
      </c>
      <c r="F113" s="10">
        <f t="shared" si="20"/>
        <v>10000</v>
      </c>
      <c r="G113" s="10">
        <f t="shared" si="20"/>
        <v>15000</v>
      </c>
      <c r="H113" s="10">
        <f t="shared" si="20"/>
        <v>17500</v>
      </c>
      <c r="I113" s="10"/>
      <c r="J113" s="10"/>
      <c r="K113" s="10"/>
      <c r="L113" s="10"/>
    </row>
    <row r="114" spans="1:12" x14ac:dyDescent="0.3">
      <c r="A114" t="s">
        <v>86</v>
      </c>
      <c r="B114" s="12">
        <f t="shared" si="20"/>
        <v>0</v>
      </c>
      <c r="C114" s="12">
        <f t="shared" si="20"/>
        <v>302.99804232148779</v>
      </c>
      <c r="D114" s="12">
        <f t="shared" si="20"/>
        <v>1717.346701436833</v>
      </c>
      <c r="E114" s="12">
        <f t="shared" si="20"/>
        <v>3707.2508544423899</v>
      </c>
      <c r="F114" s="12">
        <f t="shared" si="20"/>
        <v>6071.2055882855766</v>
      </c>
      <c r="G114" s="12">
        <f t="shared" si="20"/>
        <v>11403.047597773553</v>
      </c>
      <c r="H114" s="12">
        <f t="shared" si="20"/>
        <v>14208.95598961721</v>
      </c>
      <c r="I114" s="10"/>
      <c r="J114" s="10"/>
      <c r="K114" s="10"/>
      <c r="L114" s="10"/>
    </row>
    <row r="115" spans="1:12" x14ac:dyDescent="0.3">
      <c r="A115" t="s">
        <v>95</v>
      </c>
      <c r="B115" s="10">
        <v>2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 x14ac:dyDescent="0.3">
      <c r="A116" t="s">
        <v>96</v>
      </c>
      <c r="B116" s="10">
        <f>+B66</f>
        <v>0</v>
      </c>
      <c r="C116" s="10">
        <f>+C66</f>
        <v>40000</v>
      </c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1:12" x14ac:dyDescent="0.3">
      <c r="A117" t="s">
        <v>97</v>
      </c>
      <c r="B117" s="14">
        <f>+B67</f>
        <v>1.5</v>
      </c>
      <c r="C117" s="14">
        <f>+C67</f>
        <v>1.5</v>
      </c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1:12" x14ac:dyDescent="0.3">
      <c r="A118" t="s">
        <v>98</v>
      </c>
      <c r="B118" s="10">
        <v>2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 x14ac:dyDescent="0.3">
      <c r="A119" t="s">
        <v>99</v>
      </c>
      <c r="B119" s="10">
        <f>+B68</f>
        <v>0</v>
      </c>
      <c r="C119" s="10">
        <f>+C68</f>
        <v>43000</v>
      </c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 x14ac:dyDescent="0.3">
      <c r="A120" t="s">
        <v>100</v>
      </c>
      <c r="B120" s="14">
        <f>+B69</f>
        <v>1.25</v>
      </c>
      <c r="C120" s="14">
        <f>+C69</f>
        <v>1.25</v>
      </c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 x14ac:dyDescent="0.3">
      <c r="A121" t="s">
        <v>101</v>
      </c>
      <c r="B121" s="10">
        <v>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 x14ac:dyDescent="0.3">
      <c r="A122" t="s">
        <v>102</v>
      </c>
      <c r="B122" s="10">
        <f>+B70</f>
        <v>0</v>
      </c>
      <c r="C122" s="10">
        <f>+C70</f>
        <v>50000</v>
      </c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 x14ac:dyDescent="0.3">
      <c r="A123" t="s">
        <v>103</v>
      </c>
      <c r="B123" s="14">
        <f>+B71</f>
        <v>100</v>
      </c>
      <c r="C123" s="14">
        <f>+C71</f>
        <v>100</v>
      </c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 x14ac:dyDescent="0.3">
      <c r="A124" t="s">
        <v>104</v>
      </c>
      <c r="B124" s="10">
        <v>2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 x14ac:dyDescent="0.3">
      <c r="A125" t="s">
        <v>105</v>
      </c>
      <c r="B125" s="10">
        <f>+B72</f>
        <v>0</v>
      </c>
      <c r="C125" s="10">
        <f>+C72</f>
        <v>20000</v>
      </c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 x14ac:dyDescent="0.3">
      <c r="A126" t="s">
        <v>106</v>
      </c>
      <c r="B126" s="14">
        <f>+B73</f>
        <v>0.75</v>
      </c>
      <c r="C126" s="14">
        <f>+C73</f>
        <v>0.75</v>
      </c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2" x14ac:dyDescent="0.3">
      <c r="A127" t="s">
        <v>107</v>
      </c>
      <c r="B127" s="10">
        <v>2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2" x14ac:dyDescent="0.3">
      <c r="A128" t="s">
        <v>108</v>
      </c>
      <c r="B128" s="10">
        <f>+B74</f>
        <v>0</v>
      </c>
      <c r="C128" s="10">
        <f>+C74</f>
        <v>50000</v>
      </c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1:12" x14ac:dyDescent="0.3">
      <c r="A129" t="s">
        <v>109</v>
      </c>
      <c r="B129" s="14">
        <f>+B75</f>
        <v>100</v>
      </c>
      <c r="C129" s="14">
        <f>+C75</f>
        <v>100</v>
      </c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12" x14ac:dyDescent="0.3">
      <c r="A130" t="s">
        <v>110</v>
      </c>
      <c r="B130" s="10">
        <v>2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 x14ac:dyDescent="0.3">
      <c r="A131" t="s">
        <v>111</v>
      </c>
      <c r="B131" s="10">
        <f>+B76</f>
        <v>0</v>
      </c>
      <c r="C131" s="10">
        <f>+C76</f>
        <v>17500</v>
      </c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 x14ac:dyDescent="0.3">
      <c r="A132" t="s">
        <v>112</v>
      </c>
      <c r="B132" s="14">
        <f>+B77</f>
        <v>1.3</v>
      </c>
      <c r="C132" s="14">
        <f>+C77</f>
        <v>1.3</v>
      </c>
      <c r="D132" s="10"/>
      <c r="E132" s="10"/>
      <c r="F132" s="10"/>
      <c r="G132" s="10"/>
      <c r="H132" s="10"/>
      <c r="I132" s="10"/>
      <c r="J132" s="10"/>
      <c r="K132" s="10"/>
      <c r="L132" s="10"/>
    </row>
    <row r="134" spans="1:12" x14ac:dyDescent="0.3">
      <c r="A134" t="s">
        <v>113</v>
      </c>
    </row>
    <row r="136" spans="1:12" x14ac:dyDescent="0.3">
      <c r="A136" t="s">
        <v>114</v>
      </c>
    </row>
    <row r="137" spans="1:12" x14ac:dyDescent="0.3">
      <c r="B137" t="s">
        <v>115</v>
      </c>
    </row>
    <row r="138" spans="1:12" x14ac:dyDescent="0.3">
      <c r="C138" t="s">
        <v>116</v>
      </c>
    </row>
    <row r="139" spans="1:12" x14ac:dyDescent="0.3">
      <c r="C139" t="s">
        <v>117</v>
      </c>
    </row>
    <row r="140" spans="1:12" x14ac:dyDescent="0.3">
      <c r="C140" t="s">
        <v>118</v>
      </c>
    </row>
  </sheetData>
  <mergeCells count="13">
    <mergeCell ref="A8:G8"/>
    <mergeCell ref="A1:G1"/>
    <mergeCell ref="A5:G5"/>
    <mergeCell ref="A4:G4"/>
    <mergeCell ref="A6:G6"/>
    <mergeCell ref="A7:G7"/>
    <mergeCell ref="A79:C79"/>
    <mergeCell ref="B80:L80"/>
    <mergeCell ref="A11:G11"/>
    <mergeCell ref="A10:G10"/>
    <mergeCell ref="A12:G12"/>
    <mergeCell ref="A13:G13"/>
    <mergeCell ref="A14:G1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zoomScaleNormal="100" workbookViewId="0"/>
  </sheetViews>
  <sheetFormatPr defaultRowHeight="14.4" x14ac:dyDescent="0.3"/>
  <cols>
    <col min="1" max="1" width="18.109375" customWidth="1"/>
    <col min="2" max="2" width="14.33203125" customWidth="1"/>
    <col min="3" max="3" width="11.88671875" customWidth="1"/>
    <col min="4" max="4" width="12" customWidth="1"/>
    <col min="5" max="5" width="13.44140625" customWidth="1"/>
    <col min="6" max="6" width="12.88671875" customWidth="1"/>
    <col min="7" max="7" width="13.6640625" customWidth="1"/>
    <col min="8" max="8" width="12" customWidth="1"/>
    <col min="9" max="9" width="12.109375" customWidth="1"/>
    <col min="10" max="10" width="13.33203125" customWidth="1"/>
    <col min="11" max="11" width="14.33203125" customWidth="1"/>
    <col min="12" max="12" width="13" customWidth="1"/>
  </cols>
  <sheetData>
    <row r="1" spans="1:12" ht="15" x14ac:dyDescent="0.25">
      <c r="A1" t="s">
        <v>119</v>
      </c>
    </row>
    <row r="2" spans="1:12" ht="15" x14ac:dyDescent="0.25">
      <c r="H2" t="s">
        <v>213</v>
      </c>
    </row>
    <row r="3" spans="1:12" ht="15" x14ac:dyDescent="0.25">
      <c r="A3" t="s">
        <v>134</v>
      </c>
    </row>
    <row r="4" spans="1:12" ht="15" x14ac:dyDescent="0.25">
      <c r="A4" s="16" t="s">
        <v>136</v>
      </c>
      <c r="B4" s="16" t="s">
        <v>135</v>
      </c>
      <c r="C4" s="16" t="s">
        <v>137</v>
      </c>
      <c r="D4" s="16" t="s">
        <v>138</v>
      </c>
      <c r="E4" s="16" t="s">
        <v>139</v>
      </c>
      <c r="F4" s="16" t="s">
        <v>140</v>
      </c>
      <c r="I4" s="26" t="s">
        <v>194</v>
      </c>
      <c r="J4" s="27">
        <f>+A5+D5</f>
        <v>20194.27364217284</v>
      </c>
    </row>
    <row r="5" spans="1:12" ht="15" x14ac:dyDescent="0.25">
      <c r="A5" s="17">
        <v>12694.273642172839</v>
      </c>
      <c r="B5" s="17">
        <v>16155.38147745278</v>
      </c>
      <c r="C5" s="17">
        <v>0</v>
      </c>
      <c r="D5" s="17">
        <v>7500</v>
      </c>
      <c r="E5" s="17">
        <v>0</v>
      </c>
      <c r="F5" s="17">
        <v>17500</v>
      </c>
      <c r="G5" s="26" t="s">
        <v>141</v>
      </c>
      <c r="H5" s="27">
        <f>+A5+B5+C5</f>
        <v>28849.655119625619</v>
      </c>
      <c r="I5" s="26" t="s">
        <v>196</v>
      </c>
      <c r="J5" s="27">
        <f>+B5+E5</f>
        <v>16155.38147745278</v>
      </c>
    </row>
    <row r="6" spans="1:12" ht="15" x14ac:dyDescent="0.25">
      <c r="A6" s="17">
        <f>+A5</f>
        <v>12694.273642172839</v>
      </c>
      <c r="B6" s="17">
        <f>+B5</f>
        <v>16155.38147745278</v>
      </c>
      <c r="C6" s="17">
        <f t="shared" ref="C6:E6" si="0">+C5</f>
        <v>0</v>
      </c>
      <c r="D6" s="17">
        <f>+D5</f>
        <v>7500</v>
      </c>
      <c r="E6" s="17">
        <f t="shared" si="0"/>
        <v>0</v>
      </c>
      <c r="F6" s="17">
        <f>+F5</f>
        <v>17500</v>
      </c>
      <c r="G6" s="26" t="s">
        <v>214</v>
      </c>
      <c r="H6" s="27">
        <f>+D5+E5+F5</f>
        <v>25000</v>
      </c>
      <c r="I6" s="26" t="s">
        <v>198</v>
      </c>
      <c r="J6" s="27">
        <f>+C5+F5</f>
        <v>17500</v>
      </c>
    </row>
    <row r="7" spans="1:12" ht="15" x14ac:dyDescent="0.25">
      <c r="A7" s="8"/>
      <c r="B7" s="8"/>
      <c r="C7" s="8"/>
      <c r="D7" s="8"/>
      <c r="E7" s="8"/>
      <c r="F7" s="8"/>
    </row>
    <row r="8" spans="1:12" ht="15" x14ac:dyDescent="0.25">
      <c r="A8" s="1" t="s">
        <v>121</v>
      </c>
    </row>
    <row r="9" spans="1:12" ht="15" x14ac:dyDescent="0.25">
      <c r="A9" s="20" t="s">
        <v>122</v>
      </c>
    </row>
    <row r="10" spans="1:12" ht="15" x14ac:dyDescent="0.25">
      <c r="A10" t="s">
        <v>149</v>
      </c>
      <c r="C10">
        <f t="shared" ref="C10:L10" si="1">+B11</f>
        <v>0</v>
      </c>
      <c r="D10">
        <f t="shared" si="1"/>
        <v>2000</v>
      </c>
      <c r="E10">
        <f t="shared" si="1"/>
        <v>4000</v>
      </c>
      <c r="F10">
        <f t="shared" si="1"/>
        <v>5000</v>
      </c>
      <c r="G10">
        <f t="shared" si="1"/>
        <v>7500</v>
      </c>
      <c r="H10">
        <f t="shared" si="1"/>
        <v>10000</v>
      </c>
      <c r="I10">
        <f t="shared" si="1"/>
        <v>20000</v>
      </c>
      <c r="J10">
        <f t="shared" si="1"/>
        <v>30000</v>
      </c>
      <c r="K10">
        <f t="shared" si="1"/>
        <v>50000</v>
      </c>
      <c r="L10">
        <f t="shared" si="1"/>
        <v>65000</v>
      </c>
    </row>
    <row r="11" spans="1:12" ht="15" x14ac:dyDescent="0.25">
      <c r="A11" t="s">
        <v>148</v>
      </c>
      <c r="B11">
        <f>+'Problem Setup'!B41</f>
        <v>0</v>
      </c>
      <c r="C11">
        <f>+'Problem Setup'!C41</f>
        <v>2000</v>
      </c>
      <c r="D11">
        <f>+'Problem Setup'!D41</f>
        <v>4000</v>
      </c>
      <c r="E11">
        <f>+'Problem Setup'!E41</f>
        <v>5000</v>
      </c>
      <c r="F11">
        <f>+'Problem Setup'!F41</f>
        <v>7500</v>
      </c>
      <c r="G11">
        <f>+'Problem Setup'!G41</f>
        <v>10000</v>
      </c>
      <c r="H11">
        <f>+'Problem Setup'!H41</f>
        <v>20000</v>
      </c>
      <c r="I11">
        <f>+'Problem Setup'!I41</f>
        <v>30000</v>
      </c>
      <c r="J11">
        <f>+'Problem Setup'!J41</f>
        <v>50000</v>
      </c>
      <c r="K11">
        <f>+'Problem Setup'!K41</f>
        <v>65000</v>
      </c>
    </row>
    <row r="12" spans="1:12" ht="15" x14ac:dyDescent="0.25">
      <c r="A12" t="s">
        <v>146</v>
      </c>
      <c r="B12" s="18">
        <v>0</v>
      </c>
      <c r="C12" s="17">
        <f>+(('Problem Setup'!B42+'Problem Setup'!C42)/2)*('Problem Solution'!C11-'Problem Solution'!B11)</f>
        <v>6060.6040200802681</v>
      </c>
      <c r="D12" s="17">
        <f>+C12+(('Problem Setup'!C42+'Problem Setup'!D42)/2)*('Problem Solution'!D11-'Problem Solution'!C11)</f>
        <v>12243.6403627377</v>
      </c>
      <c r="E12" s="17">
        <f>+D12+(('Problem Setup'!D42+'Problem Setup'!E42)/2)*('Problem Solution'!E11-'Problem Solution'!D11)</f>
        <v>15381.763168590318</v>
      </c>
      <c r="F12" s="17">
        <f>+E12+(('Problem Setup'!E42+'Problem Setup'!F42)/2)*('Problem Solution'!F11-'Problem Solution'!E11)</f>
        <v>23366.095345817776</v>
      </c>
      <c r="G12" s="17">
        <f>+F12+(('Problem Setup'!F42+'Problem Setup'!G42)/2)*('Problem Solution'!G11-'Problem Solution'!F11)</f>
        <v>31552.551854418823</v>
      </c>
      <c r="H12" s="17">
        <f>+G12+(('Problem Setup'!G42+'Problem Setup'!H42)/2)*('Problem Solution'!H11-'Problem Solution'!G11)</f>
        <v>66451.156997956088</v>
      </c>
      <c r="I12" s="17">
        <f>+H12+(('Problem Setup'!H42+'Problem Setup'!I42)/2)*('Problem Solution'!I11-'Problem Solution'!H11)</f>
        <v>105020.08048399868</v>
      </c>
      <c r="J12" s="17">
        <f>+I12+(('Problem Setup'!I42+'Problem Setup'!J42)/2)*('Problem Solution'!J11-'Problem Solution'!I11)</f>
        <v>194977.48283228261</v>
      </c>
      <c r="K12" s="17">
        <f>+J12+(('Problem Setup'!J42+'Problem Setup'!K42)/2)*('Problem Solution'!K11-'Problem Solution'!J11)</f>
        <v>275173.3800758482</v>
      </c>
    </row>
    <row r="13" spans="1:12" ht="15" x14ac:dyDescent="0.25">
      <c r="A13" t="s">
        <v>150</v>
      </c>
      <c r="B13" s="18"/>
      <c r="C13" s="18">
        <f t="shared" ref="C13:J13" si="2">+B14</f>
        <v>0</v>
      </c>
      <c r="D13" s="18">
        <f t="shared" si="2"/>
        <v>1000</v>
      </c>
      <c r="E13" s="18">
        <f t="shared" si="2"/>
        <v>2500</v>
      </c>
      <c r="F13" s="18">
        <f t="shared" si="2"/>
        <v>5000</v>
      </c>
      <c r="G13" s="18">
        <f t="shared" si="2"/>
        <v>8000</v>
      </c>
      <c r="H13" s="18">
        <f t="shared" si="2"/>
        <v>10000</v>
      </c>
      <c r="I13" s="18">
        <f t="shared" si="2"/>
        <v>15000</v>
      </c>
      <c r="J13" s="18">
        <f t="shared" si="2"/>
        <v>25000</v>
      </c>
    </row>
    <row r="14" spans="1:12" ht="15" x14ac:dyDescent="0.25">
      <c r="A14" t="s">
        <v>151</v>
      </c>
      <c r="B14" s="18">
        <f>+'Problem Setup'!B43</f>
        <v>0</v>
      </c>
      <c r="C14" s="18">
        <f>+'Problem Setup'!C43</f>
        <v>1000</v>
      </c>
      <c r="D14" s="18">
        <f>+'Problem Setup'!D43</f>
        <v>2500</v>
      </c>
      <c r="E14" s="18">
        <f>+'Problem Setup'!E43</f>
        <v>5000</v>
      </c>
      <c r="F14" s="18">
        <f>+'Problem Setup'!F43</f>
        <v>8000</v>
      </c>
      <c r="G14" s="18">
        <f>+'Problem Setup'!G43</f>
        <v>10000</v>
      </c>
      <c r="H14" s="18">
        <f>+'Problem Setup'!H43</f>
        <v>15000</v>
      </c>
      <c r="I14" s="18">
        <f>+'Problem Setup'!I43</f>
        <v>25000</v>
      </c>
    </row>
    <row r="15" spans="1:12" ht="15" x14ac:dyDescent="0.25">
      <c r="A15" t="s">
        <v>147</v>
      </c>
      <c r="B15" s="18">
        <v>0</v>
      </c>
      <c r="C15" s="17">
        <f>+B15+(('Problem Setup'!B44+'Problem Setup'!C44)/2)*('Problem Solution'!C14-'Problem Solution'!B14)</f>
        <v>1522.8409004651378</v>
      </c>
      <c r="D15" s="17">
        <f>+C15+(('Problem Setup'!C44+'Problem Setup'!D44)/2)*('Problem Solution'!D14-'Problem Solution'!C14)</f>
        <v>3894.7219209080549</v>
      </c>
      <c r="E15" s="17">
        <f>+D15+(('Problem Setup'!D44+'Problem Setup'!E44)/2)*('Problem Solution'!E14-'Problem Solution'!D14)</f>
        <v>8094.1939089322696</v>
      </c>
      <c r="F15" s="17">
        <f>+E15+(('Problem Setup'!E44+'Problem Setup'!F44)/2)*('Problem Solution'!F14-'Problem Solution'!E14)</f>
        <v>13568.631543294068</v>
      </c>
      <c r="G15" s="17">
        <f>+F15+(('Problem Setup'!F44+'Problem Setup'!G44)/2)*('Problem Solution'!G14-'Problem Solution'!F14)</f>
        <v>17500.293480140179</v>
      </c>
      <c r="H15" s="17">
        <f>+G15+(('Problem Setup'!G44+'Problem Setup'!H44)/2)*('Problem Solution'!H14-'Problem Solution'!G14)</f>
        <v>28443.434704138323</v>
      </c>
      <c r="I15" s="17">
        <f>+H15+(('Problem Setup'!H44+'Problem Setup'!I44)/2)*('Problem Solution'!I14-'Problem Solution'!H14)</f>
        <v>56083.276219909647</v>
      </c>
    </row>
    <row r="16" spans="1:12" ht="15" x14ac:dyDescent="0.25">
      <c r="C16" s="18"/>
      <c r="D16" s="18"/>
      <c r="E16" s="18"/>
      <c r="F16" s="18"/>
      <c r="G16" s="18"/>
      <c r="H16" s="18"/>
      <c r="I16" s="18"/>
      <c r="J16" s="18"/>
    </row>
    <row r="17" spans="1:4" ht="15" x14ac:dyDescent="0.25">
      <c r="A17" t="s">
        <v>141</v>
      </c>
      <c r="B17" s="8">
        <f>+SUM(A6:C6)</f>
        <v>28849.655119625619</v>
      </c>
    </row>
    <row r="18" spans="1:4" ht="15" x14ac:dyDescent="0.25">
      <c r="A18" t="s">
        <v>143</v>
      </c>
      <c r="B18" s="17">
        <f>+IF(B17&gt;0,(((HLOOKUP(B17,C10:L12,3)-HLOOKUP(B17,B11:K12,2)))/(HLOOKUP(B17,C10:L12,2)-HLOOKUP(B17,C10:L12,1)))*(B17-HLOOKUP(B17,C10:L12,1))+HLOOKUP(B17,B11:K12,2),0)</f>
        <v>100583.32411662665</v>
      </c>
    </row>
    <row r="19" spans="1:4" ht="15" x14ac:dyDescent="0.25">
      <c r="A19" t="s">
        <v>142</v>
      </c>
      <c r="B19" s="8">
        <f>+SUM(D6:F6)</f>
        <v>25000</v>
      </c>
    </row>
    <row r="20" spans="1:4" ht="15" x14ac:dyDescent="0.25">
      <c r="A20" t="s">
        <v>144</v>
      </c>
      <c r="B20" s="17">
        <f>+IF(B19&gt;0,(((HLOOKUP(B19,C13:J15,3)-HLOOKUP(B19,B14:I15,2)))/(HLOOKUP(B19,C13:J15,2)-HLOOKUP(B19,C13:J15,1)))*(B19-HLOOKUP(B19,C13:J15,1))+HLOOKUP(B19,B14:I15,2),0)</f>
        <v>56083.276219909647</v>
      </c>
    </row>
    <row r="21" spans="1:4" ht="15" x14ac:dyDescent="0.25">
      <c r="A21" t="s">
        <v>145</v>
      </c>
      <c r="B21" s="19">
        <f>+B18+B20</f>
        <v>156666.6003365363</v>
      </c>
    </row>
    <row r="23" spans="1:4" ht="15" x14ac:dyDescent="0.25">
      <c r="A23" s="20" t="s">
        <v>123</v>
      </c>
    </row>
    <row r="24" spans="1:4" ht="15" x14ac:dyDescent="0.25">
      <c r="A24" t="s">
        <v>152</v>
      </c>
      <c r="C24">
        <f>+B25</f>
        <v>0</v>
      </c>
      <c r="D24">
        <f>+C25</f>
        <v>40000</v>
      </c>
    </row>
    <row r="25" spans="1:4" ht="15" x14ac:dyDescent="0.25">
      <c r="A25" t="s">
        <v>153</v>
      </c>
      <c r="B25">
        <f>+'Problem Setup'!B66</f>
        <v>0</v>
      </c>
      <c r="C25">
        <f>+'Problem Setup'!C66</f>
        <v>40000</v>
      </c>
    </row>
    <row r="26" spans="1:4" ht="15" x14ac:dyDescent="0.25">
      <c r="A26" t="s">
        <v>207</v>
      </c>
      <c r="B26">
        <v>0</v>
      </c>
      <c r="C26" s="8">
        <f>+(('Problem Setup'!C117+'Problem Setup'!B117)/2)*('Problem Setup'!C116-'Problem Setup'!B116)+B26</f>
        <v>60000</v>
      </c>
    </row>
    <row r="27" spans="1:4" ht="15" x14ac:dyDescent="0.25">
      <c r="A27" t="s">
        <v>154</v>
      </c>
      <c r="C27">
        <f>+B28</f>
        <v>0</v>
      </c>
      <c r="D27">
        <f>+C28</f>
        <v>43000</v>
      </c>
    </row>
    <row r="28" spans="1:4" ht="15" x14ac:dyDescent="0.25">
      <c r="A28" t="s">
        <v>155</v>
      </c>
      <c r="B28">
        <f>+'Problem Setup'!B68</f>
        <v>0</v>
      </c>
      <c r="C28">
        <f>+'Problem Setup'!C68</f>
        <v>43000</v>
      </c>
    </row>
    <row r="29" spans="1:4" ht="15" x14ac:dyDescent="0.25">
      <c r="A29" t="s">
        <v>208</v>
      </c>
      <c r="B29" s="8">
        <v>0</v>
      </c>
      <c r="C29" s="8">
        <f>+(('Problem Setup'!C120+'Problem Setup'!B120)/2)*('Problem Setup'!C119-'Problem Setup'!B119)+'Problem Solution'!B29</f>
        <v>53750</v>
      </c>
    </row>
    <row r="30" spans="1:4" ht="15" x14ac:dyDescent="0.25">
      <c r="A30" t="s">
        <v>156</v>
      </c>
      <c r="C30">
        <f>+B31</f>
        <v>0</v>
      </c>
      <c r="D30">
        <f>+C31</f>
        <v>50000</v>
      </c>
    </row>
    <row r="31" spans="1:4" ht="15" x14ac:dyDescent="0.25">
      <c r="A31" t="s">
        <v>157</v>
      </c>
      <c r="B31">
        <v>0</v>
      </c>
      <c r="C31">
        <f>+'Problem Setup'!C70</f>
        <v>50000</v>
      </c>
    </row>
    <row r="32" spans="1:4" ht="15" x14ac:dyDescent="0.25">
      <c r="A32" t="s">
        <v>209</v>
      </c>
      <c r="B32" s="8">
        <v>0</v>
      </c>
      <c r="C32" s="8">
        <f>+(('Problem Setup'!C123+'Problem Setup'!B123)/2)*('Problem Setup'!C122-'Problem Setup'!B122)+'Problem Solution'!B32</f>
        <v>5000000</v>
      </c>
    </row>
    <row r="33" spans="1:9" ht="15" x14ac:dyDescent="0.25">
      <c r="A33" t="s">
        <v>158</v>
      </c>
      <c r="C33">
        <f>+B34</f>
        <v>0</v>
      </c>
      <c r="D33">
        <f>+C34</f>
        <v>20000</v>
      </c>
    </row>
    <row r="34" spans="1:9" ht="15" x14ac:dyDescent="0.25">
      <c r="A34" t="s">
        <v>159</v>
      </c>
      <c r="B34">
        <f>+'Problem Setup'!B72</f>
        <v>0</v>
      </c>
      <c r="C34">
        <f>+'Problem Setup'!C72</f>
        <v>20000</v>
      </c>
    </row>
    <row r="35" spans="1:9" ht="15" x14ac:dyDescent="0.25">
      <c r="A35" t="s">
        <v>210</v>
      </c>
      <c r="B35" s="8">
        <v>0</v>
      </c>
      <c r="C35" s="8">
        <f>+(('Problem Setup'!C126+'Problem Setup'!B126)/2)*('Problem Setup'!C125-'Problem Setup'!B125)+B35</f>
        <v>15000</v>
      </c>
    </row>
    <row r="36" spans="1:9" ht="15" x14ac:dyDescent="0.25">
      <c r="A36" t="s">
        <v>160</v>
      </c>
      <c r="C36">
        <f>+B37</f>
        <v>0</v>
      </c>
      <c r="D36">
        <f>+C37</f>
        <v>50000</v>
      </c>
    </row>
    <row r="37" spans="1:9" ht="15" x14ac:dyDescent="0.25">
      <c r="A37" t="s">
        <v>161</v>
      </c>
      <c r="B37">
        <f>+'Problem Setup'!B74</f>
        <v>0</v>
      </c>
      <c r="C37">
        <f>+'Problem Setup'!C74</f>
        <v>50000</v>
      </c>
    </row>
    <row r="38" spans="1:9" ht="15" x14ac:dyDescent="0.25">
      <c r="A38" t="s">
        <v>211</v>
      </c>
      <c r="B38" s="8">
        <v>0</v>
      </c>
      <c r="C38" s="8">
        <f>+(('Problem Setup'!C129+'Problem Setup'!B129)/2)*('Problem Setup'!C128-'Problem Setup'!B128)+'Problem Solution'!B38</f>
        <v>5000000</v>
      </c>
    </row>
    <row r="39" spans="1:9" ht="15" x14ac:dyDescent="0.25">
      <c r="A39" t="s">
        <v>162</v>
      </c>
      <c r="C39">
        <f>+B40</f>
        <v>0</v>
      </c>
      <c r="D39">
        <f>+C40</f>
        <v>17500</v>
      </c>
    </row>
    <row r="40" spans="1:9" ht="15" x14ac:dyDescent="0.25">
      <c r="A40" t="s">
        <v>163</v>
      </c>
      <c r="B40">
        <f>+'Problem Setup'!B76</f>
        <v>0</v>
      </c>
      <c r="C40">
        <f>+'Problem Setup'!C76</f>
        <v>17500</v>
      </c>
    </row>
    <row r="41" spans="1:9" ht="15" x14ac:dyDescent="0.25">
      <c r="A41" t="s">
        <v>212</v>
      </c>
      <c r="B41" s="8">
        <v>0</v>
      </c>
      <c r="C41" s="8">
        <f>+(('Problem Setup'!C132+'Problem Setup'!B132)/2)*('Problem Setup'!C131-'Problem Setup'!B131)+'Problem Solution'!B41</f>
        <v>22750</v>
      </c>
    </row>
    <row r="42" spans="1:9" ht="15" x14ac:dyDescent="0.25">
      <c r="C42" s="8"/>
      <c r="D42" s="8"/>
    </row>
    <row r="43" spans="1:9" ht="15" x14ac:dyDescent="0.25">
      <c r="A43" s="20" t="s">
        <v>118</v>
      </c>
      <c r="C43" s="8"/>
      <c r="D43" s="8"/>
    </row>
    <row r="44" spans="1:9" ht="15" x14ac:dyDescent="0.25">
      <c r="A44" t="s">
        <v>152</v>
      </c>
      <c r="B44" s="8"/>
      <c r="C44" s="8">
        <f t="shared" ref="C44:I44" si="3">+B45</f>
        <v>0</v>
      </c>
      <c r="D44" s="8">
        <f t="shared" si="3"/>
        <v>5000</v>
      </c>
      <c r="E44" s="8">
        <f t="shared" si="3"/>
        <v>10000</v>
      </c>
      <c r="F44" s="8">
        <f t="shared" si="3"/>
        <v>15000</v>
      </c>
      <c r="G44" s="8">
        <f t="shared" si="3"/>
        <v>20000</v>
      </c>
      <c r="H44" s="8">
        <f t="shared" si="3"/>
        <v>30000</v>
      </c>
      <c r="I44" s="8">
        <f t="shared" si="3"/>
        <v>40000</v>
      </c>
    </row>
    <row r="45" spans="1:9" ht="15" x14ac:dyDescent="0.25">
      <c r="A45" t="s">
        <v>153</v>
      </c>
      <c r="B45" s="8">
        <f>+'Problem Setup'!B53</f>
        <v>0</v>
      </c>
      <c r="C45" s="8">
        <f>+'Problem Setup'!C53</f>
        <v>5000</v>
      </c>
      <c r="D45" s="8">
        <f>+'Problem Setup'!D53</f>
        <v>10000</v>
      </c>
      <c r="E45" s="8">
        <f>+'Problem Setup'!E53</f>
        <v>15000</v>
      </c>
      <c r="F45" s="8">
        <f>+'Problem Setup'!F53</f>
        <v>20000</v>
      </c>
      <c r="G45" s="8">
        <f>+'Problem Setup'!G53</f>
        <v>30000</v>
      </c>
      <c r="H45" s="8">
        <f>+'Problem Setup'!H53</f>
        <v>40000</v>
      </c>
      <c r="I45" s="8"/>
    </row>
    <row r="46" spans="1:9" ht="15" x14ac:dyDescent="0.25">
      <c r="A46" t="s">
        <v>184</v>
      </c>
      <c r="B46" s="8">
        <f>+'Problem Setup'!B99</f>
        <v>0</v>
      </c>
      <c r="C46" s="8">
        <f>+'Problem Setup'!C99</f>
        <v>2660.6027941427883</v>
      </c>
      <c r="D46" s="8">
        <f>+'Problem Setup'!D99</f>
        <v>8146.6471676338733</v>
      </c>
      <c r="E46" s="8">
        <f>+'Problem Setup'!E99</f>
        <v>13753.193974482041</v>
      </c>
      <c r="F46" s="8">
        <f>+'Problem Setup'!F99</f>
        <v>19133.687222225315</v>
      </c>
      <c r="G46" s="8">
        <f>+'Problem Setup'!G99</f>
        <v>29425.637434700009</v>
      </c>
      <c r="H46" s="8">
        <f>+'Problem Setup'!H99</f>
        <v>39486.581494883896</v>
      </c>
      <c r="I46" s="8"/>
    </row>
    <row r="47" spans="1:9" ht="15" x14ac:dyDescent="0.25">
      <c r="A47" t="s">
        <v>154</v>
      </c>
      <c r="B47" s="8"/>
      <c r="C47" s="8">
        <f t="shared" ref="C47:I47" si="4">+B48</f>
        <v>0</v>
      </c>
      <c r="D47" s="8">
        <f t="shared" si="4"/>
        <v>5000</v>
      </c>
      <c r="E47" s="8">
        <f t="shared" si="4"/>
        <v>10000</v>
      </c>
      <c r="F47" s="8">
        <f t="shared" si="4"/>
        <v>17500</v>
      </c>
      <c r="G47" s="8">
        <f t="shared" si="4"/>
        <v>25000</v>
      </c>
      <c r="H47" s="8">
        <f t="shared" si="4"/>
        <v>35000</v>
      </c>
      <c r="I47" s="8">
        <f t="shared" si="4"/>
        <v>43000</v>
      </c>
    </row>
    <row r="48" spans="1:9" ht="15" x14ac:dyDescent="0.25">
      <c r="A48" t="s">
        <v>155</v>
      </c>
      <c r="B48" s="8">
        <f>+'Problem Setup'!B101</f>
        <v>0</v>
      </c>
      <c r="C48" s="8">
        <f>+'Problem Setup'!C101</f>
        <v>5000</v>
      </c>
      <c r="D48" s="8">
        <f>+'Problem Setup'!D101</f>
        <v>10000</v>
      </c>
      <c r="E48" s="8">
        <f>+'Problem Setup'!E101</f>
        <v>17500</v>
      </c>
      <c r="F48" s="8">
        <f>+'Problem Setup'!F101</f>
        <v>25000</v>
      </c>
      <c r="G48" s="8">
        <f>+'Problem Setup'!G101</f>
        <v>35000</v>
      </c>
      <c r="H48" s="8">
        <f>+'Problem Setup'!H101</f>
        <v>43000</v>
      </c>
      <c r="I48" s="8"/>
    </row>
    <row r="49" spans="1:9" ht="15" x14ac:dyDescent="0.25">
      <c r="A49" t="s">
        <v>185</v>
      </c>
      <c r="B49" s="8">
        <f>+'Problem Setup'!B102</f>
        <v>0</v>
      </c>
      <c r="C49" s="8">
        <f>+'Problem Setup'!C102</f>
        <v>1467.346701436833</v>
      </c>
      <c r="D49" s="8">
        <f>+'Problem Setup'!D102</f>
        <v>5821.2055882855766</v>
      </c>
      <c r="E49" s="8">
        <f>+'Problem Setup'!E102</f>
        <v>13958.95598961721</v>
      </c>
      <c r="F49" s="8">
        <f>+'Problem Setup'!F102</f>
        <v>22447.875034402528</v>
      </c>
      <c r="G49" s="8">
        <f>+'Problem Setup'!G102</f>
        <v>33443.091580218854</v>
      </c>
      <c r="H49" s="8">
        <f>+'Problem Setup'!H102</f>
        <v>41916.551962475365</v>
      </c>
      <c r="I49" s="8"/>
    </row>
    <row r="50" spans="1:9" ht="15" x14ac:dyDescent="0.25">
      <c r="A50" t="s">
        <v>156</v>
      </c>
      <c r="B50" s="8"/>
      <c r="C50" s="8">
        <f>+B51</f>
        <v>0</v>
      </c>
      <c r="D50" s="8">
        <f>+C51</f>
        <v>50000</v>
      </c>
    </row>
    <row r="51" spans="1:9" ht="15" x14ac:dyDescent="0.25">
      <c r="A51" t="s">
        <v>157</v>
      </c>
      <c r="B51" s="8">
        <f>+'Problem Setup'!B104</f>
        <v>0</v>
      </c>
      <c r="C51" s="8">
        <f>+'Problem Setup'!C104</f>
        <v>50000</v>
      </c>
    </row>
    <row r="52" spans="1:9" ht="15" x14ac:dyDescent="0.25">
      <c r="A52" t="s">
        <v>186</v>
      </c>
      <c r="B52" s="8">
        <f>+'Problem Setup'!B105</f>
        <v>0</v>
      </c>
      <c r="C52" s="8">
        <f>+'Problem Setup'!C105</f>
        <v>0</v>
      </c>
    </row>
    <row r="53" spans="1:9" ht="15" x14ac:dyDescent="0.25">
      <c r="A53" t="s">
        <v>158</v>
      </c>
      <c r="B53" s="8"/>
      <c r="C53" s="8">
        <f t="shared" ref="C53:H53" si="5">+B54</f>
        <v>0</v>
      </c>
      <c r="D53" s="8">
        <f t="shared" si="5"/>
        <v>2500</v>
      </c>
      <c r="E53" s="8">
        <f t="shared" si="5"/>
        <v>5000</v>
      </c>
      <c r="F53" s="8">
        <f t="shared" si="5"/>
        <v>10000</v>
      </c>
      <c r="G53" s="8">
        <f t="shared" si="5"/>
        <v>15000</v>
      </c>
      <c r="H53" s="8">
        <f t="shared" si="5"/>
        <v>20000</v>
      </c>
    </row>
    <row r="54" spans="1:9" ht="15" x14ac:dyDescent="0.25">
      <c r="A54" t="s">
        <v>159</v>
      </c>
      <c r="B54" s="8">
        <f>+'Problem Setup'!B107</f>
        <v>0</v>
      </c>
      <c r="C54" s="8">
        <f>+'Problem Setup'!C107</f>
        <v>2500</v>
      </c>
      <c r="D54" s="8">
        <f>+'Problem Setup'!D107</f>
        <v>5000</v>
      </c>
      <c r="E54" s="8">
        <f>+'Problem Setup'!E107</f>
        <v>10000</v>
      </c>
      <c r="F54" s="8">
        <f>+'Problem Setup'!F107</f>
        <v>15000</v>
      </c>
      <c r="G54" s="8">
        <f>+'Problem Setup'!G107</f>
        <v>20000</v>
      </c>
      <c r="H54" s="8"/>
    </row>
    <row r="55" spans="1:9" ht="15" x14ac:dyDescent="0.25">
      <c r="A55" t="s">
        <v>187</v>
      </c>
      <c r="B55" s="8">
        <f>+'Problem Setup'!B108</f>
        <v>0</v>
      </c>
      <c r="C55" s="8">
        <f>+'Problem Setup'!C108</f>
        <v>0</v>
      </c>
      <c r="D55" s="8">
        <f>+'Problem Setup'!D108</f>
        <v>1389.7711161949196</v>
      </c>
      <c r="E55" s="8">
        <f>+'Problem Setup'!E108</f>
        <v>6274.6820696598734</v>
      </c>
      <c r="F55" s="8">
        <f>+'Problem Setup'!F108</f>
        <v>11865.888926202295</v>
      </c>
      <c r="G55" s="8">
        <f>+'Problem Setup'!G108</f>
        <v>17514.528435713321</v>
      </c>
    </row>
    <row r="56" spans="1:9" ht="15" x14ac:dyDescent="0.25">
      <c r="A56" t="s">
        <v>160</v>
      </c>
      <c r="B56" s="8"/>
      <c r="C56" s="8">
        <f>+B57</f>
        <v>0</v>
      </c>
      <c r="D56" s="8">
        <f>+C57</f>
        <v>50000</v>
      </c>
    </row>
    <row r="57" spans="1:9" ht="15" x14ac:dyDescent="0.25">
      <c r="A57" t="s">
        <v>161</v>
      </c>
      <c r="B57" s="8">
        <f>+'Problem Setup'!B110</f>
        <v>0</v>
      </c>
      <c r="C57" s="8">
        <f>+'Problem Setup'!C110</f>
        <v>50000</v>
      </c>
    </row>
    <row r="58" spans="1:9" ht="15" x14ac:dyDescent="0.25">
      <c r="A58" t="s">
        <v>188</v>
      </c>
      <c r="B58" s="8">
        <f>+'Problem Setup'!B111</f>
        <v>0</v>
      </c>
      <c r="C58" s="8">
        <f>+'Problem Setup'!C111</f>
        <v>0</v>
      </c>
    </row>
    <row r="59" spans="1:9" ht="15" x14ac:dyDescent="0.25">
      <c r="A59" t="s">
        <v>162</v>
      </c>
      <c r="B59" s="8"/>
      <c r="C59" s="8">
        <f t="shared" ref="C59:I59" si="6">+B60</f>
        <v>0</v>
      </c>
      <c r="D59" s="8">
        <f t="shared" si="6"/>
        <v>2500</v>
      </c>
      <c r="E59" s="8">
        <f t="shared" si="6"/>
        <v>5000</v>
      </c>
      <c r="F59" s="8">
        <f t="shared" si="6"/>
        <v>7500</v>
      </c>
      <c r="G59" s="8">
        <f t="shared" si="6"/>
        <v>10000</v>
      </c>
      <c r="H59" s="8">
        <f t="shared" si="6"/>
        <v>15000</v>
      </c>
      <c r="I59" s="8">
        <f t="shared" si="6"/>
        <v>17500</v>
      </c>
    </row>
    <row r="60" spans="1:9" ht="15" x14ac:dyDescent="0.25">
      <c r="A60" t="s">
        <v>163</v>
      </c>
      <c r="B60" s="8">
        <f>+'Problem Setup'!B113</f>
        <v>0</v>
      </c>
      <c r="C60" s="8">
        <f>+'Problem Setup'!C113</f>
        <v>2500</v>
      </c>
      <c r="D60" s="8">
        <f>+'Problem Setup'!D113</f>
        <v>5000</v>
      </c>
      <c r="E60" s="8">
        <f>+'Problem Setup'!E113</f>
        <v>7500</v>
      </c>
      <c r="F60" s="8">
        <f>+'Problem Setup'!F113</f>
        <v>10000</v>
      </c>
      <c r="G60" s="8">
        <f>+'Problem Setup'!G113</f>
        <v>15000</v>
      </c>
      <c r="H60" s="8">
        <f>+'Problem Setup'!H113</f>
        <v>17500</v>
      </c>
      <c r="I60" s="8"/>
    </row>
    <row r="61" spans="1:9" ht="15" x14ac:dyDescent="0.25">
      <c r="A61" t="s">
        <v>189</v>
      </c>
      <c r="B61" s="8">
        <f>+'Problem Setup'!B114</f>
        <v>0</v>
      </c>
      <c r="C61" s="8">
        <f>+'Problem Setup'!C114</f>
        <v>302.99804232148779</v>
      </c>
      <c r="D61" s="8">
        <f>+'Problem Setup'!D114</f>
        <v>1717.346701436833</v>
      </c>
      <c r="E61" s="8">
        <f>+'Problem Setup'!E114</f>
        <v>3707.2508544423899</v>
      </c>
      <c r="F61" s="8">
        <f>+'Problem Setup'!F114</f>
        <v>6071.2055882855766</v>
      </c>
      <c r="G61" s="8">
        <f>+'Problem Setup'!G114</f>
        <v>11403.047597773553</v>
      </c>
      <c r="H61" s="8">
        <f>+'Problem Setup'!H114</f>
        <v>14208.95598961721</v>
      </c>
      <c r="I61" s="8"/>
    </row>
    <row r="63" spans="1:9" ht="15" x14ac:dyDescent="0.25">
      <c r="A63" t="s">
        <v>165</v>
      </c>
      <c r="B63" s="17">
        <f>+A6</f>
        <v>12694.273642172839</v>
      </c>
    </row>
    <row r="64" spans="1:9" ht="15" x14ac:dyDescent="0.25">
      <c r="A64" t="s">
        <v>164</v>
      </c>
      <c r="B64" s="17">
        <f>+IF(B63&gt;0,((C26-B26)/(C25-B25))*(B63-B25)+B26,0)</f>
        <v>19041.410463259257</v>
      </c>
    </row>
    <row r="65" spans="1:2" ht="15" x14ac:dyDescent="0.25">
      <c r="A65" t="s">
        <v>190</v>
      </c>
      <c r="B65" s="17">
        <f>+IF(B63&gt;0,(((HLOOKUP(B63,B44:I46,3)-HLOOKUP(B63,B45:H46,2))/(HLOOKUP(B63,B44:I46,2)-HLOOKUP(B63,B45:H46,1)))*(B63-HLOOKUP(B63,B45:I46,1)))+HLOOKUP(B63,B45:I46,2),0)</f>
        <v>11167.761424693736</v>
      </c>
    </row>
    <row r="66" spans="1:2" ht="15" x14ac:dyDescent="0.25">
      <c r="A66" t="s">
        <v>166</v>
      </c>
      <c r="B66" s="17">
        <f>+B6</f>
        <v>16155.38147745278</v>
      </c>
    </row>
    <row r="67" spans="1:2" ht="15" x14ac:dyDescent="0.25">
      <c r="A67" t="s">
        <v>167</v>
      </c>
      <c r="B67" s="17">
        <f>+IF(B66&gt;0,((C29-B29)/(C28-B28))*(B66-B28)+B29,0)</f>
        <v>20194.226846815975</v>
      </c>
    </row>
    <row r="68" spans="1:2" ht="15" x14ac:dyDescent="0.25">
      <c r="A68" t="s">
        <v>191</v>
      </c>
      <c r="B68" s="17">
        <f>+IF(B66&gt;0,(((HLOOKUP(B66,B47:I49,3)-HLOOKUP(B66,B48:H49,2))/(HLOOKUP(B66,B47:I49,2)-HLOOKUP(B66,B48:H49,1)))*(B66-HLOOKUP(B66,B48:I49,1)))+HLOOKUP(B66,B48:I49,2),0)</f>
        <v>12500.000000084332</v>
      </c>
    </row>
    <row r="69" spans="1:2" ht="15" x14ac:dyDescent="0.25">
      <c r="A69" t="s">
        <v>168</v>
      </c>
      <c r="B69" s="25">
        <f>+C6</f>
        <v>0</v>
      </c>
    </row>
    <row r="70" spans="1:2" ht="15" x14ac:dyDescent="0.25">
      <c r="A70" t="s">
        <v>169</v>
      </c>
      <c r="B70" s="17">
        <f>+IF(B69&gt;0,((C32-B32)/(C31-B31))*(B69-B31)+B32,0)</f>
        <v>0</v>
      </c>
    </row>
    <row r="71" spans="1:2" ht="15" x14ac:dyDescent="0.25">
      <c r="A71" t="s">
        <v>192</v>
      </c>
      <c r="B71" s="17">
        <f>+IF(B69&gt;0,(((HLOOKUP(B69,B50:I52,3)-HLOOKUP(B69,B51:H52,2))/(HLOOKUP(B69,B50:I52,2)-HLOOKUP(B69,B51:H52,1)))*(B69-HLOOKUP(B69,B51:I52,1)))+HLOOKUP(B69,B51:I52,2),0)</f>
        <v>0</v>
      </c>
    </row>
    <row r="72" spans="1:2" ht="15" x14ac:dyDescent="0.25">
      <c r="A72" t="s">
        <v>170</v>
      </c>
      <c r="B72" s="17">
        <f>+D6</f>
        <v>7500</v>
      </c>
    </row>
    <row r="73" spans="1:2" ht="15" x14ac:dyDescent="0.25">
      <c r="A73" t="s">
        <v>171</v>
      </c>
      <c r="B73" s="17">
        <f>+IF(B72&gt;0,((C35-B35)/(C34-B34))*(B72-B34)+B35,0)</f>
        <v>5625</v>
      </c>
    </row>
    <row r="74" spans="1:2" ht="15" x14ac:dyDescent="0.25">
      <c r="A74" t="s">
        <v>193</v>
      </c>
      <c r="B74" s="17">
        <f>+IF(B72&gt;0,(((HLOOKUP(B72,B53:I55,3)-HLOOKUP(B72,B54:H55,2))/(HLOOKUP(B72,B53:I55,2)-HLOOKUP(B72,B54:H55,1)))*(B72-HLOOKUP(B72,B54:I55,1)))+HLOOKUP(B72,B54:I55,2),0)</f>
        <v>3832.2265929273967</v>
      </c>
    </row>
    <row r="75" spans="1:2" ht="15" x14ac:dyDescent="0.25">
      <c r="A75" t="s">
        <v>173</v>
      </c>
      <c r="B75" s="17">
        <f>+E6</f>
        <v>0</v>
      </c>
    </row>
    <row r="76" spans="1:2" ht="15" x14ac:dyDescent="0.25">
      <c r="A76" t="s">
        <v>172</v>
      </c>
      <c r="B76" s="17">
        <f>+IF(B75&gt;0,((C38-B38)/(C37-B37))*(B75-B37)+B38,0)</f>
        <v>0</v>
      </c>
    </row>
    <row r="77" spans="1:2" ht="15" x14ac:dyDescent="0.25">
      <c r="A77" t="s">
        <v>191</v>
      </c>
      <c r="B77" s="17">
        <f>+IF(B75&gt;0,(((HLOOKUP(B75,B56:I58,3)-HLOOKUP(B75,B57:H58,2))/(HLOOKUP(B75,B56:I58,2)-HLOOKUP(B75,B57:H58,1)))*(B75-HLOOKUP(B75,B57:I58,1)))+HLOOKUP(B75,B57:I58,2),0)</f>
        <v>0</v>
      </c>
    </row>
    <row r="78" spans="1:2" ht="15" x14ac:dyDescent="0.25">
      <c r="A78" t="s">
        <v>174</v>
      </c>
      <c r="B78" s="17">
        <f>+F6</f>
        <v>17500</v>
      </c>
    </row>
    <row r="79" spans="1:2" ht="15" x14ac:dyDescent="0.25">
      <c r="A79" t="s">
        <v>175</v>
      </c>
      <c r="B79" s="17">
        <f>+IF(B78&gt;0,((C41-B41)/(C40-B40))*(B78-B40)+B41,0)</f>
        <v>22750</v>
      </c>
    </row>
    <row r="80" spans="1:2" ht="15" x14ac:dyDescent="0.25">
      <c r="A80" t="s">
        <v>201</v>
      </c>
      <c r="B80" s="17">
        <f>+IF(B78&gt;0,(((HLOOKUP(B78,B59:I61,3)-HLOOKUP(B78,B60:H61,2))/(HLOOKUP(B78,B59:I61,2)-HLOOKUP(B78,B60:H61,1)))*(B78-HLOOKUP(B78,B60:I61,1)))+HLOOKUP(B78,B60:I61,2),0)</f>
        <v>14208.95598961721</v>
      </c>
    </row>
    <row r="81" spans="1:11" ht="15" x14ac:dyDescent="0.25">
      <c r="A81" t="s">
        <v>176</v>
      </c>
      <c r="B81" s="17">
        <f>+B64+B67+B70+B73+B76+B79</f>
        <v>67610.637310075224</v>
      </c>
    </row>
    <row r="83" spans="1:11" ht="15" x14ac:dyDescent="0.25">
      <c r="A83" s="20" t="s">
        <v>177</v>
      </c>
    </row>
    <row r="85" spans="1:11" ht="15" x14ac:dyDescent="0.25">
      <c r="A85" t="s">
        <v>178</v>
      </c>
      <c r="B85" s="19"/>
      <c r="C85" s="19">
        <f>+B86</f>
        <v>0</v>
      </c>
      <c r="D85" s="19">
        <f t="shared" ref="D85:J85" si="7">+C86</f>
        <v>2000</v>
      </c>
      <c r="E85" s="19">
        <f t="shared" si="7"/>
        <v>4000</v>
      </c>
      <c r="F85" s="19">
        <f t="shared" si="7"/>
        <v>7500</v>
      </c>
      <c r="G85" s="19">
        <f t="shared" si="7"/>
        <v>10000</v>
      </c>
      <c r="H85" s="19">
        <f t="shared" si="7"/>
        <v>15000</v>
      </c>
      <c r="I85" s="19">
        <f t="shared" si="7"/>
        <v>20000</v>
      </c>
      <c r="J85" s="19">
        <f t="shared" si="7"/>
        <v>30000</v>
      </c>
      <c r="K85" s="19">
        <f>+J86</f>
        <v>40000</v>
      </c>
    </row>
    <row r="86" spans="1:11" ht="15" x14ac:dyDescent="0.25">
      <c r="A86" t="s">
        <v>179</v>
      </c>
      <c r="B86" s="17">
        <f>+'Problem Setup'!B89</f>
        <v>0</v>
      </c>
      <c r="C86" s="17">
        <f>+'Problem Setup'!C89</f>
        <v>2000</v>
      </c>
      <c r="D86" s="17">
        <f>+'Problem Setup'!D89</f>
        <v>4000</v>
      </c>
      <c r="E86" s="17">
        <f>+'Problem Setup'!E89</f>
        <v>7500</v>
      </c>
      <c r="F86" s="17">
        <f>+'Problem Setup'!F89</f>
        <v>10000</v>
      </c>
      <c r="G86" s="17">
        <f>+'Problem Setup'!G89</f>
        <v>15000</v>
      </c>
      <c r="H86" s="17">
        <f>+'Problem Setup'!H89</f>
        <v>20000</v>
      </c>
      <c r="I86" s="17">
        <f>+'Problem Setup'!I89</f>
        <v>30000</v>
      </c>
      <c r="J86" s="17">
        <f>+'Problem Setup'!J89</f>
        <v>40000</v>
      </c>
    </row>
    <row r="87" spans="1:11" ht="15" x14ac:dyDescent="0.25">
      <c r="A87" t="s">
        <v>204</v>
      </c>
      <c r="B87" s="17">
        <v>0</v>
      </c>
      <c r="C87" s="17">
        <f>+(('Problem Setup'!B90+'Problem Setup'!C90))/2*('Problem Setup'!C89-'Problem Setup'!B89)+B87</f>
        <v>27782.156834493173</v>
      </c>
      <c r="D87" s="17">
        <f>+(('Problem Setup'!C90+'Problem Setup'!D90))/2*('Problem Setup'!D89-'Problem Setup'!C89)+C87</f>
        <v>51456.549225091709</v>
      </c>
      <c r="E87" s="17">
        <f>+(('Problem Setup'!D90+'Problem Setup'!E90))/2*('Problem Setup'!E89-'Problem Setup'!D89)+D87</f>
        <v>84924.26689574428</v>
      </c>
      <c r="F87" s="17">
        <f>+(('Problem Setup'!E90+'Problem Setup'!F90))/2*('Problem Setup'!F89-'Problem Setup'!E89)+E87</f>
        <v>103639.40314970518</v>
      </c>
      <c r="G87" s="17">
        <f>+(('Problem Setup'!F90+'Problem Setup'!G90))/2*('Problem Setup'!G89-'Problem Setup'!F89)+F87</f>
        <v>131784.02225080857</v>
      </c>
      <c r="H87" s="17">
        <f>+(('Problem Setup'!G90+'Problem Setup'!H90))/2*('Problem Setup'!H89-'Problem Setup'!G89)+G87</f>
        <v>150649.92462231574</v>
      </c>
      <c r="I87" s="17">
        <f>+(('Problem Setup'!H90+'Problem Setup'!I90))/2*('Problem Setup'!I89-'Problem Setup'!H89)+H87</f>
        <v>172596.00996862084</v>
      </c>
      <c r="J87" s="17">
        <f>+(('Problem Setup'!I90+'Problem Setup'!J90))/2*('Problem Setup'!J89-'Problem Setup'!I89)+I87</f>
        <v>182457.02176370425</v>
      </c>
    </row>
    <row r="88" spans="1:11" ht="15" x14ac:dyDescent="0.25">
      <c r="A88" t="s">
        <v>180</v>
      </c>
      <c r="B88" s="19"/>
      <c r="C88" s="19">
        <f t="shared" ref="C88:H88" si="8">+B89</f>
        <v>0</v>
      </c>
      <c r="D88" s="19">
        <f t="shared" si="8"/>
        <v>3000</v>
      </c>
      <c r="E88" s="19">
        <f t="shared" si="8"/>
        <v>7500</v>
      </c>
      <c r="F88" s="19">
        <f t="shared" si="8"/>
        <v>12500</v>
      </c>
      <c r="G88" s="19">
        <f t="shared" si="8"/>
        <v>20000</v>
      </c>
      <c r="H88" s="19">
        <f t="shared" si="8"/>
        <v>30000</v>
      </c>
    </row>
    <row r="89" spans="1:11" ht="15" x14ac:dyDescent="0.25">
      <c r="A89" t="s">
        <v>181</v>
      </c>
      <c r="B89" s="17">
        <f>+'Problem Setup'!B92</f>
        <v>0</v>
      </c>
      <c r="C89" s="17">
        <f>+'Problem Setup'!C92</f>
        <v>3000</v>
      </c>
      <c r="D89" s="17">
        <f>+'Problem Setup'!D92</f>
        <v>7500</v>
      </c>
      <c r="E89" s="17">
        <f>+'Problem Setup'!E92</f>
        <v>12500</v>
      </c>
      <c r="F89" s="17">
        <f>+'Problem Setup'!F92</f>
        <v>20000</v>
      </c>
      <c r="G89" s="17">
        <f>+'Problem Setup'!G92</f>
        <v>30000</v>
      </c>
      <c r="H89" s="17"/>
    </row>
    <row r="90" spans="1:11" ht="15" x14ac:dyDescent="0.25">
      <c r="A90" t="s">
        <v>205</v>
      </c>
      <c r="B90" s="17">
        <v>0</v>
      </c>
      <c r="C90" s="17">
        <f>+(('Problem Setup'!B93+'Problem Setup'!C93)/2)*('Problem Setup'!C92-'Problem Setup'!B92)+'Problem Solution'!B90</f>
        <v>27910.619646375868</v>
      </c>
      <c r="D90" s="17">
        <f>+(('Problem Setup'!C93+'Problem Setup'!D93)/2)*('Problem Setup'!D92-'Problem Setup'!C92)+'Problem Solution'!C90</f>
        <v>62740.557888736548</v>
      </c>
      <c r="E90" s="17">
        <f>+(('Problem Setup'!D93+'Problem Setup'!E93)/2)*('Problem Setup'!E92-'Problem Setup'!D92)+'Problem Solution'!D90</f>
        <v>93304.325571485606</v>
      </c>
      <c r="F90" s="17">
        <f>+(('Problem Setup'!E93+'Problem Setup'!F93)/2)*('Problem Setup'!F92-'Problem Setup'!E92)+'Problem Solution'!E90</f>
        <v>127172.10818487682</v>
      </c>
      <c r="G90" s="17">
        <f>+(('Problem Setup'!F93+'Problem Setup'!G93)/2)*('Problem Setup'!G92-'Problem Setup'!F92)+'Problem Solution'!F90</f>
        <v>156722.58825087044</v>
      </c>
      <c r="H90" s="17"/>
    </row>
    <row r="91" spans="1:11" ht="15" x14ac:dyDescent="0.25">
      <c r="A91" t="s">
        <v>182</v>
      </c>
      <c r="B91" s="19"/>
      <c r="C91" s="19">
        <f t="shared" ref="C91:I91" si="9">+B92</f>
        <v>0</v>
      </c>
      <c r="D91" s="19">
        <f t="shared" si="9"/>
        <v>2500</v>
      </c>
      <c r="E91" s="19">
        <f t="shared" si="9"/>
        <v>5000</v>
      </c>
      <c r="F91" s="19">
        <f t="shared" si="9"/>
        <v>10000</v>
      </c>
      <c r="G91" s="19">
        <f t="shared" si="9"/>
        <v>15000</v>
      </c>
      <c r="H91" s="19">
        <f t="shared" si="9"/>
        <v>25000</v>
      </c>
      <c r="I91" s="19">
        <f t="shared" si="9"/>
        <v>35000</v>
      </c>
    </row>
    <row r="92" spans="1:11" ht="15" x14ac:dyDescent="0.25">
      <c r="A92" t="s">
        <v>202</v>
      </c>
      <c r="B92" s="17">
        <f>+'Problem Setup'!B95</f>
        <v>0</v>
      </c>
      <c r="C92" s="17">
        <f>+'Problem Setup'!C95</f>
        <v>2500</v>
      </c>
      <c r="D92" s="17">
        <f>+'Problem Setup'!D95</f>
        <v>5000</v>
      </c>
      <c r="E92" s="17">
        <f>+'Problem Setup'!E95</f>
        <v>10000</v>
      </c>
      <c r="F92" s="17">
        <f>+'Problem Setup'!F95</f>
        <v>15000</v>
      </c>
      <c r="G92" s="17">
        <f>+'Problem Setup'!G95</f>
        <v>25000</v>
      </c>
      <c r="H92" s="17">
        <f>+'Problem Setup'!H95</f>
        <v>35000</v>
      </c>
    </row>
    <row r="93" spans="1:11" ht="15" x14ac:dyDescent="0.25">
      <c r="A93" t="s">
        <v>206</v>
      </c>
      <c r="B93" s="17">
        <v>0</v>
      </c>
      <c r="C93" s="17">
        <f>+(('Problem Setup'!C96+'Problem Setup'!B96)/2)*('Problem Setup'!C95-'Problem Setup'!B95)+'Problem Solution'!B93</f>
        <v>55587.5244709814</v>
      </c>
      <c r="D93" s="17">
        <f>+(('Problem Setup'!D96+'Problem Setup'!C96)/2)*('Problem Setup'!D95-'Problem Setup'!C95)+'Problem Solution'!C93</f>
        <v>98879.132057982584</v>
      </c>
      <c r="E93" s="17">
        <f>+(('Problem Setup'!E96+'Problem Setup'!D96)/2)*('Problem Setup'!E95-'Problem Setup'!D95)+'Problem Solution'!D93</f>
        <v>159779.76336323732</v>
      </c>
      <c r="F93" s="17">
        <f>+(('Problem Setup'!F96+'Problem Setup'!E96)/2)*('Problem Setup'!F95-'Problem Setup'!E95)+'Problem Solution'!E93</f>
        <v>196717.86344572934</v>
      </c>
      <c r="G93" s="17">
        <f>+(('Problem Setup'!G96+'Problem Setup'!F96)/2)*('Problem Setup'!G95-'Problem Setup'!F95)+'Problem Solution'!F93</f>
        <v>234869.75829227042</v>
      </c>
      <c r="H93" s="17">
        <f>+(('Problem Setup'!H96+'Problem Setup'!G96)/2)*('Problem Setup'!H95-'Problem Setup'!G95)+'Problem Solution'!G93</f>
        <v>248905.05604804758</v>
      </c>
    </row>
    <row r="95" spans="1:11" ht="15" x14ac:dyDescent="0.25">
      <c r="A95" t="s">
        <v>194</v>
      </c>
      <c r="B95" s="17">
        <f>+B65+B74</f>
        <v>14999.988017621132</v>
      </c>
    </row>
    <row r="96" spans="1:11" ht="15" x14ac:dyDescent="0.25">
      <c r="A96" t="s">
        <v>195</v>
      </c>
      <c r="B96" s="17">
        <f>+IF(B95&gt;0,((HLOOKUP(B95,B85:K87,3)-HLOOKUP(B95,B86:J87,2))/(HLOOKUP(B95,B85:K87,2)-HLOOKUP(B95,B85:K87,1)))*(B95-HLOOKUP(B95,B86:J87,1))+HLOOKUP(B95,B86:J87,2),0)</f>
        <v>131783.95480291074</v>
      </c>
    </row>
    <row r="97" spans="1:7" ht="15" x14ac:dyDescent="0.25">
      <c r="A97" t="s">
        <v>196</v>
      </c>
      <c r="B97" s="17">
        <f>+B68+B77</f>
        <v>12500.000000084332</v>
      </c>
    </row>
    <row r="98" spans="1:7" ht="15" x14ac:dyDescent="0.25">
      <c r="A98" t="s">
        <v>197</v>
      </c>
      <c r="B98" s="17">
        <f>+IF(B97&gt;0,((HLOOKUP(B97,B88:K90,3)-HLOOKUP(B97,B89:J90,2))/(HLOOKUP(B97,B88:K90,2)-HLOOKUP(B97,B88:K90,1)))*(B97-HLOOKUP(B97,B89:J90,1))+HLOOKUP(B97,B89:J90,2),0)</f>
        <v>93304.32557186643</v>
      </c>
    </row>
    <row r="99" spans="1:7" ht="15" x14ac:dyDescent="0.25">
      <c r="A99" t="s">
        <v>198</v>
      </c>
      <c r="B99" s="17">
        <f>+B69+B80</f>
        <v>14208.95598961721</v>
      </c>
    </row>
    <row r="100" spans="1:7" ht="15" x14ac:dyDescent="0.25">
      <c r="A100" t="s">
        <v>199</v>
      </c>
      <c r="B100" s="17">
        <f>+IF(B99&gt;0,((HLOOKUP(B99,B91:K93,3)-HLOOKUP(B99,B92:J93,2))/(HLOOKUP(B99,B91:K93,2)-HLOOKUP(B99,B91:K93,1)))*(B99-HLOOKUP(B99,B92:J93,1))+HLOOKUP(B99,B92:J93,2),0)</f>
        <v>190873.93088069427</v>
      </c>
    </row>
    <row r="101" spans="1:7" ht="15" x14ac:dyDescent="0.25">
      <c r="A101" t="s">
        <v>200</v>
      </c>
      <c r="B101" s="21">
        <f>+B96+B98+B100</f>
        <v>415962.21125547145</v>
      </c>
      <c r="D101" s="19"/>
    </row>
    <row r="103" spans="1:7" x14ac:dyDescent="0.3">
      <c r="A103" t="s">
        <v>203</v>
      </c>
      <c r="B103" s="22">
        <f>+B21+B81</f>
        <v>224277.23764661152</v>
      </c>
      <c r="E103" t="s">
        <v>215</v>
      </c>
      <c r="F103">
        <v>0.01</v>
      </c>
    </row>
    <row r="104" spans="1:7" x14ac:dyDescent="0.3">
      <c r="B104" s="22"/>
    </row>
    <row r="105" spans="1:7" ht="15" thickBot="1" x14ac:dyDescent="0.35">
      <c r="A105" s="23" t="s">
        <v>183</v>
      </c>
      <c r="B105" s="24">
        <f>+B101-B103</f>
        <v>191684.97360885993</v>
      </c>
      <c r="D105" t="s">
        <v>216</v>
      </c>
      <c r="E105">
        <v>133485.47970711713</v>
      </c>
      <c r="F105" s="28">
        <f>+(E106-E105)/F103</f>
        <v>-1.1862446612212807</v>
      </c>
      <c r="G105" t="s">
        <v>218</v>
      </c>
    </row>
    <row r="106" spans="1:7" x14ac:dyDescent="0.3">
      <c r="D106" t="s">
        <v>217</v>
      </c>
      <c r="E106">
        <v>133485.46784467052</v>
      </c>
      <c r="F106">
        <f>+(E107-E105)/F103</f>
        <v>0.95487262005917728</v>
      </c>
    </row>
    <row r="107" spans="1:7" x14ac:dyDescent="0.3">
      <c r="A107" s="1" t="s">
        <v>125</v>
      </c>
      <c r="E107">
        <v>133485.48925584333</v>
      </c>
      <c r="F107" s="28">
        <f>+(E107-2*E105+E106)/(F103*F103)</f>
        <v>-23.137204116210341</v>
      </c>
      <c r="G107" t="s">
        <v>219</v>
      </c>
    </row>
    <row r="108" spans="1:7" x14ac:dyDescent="0.3">
      <c r="A108" t="s">
        <v>124</v>
      </c>
      <c r="F108">
        <f>+(F105+F106)/F103</f>
        <v>-23.137204116210341</v>
      </c>
    </row>
    <row r="109" spans="1:7" x14ac:dyDescent="0.3">
      <c r="F109" t="s">
        <v>220</v>
      </c>
    </row>
    <row r="117" spans="1:1" x14ac:dyDescent="0.3">
      <c r="A117" s="1" t="s">
        <v>126</v>
      </c>
    </row>
    <row r="118" spans="1:1" x14ac:dyDescent="0.3">
      <c r="A118" t="s">
        <v>127</v>
      </c>
    </row>
    <row r="119" spans="1:1" x14ac:dyDescent="0.3">
      <c r="A119" t="s">
        <v>128</v>
      </c>
    </row>
    <row r="120" spans="1:1" x14ac:dyDescent="0.3">
      <c r="A120" t="s">
        <v>129</v>
      </c>
    </row>
    <row r="126" spans="1:1" x14ac:dyDescent="0.3">
      <c r="A126" t="s">
        <v>130</v>
      </c>
    </row>
    <row r="127" spans="1:1" x14ac:dyDescent="0.3">
      <c r="A127" t="s">
        <v>131</v>
      </c>
    </row>
    <row r="128" spans="1:1" x14ac:dyDescent="0.3">
      <c r="A128" t="s"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Setup</vt:lpstr>
      <vt:lpstr>Problem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blounsbury</cp:lastModifiedBy>
  <dcterms:created xsi:type="dcterms:W3CDTF">2014-05-28T14:46:30Z</dcterms:created>
  <dcterms:modified xsi:type="dcterms:W3CDTF">2015-06-09T19:28:15Z</dcterms:modified>
</cp:coreProperties>
</file>